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markrees/workspace/wmt-worker/app/templates/"/>
    </mc:Choice>
  </mc:AlternateContent>
  <xr:revisionPtr revIDLastSave="0" documentId="13_ncr:1_{1E227B8D-62BD-7A4F-AAEB-B7EB4219B4AD}" xr6:coauthVersionLast="47" xr6:coauthVersionMax="47" xr10:uidLastSave="{00000000-0000-0000-0000-000000000000}"/>
  <bookViews>
    <workbookView showSheetTabs="0" xWindow="0" yWindow="460" windowWidth="28500" windowHeight="17160" xr2:uid="{00000000-000D-0000-FFFF-FFFF00000000}"/>
  </bookViews>
  <sheets>
    <sheet name="home" sheetId="11" r:id="rId1"/>
    <sheet name="PDUs" sheetId="78" r:id="rId2"/>
    <sheet name="caseload data" sheetId="99" r:id="rId3"/>
    <sheet name="capacity data" sheetId="79" r:id="rId4"/>
    <sheet name="reductions data" sheetId="85" r:id="rId5"/>
    <sheet name="reductions workings" sheetId="106" r:id="rId6"/>
    <sheet name="FAQs" sheetId="112" r:id="rId7"/>
    <sheet name="divisional &amp; regional overview" sheetId="101" r:id="rId8"/>
    <sheet name="cluster overview" sheetId="98" r:id="rId9"/>
    <sheet name="team overview" sheetId="114" r:id="rId10"/>
    <sheet name="national caseload" sheetId="100" r:id="rId11"/>
    <sheet name="national tier ratios" sheetId="111" r:id="rId12"/>
    <sheet name="divisional &amp; regional caseload" sheetId="102" r:id="rId13"/>
    <sheet name="divisional &amp; regional caseload%" sheetId="105" r:id="rId14"/>
    <sheet name="custody caseload" sheetId="107" r:id="rId15"/>
    <sheet name="custody %" sheetId="109" r:id="rId16"/>
    <sheet name="community caseload" sheetId="108" r:id="rId17"/>
    <sheet name="community %" sheetId="110" r:id="rId18"/>
    <sheet name="divisional &amp; regional capacity" sheetId="80" r:id="rId19"/>
    <sheet name="cluster capacity, unallocateds" sheetId="81" r:id="rId20"/>
    <sheet name="cluster officer capacity ranks" sheetId="82" r:id="rId21"/>
    <sheet name="div &amp; regional over-capacities" sheetId="95" r:id="rId22"/>
    <sheet name="unallocated cases" sheetId="84" r:id="rId23"/>
    <sheet name="reasons for reduction division" sheetId="87" r:id="rId24"/>
    <sheet name="cluster reductions" sheetId="89" r:id="rId25"/>
    <sheet name="div &amp; regional reduction hours" sheetId="88" r:id="rId26"/>
    <sheet name="Caseload Buttons" sheetId="93" r:id="rId27"/>
    <sheet name="Capacity Buttons" sheetId="91" r:id="rId28"/>
    <sheet name="Reductions Buttons" sheetId="92" r:id="rId29"/>
  </sheets>
  <externalReferences>
    <externalReference r:id="rId30"/>
    <externalReference r:id="rId31"/>
    <externalReference r:id="rId32"/>
  </externalReferences>
  <definedNames>
    <definedName name="_xlnm._FilterDatabase" localSheetId="3" hidden="1">'capacity data'!$A$1:$U$180</definedName>
    <definedName name="_xlnm._FilterDatabase" localSheetId="2" hidden="1">'caseload data'!$A$1:$V$1819</definedName>
    <definedName name="_xlnm._FilterDatabase" localSheetId="4" hidden="1">'reductions data'!$A$1:$L$4178</definedName>
    <definedName name="Against_National_Average">'[1]Rating Lookup'!$C$2:$F$2</definedName>
    <definedName name="Against_Target">'[1]Rating Lookup'!$B$3:$B$6</definedName>
    <definedName name="Aggregation" localSheetId="27">#REF!</definedName>
    <definedName name="Aggregation" localSheetId="3">#REF!</definedName>
    <definedName name="Aggregation" localSheetId="26">#REF!</definedName>
    <definedName name="Aggregation" localSheetId="19">#REF!</definedName>
    <definedName name="Aggregation" localSheetId="20">#REF!</definedName>
    <definedName name="Aggregation" localSheetId="24">#REF!</definedName>
    <definedName name="Aggregation" localSheetId="17">#REF!</definedName>
    <definedName name="Aggregation" localSheetId="16">#REF!</definedName>
    <definedName name="Aggregation" localSheetId="15">#REF!</definedName>
    <definedName name="Aggregation" localSheetId="14">#REF!</definedName>
    <definedName name="Aggregation" localSheetId="25">#REF!</definedName>
    <definedName name="Aggregation" localSheetId="18">#REF!</definedName>
    <definedName name="Aggregation" localSheetId="13">#REF!</definedName>
    <definedName name="Aggregation" localSheetId="7">#REF!</definedName>
    <definedName name="Aggregation" localSheetId="1">#REF!</definedName>
    <definedName name="Aggregation" localSheetId="23">#REF!</definedName>
    <definedName name="Aggregation" localSheetId="28">#REF!</definedName>
    <definedName name="Aggregation" localSheetId="4">#REF!</definedName>
    <definedName name="Aggregation" localSheetId="9">#REF!</definedName>
    <definedName name="Aggregation" localSheetId="22">#REF!</definedName>
    <definedName name="Aggregation">#REF!</definedName>
    <definedName name="AmberRating" localSheetId="27">#REF!</definedName>
    <definedName name="AmberRating" localSheetId="3">#REF!</definedName>
    <definedName name="AmberRating" localSheetId="26">#REF!</definedName>
    <definedName name="AmberRating" localSheetId="19">#REF!</definedName>
    <definedName name="AmberRating" localSheetId="20">#REF!</definedName>
    <definedName name="AmberRating" localSheetId="24">#REF!</definedName>
    <definedName name="AmberRating" localSheetId="17">#REF!</definedName>
    <definedName name="AmberRating" localSheetId="16">#REF!</definedName>
    <definedName name="AmberRating" localSheetId="15">#REF!</definedName>
    <definedName name="AmberRating" localSheetId="14">#REF!</definedName>
    <definedName name="AmberRating" localSheetId="25">#REF!</definedName>
    <definedName name="AmberRating" localSheetId="18">#REF!</definedName>
    <definedName name="AmberRating" localSheetId="13">#REF!</definedName>
    <definedName name="AmberRating" localSheetId="7">#REF!</definedName>
    <definedName name="AmberRating" localSheetId="1">#REF!</definedName>
    <definedName name="AmberRating" localSheetId="23">#REF!</definedName>
    <definedName name="AmberRating" localSheetId="28">#REF!</definedName>
    <definedName name="AmberRating" localSheetId="4">#REF!</definedName>
    <definedName name="AmberRating" localSheetId="9">#REF!</definedName>
    <definedName name="AmberRating" localSheetId="22">#REF!</definedName>
    <definedName name="AmberRating">#REF!</definedName>
    <definedName name="Anchor_Cell">PDUs!$A$1</definedName>
    <definedName name="CurMonth" localSheetId="27">#REF!</definedName>
    <definedName name="CurMonth" localSheetId="3">#REF!</definedName>
    <definedName name="CurMonth" localSheetId="26">#REF!</definedName>
    <definedName name="CurMonth" localSheetId="19">#REF!</definedName>
    <definedName name="CurMonth" localSheetId="20">#REF!</definedName>
    <definedName name="CurMonth" localSheetId="24">#REF!</definedName>
    <definedName name="CurMonth" localSheetId="17">#REF!</definedName>
    <definedName name="CurMonth" localSheetId="16">#REF!</definedName>
    <definedName name="CurMonth" localSheetId="15">#REF!</definedName>
    <definedName name="CurMonth" localSheetId="14">#REF!</definedName>
    <definedName name="CurMonth" localSheetId="25">#REF!</definedName>
    <definedName name="CurMonth" localSheetId="18">#REF!</definedName>
    <definedName name="CurMonth" localSheetId="13">#REF!</definedName>
    <definedName name="CurMonth" localSheetId="7">#REF!</definedName>
    <definedName name="CurMonth" localSheetId="1">#REF!</definedName>
    <definedName name="CurMonth" localSheetId="23">#REF!</definedName>
    <definedName name="CurMonth" localSheetId="28">#REF!</definedName>
    <definedName name="CurMonth" localSheetId="4">#REF!</definedName>
    <definedName name="CurMonth" localSheetId="9">#REF!</definedName>
    <definedName name="CurMonth" localSheetId="22">#REF!</definedName>
    <definedName name="CurMonth">#REF!</definedName>
    <definedName name="CurQuarter" localSheetId="27">#REF!</definedName>
    <definedName name="CurQuarter" localSheetId="3">#REF!</definedName>
    <definedName name="CurQuarter" localSheetId="26">#REF!</definedName>
    <definedName name="CurQuarter" localSheetId="19">#REF!</definedName>
    <definedName name="CurQuarter" localSheetId="20">#REF!</definedName>
    <definedName name="CurQuarter" localSheetId="24">#REF!</definedName>
    <definedName name="CurQuarter" localSheetId="17">#REF!</definedName>
    <definedName name="CurQuarter" localSheetId="16">#REF!</definedName>
    <definedName name="CurQuarter" localSheetId="15">#REF!</definedName>
    <definedName name="CurQuarter" localSheetId="14">#REF!</definedName>
    <definedName name="CurQuarter" localSheetId="25">#REF!</definedName>
    <definedName name="CurQuarter" localSheetId="18">#REF!</definedName>
    <definedName name="CurQuarter" localSheetId="13">#REF!</definedName>
    <definedName name="CurQuarter" localSheetId="7">#REF!</definedName>
    <definedName name="CurQuarter" localSheetId="1">#REF!</definedName>
    <definedName name="CurQuarter" localSheetId="23">#REF!</definedName>
    <definedName name="CurQuarter" localSheetId="28">#REF!</definedName>
    <definedName name="CurQuarter" localSheetId="4">#REF!</definedName>
    <definedName name="CurQuarter" localSheetId="9">#REF!</definedName>
    <definedName name="CurQuarter" localSheetId="22">#REF!</definedName>
    <definedName name="CurQuarter">#REF!</definedName>
    <definedName name="DateRange" localSheetId="27">#REF!</definedName>
    <definedName name="DateRange" localSheetId="3">#REF!</definedName>
    <definedName name="DateRange" localSheetId="26">#REF!</definedName>
    <definedName name="DateRange" localSheetId="19">#REF!</definedName>
    <definedName name="DateRange" localSheetId="20">#REF!</definedName>
    <definedName name="DateRange" localSheetId="24">#REF!</definedName>
    <definedName name="DateRange" localSheetId="17">#REF!</definedName>
    <definedName name="DateRange" localSheetId="16">#REF!</definedName>
    <definedName name="DateRange" localSheetId="15">#REF!</definedName>
    <definedName name="DateRange" localSheetId="14">#REF!</definedName>
    <definedName name="DateRange" localSheetId="25">#REF!</definedName>
    <definedName name="DateRange" localSheetId="18">#REF!</definedName>
    <definedName name="DateRange" localSheetId="13">#REF!</definedName>
    <definedName name="DateRange" localSheetId="7">#REF!</definedName>
    <definedName name="DateRange" localSheetId="1">#REF!</definedName>
    <definedName name="DateRange" localSheetId="23">#REF!</definedName>
    <definedName name="DateRange" localSheetId="28">#REF!</definedName>
    <definedName name="DateRange" localSheetId="4">#REF!</definedName>
    <definedName name="DateRange" localSheetId="9">#REF!</definedName>
    <definedName name="DateRange" localSheetId="22">#REF!</definedName>
    <definedName name="DateRange">#REF!</definedName>
    <definedName name="EMR">'national caseload'!$B$11</definedName>
    <definedName name="EoE">'national caseload'!$B$15</definedName>
    <definedName name="ForecastDate" localSheetId="27">#REF!</definedName>
    <definedName name="ForecastDate" localSheetId="3">#REF!</definedName>
    <definedName name="ForecastDate" localSheetId="26">#REF!</definedName>
    <definedName name="ForecastDate" localSheetId="19">#REF!</definedName>
    <definedName name="ForecastDate" localSheetId="20">#REF!</definedName>
    <definedName name="ForecastDate" localSheetId="24">#REF!</definedName>
    <definedName name="ForecastDate" localSheetId="17">#REF!</definedName>
    <definedName name="ForecastDate" localSheetId="16">#REF!</definedName>
    <definedName name="ForecastDate" localSheetId="15">#REF!</definedName>
    <definedName name="ForecastDate" localSheetId="14">#REF!</definedName>
    <definedName name="ForecastDate" localSheetId="25">#REF!</definedName>
    <definedName name="ForecastDate" localSheetId="18">#REF!</definedName>
    <definedName name="ForecastDate" localSheetId="13">#REF!</definedName>
    <definedName name="ForecastDate" localSheetId="7">#REF!</definedName>
    <definedName name="ForecastDate" localSheetId="1">#REF!</definedName>
    <definedName name="ForecastDate" localSheetId="23">#REF!</definedName>
    <definedName name="ForecastDate" localSheetId="28">#REF!</definedName>
    <definedName name="ForecastDate" localSheetId="4">#REF!</definedName>
    <definedName name="ForecastDate" localSheetId="9">#REF!</definedName>
    <definedName name="ForecastDate" localSheetId="22">#REF!</definedName>
    <definedName name="ForecastDate">#REF!</definedName>
    <definedName name="GM">'national caseload'!$B$19</definedName>
    <definedName name="HubData" localSheetId="27">#REF!</definedName>
    <definedName name="HubData" localSheetId="3">#REF!</definedName>
    <definedName name="HubData" localSheetId="26">#REF!</definedName>
    <definedName name="HubData" localSheetId="19">#REF!</definedName>
    <definedName name="HubData" localSheetId="20">#REF!</definedName>
    <definedName name="HubData" localSheetId="24">#REF!</definedName>
    <definedName name="HubData" localSheetId="17">#REF!</definedName>
    <definedName name="HubData" localSheetId="16">#REF!</definedName>
    <definedName name="HubData" localSheetId="15">#REF!</definedName>
    <definedName name="HubData" localSheetId="14">#REF!</definedName>
    <definedName name="HubData" localSheetId="25">#REF!</definedName>
    <definedName name="HubData" localSheetId="18">#REF!</definedName>
    <definedName name="HubData" localSheetId="13">#REF!</definedName>
    <definedName name="HubData" localSheetId="7">#REF!</definedName>
    <definedName name="HubData" localSheetId="1">#REF!</definedName>
    <definedName name="HubData" localSheetId="23">#REF!</definedName>
    <definedName name="HubData" localSheetId="28">#REF!</definedName>
    <definedName name="HubData" localSheetId="4">#REF!</definedName>
    <definedName name="HubData" localSheetId="9">#REF!</definedName>
    <definedName name="HubData" localSheetId="22">#REF!</definedName>
    <definedName name="HubData">#REF!</definedName>
    <definedName name="KSSR">'national caseload'!$B$23</definedName>
    <definedName name="L">'national caseload'!$B$27</definedName>
    <definedName name="LDU" localSheetId="27">#REF!</definedName>
    <definedName name="LDU" localSheetId="3">#REF!</definedName>
    <definedName name="LDU" localSheetId="26">#REF!</definedName>
    <definedName name="LDU" localSheetId="19">#REF!</definedName>
    <definedName name="LDU" localSheetId="20">#REF!</definedName>
    <definedName name="LDU" localSheetId="24">#REF!</definedName>
    <definedName name="LDU" localSheetId="17">#REF!</definedName>
    <definedName name="LDU" localSheetId="16">#REF!</definedName>
    <definedName name="LDU" localSheetId="15">#REF!</definedName>
    <definedName name="LDU" localSheetId="14">#REF!</definedName>
    <definedName name="LDU" localSheetId="25">#REF!</definedName>
    <definedName name="LDU" localSheetId="18">#REF!</definedName>
    <definedName name="LDU" localSheetId="13">#REF!</definedName>
    <definedName name="LDU" localSheetId="7">#REF!</definedName>
    <definedName name="LDU" localSheetId="1">#REF!</definedName>
    <definedName name="LDU" localSheetId="23">#REF!</definedName>
    <definedName name="LDU" localSheetId="28">#REF!</definedName>
    <definedName name="LDU" localSheetId="4">#REF!</definedName>
    <definedName name="LDU" localSheetId="9">#REF!</definedName>
    <definedName name="LDU" localSheetId="22">#REF!</definedName>
    <definedName name="LDU">#REF!</definedName>
    <definedName name="LDUCluster" localSheetId="27">#REF!</definedName>
    <definedName name="LDUCluster" localSheetId="3">#REF!</definedName>
    <definedName name="LDUCluster" localSheetId="26">#REF!</definedName>
    <definedName name="LDUCluster" localSheetId="19">#REF!</definedName>
    <definedName name="LDUCluster" localSheetId="20">#REF!</definedName>
    <definedName name="LDUCluster" localSheetId="24">#REF!</definedName>
    <definedName name="LDUCluster" localSheetId="17">#REF!</definedName>
    <definedName name="LDUCluster" localSheetId="16">#REF!</definedName>
    <definedName name="LDUCluster" localSheetId="15">#REF!</definedName>
    <definedName name="LDUCluster" localSheetId="14">#REF!</definedName>
    <definedName name="LDUCluster" localSheetId="25">#REF!</definedName>
    <definedName name="LDUCluster" localSheetId="18">#REF!</definedName>
    <definedName name="LDUCluster" localSheetId="13">#REF!</definedName>
    <definedName name="LDUCluster" localSheetId="7">#REF!</definedName>
    <definedName name="LDUCluster" localSheetId="1">#REF!</definedName>
    <definedName name="LDUCluster" localSheetId="23">#REF!</definedName>
    <definedName name="LDUCluster" localSheetId="28">#REF!</definedName>
    <definedName name="LDUCluster" localSheetId="4">#REF!</definedName>
    <definedName name="LDUCluster" localSheetId="9">#REF!</definedName>
    <definedName name="LDUCluster" localSheetId="22">#REF!</definedName>
    <definedName name="LDUCluster">#REF!</definedName>
    <definedName name="MonthNo" localSheetId="27">#REF!</definedName>
    <definedName name="MonthNo" localSheetId="3">#REF!</definedName>
    <definedName name="MonthNo" localSheetId="26">#REF!</definedName>
    <definedName name="MonthNo" localSheetId="19">#REF!</definedName>
    <definedName name="MonthNo" localSheetId="20">#REF!</definedName>
    <definedName name="MonthNo" localSheetId="24">#REF!</definedName>
    <definedName name="MonthNo" localSheetId="17">#REF!</definedName>
    <definedName name="MonthNo" localSheetId="16">#REF!</definedName>
    <definedName name="MonthNo" localSheetId="15">#REF!</definedName>
    <definedName name="MonthNo" localSheetId="14">#REF!</definedName>
    <definedName name="MonthNo" localSheetId="25">#REF!</definedName>
    <definedName name="MonthNo" localSheetId="18">#REF!</definedName>
    <definedName name="MonthNo" localSheetId="13">#REF!</definedName>
    <definedName name="MonthNo" localSheetId="7">#REF!</definedName>
    <definedName name="MonthNo" localSheetId="1">#REF!</definedName>
    <definedName name="MonthNo" localSheetId="23">#REF!</definedName>
    <definedName name="MonthNo" localSheetId="28">#REF!</definedName>
    <definedName name="MonthNo" localSheetId="4">#REF!</definedName>
    <definedName name="MonthNo" localSheetId="9">#REF!</definedName>
    <definedName name="MonthNo" localSheetId="22">#REF!</definedName>
    <definedName name="MonthNo">#REF!</definedName>
    <definedName name="MonthRemain" localSheetId="27">#REF!</definedName>
    <definedName name="MonthRemain" localSheetId="3">#REF!</definedName>
    <definedName name="MonthRemain" localSheetId="26">#REF!</definedName>
    <definedName name="MonthRemain" localSheetId="19">#REF!</definedName>
    <definedName name="MonthRemain" localSheetId="20">#REF!</definedName>
    <definedName name="MonthRemain" localSheetId="24">#REF!</definedName>
    <definedName name="MonthRemain" localSheetId="17">#REF!</definedName>
    <definedName name="MonthRemain" localSheetId="16">#REF!</definedName>
    <definedName name="MonthRemain" localSheetId="15">#REF!</definedName>
    <definedName name="MonthRemain" localSheetId="14">#REF!</definedName>
    <definedName name="MonthRemain" localSheetId="25">#REF!</definedName>
    <definedName name="MonthRemain" localSheetId="18">#REF!</definedName>
    <definedName name="MonthRemain" localSheetId="13">#REF!</definedName>
    <definedName name="MonthRemain" localSheetId="7">#REF!</definedName>
    <definedName name="MonthRemain" localSheetId="1">#REF!</definedName>
    <definedName name="MonthRemain" localSheetId="23">#REF!</definedName>
    <definedName name="MonthRemain" localSheetId="28">#REF!</definedName>
    <definedName name="MonthRemain" localSheetId="4">#REF!</definedName>
    <definedName name="MonthRemain" localSheetId="9">#REF!</definedName>
    <definedName name="MonthRemain" localSheetId="22">#REF!</definedName>
    <definedName name="MonthRemain">#REF!</definedName>
    <definedName name="NE001Month" localSheetId="27">#REF!</definedName>
    <definedName name="NE001Month" localSheetId="3">#REF!</definedName>
    <definedName name="NE001Month" localSheetId="26">#REF!</definedName>
    <definedName name="NE001Month" localSheetId="19">#REF!</definedName>
    <definedName name="NE001Month" localSheetId="20">#REF!</definedName>
    <definedName name="NE001Month" localSheetId="24">#REF!</definedName>
    <definedName name="NE001Month" localSheetId="17">#REF!</definedName>
    <definedName name="NE001Month" localSheetId="16">#REF!</definedName>
    <definedName name="NE001Month" localSheetId="15">#REF!</definedName>
    <definedName name="NE001Month" localSheetId="14">#REF!</definedName>
    <definedName name="NE001Month" localSheetId="25">#REF!</definedName>
    <definedName name="NE001Month" localSheetId="18">#REF!</definedName>
    <definedName name="NE001Month" localSheetId="13">#REF!</definedName>
    <definedName name="NE001Month" localSheetId="7">#REF!</definedName>
    <definedName name="NE001Month" localSheetId="1">#REF!</definedName>
    <definedName name="NE001Month" localSheetId="23">#REF!</definedName>
    <definedName name="NE001Month" localSheetId="28">#REF!</definedName>
    <definedName name="NE001Month" localSheetId="4">#REF!</definedName>
    <definedName name="NE001Month" localSheetId="9">#REF!</definedName>
    <definedName name="NE001Month" localSheetId="22">#REF!</definedName>
    <definedName name="NE001Month">#REF!</definedName>
    <definedName name="NE002Month" localSheetId="27">#REF!</definedName>
    <definedName name="NE002Month" localSheetId="3">#REF!</definedName>
    <definedName name="NE002Month" localSheetId="26">#REF!</definedName>
    <definedName name="NE002Month" localSheetId="19">#REF!</definedName>
    <definedName name="NE002Month" localSheetId="20">#REF!</definedName>
    <definedName name="NE002Month" localSheetId="24">#REF!</definedName>
    <definedName name="NE002Month" localSheetId="17">#REF!</definedName>
    <definedName name="NE002Month" localSheetId="16">#REF!</definedName>
    <definedName name="NE002Month" localSheetId="15">#REF!</definedName>
    <definedName name="NE002Month" localSheetId="14">#REF!</definedName>
    <definedName name="NE002Month" localSheetId="25">#REF!</definedName>
    <definedName name="NE002Month" localSheetId="18">#REF!</definedName>
    <definedName name="NE002Month" localSheetId="13">#REF!</definedName>
    <definedName name="NE002Month" localSheetId="7">#REF!</definedName>
    <definedName name="NE002Month" localSheetId="1">#REF!</definedName>
    <definedName name="NE002Month" localSheetId="23">#REF!</definedName>
    <definedName name="NE002Month" localSheetId="28">#REF!</definedName>
    <definedName name="NE002Month" localSheetId="4">#REF!</definedName>
    <definedName name="NE002Month" localSheetId="9">#REF!</definedName>
    <definedName name="NE002Month" localSheetId="22">#REF!</definedName>
    <definedName name="NE002Month">#REF!</definedName>
    <definedName name="NE003Month" localSheetId="27">#REF!</definedName>
    <definedName name="NE003Month" localSheetId="3">#REF!</definedName>
    <definedName name="NE003Month" localSheetId="26">#REF!</definedName>
    <definedName name="NE003Month" localSheetId="19">#REF!</definedName>
    <definedName name="NE003Month" localSheetId="20">#REF!</definedName>
    <definedName name="NE003Month" localSheetId="24">#REF!</definedName>
    <definedName name="NE003Month" localSheetId="17">#REF!</definedName>
    <definedName name="NE003Month" localSheetId="16">#REF!</definedName>
    <definedName name="NE003Month" localSheetId="15">#REF!</definedName>
    <definedName name="NE003Month" localSheetId="14">#REF!</definedName>
    <definedName name="NE003Month" localSheetId="25">#REF!</definedName>
    <definedName name="NE003Month" localSheetId="18">#REF!</definedName>
    <definedName name="NE003Month" localSheetId="13">#REF!</definedName>
    <definedName name="NE003Month" localSheetId="7">#REF!</definedName>
    <definedName name="NE003Month" localSheetId="1">#REF!</definedName>
    <definedName name="NE003Month" localSheetId="23">#REF!</definedName>
    <definedName name="NE003Month" localSheetId="28">#REF!</definedName>
    <definedName name="NE003Month" localSheetId="4">#REF!</definedName>
    <definedName name="NE003Month" localSheetId="9">#REF!</definedName>
    <definedName name="NE003Month" localSheetId="22">#REF!</definedName>
    <definedName name="NE003Month">#REF!</definedName>
    <definedName name="NE004AFMonth" localSheetId="27">#REF!</definedName>
    <definedName name="NE004AFMonth" localSheetId="3">#REF!</definedName>
    <definedName name="NE004AFMonth" localSheetId="26">#REF!</definedName>
    <definedName name="NE004AFMonth" localSheetId="19">#REF!</definedName>
    <definedName name="NE004AFMonth" localSheetId="20">#REF!</definedName>
    <definedName name="NE004AFMonth" localSheetId="24">#REF!</definedName>
    <definedName name="NE004AFMonth" localSheetId="17">#REF!</definedName>
    <definedName name="NE004AFMonth" localSheetId="16">#REF!</definedName>
    <definedName name="NE004AFMonth" localSheetId="15">#REF!</definedName>
    <definedName name="NE004AFMonth" localSheetId="14">#REF!</definedName>
    <definedName name="NE004AFMonth" localSheetId="25">#REF!</definedName>
    <definedName name="NE004AFMonth" localSheetId="18">#REF!</definedName>
    <definedName name="NE004AFMonth" localSheetId="13">#REF!</definedName>
    <definedName name="NE004AFMonth" localSheetId="7">#REF!</definedName>
    <definedName name="NE004AFMonth" localSheetId="1">#REF!</definedName>
    <definedName name="NE004AFMonth" localSheetId="23">#REF!</definedName>
    <definedName name="NE004AFMonth" localSheetId="28">#REF!</definedName>
    <definedName name="NE004AFMonth" localSheetId="4">#REF!</definedName>
    <definedName name="NE004AFMonth" localSheetId="9">#REF!</definedName>
    <definedName name="NE004AFMonth" localSheetId="22">#REF!</definedName>
    <definedName name="NE004AFMonth">#REF!</definedName>
    <definedName name="NE004AFYTD" localSheetId="27">#REF!</definedName>
    <definedName name="NE004AFYTD" localSheetId="3">#REF!</definedName>
    <definedName name="NE004AFYTD" localSheetId="26">#REF!</definedName>
    <definedName name="NE004AFYTD" localSheetId="19">#REF!</definedName>
    <definedName name="NE004AFYTD" localSheetId="20">#REF!</definedName>
    <definedName name="NE004AFYTD" localSheetId="24">#REF!</definedName>
    <definedName name="NE004AFYTD" localSheetId="17">#REF!</definedName>
    <definedName name="NE004AFYTD" localSheetId="16">#REF!</definedName>
    <definedName name="NE004AFYTD" localSheetId="15">#REF!</definedName>
    <definedName name="NE004AFYTD" localSheetId="14">#REF!</definedName>
    <definedName name="NE004AFYTD" localSheetId="25">#REF!</definedName>
    <definedName name="NE004AFYTD" localSheetId="18">#REF!</definedName>
    <definedName name="NE004AFYTD" localSheetId="13">#REF!</definedName>
    <definedName name="NE004AFYTD" localSheetId="7">#REF!</definedName>
    <definedName name="NE004AFYTD" localSheetId="1">#REF!</definedName>
    <definedName name="NE004AFYTD" localSheetId="23">#REF!</definedName>
    <definedName name="NE004AFYTD" localSheetId="28">#REF!</definedName>
    <definedName name="NE004AFYTD" localSheetId="4">#REF!</definedName>
    <definedName name="NE004AFYTD" localSheetId="9">#REF!</definedName>
    <definedName name="NE004AFYTD" localSheetId="22">#REF!</definedName>
    <definedName name="NE004AFYTD">#REF!</definedName>
    <definedName name="NE004ASMonth" localSheetId="27">#REF!</definedName>
    <definedName name="NE004ASMonth" localSheetId="3">#REF!</definedName>
    <definedName name="NE004ASMonth" localSheetId="26">#REF!</definedName>
    <definedName name="NE004ASMonth" localSheetId="19">#REF!</definedName>
    <definedName name="NE004ASMonth" localSheetId="20">#REF!</definedName>
    <definedName name="NE004ASMonth" localSheetId="24">#REF!</definedName>
    <definedName name="NE004ASMonth" localSheetId="17">#REF!</definedName>
    <definedName name="NE004ASMonth" localSheetId="16">#REF!</definedName>
    <definedName name="NE004ASMonth" localSheetId="15">#REF!</definedName>
    <definedName name="NE004ASMonth" localSheetId="14">#REF!</definedName>
    <definedName name="NE004ASMonth" localSheetId="25">#REF!</definedName>
    <definedName name="NE004ASMonth" localSheetId="18">#REF!</definedName>
    <definedName name="NE004ASMonth" localSheetId="13">#REF!</definedName>
    <definedName name="NE004ASMonth" localSheetId="7">#REF!</definedName>
    <definedName name="NE004ASMonth" localSheetId="1">#REF!</definedName>
    <definedName name="NE004ASMonth" localSheetId="23">#REF!</definedName>
    <definedName name="NE004ASMonth" localSheetId="28">#REF!</definedName>
    <definedName name="NE004ASMonth" localSheetId="4">#REF!</definedName>
    <definedName name="NE004ASMonth" localSheetId="9">#REF!</definedName>
    <definedName name="NE004ASMonth" localSheetId="22">#REF!</definedName>
    <definedName name="NE004ASMonth">#REF!</definedName>
    <definedName name="NE004ASYTD" localSheetId="27">#REF!</definedName>
    <definedName name="NE004ASYTD" localSheetId="3">#REF!</definedName>
    <definedName name="NE004ASYTD" localSheetId="26">#REF!</definedName>
    <definedName name="NE004ASYTD" localSheetId="19">#REF!</definedName>
    <definedName name="NE004ASYTD" localSheetId="20">#REF!</definedName>
    <definedName name="NE004ASYTD" localSheetId="24">#REF!</definedName>
    <definedName name="NE004ASYTD" localSheetId="17">#REF!</definedName>
    <definedName name="NE004ASYTD" localSheetId="16">#REF!</definedName>
    <definedName name="NE004ASYTD" localSheetId="15">#REF!</definedName>
    <definedName name="NE004ASYTD" localSheetId="14">#REF!</definedName>
    <definedName name="NE004ASYTD" localSheetId="25">#REF!</definedName>
    <definedName name="NE004ASYTD" localSheetId="18">#REF!</definedName>
    <definedName name="NE004ASYTD" localSheetId="13">#REF!</definedName>
    <definedName name="NE004ASYTD" localSheetId="7">#REF!</definedName>
    <definedName name="NE004ASYTD" localSheetId="1">#REF!</definedName>
    <definedName name="NE004ASYTD" localSheetId="23">#REF!</definedName>
    <definedName name="NE004ASYTD" localSheetId="28">#REF!</definedName>
    <definedName name="NE004ASYTD" localSheetId="4">#REF!</definedName>
    <definedName name="NE004ASYTD" localSheetId="9">#REF!</definedName>
    <definedName name="NE004ASYTD" localSheetId="22">#REF!</definedName>
    <definedName name="NE004ASYTD">#REF!</definedName>
    <definedName name="NE004MText" localSheetId="27">#REF!</definedName>
    <definedName name="NE004MText" localSheetId="3">#REF!</definedName>
    <definedName name="NE004MText" localSheetId="26">#REF!</definedName>
    <definedName name="NE004MText" localSheetId="19">#REF!</definedName>
    <definedName name="NE004MText" localSheetId="20">#REF!</definedName>
    <definedName name="NE004MText" localSheetId="24">#REF!</definedName>
    <definedName name="NE004MText" localSheetId="17">#REF!</definedName>
    <definedName name="NE004MText" localSheetId="16">#REF!</definedName>
    <definedName name="NE004MText" localSheetId="15">#REF!</definedName>
    <definedName name="NE004MText" localSheetId="14">#REF!</definedName>
    <definedName name="NE004MText" localSheetId="25">#REF!</definedName>
    <definedName name="NE004MText" localSheetId="18">#REF!</definedName>
    <definedName name="NE004MText" localSheetId="13">#REF!</definedName>
    <definedName name="NE004MText" localSheetId="7">#REF!</definedName>
    <definedName name="NE004MText" localSheetId="1">#REF!</definedName>
    <definedName name="NE004MText" localSheetId="23">#REF!</definedName>
    <definedName name="NE004MText" localSheetId="28">#REF!</definedName>
    <definedName name="NE004MText" localSheetId="4">#REF!</definedName>
    <definedName name="NE004MText" localSheetId="9">#REF!</definedName>
    <definedName name="NE004MText" localSheetId="22">#REF!</definedName>
    <definedName name="NE004MText">#REF!</definedName>
    <definedName name="NE004MTitle" localSheetId="27">#REF!</definedName>
    <definedName name="NE004MTitle" localSheetId="3">#REF!</definedName>
    <definedName name="NE004MTitle" localSheetId="26">#REF!</definedName>
    <definedName name="NE004MTitle" localSheetId="19">#REF!</definedName>
    <definedName name="NE004MTitle" localSheetId="20">#REF!</definedName>
    <definedName name="NE004MTitle" localSheetId="24">#REF!</definedName>
    <definedName name="NE004MTitle" localSheetId="17">#REF!</definedName>
    <definedName name="NE004MTitle" localSheetId="16">#REF!</definedName>
    <definedName name="NE004MTitle" localSheetId="15">#REF!</definedName>
    <definedName name="NE004MTitle" localSheetId="14">#REF!</definedName>
    <definedName name="NE004MTitle" localSheetId="25">#REF!</definedName>
    <definedName name="NE004MTitle" localSheetId="18">#REF!</definedName>
    <definedName name="NE004MTitle" localSheetId="13">#REF!</definedName>
    <definedName name="NE004MTitle" localSheetId="7">#REF!</definedName>
    <definedName name="NE004MTitle" localSheetId="1">#REF!</definedName>
    <definedName name="NE004MTitle" localSheetId="23">#REF!</definedName>
    <definedName name="NE004MTitle" localSheetId="28">#REF!</definedName>
    <definedName name="NE004MTitle" localSheetId="4">#REF!</definedName>
    <definedName name="NE004MTitle" localSheetId="9">#REF!</definedName>
    <definedName name="NE004MTitle" localSheetId="22">#REF!</definedName>
    <definedName name="NE004MTitle">#REF!</definedName>
    <definedName name="NE004ODMonth" localSheetId="27">#REF!</definedName>
    <definedName name="NE004ODMonth" localSheetId="3">#REF!</definedName>
    <definedName name="NE004ODMonth" localSheetId="26">#REF!</definedName>
    <definedName name="NE004ODMonth" localSheetId="19">#REF!</definedName>
    <definedName name="NE004ODMonth" localSheetId="20">#REF!</definedName>
    <definedName name="NE004ODMonth" localSheetId="24">#REF!</definedName>
    <definedName name="NE004ODMonth" localSheetId="17">#REF!</definedName>
    <definedName name="NE004ODMonth" localSheetId="16">#REF!</definedName>
    <definedName name="NE004ODMonth" localSheetId="15">#REF!</definedName>
    <definedName name="NE004ODMonth" localSheetId="14">#REF!</definedName>
    <definedName name="NE004ODMonth" localSheetId="25">#REF!</definedName>
    <definedName name="NE004ODMonth" localSheetId="18">#REF!</definedName>
    <definedName name="NE004ODMonth" localSheetId="13">#REF!</definedName>
    <definedName name="NE004ODMonth" localSheetId="7">#REF!</definedName>
    <definedName name="NE004ODMonth" localSheetId="1">#REF!</definedName>
    <definedName name="NE004ODMonth" localSheetId="23">#REF!</definedName>
    <definedName name="NE004ODMonth" localSheetId="28">#REF!</definedName>
    <definedName name="NE004ODMonth" localSheetId="4">#REF!</definedName>
    <definedName name="NE004ODMonth" localSheetId="9">#REF!</definedName>
    <definedName name="NE004ODMonth" localSheetId="22">#REF!</definedName>
    <definedName name="NE004ODMonth">#REF!</definedName>
    <definedName name="NE004ODYTD" localSheetId="27">#REF!</definedName>
    <definedName name="NE004ODYTD" localSheetId="3">#REF!</definedName>
    <definedName name="NE004ODYTD" localSheetId="26">#REF!</definedName>
    <definedName name="NE004ODYTD" localSheetId="19">#REF!</definedName>
    <definedName name="NE004ODYTD" localSheetId="20">#REF!</definedName>
    <definedName name="NE004ODYTD" localSheetId="24">#REF!</definedName>
    <definedName name="NE004ODYTD" localSheetId="17">#REF!</definedName>
    <definedName name="NE004ODYTD" localSheetId="16">#REF!</definedName>
    <definedName name="NE004ODYTD" localSheetId="15">#REF!</definedName>
    <definedName name="NE004ODYTD" localSheetId="14">#REF!</definedName>
    <definedName name="NE004ODYTD" localSheetId="25">#REF!</definedName>
    <definedName name="NE004ODYTD" localSheetId="18">#REF!</definedName>
    <definedName name="NE004ODYTD" localSheetId="13">#REF!</definedName>
    <definedName name="NE004ODYTD" localSheetId="7">#REF!</definedName>
    <definedName name="NE004ODYTD" localSheetId="1">#REF!</definedName>
    <definedName name="NE004ODYTD" localSheetId="23">#REF!</definedName>
    <definedName name="NE004ODYTD" localSheetId="28">#REF!</definedName>
    <definedName name="NE004ODYTD" localSheetId="4">#REF!</definedName>
    <definedName name="NE004ODYTD" localSheetId="9">#REF!</definedName>
    <definedName name="NE004ODYTD" localSheetId="22">#REF!</definedName>
    <definedName name="NE004ODYTD">#REF!</definedName>
    <definedName name="NER">'national caseload'!$B$31</definedName>
    <definedName name="NWR">'national caseload'!$B$35</definedName>
    <definedName name="obbbbbj" localSheetId="27">'[2]List Data'!#REF!</definedName>
    <definedName name="obbbbbj" localSheetId="26">'[2]List Data'!#REF!</definedName>
    <definedName name="obbbbbj" localSheetId="17">'[2]List Data'!#REF!</definedName>
    <definedName name="obbbbbj" localSheetId="16">'[2]List Data'!#REF!</definedName>
    <definedName name="obbbbbj" localSheetId="15">'[2]List Data'!#REF!</definedName>
    <definedName name="obbbbbj" localSheetId="14">'[2]List Data'!#REF!</definedName>
    <definedName name="obbbbbj" localSheetId="13">'[2]List Data'!#REF!</definedName>
    <definedName name="obbbbbj" localSheetId="7">'[2]List Data'!#REF!</definedName>
    <definedName name="obbbbbj" localSheetId="28">'[2]List Data'!#REF!</definedName>
    <definedName name="obbbbbj" localSheetId="9">'[2]List Data'!#REF!</definedName>
    <definedName name="obbbbbj">'[2]List Data'!#REF!</definedName>
    <definedName name="obbbjj" localSheetId="27">'[2]List Data'!#REF!</definedName>
    <definedName name="obbbjj" localSheetId="26">'[2]List Data'!#REF!</definedName>
    <definedName name="obbbjj" localSheetId="17">'[2]List Data'!#REF!</definedName>
    <definedName name="obbbjj" localSheetId="16">'[2]List Data'!#REF!</definedName>
    <definedName name="obbbjj" localSheetId="15">'[2]List Data'!#REF!</definedName>
    <definedName name="obbbjj" localSheetId="14">'[2]List Data'!#REF!</definedName>
    <definedName name="obbbjj" localSheetId="13">'[2]List Data'!#REF!</definedName>
    <definedName name="obbbjj" localSheetId="7">'[2]List Data'!#REF!</definedName>
    <definedName name="obbbjj" localSheetId="28">'[2]List Data'!#REF!</definedName>
    <definedName name="obbbjj" localSheetId="9">'[2]List Data'!#REF!</definedName>
    <definedName name="obbbjj">'[2]List Data'!#REF!</definedName>
    <definedName name="obbbjjj" localSheetId="27">'[2]List Data'!#REF!</definedName>
    <definedName name="obbbjjj" localSheetId="26">'[2]List Data'!#REF!</definedName>
    <definedName name="obbbjjj" localSheetId="17">'[2]List Data'!#REF!</definedName>
    <definedName name="obbbjjj" localSheetId="16">'[2]List Data'!#REF!</definedName>
    <definedName name="obbbjjj" localSheetId="15">'[2]List Data'!#REF!</definedName>
    <definedName name="obbbjjj" localSheetId="14">'[2]List Data'!#REF!</definedName>
    <definedName name="obbbjjj" localSheetId="13">'[2]List Data'!#REF!</definedName>
    <definedName name="obbbjjj" localSheetId="7">'[2]List Data'!#REF!</definedName>
    <definedName name="obbbjjj" localSheetId="28">'[2]List Data'!#REF!</definedName>
    <definedName name="obbbjjj" localSheetId="9">'[2]List Data'!#REF!</definedName>
    <definedName name="obbbjjj">'[2]List Data'!#REF!</definedName>
    <definedName name="obbj" localSheetId="27">'[2]List Data'!#REF!</definedName>
    <definedName name="obbj" localSheetId="26">'[2]List Data'!#REF!</definedName>
    <definedName name="obbj" localSheetId="17">'[2]List Data'!#REF!</definedName>
    <definedName name="obbj" localSheetId="16">'[2]List Data'!#REF!</definedName>
    <definedName name="obbj" localSheetId="15">'[2]List Data'!#REF!</definedName>
    <definedName name="obbj" localSheetId="14">'[2]List Data'!#REF!</definedName>
    <definedName name="obbj" localSheetId="13">'[2]List Data'!#REF!</definedName>
    <definedName name="obbj" localSheetId="7">'[2]List Data'!#REF!</definedName>
    <definedName name="obbj" localSheetId="28">'[2]List Data'!#REF!</definedName>
    <definedName name="obbj" localSheetId="9">'[2]List Data'!#REF!</definedName>
    <definedName name="obbj">'[2]List Data'!#REF!</definedName>
    <definedName name="obbjj" localSheetId="27">'[2]List Data'!#REF!</definedName>
    <definedName name="obbjj" localSheetId="26">'[2]List Data'!#REF!</definedName>
    <definedName name="obbjj" localSheetId="17">'[2]List Data'!#REF!</definedName>
    <definedName name="obbjj" localSheetId="16">'[2]List Data'!#REF!</definedName>
    <definedName name="obbjj" localSheetId="15">'[2]List Data'!#REF!</definedName>
    <definedName name="obbjj" localSheetId="14">'[2]List Data'!#REF!</definedName>
    <definedName name="obbjj" localSheetId="13">'[2]List Data'!#REF!</definedName>
    <definedName name="obbjj" localSheetId="7">'[2]List Data'!#REF!</definedName>
    <definedName name="obbjj" localSheetId="28">'[2]List Data'!#REF!</definedName>
    <definedName name="obbjj" localSheetId="9">'[2]List Data'!#REF!</definedName>
    <definedName name="obbjj">'[2]List Data'!#REF!</definedName>
    <definedName name="obj" localSheetId="27">'[2]List Data'!#REF!</definedName>
    <definedName name="obj" localSheetId="26">'[2]List Data'!#REF!</definedName>
    <definedName name="obj" localSheetId="17">'[2]List Data'!#REF!</definedName>
    <definedName name="obj" localSheetId="16">'[2]List Data'!#REF!</definedName>
    <definedName name="obj" localSheetId="15">'[2]List Data'!#REF!</definedName>
    <definedName name="obj" localSheetId="14">'[2]List Data'!#REF!</definedName>
    <definedName name="obj" localSheetId="13">'[2]List Data'!#REF!</definedName>
    <definedName name="obj" localSheetId="7">'[2]List Data'!#REF!</definedName>
    <definedName name="obj" localSheetId="28">'[2]List Data'!#REF!</definedName>
    <definedName name="obj" localSheetId="9">'[2]List Data'!#REF!</definedName>
    <definedName name="obj">'[2]List Data'!#REF!</definedName>
    <definedName name="Objective" localSheetId="27">'[2]List Data'!#REF!</definedName>
    <definedName name="Objective" localSheetId="3">'[3]List Data'!#REF!</definedName>
    <definedName name="Objective" localSheetId="26">'[2]List Data'!#REF!</definedName>
    <definedName name="Objective" localSheetId="19">'[3]List Data'!#REF!</definedName>
    <definedName name="Objective" localSheetId="20">'[3]List Data'!#REF!</definedName>
    <definedName name="Objective" localSheetId="24">'[3]List Data'!#REF!</definedName>
    <definedName name="Objective" localSheetId="17">'[2]List Data'!#REF!</definedName>
    <definedName name="Objective" localSheetId="16">'[2]List Data'!#REF!</definedName>
    <definedName name="Objective" localSheetId="15">'[2]List Data'!#REF!</definedName>
    <definedName name="Objective" localSheetId="14">'[2]List Data'!#REF!</definedName>
    <definedName name="Objective" localSheetId="25">'[3]List Data'!#REF!</definedName>
    <definedName name="Objective" localSheetId="18">'[3]List Data'!#REF!</definedName>
    <definedName name="Objective" localSheetId="13">'[2]List Data'!#REF!</definedName>
    <definedName name="Objective" localSheetId="7">'[2]List Data'!#REF!</definedName>
    <definedName name="Objective" localSheetId="1">'[3]List Data'!#REF!</definedName>
    <definedName name="Objective" localSheetId="23">'[3]List Data'!#REF!</definedName>
    <definedName name="Objective" localSheetId="28">'[2]List Data'!#REF!</definedName>
    <definedName name="Objective" localSheetId="4">'[3]List Data'!#REF!</definedName>
    <definedName name="Objective" localSheetId="9">'[2]List Data'!#REF!</definedName>
    <definedName name="Objective" localSheetId="22">'[3]List Data'!#REF!</definedName>
    <definedName name="Objective">'[2]List Data'!#REF!</definedName>
    <definedName name="objj" localSheetId="27">'[2]List Data'!#REF!</definedName>
    <definedName name="objj" localSheetId="26">'[2]List Data'!#REF!</definedName>
    <definedName name="objj" localSheetId="17">'[2]List Data'!#REF!</definedName>
    <definedName name="objj" localSheetId="16">'[2]List Data'!#REF!</definedName>
    <definedName name="objj" localSheetId="15">'[2]List Data'!#REF!</definedName>
    <definedName name="objj" localSheetId="14">'[2]List Data'!#REF!</definedName>
    <definedName name="objj" localSheetId="13">'[2]List Data'!#REF!</definedName>
    <definedName name="objj" localSheetId="7">'[2]List Data'!#REF!</definedName>
    <definedName name="objj" localSheetId="28">'[2]List Data'!#REF!</definedName>
    <definedName name="objj" localSheetId="9">'[2]List Data'!#REF!</definedName>
    <definedName name="objj">'[2]List Data'!#REF!</definedName>
    <definedName name="oobbbjjj" localSheetId="27">'[2]List Data'!#REF!</definedName>
    <definedName name="oobbbjjj" localSheetId="26">'[2]List Data'!#REF!</definedName>
    <definedName name="oobbbjjj" localSheetId="17">'[2]List Data'!#REF!</definedName>
    <definedName name="oobbbjjj" localSheetId="16">'[2]List Data'!#REF!</definedName>
    <definedName name="oobbbjjj" localSheetId="15">'[2]List Data'!#REF!</definedName>
    <definedName name="oobbbjjj" localSheetId="14">'[2]List Data'!#REF!</definedName>
    <definedName name="oobbbjjj" localSheetId="13">'[2]List Data'!#REF!</definedName>
    <definedName name="oobbbjjj" localSheetId="7">'[2]List Data'!#REF!</definedName>
    <definedName name="oobbbjjj" localSheetId="28">'[2]List Data'!#REF!</definedName>
    <definedName name="oobbbjjj" localSheetId="9">'[2]List Data'!#REF!</definedName>
    <definedName name="oobbbjjj">'[2]List Data'!#REF!</definedName>
    <definedName name="ooobbbbjjj" localSheetId="27">'[2]List Data'!#REF!</definedName>
    <definedName name="ooobbbbjjj" localSheetId="26">'[2]List Data'!#REF!</definedName>
    <definedName name="ooobbbbjjj" localSheetId="17">'[2]List Data'!#REF!</definedName>
    <definedName name="ooobbbbjjj" localSheetId="16">'[2]List Data'!#REF!</definedName>
    <definedName name="ooobbbbjjj" localSheetId="15">'[2]List Data'!#REF!</definedName>
    <definedName name="ooobbbbjjj" localSheetId="14">'[2]List Data'!#REF!</definedName>
    <definedName name="ooobbbbjjj" localSheetId="13">'[2]List Data'!#REF!</definedName>
    <definedName name="ooobbbbjjj" localSheetId="7">'[2]List Data'!#REF!</definedName>
    <definedName name="ooobbbbjjj" localSheetId="28">'[2]List Data'!#REF!</definedName>
    <definedName name="ooobbbbjjj" localSheetId="9">'[2]List Data'!#REF!</definedName>
    <definedName name="ooobbbbjjj">'[2]List Data'!#REF!</definedName>
    <definedName name="ooobbbjjj" localSheetId="27">'[2]List Data'!#REF!</definedName>
    <definedName name="ooobbbjjj" localSheetId="26">'[2]List Data'!#REF!</definedName>
    <definedName name="ooobbbjjj" localSheetId="17">'[2]List Data'!#REF!</definedName>
    <definedName name="ooobbbjjj" localSheetId="16">'[2]List Data'!#REF!</definedName>
    <definedName name="ooobbbjjj" localSheetId="15">'[2]List Data'!#REF!</definedName>
    <definedName name="ooobbbjjj" localSheetId="14">'[2]List Data'!#REF!</definedName>
    <definedName name="ooobbbjjj" localSheetId="13">'[2]List Data'!#REF!</definedName>
    <definedName name="ooobbbjjj" localSheetId="7">'[2]List Data'!#REF!</definedName>
    <definedName name="ooobbbjjj" localSheetId="28">'[2]List Data'!#REF!</definedName>
    <definedName name="ooobbbjjj" localSheetId="9">'[2]List Data'!#REF!</definedName>
    <definedName name="ooobbbjjj">'[2]List Data'!#REF!</definedName>
    <definedName name="ooobbbjjjj" localSheetId="27">'[2]List Data'!#REF!</definedName>
    <definedName name="ooobbbjjjj" localSheetId="26">'[2]List Data'!#REF!</definedName>
    <definedName name="ooobbbjjjj" localSheetId="17">'[2]List Data'!#REF!</definedName>
    <definedName name="ooobbbjjjj" localSheetId="16">'[2]List Data'!#REF!</definedName>
    <definedName name="ooobbbjjjj" localSheetId="15">'[2]List Data'!#REF!</definedName>
    <definedName name="ooobbbjjjj" localSheetId="14">'[2]List Data'!#REF!</definedName>
    <definedName name="ooobbbjjjj" localSheetId="13">'[2]List Data'!#REF!</definedName>
    <definedName name="ooobbbjjjj" localSheetId="7">'[2]List Data'!#REF!</definedName>
    <definedName name="ooobbbjjjj" localSheetId="28">'[2]List Data'!#REF!</definedName>
    <definedName name="ooobbbjjjj" localSheetId="9">'[2]List Data'!#REF!</definedName>
    <definedName name="ooobbbjjjj">'[2]List Data'!#REF!</definedName>
    <definedName name="ooobbjjjjj" localSheetId="27">'[2]List Data'!#REF!</definedName>
    <definedName name="ooobbjjjjj" localSheetId="26">'[2]List Data'!#REF!</definedName>
    <definedName name="ooobbjjjjj" localSheetId="17">'[2]List Data'!#REF!</definedName>
    <definedName name="ooobbjjjjj" localSheetId="16">'[2]List Data'!#REF!</definedName>
    <definedName name="ooobbjjjjj" localSheetId="15">'[2]List Data'!#REF!</definedName>
    <definedName name="ooobbjjjjj" localSheetId="14">'[2]List Data'!#REF!</definedName>
    <definedName name="ooobbjjjjj" localSheetId="13">'[2]List Data'!#REF!</definedName>
    <definedName name="ooobbjjjjj" localSheetId="7">'[2]List Data'!#REF!</definedName>
    <definedName name="ooobbjjjjj" localSheetId="28">'[2]List Data'!#REF!</definedName>
    <definedName name="ooobbjjjjj" localSheetId="9">'[2]List Data'!#REF!</definedName>
    <definedName name="ooobbjjjjj">'[2]List Data'!#REF!</definedName>
    <definedName name="oooobbbjjj" localSheetId="27">'[2]List Data'!#REF!</definedName>
    <definedName name="oooobbbjjj" localSheetId="26">'[2]List Data'!#REF!</definedName>
    <definedName name="oooobbbjjj" localSheetId="17">'[2]List Data'!#REF!</definedName>
    <definedName name="oooobbbjjj" localSheetId="16">'[2]List Data'!#REF!</definedName>
    <definedName name="oooobbbjjj" localSheetId="15">'[2]List Data'!#REF!</definedName>
    <definedName name="oooobbbjjj" localSheetId="14">'[2]List Data'!#REF!</definedName>
    <definedName name="oooobbbjjj" localSheetId="13">'[2]List Data'!#REF!</definedName>
    <definedName name="oooobbbjjj" localSheetId="7">'[2]List Data'!#REF!</definedName>
    <definedName name="oooobbbjjj" localSheetId="28">'[2]List Data'!#REF!</definedName>
    <definedName name="oooobbbjjj" localSheetId="9">'[2]List Data'!#REF!</definedName>
    <definedName name="oooobbbjjj">'[2]List Data'!#REF!</definedName>
    <definedName name="_xlnm.Print_Area" localSheetId="27">#REF!,'Capacity Buttons'!#REF!,'Capacity Buttons'!#REF!,'Capacity Buttons'!#REF!,'Capacity Buttons'!#REF!,'Capacity Buttons'!#REF!,'Capacity Buttons'!#REF!,'Capacity Buttons'!#REF!</definedName>
    <definedName name="_xlnm.Print_Area" localSheetId="26">#REF!,'Caseload Buttons'!#REF!,'Caseload Buttons'!#REF!,'Caseload Buttons'!#REF!,'Caseload Buttons'!#REF!,'Caseload Buttons'!#REF!,'Caseload Buttons'!#REF!,'Caseload Buttons'!#REF!</definedName>
    <definedName name="_xlnm.Print_Area" localSheetId="25">'div &amp; regional reduction hours'!$B$1:$N$28</definedName>
    <definedName name="_xlnm.Print_Area" localSheetId="18">'divisional &amp; regional capacity'!$B$1:$F$27</definedName>
    <definedName name="_xlnm.Print_Area" localSheetId="0">home!$A$1:$U$24</definedName>
    <definedName name="_xlnm.Print_Area" localSheetId="28">#REF!,'Reductions Buttons'!#REF!,'Reductions Buttons'!#REF!,'Reductions Buttons'!#REF!,'Reductions Buttons'!#REF!,'Reductions Buttons'!#REF!,'Reductions Buttons'!#REF!,'Reductions Buttons'!#REF!</definedName>
    <definedName name="QtrRange" localSheetId="27">#REF!</definedName>
    <definedName name="QtrRange" localSheetId="3">#REF!</definedName>
    <definedName name="QtrRange" localSheetId="26">#REF!</definedName>
    <definedName name="QtrRange" localSheetId="19">#REF!</definedName>
    <definedName name="QtrRange" localSheetId="20">#REF!</definedName>
    <definedName name="QtrRange" localSheetId="24">#REF!</definedName>
    <definedName name="QtrRange" localSheetId="17">#REF!</definedName>
    <definedName name="QtrRange" localSheetId="16">#REF!</definedName>
    <definedName name="QtrRange" localSheetId="15">#REF!</definedName>
    <definedName name="QtrRange" localSheetId="14">#REF!</definedName>
    <definedName name="QtrRange" localSheetId="25">#REF!</definedName>
    <definedName name="QtrRange" localSheetId="18">#REF!</definedName>
    <definedName name="QtrRange" localSheetId="13">#REF!</definedName>
    <definedName name="QtrRange" localSheetId="7">#REF!</definedName>
    <definedName name="QtrRange" localSheetId="1">#REF!</definedName>
    <definedName name="QtrRange" localSheetId="23">#REF!</definedName>
    <definedName name="QtrRange" localSheetId="28">#REF!</definedName>
    <definedName name="QtrRange" localSheetId="4">#REF!</definedName>
    <definedName name="QtrRange" localSheetId="9">#REF!</definedName>
    <definedName name="QtrRange" localSheetId="22">#REF!</definedName>
    <definedName name="QtrRange">#REF!</definedName>
    <definedName name="Rank_Rating_Lookup">'[1]Rating Lookup'!$I$2:$J$36</definedName>
    <definedName name="Rating">'[1]Rating Lookup'!$C$3:$F$6</definedName>
    <definedName name="Region_Table">PDUs!$A$1:$V$20</definedName>
    <definedName name="Regions">PDUs!$A$1:$V$1</definedName>
    <definedName name="Second_Anchor">PDUs!$X$1</definedName>
    <definedName name="Selection_LDUCluster" localSheetId="27">#REF!</definedName>
    <definedName name="Selection_LDUCluster" localSheetId="3">#REF!</definedName>
    <definedName name="Selection_LDUCluster" localSheetId="26">#REF!</definedName>
    <definedName name="Selection_LDUCluster" localSheetId="19">#REF!</definedName>
    <definedName name="Selection_LDUCluster" localSheetId="20">#REF!</definedName>
    <definedName name="Selection_LDUCluster" localSheetId="24">#REF!</definedName>
    <definedName name="Selection_LDUCluster" localSheetId="17">#REF!</definedName>
    <definedName name="Selection_LDUCluster" localSheetId="16">#REF!</definedName>
    <definedName name="Selection_LDUCluster" localSheetId="15">#REF!</definedName>
    <definedName name="Selection_LDUCluster" localSheetId="14">#REF!</definedName>
    <definedName name="Selection_LDUCluster" localSheetId="25">#REF!</definedName>
    <definedName name="Selection_LDUCluster" localSheetId="18">#REF!</definedName>
    <definedName name="Selection_LDUCluster" localSheetId="13">#REF!</definedName>
    <definedName name="Selection_LDUCluster" localSheetId="7">#REF!</definedName>
    <definedName name="Selection_LDUCluster" localSheetId="1">#REF!</definedName>
    <definedName name="Selection_LDUCluster" localSheetId="23">#REF!</definedName>
    <definedName name="Selection_LDUCluster" localSheetId="28">#REF!</definedName>
    <definedName name="Selection_LDUCluster" localSheetId="4">#REF!</definedName>
    <definedName name="Selection_LDUCluster" localSheetId="9">#REF!</definedName>
    <definedName name="Selection_LDUCluster" localSheetId="22">#REF!</definedName>
    <definedName name="Selection_LDUCluster">#REF!</definedName>
    <definedName name="Selection_Metric" localSheetId="27">#REF!</definedName>
    <definedName name="Selection_Metric" localSheetId="3">#REF!</definedName>
    <definedName name="Selection_Metric" localSheetId="26">#REF!</definedName>
    <definedName name="Selection_Metric" localSheetId="19">#REF!</definedName>
    <definedName name="Selection_Metric" localSheetId="20">#REF!</definedName>
    <definedName name="Selection_Metric" localSheetId="24">#REF!</definedName>
    <definedName name="Selection_Metric" localSheetId="17">#REF!</definedName>
    <definedName name="Selection_Metric" localSheetId="16">#REF!</definedName>
    <definedName name="Selection_Metric" localSheetId="15">#REF!</definedName>
    <definedName name="Selection_Metric" localSheetId="14">#REF!</definedName>
    <definedName name="Selection_Metric" localSheetId="25">#REF!</definedName>
    <definedName name="Selection_Metric" localSheetId="18">#REF!</definedName>
    <definedName name="Selection_Metric" localSheetId="13">#REF!</definedName>
    <definedName name="Selection_Metric" localSheetId="7">#REF!</definedName>
    <definedName name="Selection_Metric" localSheetId="1">#REF!</definedName>
    <definedName name="Selection_Metric" localSheetId="23">#REF!</definedName>
    <definedName name="Selection_Metric" localSheetId="28">#REF!</definedName>
    <definedName name="Selection_Metric" localSheetId="4">#REF!</definedName>
    <definedName name="Selection_Metric" localSheetId="9">#REF!</definedName>
    <definedName name="Selection_Metric" localSheetId="22">#REF!</definedName>
    <definedName name="Selection_Metric">#REF!</definedName>
    <definedName name="SL001Month" localSheetId="27">#REF!</definedName>
    <definedName name="SL001Month" localSheetId="3">#REF!</definedName>
    <definedName name="SL001Month" localSheetId="26">#REF!</definedName>
    <definedName name="SL001Month" localSheetId="19">#REF!</definedName>
    <definedName name="SL001Month" localSheetId="20">#REF!</definedName>
    <definedName name="SL001Month" localSheetId="24">#REF!</definedName>
    <definedName name="SL001Month" localSheetId="17">#REF!</definedName>
    <definedName name="SL001Month" localSheetId="16">#REF!</definedName>
    <definedName name="SL001Month" localSheetId="15">#REF!</definedName>
    <definedName name="SL001Month" localSheetId="14">#REF!</definedName>
    <definedName name="SL001Month" localSheetId="25">#REF!</definedName>
    <definedName name="SL001Month" localSheetId="18">#REF!</definedName>
    <definedName name="SL001Month" localSheetId="13">#REF!</definedName>
    <definedName name="SL001Month" localSheetId="7">#REF!</definedName>
    <definedName name="SL001Month" localSheetId="1">#REF!</definedName>
    <definedName name="SL001Month" localSheetId="23">#REF!</definedName>
    <definedName name="SL001Month" localSheetId="28">#REF!</definedName>
    <definedName name="SL001Month" localSheetId="4">#REF!</definedName>
    <definedName name="SL001Month" localSheetId="9">#REF!</definedName>
    <definedName name="SL001Month" localSheetId="22">#REF!</definedName>
    <definedName name="SL001Month">#REF!</definedName>
    <definedName name="SL001Text" localSheetId="27">#REF!</definedName>
    <definedName name="SL001Text" localSheetId="3">#REF!</definedName>
    <definedName name="SL001Text" localSheetId="26">#REF!</definedName>
    <definedName name="SL001Text" localSheetId="19">#REF!</definedName>
    <definedName name="SL001Text" localSheetId="20">#REF!</definedName>
    <definedName name="SL001Text" localSheetId="24">#REF!</definedName>
    <definedName name="SL001Text" localSheetId="17">#REF!</definedName>
    <definedName name="SL001Text" localSheetId="16">#REF!</definedName>
    <definedName name="SL001Text" localSheetId="15">#REF!</definedName>
    <definedName name="SL001Text" localSheetId="14">#REF!</definedName>
    <definedName name="SL001Text" localSheetId="25">#REF!</definedName>
    <definedName name="SL001Text" localSheetId="18">#REF!</definedName>
    <definedName name="SL001Text" localSheetId="13">#REF!</definedName>
    <definedName name="SL001Text" localSheetId="7">#REF!</definedName>
    <definedName name="SL001Text" localSheetId="1">#REF!</definedName>
    <definedName name="SL001Text" localSheetId="23">#REF!</definedName>
    <definedName name="SL001Text" localSheetId="28">#REF!</definedName>
    <definedName name="SL001Text" localSheetId="4">#REF!</definedName>
    <definedName name="SL001Text" localSheetId="9">#REF!</definedName>
    <definedName name="SL001Text" localSheetId="22">#REF!</definedName>
    <definedName name="SL001Text">#REF!</definedName>
    <definedName name="SL001Title" localSheetId="27">#REF!</definedName>
    <definedName name="SL001Title" localSheetId="3">#REF!</definedName>
    <definedName name="SL001Title" localSheetId="26">#REF!</definedName>
    <definedName name="SL001Title" localSheetId="19">#REF!</definedName>
    <definedName name="SL001Title" localSheetId="20">#REF!</definedName>
    <definedName name="SL001Title" localSheetId="24">#REF!</definedName>
    <definedName name="SL001Title" localSheetId="17">#REF!</definedName>
    <definedName name="SL001Title" localSheetId="16">#REF!</definedName>
    <definedName name="SL001Title" localSheetId="15">#REF!</definedName>
    <definedName name="SL001Title" localSheetId="14">#REF!</definedName>
    <definedName name="SL001Title" localSheetId="25">#REF!</definedName>
    <definedName name="SL001Title" localSheetId="18">#REF!</definedName>
    <definedName name="SL001Title" localSheetId="13">#REF!</definedName>
    <definedName name="SL001Title" localSheetId="7">#REF!</definedName>
    <definedName name="SL001Title" localSheetId="1">#REF!</definedName>
    <definedName name="SL001Title" localSheetId="23">#REF!</definedName>
    <definedName name="SL001Title" localSheetId="28">#REF!</definedName>
    <definedName name="SL001Title" localSheetId="4">#REF!</definedName>
    <definedName name="SL001Title" localSheetId="9">#REF!</definedName>
    <definedName name="SL001Title" localSheetId="22">#REF!</definedName>
    <definedName name="SL001Title">#REF!</definedName>
    <definedName name="SL001YTD" localSheetId="27">#REF!</definedName>
    <definedName name="SL001YTD" localSheetId="3">#REF!</definedName>
    <definedName name="SL001YTD" localSheetId="26">#REF!</definedName>
    <definedName name="SL001YTD" localSheetId="19">#REF!</definedName>
    <definedName name="SL001YTD" localSheetId="20">#REF!</definedName>
    <definedName name="SL001YTD" localSheetId="24">#REF!</definedName>
    <definedName name="SL001YTD" localSheetId="17">#REF!</definedName>
    <definedName name="SL001YTD" localSheetId="16">#REF!</definedName>
    <definedName name="SL001YTD" localSheetId="15">#REF!</definedName>
    <definedName name="SL001YTD" localSheetId="14">#REF!</definedName>
    <definedName name="SL001YTD" localSheetId="25">#REF!</definedName>
    <definedName name="SL001YTD" localSheetId="18">#REF!</definedName>
    <definedName name="SL001YTD" localSheetId="13">#REF!</definedName>
    <definedName name="SL001YTD" localSheetId="7">#REF!</definedName>
    <definedName name="SL001YTD" localSheetId="1">#REF!</definedName>
    <definedName name="SL001YTD" localSheetId="23">#REF!</definedName>
    <definedName name="SL001YTD" localSheetId="28">#REF!</definedName>
    <definedName name="SL001YTD" localSheetId="4">#REF!</definedName>
    <definedName name="SL001YTD" localSheetId="9">#REF!</definedName>
    <definedName name="SL001YTD" localSheetId="22">#REF!</definedName>
    <definedName name="SL001YTD">#REF!</definedName>
    <definedName name="SL002AMonth" localSheetId="27">#REF!</definedName>
    <definedName name="SL002AMonth" localSheetId="3">#REF!</definedName>
    <definedName name="SL002AMonth" localSheetId="26">#REF!</definedName>
    <definedName name="SL002AMonth" localSheetId="19">#REF!</definedName>
    <definedName name="SL002AMonth" localSheetId="20">#REF!</definedName>
    <definedName name="SL002AMonth" localSheetId="24">#REF!</definedName>
    <definedName name="SL002AMonth" localSheetId="17">#REF!</definedName>
    <definedName name="SL002AMonth" localSheetId="16">#REF!</definedName>
    <definedName name="SL002AMonth" localSheetId="15">#REF!</definedName>
    <definedName name="SL002AMonth" localSheetId="14">#REF!</definedName>
    <definedName name="SL002AMonth" localSheetId="25">#REF!</definedName>
    <definedName name="SL002AMonth" localSheetId="18">#REF!</definedName>
    <definedName name="SL002AMonth" localSheetId="13">#REF!</definedName>
    <definedName name="SL002AMonth" localSheetId="7">#REF!</definedName>
    <definedName name="SL002AMonth" localSheetId="1">#REF!</definedName>
    <definedName name="SL002AMonth" localSheetId="23">#REF!</definedName>
    <definedName name="SL002AMonth" localSheetId="28">#REF!</definedName>
    <definedName name="SL002AMonth" localSheetId="4">#REF!</definedName>
    <definedName name="SL002AMonth" localSheetId="9">#REF!</definedName>
    <definedName name="SL002AMonth" localSheetId="22">#REF!</definedName>
    <definedName name="SL002AMonth">#REF!</definedName>
    <definedName name="SL002AText" localSheetId="27">#REF!</definedName>
    <definedName name="SL002AText" localSheetId="3">#REF!</definedName>
    <definedName name="SL002AText" localSheetId="26">#REF!</definedName>
    <definedName name="SL002AText" localSheetId="19">#REF!</definedName>
    <definedName name="SL002AText" localSheetId="20">#REF!</definedName>
    <definedName name="SL002AText" localSheetId="24">#REF!</definedName>
    <definedName name="SL002AText" localSheetId="17">#REF!</definedName>
    <definedName name="SL002AText" localSheetId="16">#REF!</definedName>
    <definedName name="SL002AText" localSheetId="15">#REF!</definedName>
    <definedName name="SL002AText" localSheetId="14">#REF!</definedName>
    <definedName name="SL002AText" localSheetId="25">#REF!</definedName>
    <definedName name="SL002AText" localSheetId="18">#REF!</definedName>
    <definedName name="SL002AText" localSheetId="13">#REF!</definedName>
    <definedName name="SL002AText" localSheetId="7">#REF!</definedName>
    <definedName name="SL002AText" localSheetId="1">#REF!</definedName>
    <definedName name="SL002AText" localSheetId="23">#REF!</definedName>
    <definedName name="SL002AText" localSheetId="28">#REF!</definedName>
    <definedName name="SL002AText" localSheetId="4">#REF!</definedName>
    <definedName name="SL002AText" localSheetId="9">#REF!</definedName>
    <definedName name="SL002AText" localSheetId="22">#REF!</definedName>
    <definedName name="SL002AText">#REF!</definedName>
    <definedName name="SL002ATitle" localSheetId="27">#REF!</definedName>
    <definedName name="SL002ATitle" localSheetId="3">#REF!</definedName>
    <definedName name="SL002ATitle" localSheetId="26">#REF!</definedName>
    <definedName name="SL002ATitle" localSheetId="19">#REF!</definedName>
    <definedName name="SL002ATitle" localSheetId="20">#REF!</definedName>
    <definedName name="SL002ATitle" localSheetId="24">#REF!</definedName>
    <definedName name="SL002ATitle" localSheetId="17">#REF!</definedName>
    <definedName name="SL002ATitle" localSheetId="16">#REF!</definedName>
    <definedName name="SL002ATitle" localSheetId="15">#REF!</definedName>
    <definedName name="SL002ATitle" localSheetId="14">#REF!</definedName>
    <definedName name="SL002ATitle" localSheetId="25">#REF!</definedName>
    <definedName name="SL002ATitle" localSheetId="18">#REF!</definedName>
    <definedName name="SL002ATitle" localSheetId="13">#REF!</definedName>
    <definedName name="SL002ATitle" localSheetId="7">#REF!</definedName>
    <definedName name="SL002ATitle" localSheetId="1">#REF!</definedName>
    <definedName name="SL002ATitle" localSheetId="23">#REF!</definedName>
    <definedName name="SL002ATitle" localSheetId="28">#REF!</definedName>
    <definedName name="SL002ATitle" localSheetId="4">#REF!</definedName>
    <definedName name="SL002ATitle" localSheetId="9">#REF!</definedName>
    <definedName name="SL002ATitle" localSheetId="22">#REF!</definedName>
    <definedName name="SL002ATitle">#REF!</definedName>
    <definedName name="SL002AYTD" localSheetId="27">#REF!</definedName>
    <definedName name="SL002AYTD" localSheetId="3">#REF!</definedName>
    <definedName name="SL002AYTD" localSheetId="26">#REF!</definedName>
    <definedName name="SL002AYTD" localSheetId="19">#REF!</definedName>
    <definedName name="SL002AYTD" localSheetId="20">#REF!</definedName>
    <definedName name="SL002AYTD" localSheetId="24">#REF!</definedName>
    <definedName name="SL002AYTD" localSheetId="17">#REF!</definedName>
    <definedName name="SL002AYTD" localSheetId="16">#REF!</definedName>
    <definedName name="SL002AYTD" localSheetId="15">#REF!</definedName>
    <definedName name="SL002AYTD" localSheetId="14">#REF!</definedName>
    <definedName name="SL002AYTD" localSheetId="25">#REF!</definedName>
    <definedName name="SL002AYTD" localSheetId="18">#REF!</definedName>
    <definedName name="SL002AYTD" localSheetId="13">#REF!</definedName>
    <definedName name="SL002AYTD" localSheetId="7">#REF!</definedName>
    <definedName name="SL002AYTD" localSheetId="1">#REF!</definedName>
    <definedName name="SL002AYTD" localSheetId="23">#REF!</definedName>
    <definedName name="SL002AYTD" localSheetId="28">#REF!</definedName>
    <definedName name="SL002AYTD" localSheetId="4">#REF!</definedName>
    <definedName name="SL002AYTD" localSheetId="9">#REF!</definedName>
    <definedName name="SL002AYTD" localSheetId="22">#REF!</definedName>
    <definedName name="SL002AYTD">#REF!</definedName>
    <definedName name="SL002BMonth" localSheetId="27">#REF!</definedName>
    <definedName name="SL002BMonth" localSheetId="3">#REF!</definedName>
    <definedName name="SL002BMonth" localSheetId="26">#REF!</definedName>
    <definedName name="SL002BMonth" localSheetId="19">#REF!</definedName>
    <definedName name="SL002BMonth" localSheetId="20">#REF!</definedName>
    <definedName name="SL002BMonth" localSheetId="24">#REF!</definedName>
    <definedName name="SL002BMonth" localSheetId="17">#REF!</definedName>
    <definedName name="SL002BMonth" localSheetId="16">#REF!</definedName>
    <definedName name="SL002BMonth" localSheetId="15">#REF!</definedName>
    <definedName name="SL002BMonth" localSheetId="14">#REF!</definedName>
    <definedName name="SL002BMonth" localSheetId="25">#REF!</definedName>
    <definedName name="SL002BMonth" localSheetId="18">#REF!</definedName>
    <definedName name="SL002BMonth" localSheetId="13">#REF!</definedName>
    <definedName name="SL002BMonth" localSheetId="7">#REF!</definedName>
    <definedName name="SL002BMonth" localSheetId="1">#REF!</definedName>
    <definedName name="SL002BMonth" localSheetId="23">#REF!</definedName>
    <definedName name="SL002BMonth" localSheetId="28">#REF!</definedName>
    <definedName name="SL002BMonth" localSheetId="4">#REF!</definedName>
    <definedName name="SL002BMonth" localSheetId="9">#REF!</definedName>
    <definedName name="SL002BMonth" localSheetId="22">#REF!</definedName>
    <definedName name="SL002BMonth">#REF!</definedName>
    <definedName name="SL002BText" localSheetId="27">#REF!</definedName>
    <definedName name="SL002BText" localSheetId="3">#REF!</definedName>
    <definedName name="SL002BText" localSheetId="26">#REF!</definedName>
    <definedName name="SL002BText" localSheetId="19">#REF!</definedName>
    <definedName name="SL002BText" localSheetId="20">#REF!</definedName>
    <definedName name="SL002BText" localSheetId="24">#REF!</definedName>
    <definedName name="SL002BText" localSheetId="17">#REF!</definedName>
    <definedName name="SL002BText" localSheetId="16">#REF!</definedName>
    <definedName name="SL002BText" localSheetId="15">#REF!</definedName>
    <definedName name="SL002BText" localSheetId="14">#REF!</definedName>
    <definedName name="SL002BText" localSheetId="25">#REF!</definedName>
    <definedName name="SL002BText" localSheetId="18">#REF!</definedName>
    <definedName name="SL002BText" localSheetId="13">#REF!</definedName>
    <definedName name="SL002BText" localSheetId="7">#REF!</definedName>
    <definedName name="SL002BText" localSheetId="1">#REF!</definedName>
    <definedName name="SL002BText" localSheetId="23">#REF!</definedName>
    <definedName name="SL002BText" localSheetId="28">#REF!</definedName>
    <definedName name="SL002BText" localSheetId="4">#REF!</definedName>
    <definedName name="SL002BText" localSheetId="9">#REF!</definedName>
    <definedName name="SL002BText" localSheetId="22">#REF!</definedName>
    <definedName name="SL002BText">#REF!</definedName>
    <definedName name="SL002BTitle" localSheetId="27">#REF!</definedName>
    <definedName name="SL002BTitle" localSheetId="3">#REF!</definedName>
    <definedName name="SL002BTitle" localSheetId="26">#REF!</definedName>
    <definedName name="SL002BTitle" localSheetId="19">#REF!</definedName>
    <definedName name="SL002BTitle" localSheetId="20">#REF!</definedName>
    <definedName name="SL002BTitle" localSheetId="24">#REF!</definedName>
    <definedName name="SL002BTitle" localSheetId="17">#REF!</definedName>
    <definedName name="SL002BTitle" localSheetId="16">#REF!</definedName>
    <definedName name="SL002BTitle" localSheetId="15">#REF!</definedName>
    <definedName name="SL002BTitle" localSheetId="14">#REF!</definedName>
    <definedName name="SL002BTitle" localSheetId="25">#REF!</definedName>
    <definedName name="SL002BTitle" localSheetId="18">#REF!</definedName>
    <definedName name="SL002BTitle" localSheetId="13">#REF!</definedName>
    <definedName name="SL002BTitle" localSheetId="7">#REF!</definedName>
    <definedName name="SL002BTitle" localSheetId="1">#REF!</definedName>
    <definedName name="SL002BTitle" localSheetId="23">#REF!</definedName>
    <definedName name="SL002BTitle" localSheetId="28">#REF!</definedName>
    <definedName name="SL002BTitle" localSheetId="4">#REF!</definedName>
    <definedName name="SL002BTitle" localSheetId="9">#REF!</definedName>
    <definedName name="SL002BTitle" localSheetId="22">#REF!</definedName>
    <definedName name="SL002BTitle">#REF!</definedName>
    <definedName name="SL002BYTD" localSheetId="27">#REF!</definedName>
    <definedName name="SL002BYTD" localSheetId="3">#REF!</definedName>
    <definedName name="SL002BYTD" localSheetId="26">#REF!</definedName>
    <definedName name="SL002BYTD" localSheetId="19">#REF!</definedName>
    <definedName name="SL002BYTD" localSheetId="20">#REF!</definedName>
    <definedName name="SL002BYTD" localSheetId="24">#REF!</definedName>
    <definedName name="SL002BYTD" localSheetId="17">#REF!</definedName>
    <definedName name="SL002BYTD" localSheetId="16">#REF!</definedName>
    <definedName name="SL002BYTD" localSheetId="15">#REF!</definedName>
    <definedName name="SL002BYTD" localSheetId="14">#REF!</definedName>
    <definedName name="SL002BYTD" localSheetId="25">#REF!</definedName>
    <definedName name="SL002BYTD" localSheetId="18">#REF!</definedName>
    <definedName name="SL002BYTD" localSheetId="13">#REF!</definedName>
    <definedName name="SL002BYTD" localSheetId="7">#REF!</definedName>
    <definedName name="SL002BYTD" localSheetId="1">#REF!</definedName>
    <definedName name="SL002BYTD" localSheetId="23">#REF!</definedName>
    <definedName name="SL002BYTD" localSheetId="28">#REF!</definedName>
    <definedName name="SL002BYTD" localSheetId="4">#REF!</definedName>
    <definedName name="SL002BYTD" localSheetId="9">#REF!</definedName>
    <definedName name="SL002BYTD" localSheetId="22">#REF!</definedName>
    <definedName name="SL002BYTD">#REF!</definedName>
    <definedName name="SL002Month" localSheetId="27">#REF!</definedName>
    <definedName name="SL002Month" localSheetId="3">#REF!</definedName>
    <definedName name="SL002Month" localSheetId="26">#REF!</definedName>
    <definedName name="SL002Month" localSheetId="19">#REF!</definedName>
    <definedName name="SL002Month" localSheetId="20">#REF!</definedName>
    <definedName name="SL002Month" localSheetId="24">#REF!</definedName>
    <definedName name="SL002Month" localSheetId="17">#REF!</definedName>
    <definedName name="SL002Month" localSheetId="16">#REF!</definedName>
    <definedName name="SL002Month" localSheetId="15">#REF!</definedName>
    <definedName name="SL002Month" localSheetId="14">#REF!</definedName>
    <definedName name="SL002Month" localSheetId="25">#REF!</definedName>
    <definedName name="SL002Month" localSheetId="18">#REF!</definedName>
    <definedName name="SL002Month" localSheetId="13">#REF!</definedName>
    <definedName name="SL002Month" localSheetId="7">#REF!</definedName>
    <definedName name="SL002Month" localSheetId="1">#REF!</definedName>
    <definedName name="SL002Month" localSheetId="23">#REF!</definedName>
    <definedName name="SL002Month" localSheetId="28">#REF!</definedName>
    <definedName name="SL002Month" localSheetId="4">#REF!</definedName>
    <definedName name="SL002Month" localSheetId="9">#REF!</definedName>
    <definedName name="SL002Month" localSheetId="22">#REF!</definedName>
    <definedName name="SL002Month">#REF!</definedName>
    <definedName name="SL002Text" localSheetId="27">#REF!</definedName>
    <definedName name="SL002Text" localSheetId="3">#REF!</definedName>
    <definedName name="SL002Text" localSheetId="26">#REF!</definedName>
    <definedName name="SL002Text" localSheetId="19">#REF!</definedName>
    <definedName name="SL002Text" localSheetId="20">#REF!</definedName>
    <definedName name="SL002Text" localSheetId="24">#REF!</definedName>
    <definedName name="SL002Text" localSheetId="17">#REF!</definedName>
    <definedName name="SL002Text" localSheetId="16">#REF!</definedName>
    <definedName name="SL002Text" localSheetId="15">#REF!</definedName>
    <definedName name="SL002Text" localSheetId="14">#REF!</definedName>
    <definedName name="SL002Text" localSheetId="25">#REF!</definedName>
    <definedName name="SL002Text" localSheetId="18">#REF!</definedName>
    <definedName name="SL002Text" localSheetId="13">#REF!</definedName>
    <definedName name="SL002Text" localSheetId="7">#REF!</definedName>
    <definedName name="SL002Text" localSheetId="1">#REF!</definedName>
    <definedName name="SL002Text" localSheetId="23">#REF!</definedName>
    <definedName name="SL002Text" localSheetId="28">#REF!</definedName>
    <definedName name="SL002Text" localSheetId="4">#REF!</definedName>
    <definedName name="SL002Text" localSheetId="9">#REF!</definedName>
    <definedName name="SL002Text" localSheetId="22">#REF!</definedName>
    <definedName name="SL002Text">#REF!</definedName>
    <definedName name="SL002Title" localSheetId="27">#REF!</definedName>
    <definedName name="SL002Title" localSheetId="3">#REF!</definedName>
    <definedName name="SL002Title" localSheetId="26">#REF!</definedName>
    <definedName name="SL002Title" localSheetId="19">#REF!</definedName>
    <definedName name="SL002Title" localSheetId="20">#REF!</definedName>
    <definedName name="SL002Title" localSheetId="24">#REF!</definedName>
    <definedName name="SL002Title" localSheetId="17">#REF!</definedName>
    <definedName name="SL002Title" localSheetId="16">#REF!</definedName>
    <definedName name="SL002Title" localSheetId="15">#REF!</definedName>
    <definedName name="SL002Title" localSheetId="14">#REF!</definedName>
    <definedName name="SL002Title" localSheetId="25">#REF!</definedName>
    <definedName name="SL002Title" localSheetId="18">#REF!</definedName>
    <definedName name="SL002Title" localSheetId="13">#REF!</definedName>
    <definedName name="SL002Title" localSheetId="7">#REF!</definedName>
    <definedName name="SL002Title" localSheetId="1">#REF!</definedName>
    <definedName name="SL002Title" localSheetId="23">#REF!</definedName>
    <definedName name="SL002Title" localSheetId="28">#REF!</definedName>
    <definedName name="SL002Title" localSheetId="4">#REF!</definedName>
    <definedName name="SL002Title" localSheetId="9">#REF!</definedName>
    <definedName name="SL002Title" localSheetId="22">#REF!</definedName>
    <definedName name="SL002Title">#REF!</definedName>
    <definedName name="SL002YTD" localSheetId="27">#REF!</definedName>
    <definedName name="SL002YTD" localSheetId="3">#REF!</definedName>
    <definedName name="SL002YTD" localSheetId="26">#REF!</definedName>
    <definedName name="SL002YTD" localSheetId="19">#REF!</definedName>
    <definedName name="SL002YTD" localSheetId="20">#REF!</definedName>
    <definedName name="SL002YTD" localSheetId="24">#REF!</definedName>
    <definedName name="SL002YTD" localSheetId="17">#REF!</definedName>
    <definedName name="SL002YTD" localSheetId="16">#REF!</definedName>
    <definedName name="SL002YTD" localSheetId="15">#REF!</definedName>
    <definedName name="SL002YTD" localSheetId="14">#REF!</definedName>
    <definedName name="SL002YTD" localSheetId="25">#REF!</definedName>
    <definedName name="SL002YTD" localSheetId="18">#REF!</definedName>
    <definedName name="SL002YTD" localSheetId="13">#REF!</definedName>
    <definedName name="SL002YTD" localSheetId="7">#REF!</definedName>
    <definedName name="SL002YTD" localSheetId="1">#REF!</definedName>
    <definedName name="SL002YTD" localSheetId="23">#REF!</definedName>
    <definedName name="SL002YTD" localSheetId="28">#REF!</definedName>
    <definedName name="SL002YTD" localSheetId="4">#REF!</definedName>
    <definedName name="SL002YTD" localSheetId="9">#REF!</definedName>
    <definedName name="SL002YTD" localSheetId="22">#REF!</definedName>
    <definedName name="SL002YTD">#REF!</definedName>
    <definedName name="SL003Month" localSheetId="27">#REF!</definedName>
    <definedName name="SL003Month" localSheetId="3">#REF!</definedName>
    <definedName name="SL003Month" localSheetId="26">#REF!</definedName>
    <definedName name="SL003Month" localSheetId="19">#REF!</definedName>
    <definedName name="SL003Month" localSheetId="20">#REF!</definedName>
    <definedName name="SL003Month" localSheetId="24">#REF!</definedName>
    <definedName name="SL003Month" localSheetId="17">#REF!</definedName>
    <definedName name="SL003Month" localSheetId="16">#REF!</definedName>
    <definedName name="SL003Month" localSheetId="15">#REF!</definedName>
    <definedName name="SL003Month" localSheetId="14">#REF!</definedName>
    <definedName name="SL003Month" localSheetId="25">#REF!</definedName>
    <definedName name="SL003Month" localSheetId="18">#REF!</definedName>
    <definedName name="SL003Month" localSheetId="13">#REF!</definedName>
    <definedName name="SL003Month" localSheetId="7">#REF!</definedName>
    <definedName name="SL003Month" localSheetId="1">#REF!</definedName>
    <definedName name="SL003Month" localSheetId="23">#REF!</definedName>
    <definedName name="SL003Month" localSheetId="28">#REF!</definedName>
    <definedName name="SL003Month" localSheetId="4">#REF!</definedName>
    <definedName name="SL003Month" localSheetId="9">#REF!</definedName>
    <definedName name="SL003Month" localSheetId="22">#REF!</definedName>
    <definedName name="SL003Month">#REF!</definedName>
    <definedName name="SL003Text" localSheetId="27">#REF!</definedName>
    <definedName name="SL003Text" localSheetId="3">#REF!</definedName>
    <definedName name="SL003Text" localSheetId="26">#REF!</definedName>
    <definedName name="SL003Text" localSheetId="19">#REF!</definedName>
    <definedName name="SL003Text" localSheetId="20">#REF!</definedName>
    <definedName name="SL003Text" localSheetId="24">#REF!</definedName>
    <definedName name="SL003Text" localSheetId="17">#REF!</definedName>
    <definedName name="SL003Text" localSheetId="16">#REF!</definedName>
    <definedName name="SL003Text" localSheetId="15">#REF!</definedName>
    <definedName name="SL003Text" localSheetId="14">#REF!</definedName>
    <definedName name="SL003Text" localSheetId="25">#REF!</definedName>
    <definedName name="SL003Text" localSheetId="18">#REF!</definedName>
    <definedName name="SL003Text" localSheetId="13">#REF!</definedName>
    <definedName name="SL003Text" localSheetId="7">#REF!</definedName>
    <definedName name="SL003Text" localSheetId="1">#REF!</definedName>
    <definedName name="SL003Text" localSheetId="23">#REF!</definedName>
    <definedName name="SL003Text" localSheetId="28">#REF!</definedName>
    <definedName name="SL003Text" localSheetId="4">#REF!</definedName>
    <definedName name="SL003Text" localSheetId="9">#REF!</definedName>
    <definedName name="SL003Text" localSheetId="22">#REF!</definedName>
    <definedName name="SL003Text">#REF!</definedName>
    <definedName name="SL003Title" localSheetId="27">#REF!</definedName>
    <definedName name="SL003Title" localSheetId="3">#REF!</definedName>
    <definedName name="SL003Title" localSheetId="26">#REF!</definedName>
    <definedName name="SL003Title" localSheetId="19">#REF!</definedName>
    <definedName name="SL003Title" localSheetId="20">#REF!</definedName>
    <definedName name="SL003Title" localSheetId="24">#REF!</definedName>
    <definedName name="SL003Title" localSheetId="17">#REF!</definedName>
    <definedName name="SL003Title" localSheetId="16">#REF!</definedName>
    <definedName name="SL003Title" localSheetId="15">#REF!</definedName>
    <definedName name="SL003Title" localSheetId="14">#REF!</definedName>
    <definedName name="SL003Title" localSheetId="25">#REF!</definedName>
    <definedName name="SL003Title" localSheetId="18">#REF!</definedName>
    <definedName name="SL003Title" localSheetId="13">#REF!</definedName>
    <definedName name="SL003Title" localSheetId="7">#REF!</definedName>
    <definedName name="SL003Title" localSheetId="1">#REF!</definedName>
    <definedName name="SL003Title" localSheetId="23">#REF!</definedName>
    <definedName name="SL003Title" localSheetId="28">#REF!</definedName>
    <definedName name="SL003Title" localSheetId="4">#REF!</definedName>
    <definedName name="SL003Title" localSheetId="9">#REF!</definedName>
    <definedName name="SL003Title" localSheetId="22">#REF!</definedName>
    <definedName name="SL003Title">#REF!</definedName>
    <definedName name="SL003YTD" localSheetId="27">#REF!</definedName>
    <definedName name="SL003YTD" localSheetId="3">#REF!</definedName>
    <definedName name="SL003YTD" localSheetId="26">#REF!</definedName>
    <definedName name="SL003YTD" localSheetId="19">#REF!</definedName>
    <definedName name="SL003YTD" localSheetId="20">#REF!</definedName>
    <definedName name="SL003YTD" localSheetId="24">#REF!</definedName>
    <definedName name="SL003YTD" localSheetId="17">#REF!</definedName>
    <definedName name="SL003YTD" localSheetId="16">#REF!</definedName>
    <definedName name="SL003YTD" localSheetId="15">#REF!</definedName>
    <definedName name="SL003YTD" localSheetId="14">#REF!</definedName>
    <definedName name="SL003YTD" localSheetId="25">#REF!</definedName>
    <definedName name="SL003YTD" localSheetId="18">#REF!</definedName>
    <definedName name="SL003YTD" localSheetId="13">#REF!</definedName>
    <definedName name="SL003YTD" localSheetId="7">#REF!</definedName>
    <definedName name="SL003YTD" localSheetId="1">#REF!</definedName>
    <definedName name="SL003YTD" localSheetId="23">#REF!</definedName>
    <definedName name="SL003YTD" localSheetId="28">#REF!</definedName>
    <definedName name="SL003YTD" localSheetId="4">#REF!</definedName>
    <definedName name="SL003YTD" localSheetId="9">#REF!</definedName>
    <definedName name="SL003YTD" localSheetId="22">#REF!</definedName>
    <definedName name="SL003YTD">#REF!</definedName>
    <definedName name="SL004Month" localSheetId="27">#REF!</definedName>
    <definedName name="SL004Month" localSheetId="3">#REF!</definedName>
    <definedName name="SL004Month" localSheetId="26">#REF!</definedName>
    <definedName name="SL004Month" localSheetId="19">#REF!</definedName>
    <definedName name="SL004Month" localSheetId="20">#REF!</definedName>
    <definedName name="SL004Month" localSheetId="24">#REF!</definedName>
    <definedName name="SL004Month" localSheetId="17">#REF!</definedName>
    <definedName name="SL004Month" localSheetId="16">#REF!</definedName>
    <definedName name="SL004Month" localSheetId="15">#REF!</definedName>
    <definedName name="SL004Month" localSheetId="14">#REF!</definedName>
    <definedName name="SL004Month" localSheetId="25">#REF!</definedName>
    <definedName name="SL004Month" localSheetId="18">#REF!</definedName>
    <definedName name="SL004Month" localSheetId="13">#REF!</definedName>
    <definedName name="SL004Month" localSheetId="7">#REF!</definedName>
    <definedName name="SL004Month" localSheetId="1">#REF!</definedName>
    <definedName name="SL004Month" localSheetId="23">#REF!</definedName>
    <definedName name="SL004Month" localSheetId="28">#REF!</definedName>
    <definedName name="SL004Month" localSheetId="4">#REF!</definedName>
    <definedName name="SL004Month" localSheetId="9">#REF!</definedName>
    <definedName name="SL004Month" localSheetId="22">#REF!</definedName>
    <definedName name="SL004Month">#REF!</definedName>
    <definedName name="SL004Text" localSheetId="27">#REF!</definedName>
    <definedName name="SL004Text" localSheetId="3">#REF!</definedName>
    <definedName name="SL004Text" localSheetId="26">#REF!</definedName>
    <definedName name="SL004Text" localSheetId="19">#REF!</definedName>
    <definedName name="SL004Text" localSheetId="20">#REF!</definedName>
    <definedName name="SL004Text" localSheetId="24">#REF!</definedName>
    <definedName name="SL004Text" localSheetId="17">#REF!</definedName>
    <definedName name="SL004Text" localSheetId="16">#REF!</definedName>
    <definedName name="SL004Text" localSheetId="15">#REF!</definedName>
    <definedName name="SL004Text" localSheetId="14">#REF!</definedName>
    <definedName name="SL004Text" localSheetId="25">#REF!</definedName>
    <definedName name="SL004Text" localSheetId="18">#REF!</definedName>
    <definedName name="SL004Text" localSheetId="13">#REF!</definedName>
    <definedName name="SL004Text" localSheetId="7">#REF!</definedName>
    <definedName name="SL004Text" localSheetId="1">#REF!</definedName>
    <definedName name="SL004Text" localSheetId="23">#REF!</definedName>
    <definedName name="SL004Text" localSheetId="28">#REF!</definedName>
    <definedName name="SL004Text" localSheetId="4">#REF!</definedName>
    <definedName name="SL004Text" localSheetId="9">#REF!</definedName>
    <definedName name="SL004Text" localSheetId="22">#REF!</definedName>
    <definedName name="SL004Text">#REF!</definedName>
    <definedName name="SL004Title" localSheetId="27">#REF!</definedName>
    <definedName name="SL004Title" localSheetId="3">#REF!</definedName>
    <definedName name="SL004Title" localSheetId="26">#REF!</definedName>
    <definedName name="SL004Title" localSheetId="19">#REF!</definedName>
    <definedName name="SL004Title" localSheetId="20">#REF!</definedName>
    <definedName name="SL004Title" localSheetId="24">#REF!</definedName>
    <definedName name="SL004Title" localSheetId="17">#REF!</definedName>
    <definedName name="SL004Title" localSheetId="16">#REF!</definedName>
    <definedName name="SL004Title" localSheetId="15">#REF!</definedName>
    <definedName name="SL004Title" localSheetId="14">#REF!</definedName>
    <definedName name="SL004Title" localSheetId="25">#REF!</definedName>
    <definedName name="SL004Title" localSheetId="18">#REF!</definedName>
    <definedName name="SL004Title" localSheetId="13">#REF!</definedName>
    <definedName name="SL004Title" localSheetId="7">#REF!</definedName>
    <definedName name="SL004Title" localSheetId="1">#REF!</definedName>
    <definedName name="SL004Title" localSheetId="23">#REF!</definedName>
    <definedName name="SL004Title" localSheetId="28">#REF!</definedName>
    <definedName name="SL004Title" localSheetId="4">#REF!</definedName>
    <definedName name="SL004Title" localSheetId="9">#REF!</definedName>
    <definedName name="SL004Title" localSheetId="22">#REF!</definedName>
    <definedName name="SL004Title">#REF!</definedName>
    <definedName name="SL004YTD" localSheetId="27">#REF!</definedName>
    <definedName name="SL004YTD" localSheetId="3">#REF!</definedName>
    <definedName name="SL004YTD" localSheetId="26">#REF!</definedName>
    <definedName name="SL004YTD" localSheetId="19">#REF!</definedName>
    <definedName name="SL004YTD" localSheetId="20">#REF!</definedName>
    <definedName name="SL004YTD" localSheetId="24">#REF!</definedName>
    <definedName name="SL004YTD" localSheetId="17">#REF!</definedName>
    <definedName name="SL004YTD" localSheetId="16">#REF!</definedName>
    <definedName name="SL004YTD" localSheetId="15">#REF!</definedName>
    <definedName name="SL004YTD" localSheetId="14">#REF!</definedName>
    <definedName name="SL004YTD" localSheetId="25">#REF!</definedName>
    <definedName name="SL004YTD" localSheetId="18">#REF!</definedName>
    <definedName name="SL004YTD" localSheetId="13">#REF!</definedName>
    <definedName name="SL004YTD" localSheetId="7">#REF!</definedName>
    <definedName name="SL004YTD" localSheetId="1">#REF!</definedName>
    <definedName name="SL004YTD" localSheetId="23">#REF!</definedName>
    <definedName name="SL004YTD" localSheetId="28">#REF!</definedName>
    <definedName name="SL004YTD" localSheetId="4">#REF!</definedName>
    <definedName name="SL004YTD" localSheetId="9">#REF!</definedName>
    <definedName name="SL004YTD" localSheetId="22">#REF!</definedName>
    <definedName name="SL004YTD">#REF!</definedName>
    <definedName name="SL005Month" localSheetId="27">#REF!</definedName>
    <definedName name="SL005Month" localSheetId="3">#REF!</definedName>
    <definedName name="SL005Month" localSheetId="26">#REF!</definedName>
    <definedName name="SL005Month" localSheetId="19">#REF!</definedName>
    <definedName name="SL005Month" localSheetId="20">#REF!</definedName>
    <definedName name="SL005Month" localSheetId="24">#REF!</definedName>
    <definedName name="SL005Month" localSheetId="17">#REF!</definedName>
    <definedName name="SL005Month" localSheetId="16">#REF!</definedName>
    <definedName name="SL005Month" localSheetId="15">#REF!</definedName>
    <definedName name="SL005Month" localSheetId="14">#REF!</definedName>
    <definedName name="SL005Month" localSheetId="25">#REF!</definedName>
    <definedName name="SL005Month" localSheetId="18">#REF!</definedName>
    <definedName name="SL005Month" localSheetId="13">#REF!</definedName>
    <definedName name="SL005Month" localSheetId="7">#REF!</definedName>
    <definedName name="SL005Month" localSheetId="1">#REF!</definedName>
    <definedName name="SL005Month" localSheetId="23">#REF!</definedName>
    <definedName name="SL005Month" localSheetId="28">#REF!</definedName>
    <definedName name="SL005Month" localSheetId="4">#REF!</definedName>
    <definedName name="SL005Month" localSheetId="9">#REF!</definedName>
    <definedName name="SL005Month" localSheetId="22">#REF!</definedName>
    <definedName name="SL005Month">#REF!</definedName>
    <definedName name="SL005Text" localSheetId="27">#REF!</definedName>
    <definedName name="SL005Text" localSheetId="3">#REF!</definedName>
    <definedName name="SL005Text" localSheetId="26">#REF!</definedName>
    <definedName name="SL005Text" localSheetId="19">#REF!</definedName>
    <definedName name="SL005Text" localSheetId="20">#REF!</definedName>
    <definedName name="SL005Text" localSheetId="24">#REF!</definedName>
    <definedName name="SL005Text" localSheetId="17">#REF!</definedName>
    <definedName name="SL005Text" localSheetId="16">#REF!</definedName>
    <definedName name="SL005Text" localSheetId="15">#REF!</definedName>
    <definedName name="SL005Text" localSheetId="14">#REF!</definedName>
    <definedName name="SL005Text" localSheetId="25">#REF!</definedName>
    <definedName name="SL005Text" localSheetId="18">#REF!</definedName>
    <definedName name="SL005Text" localSheetId="13">#REF!</definedName>
    <definedName name="SL005Text" localSheetId="7">#REF!</definedName>
    <definedName name="SL005Text" localSheetId="1">#REF!</definedName>
    <definedName name="SL005Text" localSheetId="23">#REF!</definedName>
    <definedName name="SL005Text" localSheetId="28">#REF!</definedName>
    <definedName name="SL005Text" localSheetId="4">#REF!</definedName>
    <definedName name="SL005Text" localSheetId="9">#REF!</definedName>
    <definedName name="SL005Text" localSheetId="22">#REF!</definedName>
    <definedName name="SL005Text">#REF!</definedName>
    <definedName name="SL005Title" localSheetId="27">#REF!</definedName>
    <definedName name="SL005Title" localSheetId="3">#REF!</definedName>
    <definedName name="SL005Title" localSheetId="26">#REF!</definedName>
    <definedName name="SL005Title" localSheetId="19">#REF!</definedName>
    <definedName name="SL005Title" localSheetId="20">#REF!</definedName>
    <definedName name="SL005Title" localSheetId="24">#REF!</definedName>
    <definedName name="SL005Title" localSheetId="17">#REF!</definedName>
    <definedName name="SL005Title" localSheetId="16">#REF!</definedName>
    <definedName name="SL005Title" localSheetId="15">#REF!</definedName>
    <definedName name="SL005Title" localSheetId="14">#REF!</definedName>
    <definedName name="SL005Title" localSheetId="25">#REF!</definedName>
    <definedName name="SL005Title" localSheetId="18">#REF!</definedName>
    <definedName name="SL005Title" localSheetId="13">#REF!</definedName>
    <definedName name="SL005Title" localSheetId="7">#REF!</definedName>
    <definedName name="SL005Title" localSheetId="1">#REF!</definedName>
    <definedName name="SL005Title" localSheetId="23">#REF!</definedName>
    <definedName name="SL005Title" localSheetId="28">#REF!</definedName>
    <definedName name="SL005Title" localSheetId="4">#REF!</definedName>
    <definedName name="SL005Title" localSheetId="9">#REF!</definedName>
    <definedName name="SL005Title" localSheetId="22">#REF!</definedName>
    <definedName name="SL005Title">#REF!</definedName>
    <definedName name="SL005YTD" localSheetId="27">#REF!</definedName>
    <definedName name="SL005YTD" localSheetId="3">#REF!</definedName>
    <definedName name="SL005YTD" localSheetId="26">#REF!</definedName>
    <definedName name="SL005YTD" localSheetId="19">#REF!</definedName>
    <definedName name="SL005YTD" localSheetId="20">#REF!</definedName>
    <definedName name="SL005YTD" localSheetId="24">#REF!</definedName>
    <definedName name="SL005YTD" localSheetId="17">#REF!</definedName>
    <definedName name="SL005YTD" localSheetId="16">#REF!</definedName>
    <definedName name="SL005YTD" localSheetId="15">#REF!</definedName>
    <definedName name="SL005YTD" localSheetId="14">#REF!</definedName>
    <definedName name="SL005YTD" localSheetId="25">#REF!</definedName>
    <definedName name="SL005YTD" localSheetId="18">#REF!</definedName>
    <definedName name="SL005YTD" localSheetId="13">#REF!</definedName>
    <definedName name="SL005YTD" localSheetId="7">#REF!</definedName>
    <definedName name="SL005YTD" localSheetId="1">#REF!</definedName>
    <definedName name="SL005YTD" localSheetId="23">#REF!</definedName>
    <definedName name="SL005YTD" localSheetId="28">#REF!</definedName>
    <definedName name="SL005YTD" localSheetId="4">#REF!</definedName>
    <definedName name="SL005YTD" localSheetId="9">#REF!</definedName>
    <definedName name="SL005YTD" localSheetId="22">#REF!</definedName>
    <definedName name="SL005YTD">#REF!</definedName>
    <definedName name="SL006Month" localSheetId="27">#REF!</definedName>
    <definedName name="SL006Month" localSheetId="3">#REF!</definedName>
    <definedName name="SL006Month" localSheetId="26">#REF!</definedName>
    <definedName name="SL006Month" localSheetId="19">#REF!</definedName>
    <definedName name="SL006Month" localSheetId="20">#REF!</definedName>
    <definedName name="SL006Month" localSheetId="24">#REF!</definedName>
    <definedName name="SL006Month" localSheetId="17">#REF!</definedName>
    <definedName name="SL006Month" localSheetId="16">#REF!</definedName>
    <definedName name="SL006Month" localSheetId="15">#REF!</definedName>
    <definedName name="SL006Month" localSheetId="14">#REF!</definedName>
    <definedName name="SL006Month" localSheetId="25">#REF!</definedName>
    <definedName name="SL006Month" localSheetId="18">#REF!</definedName>
    <definedName name="SL006Month" localSheetId="13">#REF!</definedName>
    <definedName name="SL006Month" localSheetId="7">#REF!</definedName>
    <definedName name="SL006Month" localSheetId="1">#REF!</definedName>
    <definedName name="SL006Month" localSheetId="23">#REF!</definedName>
    <definedName name="SL006Month" localSheetId="28">#REF!</definedName>
    <definedName name="SL006Month" localSheetId="4">#REF!</definedName>
    <definedName name="SL006Month" localSheetId="9">#REF!</definedName>
    <definedName name="SL006Month" localSheetId="22">#REF!</definedName>
    <definedName name="SL006Month">#REF!</definedName>
    <definedName name="SL006Text" localSheetId="27">#REF!</definedName>
    <definedName name="SL006Text" localSheetId="3">#REF!</definedName>
    <definedName name="SL006Text" localSheetId="26">#REF!</definedName>
    <definedName name="SL006Text" localSheetId="19">#REF!</definedName>
    <definedName name="SL006Text" localSheetId="20">#REF!</definedName>
    <definedName name="SL006Text" localSheetId="24">#REF!</definedName>
    <definedName name="SL006Text" localSheetId="17">#REF!</definedName>
    <definedName name="SL006Text" localSheetId="16">#REF!</definedName>
    <definedName name="SL006Text" localSheetId="15">#REF!</definedName>
    <definedName name="SL006Text" localSheetId="14">#REF!</definedName>
    <definedName name="SL006Text" localSheetId="25">#REF!</definedName>
    <definedName name="SL006Text" localSheetId="18">#REF!</definedName>
    <definedName name="SL006Text" localSheetId="13">#REF!</definedName>
    <definedName name="SL006Text" localSheetId="7">#REF!</definedName>
    <definedName name="SL006Text" localSheetId="1">#REF!</definedName>
    <definedName name="SL006Text" localSheetId="23">#REF!</definedName>
    <definedName name="SL006Text" localSheetId="28">#REF!</definedName>
    <definedName name="SL006Text" localSheetId="4">#REF!</definedName>
    <definedName name="SL006Text" localSheetId="9">#REF!</definedName>
    <definedName name="SL006Text" localSheetId="22">#REF!</definedName>
    <definedName name="SL006Text">#REF!</definedName>
    <definedName name="SL006Title" localSheetId="27">#REF!</definedName>
    <definedName name="SL006Title" localSheetId="3">#REF!</definedName>
    <definedName name="SL006Title" localSheetId="26">#REF!</definedName>
    <definedName name="SL006Title" localSheetId="19">#REF!</definedName>
    <definedName name="SL006Title" localSheetId="20">#REF!</definedName>
    <definedName name="SL006Title" localSheetId="24">#REF!</definedName>
    <definedName name="SL006Title" localSheetId="17">#REF!</definedName>
    <definedName name="SL006Title" localSheetId="16">#REF!</definedName>
    <definedName name="SL006Title" localSheetId="15">#REF!</definedName>
    <definedName name="SL006Title" localSheetId="14">#REF!</definedName>
    <definedName name="SL006Title" localSheetId="25">#REF!</definedName>
    <definedName name="SL006Title" localSheetId="18">#REF!</definedName>
    <definedName name="SL006Title" localSheetId="13">#REF!</definedName>
    <definedName name="SL006Title" localSheetId="7">#REF!</definedName>
    <definedName name="SL006Title" localSheetId="1">#REF!</definedName>
    <definedName name="SL006Title" localSheetId="23">#REF!</definedName>
    <definedName name="SL006Title" localSheetId="28">#REF!</definedName>
    <definedName name="SL006Title" localSheetId="4">#REF!</definedName>
    <definedName name="SL006Title" localSheetId="9">#REF!</definedName>
    <definedName name="SL006Title" localSheetId="22">#REF!</definedName>
    <definedName name="SL006Title">#REF!</definedName>
    <definedName name="SL006YTD" localSheetId="27">#REF!</definedName>
    <definedName name="SL006YTD" localSheetId="3">#REF!</definedName>
    <definedName name="SL006YTD" localSheetId="26">#REF!</definedName>
    <definedName name="SL006YTD" localSheetId="19">#REF!</definedName>
    <definedName name="SL006YTD" localSheetId="20">#REF!</definedName>
    <definedName name="SL006YTD" localSheetId="24">#REF!</definedName>
    <definedName name="SL006YTD" localSheetId="17">#REF!</definedName>
    <definedName name="SL006YTD" localSheetId="16">#REF!</definedName>
    <definedName name="SL006YTD" localSheetId="15">#REF!</definedName>
    <definedName name="SL006YTD" localSheetId="14">#REF!</definedName>
    <definedName name="SL006YTD" localSheetId="25">#REF!</definedName>
    <definedName name="SL006YTD" localSheetId="18">#REF!</definedName>
    <definedName name="SL006YTD" localSheetId="13">#REF!</definedName>
    <definedName name="SL006YTD" localSheetId="7">#REF!</definedName>
    <definedName name="SL006YTD" localSheetId="1">#REF!</definedName>
    <definedName name="SL006YTD" localSheetId="23">#REF!</definedName>
    <definedName name="SL006YTD" localSheetId="28">#REF!</definedName>
    <definedName name="SL006YTD" localSheetId="4">#REF!</definedName>
    <definedName name="SL006YTD" localSheetId="9">#REF!</definedName>
    <definedName name="SL006YTD" localSheetId="22">#REF!</definedName>
    <definedName name="SL006YTD">#REF!</definedName>
    <definedName name="SL007Month" localSheetId="27">#REF!</definedName>
    <definedName name="SL007Month" localSheetId="3">#REF!</definedName>
    <definedName name="SL007Month" localSheetId="26">#REF!</definedName>
    <definedName name="SL007Month" localSheetId="19">#REF!</definedName>
    <definedName name="SL007Month" localSheetId="20">#REF!</definedName>
    <definedName name="SL007Month" localSheetId="24">#REF!</definedName>
    <definedName name="SL007Month" localSheetId="17">#REF!</definedName>
    <definedName name="SL007Month" localSheetId="16">#REF!</definedName>
    <definedName name="SL007Month" localSheetId="15">#REF!</definedName>
    <definedName name="SL007Month" localSheetId="14">#REF!</definedName>
    <definedName name="SL007Month" localSheetId="25">#REF!</definedName>
    <definedName name="SL007Month" localSheetId="18">#REF!</definedName>
    <definedName name="SL007Month" localSheetId="13">#REF!</definedName>
    <definedName name="SL007Month" localSheetId="7">#REF!</definedName>
    <definedName name="SL007Month" localSheetId="1">#REF!</definedName>
    <definedName name="SL007Month" localSheetId="23">#REF!</definedName>
    <definedName name="SL007Month" localSheetId="28">#REF!</definedName>
    <definedName name="SL007Month" localSheetId="4">#REF!</definedName>
    <definedName name="SL007Month" localSheetId="9">#REF!</definedName>
    <definedName name="SL007Month" localSheetId="22">#REF!</definedName>
    <definedName name="SL007Month">#REF!</definedName>
    <definedName name="SL007Text" localSheetId="27">#REF!</definedName>
    <definedName name="SL007Text" localSheetId="3">#REF!</definedName>
    <definedName name="SL007Text" localSheetId="26">#REF!</definedName>
    <definedName name="SL007Text" localSheetId="19">#REF!</definedName>
    <definedName name="SL007Text" localSheetId="20">#REF!</definedName>
    <definedName name="SL007Text" localSheetId="24">#REF!</definedName>
    <definedName name="SL007Text" localSheetId="17">#REF!</definedName>
    <definedName name="SL007Text" localSheetId="16">#REF!</definedName>
    <definedName name="SL007Text" localSheetId="15">#REF!</definedName>
    <definedName name="SL007Text" localSheetId="14">#REF!</definedName>
    <definedName name="SL007Text" localSheetId="25">#REF!</definedName>
    <definedName name="SL007Text" localSheetId="18">#REF!</definedName>
    <definedName name="SL007Text" localSheetId="13">#REF!</definedName>
    <definedName name="SL007Text" localSheetId="7">#REF!</definedName>
    <definedName name="SL007Text" localSheetId="1">#REF!</definedName>
    <definedName name="SL007Text" localSheetId="23">#REF!</definedName>
    <definedName name="SL007Text" localSheetId="28">#REF!</definedName>
    <definedName name="SL007Text" localSheetId="4">#REF!</definedName>
    <definedName name="SL007Text" localSheetId="9">#REF!</definedName>
    <definedName name="SL007Text" localSheetId="22">#REF!</definedName>
    <definedName name="SL007Text">#REF!</definedName>
    <definedName name="SL007Title" localSheetId="27">#REF!</definedName>
    <definedName name="SL007Title" localSheetId="3">#REF!</definedName>
    <definedName name="SL007Title" localSheetId="26">#REF!</definedName>
    <definedName name="SL007Title" localSheetId="19">#REF!</definedName>
    <definedName name="SL007Title" localSheetId="20">#REF!</definedName>
    <definedName name="SL007Title" localSheetId="24">#REF!</definedName>
    <definedName name="SL007Title" localSheetId="17">#REF!</definedName>
    <definedName name="SL007Title" localSheetId="16">#REF!</definedName>
    <definedName name="SL007Title" localSheetId="15">#REF!</definedName>
    <definedName name="SL007Title" localSheetId="14">#REF!</definedName>
    <definedName name="SL007Title" localSheetId="25">#REF!</definedName>
    <definedName name="SL007Title" localSheetId="18">#REF!</definedName>
    <definedName name="SL007Title" localSheetId="13">#REF!</definedName>
    <definedName name="SL007Title" localSheetId="7">#REF!</definedName>
    <definedName name="SL007Title" localSheetId="1">#REF!</definedName>
    <definedName name="SL007Title" localSheetId="23">#REF!</definedName>
    <definedName name="SL007Title" localSheetId="28">#REF!</definedName>
    <definedName name="SL007Title" localSheetId="4">#REF!</definedName>
    <definedName name="SL007Title" localSheetId="9">#REF!</definedName>
    <definedName name="SL007Title" localSheetId="22">#REF!</definedName>
    <definedName name="SL007Title">#REF!</definedName>
    <definedName name="SL007YTD" localSheetId="27">#REF!</definedName>
    <definedName name="SL007YTD" localSheetId="3">#REF!</definedName>
    <definedName name="SL007YTD" localSheetId="26">#REF!</definedName>
    <definedName name="SL007YTD" localSheetId="19">#REF!</definedName>
    <definedName name="SL007YTD" localSheetId="20">#REF!</definedName>
    <definedName name="SL007YTD" localSheetId="24">#REF!</definedName>
    <definedName name="SL007YTD" localSheetId="17">#REF!</definedName>
    <definedName name="SL007YTD" localSheetId="16">#REF!</definedName>
    <definedName name="SL007YTD" localSheetId="15">#REF!</definedName>
    <definedName name="SL007YTD" localSheetId="14">#REF!</definedName>
    <definedName name="SL007YTD" localSheetId="25">#REF!</definedName>
    <definedName name="SL007YTD" localSheetId="18">#REF!</definedName>
    <definedName name="SL007YTD" localSheetId="13">#REF!</definedName>
    <definedName name="SL007YTD" localSheetId="7">#REF!</definedName>
    <definedName name="SL007YTD" localSheetId="1">#REF!</definedName>
    <definedName name="SL007YTD" localSheetId="23">#REF!</definedName>
    <definedName name="SL007YTD" localSheetId="28">#REF!</definedName>
    <definedName name="SL007YTD" localSheetId="4">#REF!</definedName>
    <definedName name="SL007YTD" localSheetId="9">#REF!</definedName>
    <definedName name="SL007YTD" localSheetId="22">#REF!</definedName>
    <definedName name="SL007YTD">#REF!</definedName>
    <definedName name="SL008Month" localSheetId="27">#REF!</definedName>
    <definedName name="SL008Month" localSheetId="3">#REF!</definedName>
    <definedName name="SL008Month" localSheetId="26">#REF!</definedName>
    <definedName name="SL008Month" localSheetId="19">#REF!</definedName>
    <definedName name="SL008Month" localSheetId="20">#REF!</definedName>
    <definedName name="SL008Month" localSheetId="24">#REF!</definedName>
    <definedName name="SL008Month" localSheetId="17">#REF!</definedName>
    <definedName name="SL008Month" localSheetId="16">#REF!</definedName>
    <definedName name="SL008Month" localSheetId="15">#REF!</definedName>
    <definedName name="SL008Month" localSheetId="14">#REF!</definedName>
    <definedName name="SL008Month" localSheetId="25">#REF!</definedName>
    <definedName name="SL008Month" localSheetId="18">#REF!</definedName>
    <definedName name="SL008Month" localSheetId="13">#REF!</definedName>
    <definedName name="SL008Month" localSheetId="7">#REF!</definedName>
    <definedName name="SL008Month" localSheetId="1">#REF!</definedName>
    <definedName name="SL008Month" localSheetId="23">#REF!</definedName>
    <definedName name="SL008Month" localSheetId="28">#REF!</definedName>
    <definedName name="SL008Month" localSheetId="4">#REF!</definedName>
    <definedName name="SL008Month" localSheetId="9">#REF!</definedName>
    <definedName name="SL008Month" localSheetId="22">#REF!</definedName>
    <definedName name="SL008Month">#REF!</definedName>
    <definedName name="SL008Text" localSheetId="27">#REF!</definedName>
    <definedName name="SL008Text" localSheetId="3">#REF!</definedName>
    <definedName name="SL008Text" localSheetId="26">#REF!</definedName>
    <definedName name="SL008Text" localSheetId="19">#REF!</definedName>
    <definedName name="SL008Text" localSheetId="20">#REF!</definedName>
    <definedName name="SL008Text" localSheetId="24">#REF!</definedName>
    <definedName name="SL008Text" localSheetId="17">#REF!</definedName>
    <definedName name="SL008Text" localSheetId="16">#REF!</definedName>
    <definedName name="SL008Text" localSheetId="15">#REF!</definedName>
    <definedName name="SL008Text" localSheetId="14">#REF!</definedName>
    <definedName name="SL008Text" localSheetId="25">#REF!</definedName>
    <definedName name="SL008Text" localSheetId="18">#REF!</definedName>
    <definedName name="SL008Text" localSheetId="13">#REF!</definedName>
    <definedName name="SL008Text" localSheetId="7">#REF!</definedName>
    <definedName name="SL008Text" localSheetId="1">#REF!</definedName>
    <definedName name="SL008Text" localSheetId="23">#REF!</definedName>
    <definedName name="SL008Text" localSheetId="28">#REF!</definedName>
    <definedName name="SL008Text" localSheetId="4">#REF!</definedName>
    <definedName name="SL008Text" localSheetId="9">#REF!</definedName>
    <definedName name="SL008Text" localSheetId="22">#REF!</definedName>
    <definedName name="SL008Text">#REF!</definedName>
    <definedName name="SL008Title" localSheetId="27">#REF!</definedName>
    <definedName name="SL008Title" localSheetId="3">#REF!</definedName>
    <definedName name="SL008Title" localSheetId="26">#REF!</definedName>
    <definedName name="SL008Title" localSheetId="19">#REF!</definedName>
    <definedName name="SL008Title" localSheetId="20">#REF!</definedName>
    <definedName name="SL008Title" localSheetId="24">#REF!</definedName>
    <definedName name="SL008Title" localSheetId="17">#REF!</definedName>
    <definedName name="SL008Title" localSheetId="16">#REF!</definedName>
    <definedName name="SL008Title" localSheetId="15">#REF!</definedName>
    <definedName name="SL008Title" localSheetId="14">#REF!</definedName>
    <definedName name="SL008Title" localSheetId="25">#REF!</definedName>
    <definedName name="SL008Title" localSheetId="18">#REF!</definedName>
    <definedName name="SL008Title" localSheetId="13">#REF!</definedName>
    <definedName name="SL008Title" localSheetId="7">#REF!</definedName>
    <definedName name="SL008Title" localSheetId="1">#REF!</definedName>
    <definedName name="SL008Title" localSheetId="23">#REF!</definedName>
    <definedName name="SL008Title" localSheetId="28">#REF!</definedName>
    <definedName name="SL008Title" localSheetId="4">#REF!</definedName>
    <definedName name="SL008Title" localSheetId="9">#REF!</definedName>
    <definedName name="SL008Title" localSheetId="22">#REF!</definedName>
    <definedName name="SL008Title">#REF!</definedName>
    <definedName name="SL008YTD" localSheetId="27">#REF!</definedName>
    <definedName name="SL008YTD" localSheetId="3">#REF!</definedName>
    <definedName name="SL008YTD" localSheetId="26">#REF!</definedName>
    <definedName name="SL008YTD" localSheetId="19">#REF!</definedName>
    <definedName name="SL008YTD" localSheetId="20">#REF!</definedName>
    <definedName name="SL008YTD" localSheetId="24">#REF!</definedName>
    <definedName name="SL008YTD" localSheetId="17">#REF!</definedName>
    <definedName name="SL008YTD" localSheetId="16">#REF!</definedName>
    <definedName name="SL008YTD" localSheetId="15">#REF!</definedName>
    <definedName name="SL008YTD" localSheetId="14">#REF!</definedName>
    <definedName name="SL008YTD" localSheetId="25">#REF!</definedName>
    <definedName name="SL008YTD" localSheetId="18">#REF!</definedName>
    <definedName name="SL008YTD" localSheetId="13">#REF!</definedName>
    <definedName name="SL008YTD" localSheetId="7">#REF!</definedName>
    <definedName name="SL008YTD" localSheetId="1">#REF!</definedName>
    <definedName name="SL008YTD" localSheetId="23">#REF!</definedName>
    <definedName name="SL008YTD" localSheetId="28">#REF!</definedName>
    <definedName name="SL008YTD" localSheetId="4">#REF!</definedName>
    <definedName name="SL008YTD" localSheetId="9">#REF!</definedName>
    <definedName name="SL008YTD" localSheetId="22">#REF!</definedName>
    <definedName name="SL008YTD">#REF!</definedName>
    <definedName name="SL009Month" localSheetId="27">#REF!</definedName>
    <definedName name="SL009Month" localSheetId="3">#REF!</definedName>
    <definedName name="SL009Month" localSheetId="26">#REF!</definedName>
    <definedName name="SL009Month" localSheetId="19">#REF!</definedName>
    <definedName name="SL009Month" localSheetId="20">#REF!</definedName>
    <definedName name="SL009Month" localSheetId="24">#REF!</definedName>
    <definedName name="SL009Month" localSheetId="17">#REF!</definedName>
    <definedName name="SL009Month" localSheetId="16">#REF!</definedName>
    <definedName name="SL009Month" localSheetId="15">#REF!</definedName>
    <definedName name="SL009Month" localSheetId="14">#REF!</definedName>
    <definedName name="SL009Month" localSheetId="25">#REF!</definedName>
    <definedName name="SL009Month" localSheetId="18">#REF!</definedName>
    <definedName name="SL009Month" localSheetId="13">#REF!</definedName>
    <definedName name="SL009Month" localSheetId="7">#REF!</definedName>
    <definedName name="SL009Month" localSheetId="1">#REF!</definedName>
    <definedName name="SL009Month" localSheetId="23">#REF!</definedName>
    <definedName name="SL009Month" localSheetId="28">#REF!</definedName>
    <definedName name="SL009Month" localSheetId="4">#REF!</definedName>
    <definedName name="SL009Month" localSheetId="9">#REF!</definedName>
    <definedName name="SL009Month" localSheetId="22">#REF!</definedName>
    <definedName name="SL009Month">#REF!</definedName>
    <definedName name="SL009Text" localSheetId="27">#REF!</definedName>
    <definedName name="SL009Text" localSheetId="3">#REF!</definedName>
    <definedName name="SL009Text" localSheetId="26">#REF!</definedName>
    <definedName name="SL009Text" localSheetId="19">#REF!</definedName>
    <definedName name="SL009Text" localSheetId="20">#REF!</definedName>
    <definedName name="SL009Text" localSheetId="24">#REF!</definedName>
    <definedName name="SL009Text" localSheetId="17">#REF!</definedName>
    <definedName name="SL009Text" localSheetId="16">#REF!</definedName>
    <definedName name="SL009Text" localSheetId="15">#REF!</definedName>
    <definedName name="SL009Text" localSheetId="14">#REF!</definedName>
    <definedName name="SL009Text" localSheetId="25">#REF!</definedName>
    <definedName name="SL009Text" localSheetId="18">#REF!</definedName>
    <definedName name="SL009Text" localSheetId="13">#REF!</definedName>
    <definedName name="SL009Text" localSheetId="7">#REF!</definedName>
    <definedName name="SL009Text" localSheetId="1">#REF!</definedName>
    <definedName name="SL009Text" localSheetId="23">#REF!</definedName>
    <definedName name="SL009Text" localSheetId="28">#REF!</definedName>
    <definedName name="SL009Text" localSheetId="4">#REF!</definedName>
    <definedName name="SL009Text" localSheetId="9">#REF!</definedName>
    <definedName name="SL009Text" localSheetId="22">#REF!</definedName>
    <definedName name="SL009Text">#REF!</definedName>
    <definedName name="SL009Title" localSheetId="27">#REF!</definedName>
    <definedName name="SL009Title" localSheetId="3">#REF!</definedName>
    <definedName name="SL009Title" localSheetId="26">#REF!</definedName>
    <definedName name="SL009Title" localSheetId="19">#REF!</definedName>
    <definedName name="SL009Title" localSheetId="20">#REF!</definedName>
    <definedName name="SL009Title" localSheetId="24">#REF!</definedName>
    <definedName name="SL009Title" localSheetId="17">#REF!</definedName>
    <definedName name="SL009Title" localSheetId="16">#REF!</definedName>
    <definedName name="SL009Title" localSheetId="15">#REF!</definedName>
    <definedName name="SL009Title" localSheetId="14">#REF!</definedName>
    <definedName name="SL009Title" localSheetId="25">#REF!</definedName>
    <definedName name="SL009Title" localSheetId="18">#REF!</definedName>
    <definedName name="SL009Title" localSheetId="13">#REF!</definedName>
    <definedName name="SL009Title" localSheetId="7">#REF!</definedName>
    <definedName name="SL009Title" localSheetId="1">#REF!</definedName>
    <definedName name="SL009Title" localSheetId="23">#REF!</definedName>
    <definedName name="SL009Title" localSheetId="28">#REF!</definedName>
    <definedName name="SL009Title" localSheetId="4">#REF!</definedName>
    <definedName name="SL009Title" localSheetId="9">#REF!</definedName>
    <definedName name="SL009Title" localSheetId="22">#REF!</definedName>
    <definedName name="SL009Title">#REF!</definedName>
    <definedName name="SL009YTD" localSheetId="27">#REF!</definedName>
    <definedName name="SL009YTD" localSheetId="3">#REF!</definedName>
    <definedName name="SL009YTD" localSheetId="26">#REF!</definedName>
    <definedName name="SL009YTD" localSheetId="19">#REF!</definedName>
    <definedName name="SL009YTD" localSheetId="20">#REF!</definedName>
    <definedName name="SL009YTD" localSheetId="24">#REF!</definedName>
    <definedName name="SL009YTD" localSheetId="17">#REF!</definedName>
    <definedName name="SL009YTD" localSheetId="16">#REF!</definedName>
    <definedName name="SL009YTD" localSheetId="15">#REF!</definedName>
    <definedName name="SL009YTD" localSheetId="14">#REF!</definedName>
    <definedName name="SL009YTD" localSheetId="25">#REF!</definedName>
    <definedName name="SL009YTD" localSheetId="18">#REF!</definedName>
    <definedName name="SL009YTD" localSheetId="13">#REF!</definedName>
    <definedName name="SL009YTD" localSheetId="7">#REF!</definedName>
    <definedName name="SL009YTD" localSheetId="1">#REF!</definedName>
    <definedName name="SL009YTD" localSheetId="23">#REF!</definedName>
    <definedName name="SL009YTD" localSheetId="28">#REF!</definedName>
    <definedName name="SL009YTD" localSheetId="4">#REF!</definedName>
    <definedName name="SL009YTD" localSheetId="9">#REF!</definedName>
    <definedName name="SL009YTD" localSheetId="22">#REF!</definedName>
    <definedName name="SL009YTD">#REF!</definedName>
    <definedName name="SL010Text" localSheetId="27">#REF!</definedName>
    <definedName name="SL010Text" localSheetId="3">#REF!</definedName>
    <definedName name="SL010Text" localSheetId="26">#REF!</definedName>
    <definedName name="SL010Text" localSheetId="19">#REF!</definedName>
    <definedName name="SL010Text" localSheetId="20">#REF!</definedName>
    <definedName name="SL010Text" localSheetId="24">#REF!</definedName>
    <definedName name="SL010Text" localSheetId="17">#REF!</definedName>
    <definedName name="SL010Text" localSheetId="16">#REF!</definedName>
    <definedName name="SL010Text" localSheetId="15">#REF!</definedName>
    <definedName name="SL010Text" localSheetId="14">#REF!</definedName>
    <definedName name="SL010Text" localSheetId="25">#REF!</definedName>
    <definedName name="SL010Text" localSheetId="18">#REF!</definedName>
    <definedName name="SL010Text" localSheetId="13">#REF!</definedName>
    <definedName name="SL010Text" localSheetId="7">#REF!</definedName>
    <definedName name="SL010Text" localSheetId="1">#REF!</definedName>
    <definedName name="SL010Text" localSheetId="23">#REF!</definedName>
    <definedName name="SL010Text" localSheetId="28">#REF!</definedName>
    <definedName name="SL010Text" localSheetId="4">#REF!</definedName>
    <definedName name="SL010Text" localSheetId="9">#REF!</definedName>
    <definedName name="SL010Text" localSheetId="22">#REF!</definedName>
    <definedName name="SL010Text">#REF!</definedName>
    <definedName name="SL010Title" localSheetId="27">#REF!</definedName>
    <definedName name="SL010Title" localSheetId="3">#REF!</definedName>
    <definedName name="SL010Title" localSheetId="26">#REF!</definedName>
    <definedName name="SL010Title" localSheetId="19">#REF!</definedName>
    <definedName name="SL010Title" localSheetId="20">#REF!</definedName>
    <definedName name="SL010Title" localSheetId="24">#REF!</definedName>
    <definedName name="SL010Title" localSheetId="17">#REF!</definedName>
    <definedName name="SL010Title" localSheetId="16">#REF!</definedName>
    <definedName name="SL010Title" localSheetId="15">#REF!</definedName>
    <definedName name="SL010Title" localSheetId="14">#REF!</definedName>
    <definedName name="SL010Title" localSheetId="25">#REF!</definedName>
    <definedName name="SL010Title" localSheetId="18">#REF!</definedName>
    <definedName name="SL010Title" localSheetId="13">#REF!</definedName>
    <definedName name="SL010Title" localSheetId="7">#REF!</definedName>
    <definedName name="SL010Title" localSheetId="1">#REF!</definedName>
    <definedName name="SL010Title" localSheetId="23">#REF!</definedName>
    <definedName name="SL010Title" localSheetId="28">#REF!</definedName>
    <definedName name="SL010Title" localSheetId="4">#REF!</definedName>
    <definedName name="SL010Title" localSheetId="9">#REF!</definedName>
    <definedName name="SL010Title" localSheetId="22">#REF!</definedName>
    <definedName name="SL010Title">#REF!</definedName>
    <definedName name="SL011Month" localSheetId="27">#REF!</definedName>
    <definedName name="SL011Month" localSheetId="3">#REF!</definedName>
    <definedName name="SL011Month" localSheetId="26">#REF!</definedName>
    <definedName name="SL011Month" localSheetId="19">#REF!</definedName>
    <definedName name="SL011Month" localSheetId="20">#REF!</definedName>
    <definedName name="SL011Month" localSheetId="24">#REF!</definedName>
    <definedName name="SL011Month" localSheetId="17">#REF!</definedName>
    <definedName name="SL011Month" localSheetId="16">#REF!</definedName>
    <definedName name="SL011Month" localSheetId="15">#REF!</definedName>
    <definedName name="SL011Month" localSheetId="14">#REF!</definedName>
    <definedName name="SL011Month" localSheetId="25">#REF!</definedName>
    <definedName name="SL011Month" localSheetId="18">#REF!</definedName>
    <definedName name="SL011Month" localSheetId="13">#REF!</definedName>
    <definedName name="SL011Month" localSheetId="7">#REF!</definedName>
    <definedName name="SL011Month" localSheetId="1">#REF!</definedName>
    <definedName name="SL011Month" localSheetId="23">#REF!</definedName>
    <definedName name="SL011Month" localSheetId="28">#REF!</definedName>
    <definedName name="SL011Month" localSheetId="4">#REF!</definedName>
    <definedName name="SL011Month" localSheetId="9">#REF!</definedName>
    <definedName name="SL011Month" localSheetId="22">#REF!</definedName>
    <definedName name="SL011Month">#REF!</definedName>
    <definedName name="SL011Text" localSheetId="27">#REF!</definedName>
    <definedName name="SL011Text" localSheetId="3">#REF!</definedName>
    <definedName name="SL011Text" localSheetId="26">#REF!</definedName>
    <definedName name="SL011Text" localSheetId="19">#REF!</definedName>
    <definedName name="SL011Text" localSheetId="20">#REF!</definedName>
    <definedName name="SL011Text" localSheetId="24">#REF!</definedName>
    <definedName name="SL011Text" localSheetId="17">#REF!</definedName>
    <definedName name="SL011Text" localSheetId="16">#REF!</definedName>
    <definedName name="SL011Text" localSheetId="15">#REF!</definedName>
    <definedName name="SL011Text" localSheetId="14">#REF!</definedName>
    <definedName name="SL011Text" localSheetId="25">#REF!</definedName>
    <definedName name="SL011Text" localSheetId="18">#REF!</definedName>
    <definedName name="SL011Text" localSheetId="13">#REF!</definedName>
    <definedName name="SL011Text" localSheetId="7">#REF!</definedName>
    <definedName name="SL011Text" localSheetId="1">#REF!</definedName>
    <definedName name="SL011Text" localSheetId="23">#REF!</definedName>
    <definedName name="SL011Text" localSheetId="28">#REF!</definedName>
    <definedName name="SL011Text" localSheetId="4">#REF!</definedName>
    <definedName name="SL011Text" localSheetId="9">#REF!</definedName>
    <definedName name="SL011Text" localSheetId="22">#REF!</definedName>
    <definedName name="SL011Text">#REF!</definedName>
    <definedName name="SL011Title" localSheetId="27">#REF!</definedName>
    <definedName name="SL011Title" localSheetId="3">#REF!</definedName>
    <definedName name="SL011Title" localSheetId="26">#REF!</definedName>
    <definedName name="SL011Title" localSheetId="19">#REF!</definedName>
    <definedName name="SL011Title" localSheetId="20">#REF!</definedName>
    <definedName name="SL011Title" localSheetId="24">#REF!</definedName>
    <definedName name="SL011Title" localSheetId="17">#REF!</definedName>
    <definedName name="SL011Title" localSheetId="16">#REF!</definedName>
    <definedName name="SL011Title" localSheetId="15">#REF!</definedName>
    <definedName name="SL011Title" localSheetId="14">#REF!</definedName>
    <definedName name="SL011Title" localSheetId="25">#REF!</definedName>
    <definedName name="SL011Title" localSheetId="18">#REF!</definedName>
    <definedName name="SL011Title" localSheetId="13">#REF!</definedName>
    <definedName name="SL011Title" localSheetId="7">#REF!</definedName>
    <definedName name="SL011Title" localSheetId="1">#REF!</definedName>
    <definedName name="SL011Title" localSheetId="23">#REF!</definedName>
    <definedName name="SL011Title" localSheetId="28">#REF!</definedName>
    <definedName name="SL011Title" localSheetId="4">#REF!</definedName>
    <definedName name="SL011Title" localSheetId="9">#REF!</definedName>
    <definedName name="SL011Title" localSheetId="22">#REF!</definedName>
    <definedName name="SL011Title">#REF!</definedName>
    <definedName name="SL011YTD" localSheetId="27">#REF!</definedName>
    <definedName name="SL011YTD" localSheetId="3">#REF!</definedName>
    <definedName name="SL011YTD" localSheetId="26">#REF!</definedName>
    <definedName name="SL011YTD" localSheetId="19">#REF!</definedName>
    <definedName name="SL011YTD" localSheetId="20">#REF!</definedName>
    <definedName name="SL011YTD" localSheetId="24">#REF!</definedName>
    <definedName name="SL011YTD" localSheetId="17">#REF!</definedName>
    <definedName name="SL011YTD" localSheetId="16">#REF!</definedName>
    <definedName name="SL011YTD" localSheetId="15">#REF!</definedName>
    <definedName name="SL011YTD" localSheetId="14">#REF!</definedName>
    <definedName name="SL011YTD" localSheetId="25">#REF!</definedName>
    <definedName name="SL011YTD" localSheetId="18">#REF!</definedName>
    <definedName name="SL011YTD" localSheetId="13">#REF!</definedName>
    <definedName name="SL011YTD" localSheetId="7">#REF!</definedName>
    <definedName name="SL011YTD" localSheetId="1">#REF!</definedName>
    <definedName name="SL011YTD" localSheetId="23">#REF!</definedName>
    <definedName name="SL011YTD" localSheetId="28">#REF!</definedName>
    <definedName name="SL011YTD" localSheetId="4">#REF!</definedName>
    <definedName name="SL011YTD" localSheetId="9">#REF!</definedName>
    <definedName name="SL011YTD" localSheetId="22">#REF!</definedName>
    <definedName name="SL011YTD">#REF!</definedName>
    <definedName name="SL012Month" localSheetId="27">#REF!</definedName>
    <definedName name="SL012Month" localSheetId="3">#REF!</definedName>
    <definedName name="SL012Month" localSheetId="26">#REF!</definedName>
    <definedName name="SL012Month" localSheetId="19">#REF!</definedName>
    <definedName name="SL012Month" localSheetId="20">#REF!</definedName>
    <definedName name="SL012Month" localSheetId="24">#REF!</definedName>
    <definedName name="SL012Month" localSheetId="17">#REF!</definedName>
    <definedName name="SL012Month" localSheetId="16">#REF!</definedName>
    <definedName name="SL012Month" localSheetId="15">#REF!</definedName>
    <definedName name="SL012Month" localSheetId="14">#REF!</definedName>
    <definedName name="SL012Month" localSheetId="25">#REF!</definedName>
    <definedName name="SL012Month" localSheetId="18">#REF!</definedName>
    <definedName name="SL012Month" localSheetId="13">#REF!</definedName>
    <definedName name="SL012Month" localSheetId="7">#REF!</definedName>
    <definedName name="SL012Month" localSheetId="1">#REF!</definedName>
    <definedName name="SL012Month" localSheetId="23">#REF!</definedName>
    <definedName name="SL012Month" localSheetId="28">#REF!</definedName>
    <definedName name="SL012Month" localSheetId="4">#REF!</definedName>
    <definedName name="SL012Month" localSheetId="9">#REF!</definedName>
    <definedName name="SL012Month" localSheetId="22">#REF!</definedName>
    <definedName name="SL012Month">#REF!</definedName>
    <definedName name="SL012Text" localSheetId="27">#REF!</definedName>
    <definedName name="SL012Text" localSheetId="3">#REF!</definedName>
    <definedName name="SL012Text" localSheetId="26">#REF!</definedName>
    <definedName name="SL012Text" localSheetId="19">#REF!</definedName>
    <definedName name="SL012Text" localSheetId="20">#REF!</definedName>
    <definedName name="SL012Text" localSheetId="24">#REF!</definedName>
    <definedName name="SL012Text" localSheetId="17">#REF!</definedName>
    <definedName name="SL012Text" localSheetId="16">#REF!</definedName>
    <definedName name="SL012Text" localSheetId="15">#REF!</definedName>
    <definedName name="SL012Text" localSheetId="14">#REF!</definedName>
    <definedName name="SL012Text" localSheetId="25">#REF!</definedName>
    <definedName name="SL012Text" localSheetId="18">#REF!</definedName>
    <definedName name="SL012Text" localSheetId="13">#REF!</definedName>
    <definedName name="SL012Text" localSheetId="7">#REF!</definedName>
    <definedName name="SL012Text" localSheetId="1">#REF!</definedName>
    <definedName name="SL012Text" localSheetId="23">#REF!</definedName>
    <definedName name="SL012Text" localSheetId="28">#REF!</definedName>
    <definedName name="SL012Text" localSheetId="4">#REF!</definedName>
    <definedName name="SL012Text" localSheetId="9">#REF!</definedName>
    <definedName name="SL012Text" localSheetId="22">#REF!</definedName>
    <definedName name="SL012Text">#REF!</definedName>
    <definedName name="SL012Title" localSheetId="27">#REF!</definedName>
    <definedName name="SL012Title" localSheetId="3">#REF!</definedName>
    <definedName name="SL012Title" localSheetId="26">#REF!</definedName>
    <definedName name="SL012Title" localSheetId="19">#REF!</definedName>
    <definedName name="SL012Title" localSheetId="20">#REF!</definedName>
    <definedName name="SL012Title" localSheetId="24">#REF!</definedName>
    <definedName name="SL012Title" localSheetId="17">#REF!</definedName>
    <definedName name="SL012Title" localSheetId="16">#REF!</definedName>
    <definedName name="SL012Title" localSheetId="15">#REF!</definedName>
    <definedName name="SL012Title" localSheetId="14">#REF!</definedName>
    <definedName name="SL012Title" localSheetId="25">#REF!</definedName>
    <definedName name="SL012Title" localSheetId="18">#REF!</definedName>
    <definedName name="SL012Title" localSheetId="13">#REF!</definedName>
    <definedName name="SL012Title" localSheetId="7">#REF!</definedName>
    <definedName name="SL012Title" localSheetId="1">#REF!</definedName>
    <definedName name="SL012Title" localSheetId="23">#REF!</definedName>
    <definedName name="SL012Title" localSheetId="28">#REF!</definedName>
    <definedName name="SL012Title" localSheetId="4">#REF!</definedName>
    <definedName name="SL012Title" localSheetId="9">#REF!</definedName>
    <definedName name="SL012Title" localSheetId="22">#REF!</definedName>
    <definedName name="SL012Title">#REF!</definedName>
    <definedName name="SL012YTD" localSheetId="27">#REF!</definedName>
    <definedName name="SL012YTD" localSheetId="3">#REF!</definedName>
    <definedName name="SL012YTD" localSheetId="26">#REF!</definedName>
    <definedName name="SL012YTD" localSheetId="19">#REF!</definedName>
    <definedName name="SL012YTD" localSheetId="20">#REF!</definedName>
    <definedName name="SL012YTD" localSheetId="24">#REF!</definedName>
    <definedName name="SL012YTD" localSheetId="17">#REF!</definedName>
    <definedName name="SL012YTD" localSheetId="16">#REF!</definedName>
    <definedName name="SL012YTD" localSheetId="15">#REF!</definedName>
    <definedName name="SL012YTD" localSheetId="14">#REF!</definedName>
    <definedName name="SL012YTD" localSheetId="25">#REF!</definedName>
    <definedName name="SL012YTD" localSheetId="18">#REF!</definedName>
    <definedName name="SL012YTD" localSheetId="13">#REF!</definedName>
    <definedName name="SL012YTD" localSheetId="7">#REF!</definedName>
    <definedName name="SL012YTD" localSheetId="1">#REF!</definedName>
    <definedName name="SL012YTD" localSheetId="23">#REF!</definedName>
    <definedName name="SL012YTD" localSheetId="28">#REF!</definedName>
    <definedName name="SL012YTD" localSheetId="4">#REF!</definedName>
    <definedName name="SL012YTD" localSheetId="9">#REF!</definedName>
    <definedName name="SL012YTD" localSheetId="22">#REF!</definedName>
    <definedName name="SL012YTD">#REF!</definedName>
    <definedName name="SL013Month" localSheetId="27">#REF!</definedName>
    <definedName name="SL013Month" localSheetId="3">#REF!</definedName>
    <definedName name="SL013Month" localSheetId="26">#REF!</definedName>
    <definedName name="SL013Month" localSheetId="19">#REF!</definedName>
    <definedName name="SL013Month" localSheetId="20">#REF!</definedName>
    <definedName name="SL013Month" localSheetId="24">#REF!</definedName>
    <definedName name="SL013Month" localSheetId="17">#REF!</definedName>
    <definedName name="SL013Month" localSheetId="16">#REF!</definedName>
    <definedName name="SL013Month" localSheetId="15">#REF!</definedName>
    <definedName name="SL013Month" localSheetId="14">#REF!</definedName>
    <definedName name="SL013Month" localSheetId="25">#REF!</definedName>
    <definedName name="SL013Month" localSheetId="18">#REF!</definedName>
    <definedName name="SL013Month" localSheetId="13">#REF!</definedName>
    <definedName name="SL013Month" localSheetId="7">#REF!</definedName>
    <definedName name="SL013Month" localSheetId="1">#REF!</definedName>
    <definedName name="SL013Month" localSheetId="23">#REF!</definedName>
    <definedName name="SL013Month" localSheetId="28">#REF!</definedName>
    <definedName name="SL013Month" localSheetId="4">#REF!</definedName>
    <definedName name="SL013Month" localSheetId="9">#REF!</definedName>
    <definedName name="SL013Month" localSheetId="22">#REF!</definedName>
    <definedName name="SL013Month">#REF!</definedName>
    <definedName name="SL013Text" localSheetId="27">#REF!</definedName>
    <definedName name="SL013Text" localSheetId="3">#REF!</definedName>
    <definedName name="SL013Text" localSheetId="26">#REF!</definedName>
    <definedName name="SL013Text" localSheetId="19">#REF!</definedName>
    <definedName name="SL013Text" localSheetId="20">#REF!</definedName>
    <definedName name="SL013Text" localSheetId="24">#REF!</definedName>
    <definedName name="SL013Text" localSheetId="17">#REF!</definedName>
    <definedName name="SL013Text" localSheetId="16">#REF!</definedName>
    <definedName name="SL013Text" localSheetId="15">#REF!</definedName>
    <definedName name="SL013Text" localSheetId="14">#REF!</definedName>
    <definedName name="SL013Text" localSheetId="25">#REF!</definedName>
    <definedName name="SL013Text" localSheetId="18">#REF!</definedName>
    <definedName name="SL013Text" localSheetId="13">#REF!</definedName>
    <definedName name="SL013Text" localSheetId="7">#REF!</definedName>
    <definedName name="SL013Text" localSheetId="1">#REF!</definedName>
    <definedName name="SL013Text" localSheetId="23">#REF!</definedName>
    <definedName name="SL013Text" localSheetId="28">#REF!</definedName>
    <definedName name="SL013Text" localSheetId="4">#REF!</definedName>
    <definedName name="SL013Text" localSheetId="9">#REF!</definedName>
    <definedName name="SL013Text" localSheetId="22">#REF!</definedName>
    <definedName name="SL013Text">#REF!</definedName>
    <definedName name="SL013Title" localSheetId="27">#REF!</definedName>
    <definedName name="SL013Title" localSheetId="3">#REF!</definedName>
    <definedName name="SL013Title" localSheetId="26">#REF!</definedName>
    <definedName name="SL013Title" localSheetId="19">#REF!</definedName>
    <definedName name="SL013Title" localSheetId="20">#REF!</definedName>
    <definedName name="SL013Title" localSheetId="24">#REF!</definedName>
    <definedName name="SL013Title" localSheetId="17">#REF!</definedName>
    <definedName name="SL013Title" localSheetId="16">#REF!</definedName>
    <definedName name="SL013Title" localSheetId="15">#REF!</definedName>
    <definedName name="SL013Title" localSheetId="14">#REF!</definedName>
    <definedName name="SL013Title" localSheetId="25">#REF!</definedName>
    <definedName name="SL013Title" localSheetId="18">#REF!</definedName>
    <definedName name="SL013Title" localSheetId="13">#REF!</definedName>
    <definedName name="SL013Title" localSheetId="7">#REF!</definedName>
    <definedName name="SL013Title" localSheetId="1">#REF!</definedName>
    <definedName name="SL013Title" localSheetId="23">#REF!</definedName>
    <definedName name="SL013Title" localSheetId="28">#REF!</definedName>
    <definedName name="SL013Title" localSheetId="4">#REF!</definedName>
    <definedName name="SL013Title" localSheetId="9">#REF!</definedName>
    <definedName name="SL013Title" localSheetId="22">#REF!</definedName>
    <definedName name="SL013Title">#REF!</definedName>
    <definedName name="SL013YTD" localSheetId="27">#REF!</definedName>
    <definedName name="SL013YTD" localSheetId="3">#REF!</definedName>
    <definedName name="SL013YTD" localSheetId="26">#REF!</definedName>
    <definedName name="SL013YTD" localSheetId="19">#REF!</definedName>
    <definedName name="SL013YTD" localSheetId="20">#REF!</definedName>
    <definedName name="SL013YTD" localSheetId="24">#REF!</definedName>
    <definedName name="SL013YTD" localSheetId="17">#REF!</definedName>
    <definedName name="SL013YTD" localSheetId="16">#REF!</definedName>
    <definedName name="SL013YTD" localSheetId="15">#REF!</definedName>
    <definedName name="SL013YTD" localSheetId="14">#REF!</definedName>
    <definedName name="SL013YTD" localSheetId="25">#REF!</definedName>
    <definedName name="SL013YTD" localSheetId="18">#REF!</definedName>
    <definedName name="SL013YTD" localSheetId="13">#REF!</definedName>
    <definedName name="SL013YTD" localSheetId="7">#REF!</definedName>
    <definedName name="SL013YTD" localSheetId="1">#REF!</definedName>
    <definedName name="SL013YTD" localSheetId="23">#REF!</definedName>
    <definedName name="SL013YTD" localSheetId="28">#REF!</definedName>
    <definedName name="SL013YTD" localSheetId="4">#REF!</definedName>
    <definedName name="SL013YTD" localSheetId="9">#REF!</definedName>
    <definedName name="SL013YTD" localSheetId="22">#REF!</definedName>
    <definedName name="SL013YTD">#REF!</definedName>
    <definedName name="SL014Month" localSheetId="27">#REF!</definedName>
    <definedName name="SL014Month" localSheetId="3">#REF!</definedName>
    <definedName name="SL014Month" localSheetId="26">#REF!</definedName>
    <definedName name="SL014Month" localSheetId="19">#REF!</definedName>
    <definedName name="SL014Month" localSheetId="20">#REF!</definedName>
    <definedName name="SL014Month" localSheetId="24">#REF!</definedName>
    <definedName name="SL014Month" localSheetId="17">#REF!</definedName>
    <definedName name="SL014Month" localSheetId="16">#REF!</definedName>
    <definedName name="SL014Month" localSheetId="15">#REF!</definedName>
    <definedName name="SL014Month" localSheetId="14">#REF!</definedName>
    <definedName name="SL014Month" localSheetId="25">#REF!</definedName>
    <definedName name="SL014Month" localSheetId="18">#REF!</definedName>
    <definedName name="SL014Month" localSheetId="13">#REF!</definedName>
    <definedName name="SL014Month" localSheetId="7">#REF!</definedName>
    <definedName name="SL014Month" localSheetId="1">#REF!</definedName>
    <definedName name="SL014Month" localSheetId="23">#REF!</definedName>
    <definedName name="SL014Month" localSheetId="28">#REF!</definedName>
    <definedName name="SL014Month" localSheetId="4">#REF!</definedName>
    <definedName name="SL014Month" localSheetId="9">#REF!</definedName>
    <definedName name="SL014Month" localSheetId="22">#REF!</definedName>
    <definedName name="SL014Month">#REF!</definedName>
    <definedName name="SL014Text" localSheetId="27">#REF!</definedName>
    <definedName name="SL014Text" localSheetId="3">#REF!</definedName>
    <definedName name="SL014Text" localSheetId="26">#REF!</definedName>
    <definedName name="SL014Text" localSheetId="19">#REF!</definedName>
    <definedName name="SL014Text" localSheetId="20">#REF!</definedName>
    <definedName name="SL014Text" localSheetId="24">#REF!</definedName>
    <definedName name="SL014Text" localSheetId="17">#REF!</definedName>
    <definedName name="SL014Text" localSheetId="16">#REF!</definedName>
    <definedName name="SL014Text" localSheetId="15">#REF!</definedName>
    <definedName name="SL014Text" localSheetId="14">#REF!</definedName>
    <definedName name="SL014Text" localSheetId="25">#REF!</definedName>
    <definedName name="SL014Text" localSheetId="18">#REF!</definedName>
    <definedName name="SL014Text" localSheetId="13">#REF!</definedName>
    <definedName name="SL014Text" localSheetId="7">#REF!</definedName>
    <definedName name="SL014Text" localSheetId="1">#REF!</definedName>
    <definedName name="SL014Text" localSheetId="23">#REF!</definedName>
    <definedName name="SL014Text" localSheetId="28">#REF!</definedName>
    <definedName name="SL014Text" localSheetId="4">#REF!</definedName>
    <definedName name="SL014Text" localSheetId="9">#REF!</definedName>
    <definedName name="SL014Text" localSheetId="22">#REF!</definedName>
    <definedName name="SL014Text">#REF!</definedName>
    <definedName name="SL014Title" localSheetId="27">#REF!</definedName>
    <definedName name="SL014Title" localSheetId="3">#REF!</definedName>
    <definedName name="SL014Title" localSheetId="26">#REF!</definedName>
    <definedName name="SL014Title" localSheetId="19">#REF!</definedName>
    <definedName name="SL014Title" localSheetId="20">#REF!</definedName>
    <definedName name="SL014Title" localSheetId="24">#REF!</definedName>
    <definedName name="SL014Title" localSheetId="17">#REF!</definedName>
    <definedName name="SL014Title" localSheetId="16">#REF!</definedName>
    <definedName name="SL014Title" localSheetId="15">#REF!</definedName>
    <definedName name="SL014Title" localSheetId="14">#REF!</definedName>
    <definedName name="SL014Title" localSheetId="25">#REF!</definedName>
    <definedName name="SL014Title" localSheetId="18">#REF!</definedName>
    <definedName name="SL014Title" localSheetId="13">#REF!</definedName>
    <definedName name="SL014Title" localSheetId="7">#REF!</definedName>
    <definedName name="SL014Title" localSheetId="1">#REF!</definedName>
    <definedName name="SL014Title" localSheetId="23">#REF!</definedName>
    <definedName name="SL014Title" localSheetId="28">#REF!</definedName>
    <definedName name="SL014Title" localSheetId="4">#REF!</definedName>
    <definedName name="SL014Title" localSheetId="9">#REF!</definedName>
    <definedName name="SL014Title" localSheetId="22">#REF!</definedName>
    <definedName name="SL014Title">#REF!</definedName>
    <definedName name="SL014YTD" localSheetId="27">#REF!</definedName>
    <definedName name="SL014YTD" localSheetId="3">#REF!</definedName>
    <definedName name="SL014YTD" localSheetId="26">#REF!</definedName>
    <definedName name="SL014YTD" localSheetId="19">#REF!</definedName>
    <definedName name="SL014YTD" localSheetId="20">#REF!</definedName>
    <definedName name="SL014YTD" localSheetId="24">#REF!</definedName>
    <definedName name="SL014YTD" localSheetId="17">#REF!</definedName>
    <definedName name="SL014YTD" localSheetId="16">#REF!</definedName>
    <definedName name="SL014YTD" localSheetId="15">#REF!</definedName>
    <definedName name="SL014YTD" localSheetId="14">#REF!</definedName>
    <definedName name="SL014YTD" localSheetId="25">#REF!</definedName>
    <definedName name="SL014YTD" localSheetId="18">#REF!</definedName>
    <definedName name="SL014YTD" localSheetId="13">#REF!</definedName>
    <definedName name="SL014YTD" localSheetId="7">#REF!</definedName>
    <definedName name="SL014YTD" localSheetId="1">#REF!</definedName>
    <definedName name="SL014YTD" localSheetId="23">#REF!</definedName>
    <definedName name="SL014YTD" localSheetId="28">#REF!</definedName>
    <definedName name="SL014YTD" localSheetId="4">#REF!</definedName>
    <definedName name="SL014YTD" localSheetId="9">#REF!</definedName>
    <definedName name="SL014YTD" localSheetId="22">#REF!</definedName>
    <definedName name="SL014YTD">#REF!</definedName>
    <definedName name="SL015Month" localSheetId="27">#REF!</definedName>
    <definedName name="SL015Month" localSheetId="3">#REF!</definedName>
    <definedName name="SL015Month" localSheetId="26">#REF!</definedName>
    <definedName name="SL015Month" localSheetId="19">#REF!</definedName>
    <definedName name="SL015Month" localSheetId="20">#REF!</definedName>
    <definedName name="SL015Month" localSheetId="24">#REF!</definedName>
    <definedName name="SL015Month" localSheetId="17">#REF!</definedName>
    <definedName name="SL015Month" localSheetId="16">#REF!</definedName>
    <definedName name="SL015Month" localSheetId="15">#REF!</definedName>
    <definedName name="SL015Month" localSheetId="14">#REF!</definedName>
    <definedName name="SL015Month" localSheetId="25">#REF!</definedName>
    <definedName name="SL015Month" localSheetId="18">#REF!</definedName>
    <definedName name="SL015Month" localSheetId="13">#REF!</definedName>
    <definedName name="SL015Month" localSheetId="7">#REF!</definedName>
    <definedName name="SL015Month" localSheetId="1">#REF!</definedName>
    <definedName name="SL015Month" localSheetId="23">#REF!</definedName>
    <definedName name="SL015Month" localSheetId="28">#REF!</definedName>
    <definedName name="SL015Month" localSheetId="4">#REF!</definedName>
    <definedName name="SL015Month" localSheetId="9">#REF!</definedName>
    <definedName name="SL015Month" localSheetId="22">#REF!</definedName>
    <definedName name="SL015Month">#REF!</definedName>
    <definedName name="SL015Text" localSheetId="27">#REF!</definedName>
    <definedName name="SL015Text" localSheetId="3">#REF!</definedName>
    <definedName name="SL015Text" localSheetId="26">#REF!</definedName>
    <definedName name="SL015Text" localSheetId="19">#REF!</definedName>
    <definedName name="SL015Text" localSheetId="20">#REF!</definedName>
    <definedName name="SL015Text" localSheetId="24">#REF!</definedName>
    <definedName name="SL015Text" localSheetId="17">#REF!</definedName>
    <definedName name="SL015Text" localSheetId="16">#REF!</definedName>
    <definedName name="SL015Text" localSheetId="15">#REF!</definedName>
    <definedName name="SL015Text" localSheetId="14">#REF!</definedName>
    <definedName name="SL015Text" localSheetId="25">#REF!</definedName>
    <definedName name="SL015Text" localSheetId="18">#REF!</definedName>
    <definedName name="SL015Text" localSheetId="13">#REF!</definedName>
    <definedName name="SL015Text" localSheetId="7">#REF!</definedName>
    <definedName name="SL015Text" localSheetId="1">#REF!</definedName>
    <definedName name="SL015Text" localSheetId="23">#REF!</definedName>
    <definedName name="SL015Text" localSheetId="28">#REF!</definedName>
    <definedName name="SL015Text" localSheetId="4">#REF!</definedName>
    <definedName name="SL015Text" localSheetId="9">#REF!</definedName>
    <definedName name="SL015Text" localSheetId="22">#REF!</definedName>
    <definedName name="SL015Text">#REF!</definedName>
    <definedName name="SL015Title" localSheetId="27">#REF!</definedName>
    <definedName name="SL015Title" localSheetId="3">#REF!</definedName>
    <definedName name="SL015Title" localSheetId="26">#REF!</definedName>
    <definedName name="SL015Title" localSheetId="19">#REF!</definedName>
    <definedName name="SL015Title" localSheetId="20">#REF!</definedName>
    <definedName name="SL015Title" localSheetId="24">#REF!</definedName>
    <definedName name="SL015Title" localSheetId="17">#REF!</definedName>
    <definedName name="SL015Title" localSheetId="16">#REF!</definedName>
    <definedName name="SL015Title" localSheetId="15">#REF!</definedName>
    <definedName name="SL015Title" localSheetId="14">#REF!</definedName>
    <definedName name="SL015Title" localSheetId="25">#REF!</definedName>
    <definedName name="SL015Title" localSheetId="18">#REF!</definedName>
    <definedName name="SL015Title" localSheetId="13">#REF!</definedName>
    <definedName name="SL015Title" localSheetId="7">#REF!</definedName>
    <definedName name="SL015Title" localSheetId="1">#REF!</definedName>
    <definedName name="SL015Title" localSheetId="23">#REF!</definedName>
    <definedName name="SL015Title" localSheetId="28">#REF!</definedName>
    <definedName name="SL015Title" localSheetId="4">#REF!</definedName>
    <definedName name="SL015Title" localSheetId="9">#REF!</definedName>
    <definedName name="SL015Title" localSheetId="22">#REF!</definedName>
    <definedName name="SL015Title">#REF!</definedName>
    <definedName name="SL015YTD" localSheetId="27">#REF!</definedName>
    <definedName name="SL015YTD" localSheetId="3">#REF!</definedName>
    <definedName name="SL015YTD" localSheetId="26">#REF!</definedName>
    <definedName name="SL015YTD" localSheetId="19">#REF!</definedName>
    <definedName name="SL015YTD" localSheetId="20">#REF!</definedName>
    <definedName name="SL015YTD" localSheetId="24">#REF!</definedName>
    <definedName name="SL015YTD" localSheetId="17">#REF!</definedName>
    <definedName name="SL015YTD" localSheetId="16">#REF!</definedName>
    <definedName name="SL015YTD" localSheetId="15">#REF!</definedName>
    <definedName name="SL015YTD" localSheetId="14">#REF!</definedName>
    <definedName name="SL015YTD" localSheetId="25">#REF!</definedName>
    <definedName name="SL015YTD" localSheetId="18">#REF!</definedName>
    <definedName name="SL015YTD" localSheetId="13">#REF!</definedName>
    <definedName name="SL015YTD" localSheetId="7">#REF!</definedName>
    <definedName name="SL015YTD" localSheetId="1">#REF!</definedName>
    <definedName name="SL015YTD" localSheetId="23">#REF!</definedName>
    <definedName name="SL015YTD" localSheetId="28">#REF!</definedName>
    <definedName name="SL015YTD" localSheetId="4">#REF!</definedName>
    <definedName name="SL015YTD" localSheetId="9">#REF!</definedName>
    <definedName name="SL015YTD" localSheetId="22">#REF!</definedName>
    <definedName name="SL015YTD">#REF!</definedName>
    <definedName name="SL016Text" localSheetId="27">#REF!</definedName>
    <definedName name="SL016Text" localSheetId="3">#REF!</definedName>
    <definedName name="SL016Text" localSheetId="26">#REF!</definedName>
    <definedName name="SL016Text" localSheetId="19">#REF!</definedName>
    <definedName name="SL016Text" localSheetId="20">#REF!</definedName>
    <definedName name="SL016Text" localSheetId="24">#REF!</definedName>
    <definedName name="SL016Text" localSheetId="17">#REF!</definedName>
    <definedName name="SL016Text" localSheetId="16">#REF!</definedName>
    <definedName name="SL016Text" localSheetId="15">#REF!</definedName>
    <definedName name="SL016Text" localSheetId="14">#REF!</definedName>
    <definedName name="SL016Text" localSheetId="25">#REF!</definedName>
    <definedName name="SL016Text" localSheetId="18">#REF!</definedName>
    <definedName name="SL016Text" localSheetId="13">#REF!</definedName>
    <definedName name="SL016Text" localSheetId="7">#REF!</definedName>
    <definedName name="SL016Text" localSheetId="1">#REF!</definedName>
    <definedName name="SL016Text" localSheetId="23">#REF!</definedName>
    <definedName name="SL016Text" localSheetId="28">#REF!</definedName>
    <definedName name="SL016Text" localSheetId="4">#REF!</definedName>
    <definedName name="SL016Text" localSheetId="9">#REF!</definedName>
    <definedName name="SL016Text" localSheetId="22">#REF!</definedName>
    <definedName name="SL016Text">#REF!</definedName>
    <definedName name="SL016Title" localSheetId="27">#REF!</definedName>
    <definedName name="SL016Title" localSheetId="3">#REF!</definedName>
    <definedName name="SL016Title" localSheetId="26">#REF!</definedName>
    <definedName name="SL016Title" localSheetId="19">#REF!</definedName>
    <definedName name="SL016Title" localSheetId="20">#REF!</definedName>
    <definedName name="SL016Title" localSheetId="24">#REF!</definedName>
    <definedName name="SL016Title" localSheetId="17">#REF!</definedName>
    <definedName name="SL016Title" localSheetId="16">#REF!</definedName>
    <definedName name="SL016Title" localSheetId="15">#REF!</definedName>
    <definedName name="SL016Title" localSheetId="14">#REF!</definedName>
    <definedName name="SL016Title" localSheetId="25">#REF!</definedName>
    <definedName name="SL016Title" localSheetId="18">#REF!</definedName>
    <definedName name="SL016Title" localSheetId="13">#REF!</definedName>
    <definedName name="SL016Title" localSheetId="7">#REF!</definedName>
    <definedName name="SL016Title" localSheetId="1">#REF!</definedName>
    <definedName name="SL016Title" localSheetId="23">#REF!</definedName>
    <definedName name="SL016Title" localSheetId="28">#REF!</definedName>
    <definedName name="SL016Title" localSheetId="4">#REF!</definedName>
    <definedName name="SL016Title" localSheetId="9">#REF!</definedName>
    <definedName name="SL016Title" localSheetId="22">#REF!</definedName>
    <definedName name="SL016Title">#REF!</definedName>
    <definedName name="SL017Text" localSheetId="27">#REF!</definedName>
    <definedName name="SL017Text" localSheetId="3">#REF!</definedName>
    <definedName name="SL017Text" localSheetId="26">#REF!</definedName>
    <definedName name="SL017Text" localSheetId="19">#REF!</definedName>
    <definedName name="SL017Text" localSheetId="20">#REF!</definedName>
    <definedName name="SL017Text" localSheetId="24">#REF!</definedName>
    <definedName name="SL017Text" localSheetId="17">#REF!</definedName>
    <definedName name="SL017Text" localSheetId="16">#REF!</definedName>
    <definedName name="SL017Text" localSheetId="15">#REF!</definedName>
    <definedName name="SL017Text" localSheetId="14">#REF!</definedName>
    <definedName name="SL017Text" localSheetId="25">#REF!</definedName>
    <definedName name="SL017Text" localSheetId="18">#REF!</definedName>
    <definedName name="SL017Text" localSheetId="13">#REF!</definedName>
    <definedName name="SL017Text" localSheetId="7">#REF!</definedName>
    <definedName name="SL017Text" localSheetId="1">#REF!</definedName>
    <definedName name="SL017Text" localSheetId="23">#REF!</definedName>
    <definedName name="SL017Text" localSheetId="28">#REF!</definedName>
    <definedName name="SL017Text" localSheetId="4">#REF!</definedName>
    <definedName name="SL017Text" localSheetId="9">#REF!</definedName>
    <definedName name="SL017Text" localSheetId="22">#REF!</definedName>
    <definedName name="SL017Text">#REF!</definedName>
    <definedName name="SL017Title" localSheetId="27">#REF!</definedName>
    <definedName name="SL017Title" localSheetId="3">#REF!</definedName>
    <definedName name="SL017Title" localSheetId="26">#REF!</definedName>
    <definedName name="SL017Title" localSheetId="19">#REF!</definedName>
    <definedName name="SL017Title" localSheetId="20">#REF!</definedName>
    <definedName name="SL017Title" localSheetId="24">#REF!</definedName>
    <definedName name="SL017Title" localSheetId="17">#REF!</definedName>
    <definedName name="SL017Title" localSheetId="16">#REF!</definedName>
    <definedName name="SL017Title" localSheetId="15">#REF!</definedName>
    <definedName name="SL017Title" localSheetId="14">#REF!</definedName>
    <definedName name="SL017Title" localSheetId="25">#REF!</definedName>
    <definedName name="SL017Title" localSheetId="18">#REF!</definedName>
    <definedName name="SL017Title" localSheetId="13">#REF!</definedName>
    <definedName name="SL017Title" localSheetId="7">#REF!</definedName>
    <definedName name="SL017Title" localSheetId="1">#REF!</definedName>
    <definedName name="SL017Title" localSheetId="23">#REF!</definedName>
    <definedName name="SL017Title" localSheetId="28">#REF!</definedName>
    <definedName name="SL017Title" localSheetId="4">#REF!</definedName>
    <definedName name="SL017Title" localSheetId="9">#REF!</definedName>
    <definedName name="SL017Title" localSheetId="22">#REF!</definedName>
    <definedName name="SL017Title">#REF!</definedName>
    <definedName name="SL018Month" localSheetId="27">#REF!</definedName>
    <definedName name="SL018Month" localSheetId="3">#REF!</definedName>
    <definedName name="SL018Month" localSheetId="26">#REF!</definedName>
    <definedName name="SL018Month" localSheetId="19">#REF!</definedName>
    <definedName name="SL018Month" localSheetId="20">#REF!</definedName>
    <definedName name="SL018Month" localSheetId="24">#REF!</definedName>
    <definedName name="SL018Month" localSheetId="17">#REF!</definedName>
    <definedName name="SL018Month" localSheetId="16">#REF!</definedName>
    <definedName name="SL018Month" localSheetId="15">#REF!</definedName>
    <definedName name="SL018Month" localSheetId="14">#REF!</definedName>
    <definedName name="SL018Month" localSheetId="25">#REF!</definedName>
    <definedName name="SL018Month" localSheetId="18">#REF!</definedName>
    <definedName name="SL018Month" localSheetId="13">#REF!</definedName>
    <definedName name="SL018Month" localSheetId="7">#REF!</definedName>
    <definedName name="SL018Month" localSheetId="1">#REF!</definedName>
    <definedName name="SL018Month" localSheetId="23">#REF!</definedName>
    <definedName name="SL018Month" localSheetId="28">#REF!</definedName>
    <definedName name="SL018Month" localSheetId="4">#REF!</definedName>
    <definedName name="SL018Month" localSheetId="9">#REF!</definedName>
    <definedName name="SL018Month" localSheetId="22">#REF!</definedName>
    <definedName name="SL018Month">#REF!</definedName>
    <definedName name="SL018Text" localSheetId="27">#REF!</definedName>
    <definedName name="SL018Text" localSheetId="3">#REF!</definedName>
    <definedName name="SL018Text" localSheetId="26">#REF!</definedName>
    <definedName name="SL018Text" localSheetId="19">#REF!</definedName>
    <definedName name="SL018Text" localSheetId="20">#REF!</definedName>
    <definedName name="SL018Text" localSheetId="24">#REF!</definedName>
    <definedName name="SL018Text" localSheetId="17">#REF!</definedName>
    <definedName name="SL018Text" localSheetId="16">#REF!</definedName>
    <definedName name="SL018Text" localSheetId="15">#REF!</definedName>
    <definedName name="SL018Text" localSheetId="14">#REF!</definedName>
    <definedName name="SL018Text" localSheetId="25">#REF!</definedName>
    <definedName name="SL018Text" localSheetId="18">#REF!</definedName>
    <definedName name="SL018Text" localSheetId="13">#REF!</definedName>
    <definedName name="SL018Text" localSheetId="7">#REF!</definedName>
    <definedName name="SL018Text" localSheetId="1">#REF!</definedName>
    <definedName name="SL018Text" localSheetId="23">#REF!</definedName>
    <definedName name="SL018Text" localSheetId="28">#REF!</definedName>
    <definedName name="SL018Text" localSheetId="4">#REF!</definedName>
    <definedName name="SL018Text" localSheetId="9">#REF!</definedName>
    <definedName name="SL018Text" localSheetId="22">#REF!</definedName>
    <definedName name="SL018Text">#REF!</definedName>
    <definedName name="SL018Title" localSheetId="27">#REF!</definedName>
    <definedName name="SL018Title" localSheetId="3">#REF!</definedName>
    <definedName name="SL018Title" localSheetId="26">#REF!</definedName>
    <definedName name="SL018Title" localSheetId="19">#REF!</definedName>
    <definedName name="SL018Title" localSheetId="20">#REF!</definedName>
    <definedName name="SL018Title" localSheetId="24">#REF!</definedName>
    <definedName name="SL018Title" localSheetId="17">#REF!</definedName>
    <definedName name="SL018Title" localSheetId="16">#REF!</definedName>
    <definedName name="SL018Title" localSheetId="15">#REF!</definedName>
    <definedName name="SL018Title" localSheetId="14">#REF!</definedName>
    <definedName name="SL018Title" localSheetId="25">#REF!</definedName>
    <definedName name="SL018Title" localSheetId="18">#REF!</definedName>
    <definedName name="SL018Title" localSheetId="13">#REF!</definedName>
    <definedName name="SL018Title" localSheetId="7">#REF!</definedName>
    <definedName name="SL018Title" localSheetId="1">#REF!</definedName>
    <definedName name="SL018Title" localSheetId="23">#REF!</definedName>
    <definedName name="SL018Title" localSheetId="28">#REF!</definedName>
    <definedName name="SL018Title" localSheetId="4">#REF!</definedName>
    <definedName name="SL018Title" localSheetId="9">#REF!</definedName>
    <definedName name="SL018Title" localSheetId="22">#REF!</definedName>
    <definedName name="SL018Title">#REF!</definedName>
    <definedName name="SL018YTD" localSheetId="27">#REF!</definedName>
    <definedName name="SL018YTD" localSheetId="3">#REF!</definedName>
    <definedName name="SL018YTD" localSheetId="26">#REF!</definedName>
    <definedName name="SL018YTD" localSheetId="19">#REF!</definedName>
    <definedName name="SL018YTD" localSheetId="20">#REF!</definedName>
    <definedName name="SL018YTD" localSheetId="24">#REF!</definedName>
    <definedName name="SL018YTD" localSheetId="17">#REF!</definedName>
    <definedName name="SL018YTD" localSheetId="16">#REF!</definedName>
    <definedName name="SL018YTD" localSheetId="15">#REF!</definedName>
    <definedName name="SL018YTD" localSheetId="14">#REF!</definedName>
    <definedName name="SL018YTD" localSheetId="25">#REF!</definedName>
    <definedName name="SL018YTD" localSheetId="18">#REF!</definedName>
    <definedName name="SL018YTD" localSheetId="13">#REF!</definedName>
    <definedName name="SL018YTD" localSheetId="7">#REF!</definedName>
    <definedName name="SL018YTD" localSheetId="1">#REF!</definedName>
    <definedName name="SL018YTD" localSheetId="23">#REF!</definedName>
    <definedName name="SL018YTD" localSheetId="28">#REF!</definedName>
    <definedName name="SL018YTD" localSheetId="4">#REF!</definedName>
    <definedName name="SL018YTD" localSheetId="9">#REF!</definedName>
    <definedName name="SL018YTD" localSheetId="22">#REF!</definedName>
    <definedName name="SL018YTD">#REF!</definedName>
    <definedName name="SL019Month" localSheetId="27">#REF!</definedName>
    <definedName name="SL019Month" localSheetId="3">#REF!</definedName>
    <definedName name="SL019Month" localSheetId="26">#REF!</definedName>
    <definedName name="SL019Month" localSheetId="19">#REF!</definedName>
    <definedName name="SL019Month" localSheetId="20">#REF!</definedName>
    <definedName name="SL019Month" localSheetId="24">#REF!</definedName>
    <definedName name="SL019Month" localSheetId="17">#REF!</definedName>
    <definedName name="SL019Month" localSheetId="16">#REF!</definedName>
    <definedName name="SL019Month" localSheetId="15">#REF!</definedName>
    <definedName name="SL019Month" localSheetId="14">#REF!</definedName>
    <definedName name="SL019Month" localSheetId="25">#REF!</definedName>
    <definedName name="SL019Month" localSheetId="18">#REF!</definedName>
    <definedName name="SL019Month" localSheetId="13">#REF!</definedName>
    <definedName name="SL019Month" localSheetId="7">#REF!</definedName>
    <definedName name="SL019Month" localSheetId="1">#REF!</definedName>
    <definedName name="SL019Month" localSheetId="23">#REF!</definedName>
    <definedName name="SL019Month" localSheetId="28">#REF!</definedName>
    <definedName name="SL019Month" localSheetId="4">#REF!</definedName>
    <definedName name="SL019Month" localSheetId="9">#REF!</definedName>
    <definedName name="SL019Month" localSheetId="22">#REF!</definedName>
    <definedName name="SL019Month">#REF!</definedName>
    <definedName name="SL019Text" localSheetId="27">#REF!</definedName>
    <definedName name="SL019Text" localSheetId="3">#REF!</definedName>
    <definedName name="SL019Text" localSheetId="26">#REF!</definedName>
    <definedName name="SL019Text" localSheetId="19">#REF!</definedName>
    <definedName name="SL019Text" localSheetId="20">#REF!</definedName>
    <definedName name="SL019Text" localSheetId="24">#REF!</definedName>
    <definedName name="SL019Text" localSheetId="17">#REF!</definedName>
    <definedName name="SL019Text" localSheetId="16">#REF!</definedName>
    <definedName name="SL019Text" localSheetId="15">#REF!</definedName>
    <definedName name="SL019Text" localSheetId="14">#REF!</definedName>
    <definedName name="SL019Text" localSheetId="25">#REF!</definedName>
    <definedName name="SL019Text" localSheetId="18">#REF!</definedName>
    <definedName name="SL019Text" localSheetId="13">#REF!</definedName>
    <definedName name="SL019Text" localSheetId="7">#REF!</definedName>
    <definedName name="SL019Text" localSheetId="1">#REF!</definedName>
    <definedName name="SL019Text" localSheetId="23">#REF!</definedName>
    <definedName name="SL019Text" localSheetId="28">#REF!</definedName>
    <definedName name="SL019Text" localSheetId="4">#REF!</definedName>
    <definedName name="SL019Text" localSheetId="9">#REF!</definedName>
    <definedName name="SL019Text" localSheetId="22">#REF!</definedName>
    <definedName name="SL019Text">#REF!</definedName>
    <definedName name="SL019Title" localSheetId="27">#REF!</definedName>
    <definedName name="SL019Title" localSheetId="3">#REF!</definedName>
    <definedName name="SL019Title" localSheetId="26">#REF!</definedName>
    <definedName name="SL019Title" localSheetId="19">#REF!</definedName>
    <definedName name="SL019Title" localSheetId="20">#REF!</definedName>
    <definedName name="SL019Title" localSheetId="24">#REF!</definedName>
    <definedName name="SL019Title" localSheetId="17">#REF!</definedName>
    <definedName name="SL019Title" localSheetId="16">#REF!</definedName>
    <definedName name="SL019Title" localSheetId="15">#REF!</definedName>
    <definedName name="SL019Title" localSheetId="14">#REF!</definedName>
    <definedName name="SL019Title" localSheetId="25">#REF!</definedName>
    <definedName name="SL019Title" localSheetId="18">#REF!</definedName>
    <definedName name="SL019Title" localSheetId="13">#REF!</definedName>
    <definedName name="SL019Title" localSheetId="7">#REF!</definedName>
    <definedName name="SL019Title" localSheetId="1">#REF!</definedName>
    <definedName name="SL019Title" localSheetId="23">#REF!</definedName>
    <definedName name="SL019Title" localSheetId="28">#REF!</definedName>
    <definedName name="SL019Title" localSheetId="4">#REF!</definedName>
    <definedName name="SL019Title" localSheetId="9">#REF!</definedName>
    <definedName name="SL019Title" localSheetId="22">#REF!</definedName>
    <definedName name="SL019Title">#REF!</definedName>
    <definedName name="SL019YTD" localSheetId="27">#REF!</definedName>
    <definedName name="SL019YTD" localSheetId="3">#REF!</definedName>
    <definedName name="SL019YTD" localSheetId="26">#REF!</definedName>
    <definedName name="SL019YTD" localSheetId="19">#REF!</definedName>
    <definedName name="SL019YTD" localSheetId="20">#REF!</definedName>
    <definedName name="SL019YTD" localSheetId="24">#REF!</definedName>
    <definedName name="SL019YTD" localSheetId="17">#REF!</definedName>
    <definedName name="SL019YTD" localSheetId="16">#REF!</definedName>
    <definedName name="SL019YTD" localSheetId="15">#REF!</definedName>
    <definedName name="SL019YTD" localSheetId="14">#REF!</definedName>
    <definedName name="SL019YTD" localSheetId="25">#REF!</definedName>
    <definedName name="SL019YTD" localSheetId="18">#REF!</definedName>
    <definedName name="SL019YTD" localSheetId="13">#REF!</definedName>
    <definedName name="SL019YTD" localSheetId="7">#REF!</definedName>
    <definedName name="SL019YTD" localSheetId="1">#REF!</definedName>
    <definedName name="SL019YTD" localSheetId="23">#REF!</definedName>
    <definedName name="SL019YTD" localSheetId="28">#REF!</definedName>
    <definedName name="SL019YTD" localSheetId="4">#REF!</definedName>
    <definedName name="SL019YTD" localSheetId="9">#REF!</definedName>
    <definedName name="SL019YTD" localSheetId="22">#REF!</definedName>
    <definedName name="SL019YTD">#REF!</definedName>
    <definedName name="SL021Month" localSheetId="27">#REF!</definedName>
    <definedName name="SL021Month" localSheetId="3">#REF!</definedName>
    <definedName name="SL021Month" localSheetId="26">#REF!</definedName>
    <definedName name="SL021Month" localSheetId="19">#REF!</definedName>
    <definedName name="SL021Month" localSheetId="20">#REF!</definedName>
    <definedName name="SL021Month" localSheetId="24">#REF!</definedName>
    <definedName name="SL021Month" localSheetId="17">#REF!</definedName>
    <definedName name="SL021Month" localSheetId="16">#REF!</definedName>
    <definedName name="SL021Month" localSheetId="15">#REF!</definedName>
    <definedName name="SL021Month" localSheetId="14">#REF!</definedName>
    <definedName name="SL021Month" localSheetId="25">#REF!</definedName>
    <definedName name="SL021Month" localSheetId="18">#REF!</definedName>
    <definedName name="SL021Month" localSheetId="13">#REF!</definedName>
    <definedName name="SL021Month" localSheetId="7">#REF!</definedName>
    <definedName name="SL021Month" localSheetId="1">#REF!</definedName>
    <definedName name="SL021Month" localSheetId="23">#REF!</definedName>
    <definedName name="SL021Month" localSheetId="28">#REF!</definedName>
    <definedName name="SL021Month" localSheetId="4">#REF!</definedName>
    <definedName name="SL021Month" localSheetId="9">#REF!</definedName>
    <definedName name="SL021Month" localSheetId="22">#REF!</definedName>
    <definedName name="SL021Month">#REF!</definedName>
    <definedName name="SL021Text" localSheetId="27">#REF!</definedName>
    <definedName name="SL021Text" localSheetId="3">#REF!</definedName>
    <definedName name="SL021Text" localSheetId="26">#REF!</definedName>
    <definedName name="SL021Text" localSheetId="19">#REF!</definedName>
    <definedName name="SL021Text" localSheetId="20">#REF!</definedName>
    <definedName name="SL021Text" localSheetId="24">#REF!</definedName>
    <definedName name="SL021Text" localSheetId="17">#REF!</definedName>
    <definedName name="SL021Text" localSheetId="16">#REF!</definedName>
    <definedName name="SL021Text" localSheetId="15">#REF!</definedName>
    <definedName name="SL021Text" localSheetId="14">#REF!</definedName>
    <definedName name="SL021Text" localSheetId="25">#REF!</definedName>
    <definedName name="SL021Text" localSheetId="18">#REF!</definedName>
    <definedName name="SL021Text" localSheetId="13">#REF!</definedName>
    <definedName name="SL021Text" localSheetId="7">#REF!</definedName>
    <definedName name="SL021Text" localSheetId="1">#REF!</definedName>
    <definedName name="SL021Text" localSheetId="23">#REF!</definedName>
    <definedName name="SL021Text" localSheetId="28">#REF!</definedName>
    <definedName name="SL021Text" localSheetId="4">#REF!</definedName>
    <definedName name="SL021Text" localSheetId="9">#REF!</definedName>
    <definedName name="SL021Text" localSheetId="22">#REF!</definedName>
    <definedName name="SL021Text">#REF!</definedName>
    <definedName name="SL021Title" localSheetId="27">#REF!</definedName>
    <definedName name="SL021Title" localSheetId="3">#REF!</definedName>
    <definedName name="SL021Title" localSheetId="26">#REF!</definedName>
    <definedName name="SL021Title" localSheetId="19">#REF!</definedName>
    <definedName name="SL021Title" localSheetId="20">#REF!</definedName>
    <definedName name="SL021Title" localSheetId="24">#REF!</definedName>
    <definedName name="SL021Title" localSheetId="17">#REF!</definedName>
    <definedName name="SL021Title" localSheetId="16">#REF!</definedName>
    <definedName name="SL021Title" localSheetId="15">#REF!</definedName>
    <definedName name="SL021Title" localSheetId="14">#REF!</definedName>
    <definedName name="SL021Title" localSheetId="25">#REF!</definedName>
    <definedName name="SL021Title" localSheetId="18">#REF!</definedName>
    <definedName name="SL021Title" localSheetId="13">#REF!</definedName>
    <definedName name="SL021Title" localSheetId="7">#REF!</definedName>
    <definedName name="SL021Title" localSheetId="1">#REF!</definedName>
    <definedName name="SL021Title" localSheetId="23">#REF!</definedName>
    <definedName name="SL021Title" localSheetId="28">#REF!</definedName>
    <definedName name="SL021Title" localSheetId="4">#REF!</definedName>
    <definedName name="SL021Title" localSheetId="9">#REF!</definedName>
    <definedName name="SL021Title" localSheetId="22">#REF!</definedName>
    <definedName name="SL021Title">#REF!</definedName>
    <definedName name="SL021YTD" localSheetId="27">#REF!</definedName>
    <definedName name="SL021YTD" localSheetId="3">#REF!</definedName>
    <definedName name="SL021YTD" localSheetId="26">#REF!</definedName>
    <definedName name="SL021YTD" localSheetId="19">#REF!</definedName>
    <definedName name="SL021YTD" localSheetId="20">#REF!</definedName>
    <definedName name="SL021YTD" localSheetId="24">#REF!</definedName>
    <definedName name="SL021YTD" localSheetId="17">#REF!</definedName>
    <definedName name="SL021YTD" localSheetId="16">#REF!</definedName>
    <definedName name="SL021YTD" localSheetId="15">#REF!</definedName>
    <definedName name="SL021YTD" localSheetId="14">#REF!</definedName>
    <definedName name="SL021YTD" localSheetId="25">#REF!</definedName>
    <definedName name="SL021YTD" localSheetId="18">#REF!</definedName>
    <definedName name="SL021YTD" localSheetId="13">#REF!</definedName>
    <definedName name="SL021YTD" localSheetId="7">#REF!</definedName>
    <definedName name="SL021YTD" localSheetId="1">#REF!</definedName>
    <definedName name="SL021YTD" localSheetId="23">#REF!</definedName>
    <definedName name="SL021YTD" localSheetId="28">#REF!</definedName>
    <definedName name="SL021YTD" localSheetId="4">#REF!</definedName>
    <definedName name="SL021YTD" localSheetId="9">#REF!</definedName>
    <definedName name="SL021YTD" localSheetId="22">#REF!</definedName>
    <definedName name="SL021YTD">#REF!</definedName>
    <definedName name="SL022Month" localSheetId="27">#REF!</definedName>
    <definedName name="SL022Month" localSheetId="3">#REF!</definedName>
    <definedName name="SL022Month" localSheetId="26">#REF!</definedName>
    <definedName name="SL022Month" localSheetId="19">#REF!</definedName>
    <definedName name="SL022Month" localSheetId="20">#REF!</definedName>
    <definedName name="SL022Month" localSheetId="24">#REF!</definedName>
    <definedName name="SL022Month" localSheetId="17">#REF!</definedName>
    <definedName name="SL022Month" localSheetId="16">#REF!</definedName>
    <definedName name="SL022Month" localSheetId="15">#REF!</definedName>
    <definedName name="SL022Month" localSheetId="14">#REF!</definedName>
    <definedName name="SL022Month" localSheetId="25">#REF!</definedName>
    <definedName name="SL022Month" localSheetId="18">#REF!</definedName>
    <definedName name="SL022Month" localSheetId="13">#REF!</definedName>
    <definedName name="SL022Month" localSheetId="7">#REF!</definedName>
    <definedName name="SL022Month" localSheetId="1">#REF!</definedName>
    <definedName name="SL022Month" localSheetId="23">#REF!</definedName>
    <definedName name="SL022Month" localSheetId="28">#REF!</definedName>
    <definedName name="SL022Month" localSheetId="4">#REF!</definedName>
    <definedName name="SL022Month" localSheetId="9">#REF!</definedName>
    <definedName name="SL022Month" localSheetId="22">#REF!</definedName>
    <definedName name="SL022Month">#REF!</definedName>
    <definedName name="SL022Text" localSheetId="27">#REF!</definedName>
    <definedName name="SL022Text" localSheetId="3">#REF!</definedName>
    <definedName name="SL022Text" localSheetId="26">#REF!</definedName>
    <definedName name="SL022Text" localSheetId="19">#REF!</definedName>
    <definedName name="SL022Text" localSheetId="20">#REF!</definedName>
    <definedName name="SL022Text" localSheetId="24">#REF!</definedName>
    <definedName name="SL022Text" localSheetId="17">#REF!</definedName>
    <definedName name="SL022Text" localSheetId="16">#REF!</definedName>
    <definedName name="SL022Text" localSheetId="15">#REF!</definedName>
    <definedName name="SL022Text" localSheetId="14">#REF!</definedName>
    <definedName name="SL022Text" localSheetId="25">#REF!</definedName>
    <definedName name="SL022Text" localSheetId="18">#REF!</definedName>
    <definedName name="SL022Text" localSheetId="13">#REF!</definedName>
    <definedName name="SL022Text" localSheetId="7">#REF!</definedName>
    <definedName name="SL022Text" localSheetId="1">#REF!</definedName>
    <definedName name="SL022Text" localSheetId="23">#REF!</definedName>
    <definedName name="SL022Text" localSheetId="28">#REF!</definedName>
    <definedName name="SL022Text" localSheetId="4">#REF!</definedName>
    <definedName name="SL022Text" localSheetId="9">#REF!</definedName>
    <definedName name="SL022Text" localSheetId="22">#REF!</definedName>
    <definedName name="SL022Text">#REF!</definedName>
    <definedName name="SL022Title" localSheetId="27">#REF!</definedName>
    <definedName name="SL022Title" localSheetId="3">#REF!</definedName>
    <definedName name="SL022Title" localSheetId="26">#REF!</definedName>
    <definedName name="SL022Title" localSheetId="19">#REF!</definedName>
    <definedName name="SL022Title" localSheetId="20">#REF!</definedName>
    <definedName name="SL022Title" localSheetId="24">#REF!</definedName>
    <definedName name="SL022Title" localSheetId="17">#REF!</definedName>
    <definedName name="SL022Title" localSheetId="16">#REF!</definedName>
    <definedName name="SL022Title" localSheetId="15">#REF!</definedName>
    <definedName name="SL022Title" localSheetId="14">#REF!</definedName>
    <definedName name="SL022Title" localSheetId="25">#REF!</definedName>
    <definedName name="SL022Title" localSheetId="18">#REF!</definedName>
    <definedName name="SL022Title" localSheetId="13">#REF!</definedName>
    <definedName name="SL022Title" localSheetId="7">#REF!</definedName>
    <definedName name="SL022Title" localSheetId="1">#REF!</definedName>
    <definedName name="SL022Title" localSheetId="23">#REF!</definedName>
    <definedName name="SL022Title" localSheetId="28">#REF!</definedName>
    <definedName name="SL022Title" localSheetId="4">#REF!</definedName>
    <definedName name="SL022Title" localSheetId="9">#REF!</definedName>
    <definedName name="SL022Title" localSheetId="22">#REF!</definedName>
    <definedName name="SL022Title">#REF!</definedName>
    <definedName name="SL022YTD" localSheetId="27">#REF!</definedName>
    <definedName name="SL022YTD" localSheetId="3">#REF!</definedName>
    <definedName name="SL022YTD" localSheetId="26">#REF!</definedName>
    <definedName name="SL022YTD" localSheetId="19">#REF!</definedName>
    <definedName name="SL022YTD" localSheetId="20">#REF!</definedName>
    <definedName name="SL022YTD" localSheetId="24">#REF!</definedName>
    <definedName name="SL022YTD" localSheetId="17">#REF!</definedName>
    <definedName name="SL022YTD" localSheetId="16">#REF!</definedName>
    <definedName name="SL022YTD" localSheetId="15">#REF!</definedName>
    <definedName name="SL022YTD" localSheetId="14">#REF!</definedName>
    <definedName name="SL022YTD" localSheetId="25">#REF!</definedName>
    <definedName name="SL022YTD" localSheetId="18">#REF!</definedName>
    <definedName name="SL022YTD" localSheetId="13">#REF!</definedName>
    <definedName name="SL022YTD" localSheetId="7">#REF!</definedName>
    <definedName name="SL022YTD" localSheetId="1">#REF!</definedName>
    <definedName name="SL022YTD" localSheetId="23">#REF!</definedName>
    <definedName name="SL022YTD" localSheetId="28">#REF!</definedName>
    <definedName name="SL022YTD" localSheetId="4">#REF!</definedName>
    <definedName name="SL022YTD" localSheetId="9">#REF!</definedName>
    <definedName name="SL022YTD" localSheetId="22">#REF!</definedName>
    <definedName name="SL022YTD">#REF!</definedName>
    <definedName name="SL023Month" localSheetId="27">#REF!</definedName>
    <definedName name="SL023Month" localSheetId="3">#REF!</definedName>
    <definedName name="SL023Month" localSheetId="26">#REF!</definedName>
    <definedName name="SL023Month" localSheetId="19">#REF!</definedName>
    <definedName name="SL023Month" localSheetId="20">#REF!</definedName>
    <definedName name="SL023Month" localSheetId="24">#REF!</definedName>
    <definedName name="SL023Month" localSheetId="17">#REF!</definedName>
    <definedName name="SL023Month" localSheetId="16">#REF!</definedName>
    <definedName name="SL023Month" localSheetId="15">#REF!</definedName>
    <definedName name="SL023Month" localSheetId="14">#REF!</definedName>
    <definedName name="SL023Month" localSheetId="25">#REF!</definedName>
    <definedName name="SL023Month" localSheetId="18">#REF!</definedName>
    <definedName name="SL023Month" localSheetId="13">#REF!</definedName>
    <definedName name="SL023Month" localSheetId="7">#REF!</definedName>
    <definedName name="SL023Month" localSheetId="1">#REF!</definedName>
    <definedName name="SL023Month" localSheetId="23">#REF!</definedName>
    <definedName name="SL023Month" localSheetId="28">#REF!</definedName>
    <definedName name="SL023Month" localSheetId="4">#REF!</definedName>
    <definedName name="SL023Month" localSheetId="9">#REF!</definedName>
    <definedName name="SL023Month" localSheetId="22">#REF!</definedName>
    <definedName name="SL023Month">#REF!</definedName>
    <definedName name="SL023Text" localSheetId="27">#REF!</definedName>
    <definedName name="SL023Text" localSheetId="3">#REF!</definedName>
    <definedName name="SL023Text" localSheetId="26">#REF!</definedName>
    <definedName name="SL023Text" localSheetId="19">#REF!</definedName>
    <definedName name="SL023Text" localSheetId="20">#REF!</definedName>
    <definedName name="SL023Text" localSheetId="24">#REF!</definedName>
    <definedName name="SL023Text" localSheetId="17">#REF!</definedName>
    <definedName name="SL023Text" localSheetId="16">#REF!</definedName>
    <definedName name="SL023Text" localSheetId="15">#REF!</definedName>
    <definedName name="SL023Text" localSheetId="14">#REF!</definedName>
    <definedName name="SL023Text" localSheetId="25">#REF!</definedName>
    <definedName name="SL023Text" localSheetId="18">#REF!</definedName>
    <definedName name="SL023Text" localSheetId="13">#REF!</definedName>
    <definedName name="SL023Text" localSheetId="7">#REF!</definedName>
    <definedName name="SL023Text" localSheetId="1">#REF!</definedName>
    <definedName name="SL023Text" localSheetId="23">#REF!</definedName>
    <definedName name="SL023Text" localSheetId="28">#REF!</definedName>
    <definedName name="SL023Text" localSheetId="4">#REF!</definedName>
    <definedName name="SL023Text" localSheetId="9">#REF!</definedName>
    <definedName name="SL023Text" localSheetId="22">#REF!</definedName>
    <definedName name="SL023Text">#REF!</definedName>
    <definedName name="SL023Title" localSheetId="27">#REF!</definedName>
    <definedName name="SL023Title" localSheetId="3">#REF!</definedName>
    <definedName name="SL023Title" localSheetId="26">#REF!</definedName>
    <definedName name="SL023Title" localSheetId="19">#REF!</definedName>
    <definedName name="SL023Title" localSheetId="20">#REF!</definedName>
    <definedName name="SL023Title" localSheetId="24">#REF!</definedName>
    <definedName name="SL023Title" localSheetId="17">#REF!</definedName>
    <definedName name="SL023Title" localSheetId="16">#REF!</definedName>
    <definedName name="SL023Title" localSheetId="15">#REF!</definedName>
    <definedName name="SL023Title" localSheetId="14">#REF!</definedName>
    <definedName name="SL023Title" localSheetId="25">#REF!</definedName>
    <definedName name="SL023Title" localSheetId="18">#REF!</definedName>
    <definedName name="SL023Title" localSheetId="13">#REF!</definedName>
    <definedName name="SL023Title" localSheetId="7">#REF!</definedName>
    <definedName name="SL023Title" localSheetId="1">#REF!</definedName>
    <definedName name="SL023Title" localSheetId="23">#REF!</definedName>
    <definedName name="SL023Title" localSheetId="28">#REF!</definedName>
    <definedName name="SL023Title" localSheetId="4">#REF!</definedName>
    <definedName name="SL023Title" localSheetId="9">#REF!</definedName>
    <definedName name="SL023Title" localSheetId="22">#REF!</definedName>
    <definedName name="SL023Title">#REF!</definedName>
    <definedName name="SL023YTD" localSheetId="27">#REF!</definedName>
    <definedName name="SL023YTD" localSheetId="3">#REF!</definedName>
    <definedName name="SL023YTD" localSheetId="26">#REF!</definedName>
    <definedName name="SL023YTD" localSheetId="19">#REF!</definedName>
    <definedName name="SL023YTD" localSheetId="20">#REF!</definedName>
    <definedName name="SL023YTD" localSheetId="24">#REF!</definedName>
    <definedName name="SL023YTD" localSheetId="17">#REF!</definedName>
    <definedName name="SL023YTD" localSheetId="16">#REF!</definedName>
    <definedName name="SL023YTD" localSheetId="15">#REF!</definedName>
    <definedName name="SL023YTD" localSheetId="14">#REF!</definedName>
    <definedName name="SL023YTD" localSheetId="25">#REF!</definedName>
    <definedName name="SL023YTD" localSheetId="18">#REF!</definedName>
    <definedName name="SL023YTD" localSheetId="13">#REF!</definedName>
    <definedName name="SL023YTD" localSheetId="7">#REF!</definedName>
    <definedName name="SL023YTD" localSheetId="1">#REF!</definedName>
    <definedName name="SL023YTD" localSheetId="23">#REF!</definedName>
    <definedName name="SL023YTD" localSheetId="28">#REF!</definedName>
    <definedName name="SL023YTD" localSheetId="4">#REF!</definedName>
    <definedName name="SL023YTD" localSheetId="9">#REF!</definedName>
    <definedName name="SL023YTD" localSheetId="22">#REF!</definedName>
    <definedName name="SL023YTD">#REF!</definedName>
    <definedName name="SL024Month" localSheetId="27">#REF!</definedName>
    <definedName name="SL024Month" localSheetId="3">#REF!</definedName>
    <definedName name="SL024Month" localSheetId="26">#REF!</definedName>
    <definedName name="SL024Month" localSheetId="19">#REF!</definedName>
    <definedName name="SL024Month" localSheetId="20">#REF!</definedName>
    <definedName name="SL024Month" localSheetId="24">#REF!</definedName>
    <definedName name="SL024Month" localSheetId="17">#REF!</definedName>
    <definedName name="SL024Month" localSheetId="16">#REF!</definedName>
    <definedName name="SL024Month" localSheetId="15">#REF!</definedName>
    <definedName name="SL024Month" localSheetId="14">#REF!</definedName>
    <definedName name="SL024Month" localSheetId="25">#REF!</definedName>
    <definedName name="SL024Month" localSheetId="18">#REF!</definedName>
    <definedName name="SL024Month" localSheetId="13">#REF!</definedName>
    <definedName name="SL024Month" localSheetId="7">#REF!</definedName>
    <definedName name="SL024Month" localSheetId="1">#REF!</definedName>
    <definedName name="SL024Month" localSheetId="23">#REF!</definedName>
    <definedName name="SL024Month" localSheetId="28">#REF!</definedName>
    <definedName name="SL024Month" localSheetId="4">#REF!</definedName>
    <definedName name="SL024Month" localSheetId="9">#REF!</definedName>
    <definedName name="SL024Month" localSheetId="22">#REF!</definedName>
    <definedName name="SL024Month">#REF!</definedName>
    <definedName name="SL024Text" localSheetId="27">#REF!</definedName>
    <definedName name="SL024Text" localSheetId="3">#REF!</definedName>
    <definedName name="SL024Text" localSheetId="26">#REF!</definedName>
    <definedName name="SL024Text" localSheetId="19">#REF!</definedName>
    <definedName name="SL024Text" localSheetId="20">#REF!</definedName>
    <definedName name="SL024Text" localSheetId="24">#REF!</definedName>
    <definedName name="SL024Text" localSheetId="17">#REF!</definedName>
    <definedName name="SL024Text" localSheetId="16">#REF!</definedName>
    <definedName name="SL024Text" localSheetId="15">#REF!</definedName>
    <definedName name="SL024Text" localSheetId="14">#REF!</definedName>
    <definedName name="SL024Text" localSheetId="25">#REF!</definedName>
    <definedName name="SL024Text" localSheetId="18">#REF!</definedName>
    <definedName name="SL024Text" localSheetId="13">#REF!</definedName>
    <definedName name="SL024Text" localSheetId="7">#REF!</definedName>
    <definedName name="SL024Text" localSheetId="1">#REF!</definedName>
    <definedName name="SL024Text" localSheetId="23">#REF!</definedName>
    <definedName name="SL024Text" localSheetId="28">#REF!</definedName>
    <definedName name="SL024Text" localSheetId="4">#REF!</definedName>
    <definedName name="SL024Text" localSheetId="9">#REF!</definedName>
    <definedName name="SL024Text" localSheetId="22">#REF!</definedName>
    <definedName name="SL024Text">#REF!</definedName>
    <definedName name="SL024Title" localSheetId="27">#REF!</definedName>
    <definedName name="SL024Title" localSheetId="3">#REF!</definedName>
    <definedName name="SL024Title" localSheetId="26">#REF!</definedName>
    <definedName name="SL024Title" localSheetId="19">#REF!</definedName>
    <definedName name="SL024Title" localSheetId="20">#REF!</definedName>
    <definedName name="SL024Title" localSheetId="24">#REF!</definedName>
    <definedName name="SL024Title" localSheetId="17">#REF!</definedName>
    <definedName name="SL024Title" localSheetId="16">#REF!</definedName>
    <definedName name="SL024Title" localSheetId="15">#REF!</definedName>
    <definedName name="SL024Title" localSheetId="14">#REF!</definedName>
    <definedName name="SL024Title" localSheetId="25">#REF!</definedName>
    <definedName name="SL024Title" localSheetId="18">#REF!</definedName>
    <definedName name="SL024Title" localSheetId="13">#REF!</definedName>
    <definedName name="SL024Title" localSheetId="7">#REF!</definedName>
    <definedName name="SL024Title" localSheetId="1">#REF!</definedName>
    <definedName name="SL024Title" localSheetId="23">#REF!</definedName>
    <definedName name="SL024Title" localSheetId="28">#REF!</definedName>
    <definedName name="SL024Title" localSheetId="4">#REF!</definedName>
    <definedName name="SL024Title" localSheetId="9">#REF!</definedName>
    <definedName name="SL024Title" localSheetId="22">#REF!</definedName>
    <definedName name="SL024Title">#REF!</definedName>
    <definedName name="SL024YTD" localSheetId="27">#REF!</definedName>
    <definedName name="SL024YTD" localSheetId="3">#REF!</definedName>
    <definedName name="SL024YTD" localSheetId="26">#REF!</definedName>
    <definedName name="SL024YTD" localSheetId="19">#REF!</definedName>
    <definedName name="SL024YTD" localSheetId="20">#REF!</definedName>
    <definedName name="SL024YTD" localSheetId="24">#REF!</definedName>
    <definedName name="SL024YTD" localSheetId="17">#REF!</definedName>
    <definedName name="SL024YTD" localSheetId="16">#REF!</definedName>
    <definedName name="SL024YTD" localSheetId="15">#REF!</definedName>
    <definedName name="SL024YTD" localSheetId="14">#REF!</definedName>
    <definedName name="SL024YTD" localSheetId="25">#REF!</definedName>
    <definedName name="SL024YTD" localSheetId="18">#REF!</definedName>
    <definedName name="SL024YTD" localSheetId="13">#REF!</definedName>
    <definedName name="SL024YTD" localSheetId="7">#REF!</definedName>
    <definedName name="SL024YTD" localSheetId="1">#REF!</definedName>
    <definedName name="SL024YTD" localSheetId="23">#REF!</definedName>
    <definedName name="SL024YTD" localSheetId="28">#REF!</definedName>
    <definedName name="SL024YTD" localSheetId="4">#REF!</definedName>
    <definedName name="SL024YTD" localSheetId="9">#REF!</definedName>
    <definedName name="SL024YTD" localSheetId="22">#REF!</definedName>
    <definedName name="SL024YTD">#REF!</definedName>
    <definedName name="SL025Month" localSheetId="27">#REF!</definedName>
    <definedName name="SL025Month" localSheetId="3">#REF!</definedName>
    <definedName name="SL025Month" localSheetId="26">#REF!</definedName>
    <definedName name="SL025Month" localSheetId="19">#REF!</definedName>
    <definedName name="SL025Month" localSheetId="20">#REF!</definedName>
    <definedName name="SL025Month" localSheetId="24">#REF!</definedName>
    <definedName name="SL025Month" localSheetId="17">#REF!</definedName>
    <definedName name="SL025Month" localSheetId="16">#REF!</definedName>
    <definedName name="SL025Month" localSheetId="15">#REF!</definedName>
    <definedName name="SL025Month" localSheetId="14">#REF!</definedName>
    <definedName name="SL025Month" localSheetId="25">#REF!</definedName>
    <definedName name="SL025Month" localSheetId="18">#REF!</definedName>
    <definedName name="SL025Month" localSheetId="13">#REF!</definedName>
    <definedName name="SL025Month" localSheetId="7">#REF!</definedName>
    <definedName name="SL025Month" localSheetId="1">#REF!</definedName>
    <definedName name="SL025Month" localSheetId="23">#REF!</definedName>
    <definedName name="SL025Month" localSheetId="28">#REF!</definedName>
    <definedName name="SL025Month" localSheetId="4">#REF!</definedName>
    <definedName name="SL025Month" localSheetId="9">#REF!</definedName>
    <definedName name="SL025Month" localSheetId="22">#REF!</definedName>
    <definedName name="SL025Month">#REF!</definedName>
    <definedName name="SL025Text" localSheetId="27">#REF!</definedName>
    <definedName name="SL025Text" localSheetId="3">#REF!</definedName>
    <definedName name="SL025Text" localSheetId="26">#REF!</definedName>
    <definedName name="SL025Text" localSheetId="19">#REF!</definedName>
    <definedName name="SL025Text" localSheetId="20">#REF!</definedName>
    <definedName name="SL025Text" localSheetId="24">#REF!</definedName>
    <definedName name="SL025Text" localSheetId="17">#REF!</definedName>
    <definedName name="SL025Text" localSheetId="16">#REF!</definedName>
    <definedName name="SL025Text" localSheetId="15">#REF!</definedName>
    <definedName name="SL025Text" localSheetId="14">#REF!</definedName>
    <definedName name="SL025Text" localSheetId="25">#REF!</definedName>
    <definedName name="SL025Text" localSheetId="18">#REF!</definedName>
    <definedName name="SL025Text" localSheetId="13">#REF!</definedName>
    <definedName name="SL025Text" localSheetId="7">#REF!</definedName>
    <definedName name="SL025Text" localSheetId="1">#REF!</definedName>
    <definedName name="SL025Text" localSheetId="23">#REF!</definedName>
    <definedName name="SL025Text" localSheetId="28">#REF!</definedName>
    <definedName name="SL025Text" localSheetId="4">#REF!</definedName>
    <definedName name="SL025Text" localSheetId="9">#REF!</definedName>
    <definedName name="SL025Text" localSheetId="22">#REF!</definedName>
    <definedName name="SL025Text">#REF!</definedName>
    <definedName name="SL025Title" localSheetId="27">#REF!</definedName>
    <definedName name="SL025Title" localSheetId="3">#REF!</definedName>
    <definedName name="SL025Title" localSheetId="26">#REF!</definedName>
    <definedName name="SL025Title" localSheetId="19">#REF!</definedName>
    <definedName name="SL025Title" localSheetId="20">#REF!</definedName>
    <definedName name="SL025Title" localSheetId="24">#REF!</definedName>
    <definedName name="SL025Title" localSheetId="17">#REF!</definedName>
    <definedName name="SL025Title" localSheetId="16">#REF!</definedName>
    <definedName name="SL025Title" localSheetId="15">#REF!</definedName>
    <definedName name="SL025Title" localSheetId="14">#REF!</definedName>
    <definedName name="SL025Title" localSheetId="25">#REF!</definedName>
    <definedName name="SL025Title" localSheetId="18">#REF!</definedName>
    <definedName name="SL025Title" localSheetId="13">#REF!</definedName>
    <definedName name="SL025Title" localSheetId="7">#REF!</definedName>
    <definedName name="SL025Title" localSheetId="1">#REF!</definedName>
    <definedName name="SL025Title" localSheetId="23">#REF!</definedName>
    <definedName name="SL025Title" localSheetId="28">#REF!</definedName>
    <definedName name="SL025Title" localSheetId="4">#REF!</definedName>
    <definedName name="SL025Title" localSheetId="9">#REF!</definedName>
    <definedName name="SL025Title" localSheetId="22">#REF!</definedName>
    <definedName name="SL025Title">#REF!</definedName>
    <definedName name="SL025YTD" localSheetId="27">#REF!</definedName>
    <definedName name="SL025YTD" localSheetId="3">#REF!</definedName>
    <definedName name="SL025YTD" localSheetId="26">#REF!</definedName>
    <definedName name="SL025YTD" localSheetId="19">#REF!</definedName>
    <definedName name="SL025YTD" localSheetId="20">#REF!</definedName>
    <definedName name="SL025YTD" localSheetId="24">#REF!</definedName>
    <definedName name="SL025YTD" localSheetId="17">#REF!</definedName>
    <definedName name="SL025YTD" localSheetId="16">#REF!</definedName>
    <definedName name="SL025YTD" localSheetId="15">#REF!</definedName>
    <definedName name="SL025YTD" localSheetId="14">#REF!</definedName>
    <definedName name="SL025YTD" localSheetId="25">#REF!</definedName>
    <definedName name="SL025YTD" localSheetId="18">#REF!</definedName>
    <definedName name="SL025YTD" localSheetId="13">#REF!</definedName>
    <definedName name="SL025YTD" localSheetId="7">#REF!</definedName>
    <definedName name="SL025YTD" localSheetId="1">#REF!</definedName>
    <definedName name="SL025YTD" localSheetId="23">#REF!</definedName>
    <definedName name="SL025YTD" localSheetId="28">#REF!</definedName>
    <definedName name="SL025YTD" localSheetId="4">#REF!</definedName>
    <definedName name="SL025YTD" localSheetId="9">#REF!</definedName>
    <definedName name="SL025YTD" localSheetId="22">#REF!</definedName>
    <definedName name="SL025YTD">#REF!</definedName>
    <definedName name="StartMonth" localSheetId="27">#REF!</definedName>
    <definedName name="StartMonth" localSheetId="3">#REF!</definedName>
    <definedName name="StartMonth" localSheetId="26">#REF!</definedName>
    <definedName name="StartMonth" localSheetId="19">#REF!</definedName>
    <definedName name="StartMonth" localSheetId="20">#REF!</definedName>
    <definedName name="StartMonth" localSheetId="24">#REF!</definedName>
    <definedName name="StartMonth" localSheetId="17">#REF!</definedName>
    <definedName name="StartMonth" localSheetId="16">#REF!</definedName>
    <definedName name="StartMonth" localSheetId="15">#REF!</definedName>
    <definedName name="StartMonth" localSheetId="14">#REF!</definedName>
    <definedName name="StartMonth" localSheetId="25">#REF!</definedName>
    <definedName name="StartMonth" localSheetId="18">#REF!</definedName>
    <definedName name="StartMonth" localSheetId="13">#REF!</definedName>
    <definedName name="StartMonth" localSheetId="7">#REF!</definedName>
    <definedName name="StartMonth" localSheetId="1">#REF!</definedName>
    <definedName name="StartMonth" localSheetId="23">#REF!</definedName>
    <definedName name="StartMonth" localSheetId="28">#REF!</definedName>
    <definedName name="StartMonth" localSheetId="4">#REF!</definedName>
    <definedName name="StartMonth" localSheetId="9">#REF!</definedName>
    <definedName name="StartMonth" localSheetId="22">#REF!</definedName>
    <definedName name="StartMonth">#REF!</definedName>
    <definedName name="SWSC">'national caseload'!$B$43</definedName>
    <definedName name="Target1516M" localSheetId="27">#REF!</definedName>
    <definedName name="Target1516M" localSheetId="3">#REF!</definedName>
    <definedName name="Target1516M" localSheetId="26">#REF!</definedName>
    <definedName name="Target1516M" localSheetId="19">#REF!</definedName>
    <definedName name="Target1516M" localSheetId="20">#REF!</definedName>
    <definedName name="Target1516M" localSheetId="24">#REF!</definedName>
    <definedName name="Target1516M" localSheetId="17">#REF!</definedName>
    <definedName name="Target1516M" localSheetId="16">#REF!</definedName>
    <definedName name="Target1516M" localSheetId="15">#REF!</definedName>
    <definedName name="Target1516M" localSheetId="14">#REF!</definedName>
    <definedName name="Target1516M" localSheetId="25">#REF!</definedName>
    <definedName name="Target1516M" localSheetId="18">#REF!</definedName>
    <definedName name="Target1516M" localSheetId="13">#REF!</definedName>
    <definedName name="Target1516M" localSheetId="7">#REF!</definedName>
    <definedName name="Target1516M" localSheetId="1">#REF!</definedName>
    <definedName name="Target1516M" localSheetId="23">#REF!</definedName>
    <definedName name="Target1516M" localSheetId="28">#REF!</definedName>
    <definedName name="Target1516M" localSheetId="4">#REF!</definedName>
    <definedName name="Target1516M" localSheetId="9">#REF!</definedName>
    <definedName name="Target1516M" localSheetId="22">#REF!</definedName>
    <definedName name="Target1516M">#REF!</definedName>
    <definedName name="Target1516Ref" localSheetId="27">#REF!</definedName>
    <definedName name="Target1516Ref" localSheetId="3">#REF!</definedName>
    <definedName name="Target1516Ref" localSheetId="26">#REF!</definedName>
    <definedName name="Target1516Ref" localSheetId="19">#REF!</definedName>
    <definedName name="Target1516Ref" localSheetId="20">#REF!</definedName>
    <definedName name="Target1516Ref" localSheetId="24">#REF!</definedName>
    <definedName name="Target1516Ref" localSheetId="17">#REF!</definedName>
    <definedName name="Target1516Ref" localSheetId="16">#REF!</definedName>
    <definedName name="Target1516Ref" localSheetId="15">#REF!</definedName>
    <definedName name="Target1516Ref" localSheetId="14">#REF!</definedName>
    <definedName name="Target1516Ref" localSheetId="25">#REF!</definedName>
    <definedName name="Target1516Ref" localSheetId="18">#REF!</definedName>
    <definedName name="Target1516Ref" localSheetId="13">#REF!</definedName>
    <definedName name="Target1516Ref" localSheetId="7">#REF!</definedName>
    <definedName name="Target1516Ref" localSheetId="1">#REF!</definedName>
    <definedName name="Target1516Ref" localSheetId="23">#REF!</definedName>
    <definedName name="Target1516Ref" localSheetId="28">#REF!</definedName>
    <definedName name="Target1516Ref" localSheetId="4">#REF!</definedName>
    <definedName name="Target1516Ref" localSheetId="9">#REF!</definedName>
    <definedName name="Target1516Ref" localSheetId="22">#REF!</definedName>
    <definedName name="Target1516Ref">#REF!</definedName>
    <definedName name="Target1516YTD" localSheetId="27">#REF!</definedName>
    <definedName name="Target1516YTD" localSheetId="3">#REF!</definedName>
    <definedName name="Target1516YTD" localSheetId="26">#REF!</definedName>
    <definedName name="Target1516YTD" localSheetId="19">#REF!</definedName>
    <definedName name="Target1516YTD" localSheetId="20">#REF!</definedName>
    <definedName name="Target1516YTD" localSheetId="24">#REF!</definedName>
    <definedName name="Target1516YTD" localSheetId="17">#REF!</definedName>
    <definedName name="Target1516YTD" localSheetId="16">#REF!</definedName>
    <definedName name="Target1516YTD" localSheetId="15">#REF!</definedName>
    <definedName name="Target1516YTD" localSheetId="14">#REF!</definedName>
    <definedName name="Target1516YTD" localSheetId="25">#REF!</definedName>
    <definedName name="Target1516YTD" localSheetId="18">#REF!</definedName>
    <definedName name="Target1516YTD" localSheetId="13">#REF!</definedName>
    <definedName name="Target1516YTD" localSheetId="7">#REF!</definedName>
    <definedName name="Target1516YTD" localSheetId="1">#REF!</definedName>
    <definedName name="Target1516YTD" localSheetId="23">#REF!</definedName>
    <definedName name="Target1516YTD" localSheetId="28">#REF!</definedName>
    <definedName name="Target1516YTD" localSheetId="4">#REF!</definedName>
    <definedName name="Target1516YTD" localSheetId="9">#REF!</definedName>
    <definedName name="Target1516YTD" localSheetId="22">#REF!</definedName>
    <definedName name="Target1516YTD">#REF!</definedName>
    <definedName name="Targets" localSheetId="27">#REF!</definedName>
    <definedName name="Targets" localSheetId="3">#REF!</definedName>
    <definedName name="Targets" localSheetId="26">#REF!</definedName>
    <definedName name="Targets" localSheetId="19">#REF!</definedName>
    <definedName name="Targets" localSheetId="20">#REF!</definedName>
    <definedName name="Targets" localSheetId="24">#REF!</definedName>
    <definedName name="Targets" localSheetId="17">#REF!</definedName>
    <definedName name="Targets" localSheetId="16">#REF!</definedName>
    <definedName name="Targets" localSheetId="15">#REF!</definedName>
    <definedName name="Targets" localSheetId="14">#REF!</definedName>
    <definedName name="Targets" localSheetId="25">#REF!</definedName>
    <definedName name="Targets" localSheetId="18">#REF!</definedName>
    <definedName name="Targets" localSheetId="13">#REF!</definedName>
    <definedName name="Targets" localSheetId="7">#REF!</definedName>
    <definedName name="Targets" localSheetId="1">#REF!</definedName>
    <definedName name="Targets" localSheetId="23">#REF!</definedName>
    <definedName name="Targets" localSheetId="28">#REF!</definedName>
    <definedName name="Targets" localSheetId="4">#REF!</definedName>
    <definedName name="Targets" localSheetId="9">#REF!</definedName>
    <definedName name="Targets" localSheetId="22">#REF!</definedName>
    <definedName name="Targets">#REF!</definedName>
    <definedName name="Targets2" localSheetId="27">#REF!</definedName>
    <definedName name="Targets2" localSheetId="3">#REF!</definedName>
    <definedName name="Targets2" localSheetId="26">#REF!</definedName>
    <definedName name="Targets2" localSheetId="19">#REF!</definedName>
    <definedName name="Targets2" localSheetId="20">#REF!</definedName>
    <definedName name="Targets2" localSheetId="24">#REF!</definedName>
    <definedName name="Targets2" localSheetId="17">#REF!</definedName>
    <definedName name="Targets2" localSheetId="16">#REF!</definedName>
    <definedName name="Targets2" localSheetId="15">#REF!</definedName>
    <definedName name="Targets2" localSheetId="14">#REF!</definedName>
    <definedName name="Targets2" localSheetId="25">#REF!</definedName>
    <definedName name="Targets2" localSheetId="18">#REF!</definedName>
    <definedName name="Targets2" localSheetId="13">#REF!</definedName>
    <definedName name="Targets2" localSheetId="7">#REF!</definedName>
    <definedName name="Targets2" localSheetId="1">#REF!</definedName>
    <definedName name="Targets2" localSheetId="23">#REF!</definedName>
    <definedName name="Targets2" localSheetId="28">#REF!</definedName>
    <definedName name="Targets2" localSheetId="4">#REF!</definedName>
    <definedName name="Targets2" localSheetId="9">#REF!</definedName>
    <definedName name="Targets2" localSheetId="22">#REF!</definedName>
    <definedName name="Targets2">#REF!</definedName>
    <definedName name="Team_Regions">PDUs!$X$1:$AS$1</definedName>
    <definedName name="W">'national caseload'!$B$47</definedName>
    <definedName name="Wales" localSheetId="17">#REF!</definedName>
    <definedName name="Wales" localSheetId="16">#REF!</definedName>
    <definedName name="Wales" localSheetId="15">#REF!</definedName>
    <definedName name="Wales" localSheetId="14">#REF!</definedName>
    <definedName name="Wales" localSheetId="13">#REF!</definedName>
    <definedName name="Wales" localSheetId="9">#REF!</definedName>
    <definedName name="Wales">#REF!</definedName>
    <definedName name="Weighting" localSheetId="27">#REF!</definedName>
    <definedName name="Weighting" localSheetId="3">#REF!</definedName>
    <definedName name="Weighting" localSheetId="26">#REF!</definedName>
    <definedName name="Weighting" localSheetId="19">#REF!</definedName>
    <definedName name="Weighting" localSheetId="20">#REF!</definedName>
    <definedName name="Weighting" localSheetId="24">#REF!</definedName>
    <definedName name="Weighting" localSheetId="17">#REF!</definedName>
    <definedName name="Weighting" localSheetId="16">#REF!</definedName>
    <definedName name="Weighting" localSheetId="15">#REF!</definedName>
    <definedName name="Weighting" localSheetId="14">#REF!</definedName>
    <definedName name="Weighting" localSheetId="25">#REF!</definedName>
    <definedName name="Weighting" localSheetId="18">#REF!</definedName>
    <definedName name="Weighting" localSheetId="13">#REF!</definedName>
    <definedName name="Weighting" localSheetId="7">#REF!</definedName>
    <definedName name="Weighting" localSheetId="1">#REF!</definedName>
    <definedName name="Weighting" localSheetId="23">#REF!</definedName>
    <definedName name="Weighting" localSheetId="28">#REF!</definedName>
    <definedName name="Weighting" localSheetId="4">#REF!</definedName>
    <definedName name="Weighting" localSheetId="9">#REF!</definedName>
    <definedName name="Weighting" localSheetId="22">#REF!</definedName>
    <definedName name="Weighting">#REF!</definedName>
    <definedName name="WMR">'national caseload'!$B$51</definedName>
    <definedName name="WorkPackages" localSheetId="3">'[3]List Data'!$A$2:$A$77</definedName>
    <definedName name="WorkPackages" localSheetId="19">'[3]List Data'!$A$2:$A$77</definedName>
    <definedName name="WorkPackages" localSheetId="20">'[3]List Data'!$A$2:$A$77</definedName>
    <definedName name="WorkPackages" localSheetId="24">'[3]List Data'!$A$2:$A$77</definedName>
    <definedName name="WorkPackages" localSheetId="25">'[3]List Data'!$A$2:$A$77</definedName>
    <definedName name="WorkPackages" localSheetId="18">'[3]List Data'!$A$2:$A$77</definedName>
    <definedName name="WorkPackages" localSheetId="1">'[3]List Data'!$A$2:$A$77</definedName>
    <definedName name="WorkPackages" localSheetId="23">'[3]List Data'!$A$2:$A$77</definedName>
    <definedName name="WorkPackages" localSheetId="4">'[3]List Data'!$A$2:$A$77</definedName>
    <definedName name="WorkPackages" localSheetId="22">'[3]List Data'!$A$2:$A$77</definedName>
    <definedName name="WorkPackages">'[2]List Data'!$A$2:$A$77</definedName>
    <definedName name="YATH">'national caseload'!$B$55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7" i="106" l="1"/>
  <c r="I17" i="106" s="1"/>
  <c r="D17" i="106"/>
  <c r="E17" i="106" s="1"/>
  <c r="H32" i="106"/>
  <c r="D32" i="106"/>
  <c r="E32" i="106" s="1"/>
  <c r="C22" i="87"/>
  <c r="Y68" i="87"/>
  <c r="C2" i="92"/>
  <c r="C2" i="91"/>
  <c r="C2" i="93"/>
  <c r="M28" i="88"/>
  <c r="L28" i="88"/>
  <c r="J28" i="88"/>
  <c r="I28" i="88"/>
  <c r="G28" i="88"/>
  <c r="H28" i="88" s="1"/>
  <c r="F28" i="88"/>
  <c r="D28" i="88"/>
  <c r="E28" i="88" s="1"/>
  <c r="C28" i="88"/>
  <c r="M27" i="88"/>
  <c r="N27" i="88" s="1"/>
  <c r="L27" i="88"/>
  <c r="J27" i="88"/>
  <c r="I27" i="88"/>
  <c r="G27" i="88"/>
  <c r="H27" i="88" s="1"/>
  <c r="F27" i="88"/>
  <c r="D27" i="88"/>
  <c r="C27" i="88"/>
  <c r="M26" i="88"/>
  <c r="N26" i="88" s="1"/>
  <c r="L26" i="88"/>
  <c r="J26" i="88"/>
  <c r="K26" i="88" s="1"/>
  <c r="I26" i="88"/>
  <c r="G26" i="88"/>
  <c r="H26" i="88" s="1"/>
  <c r="F26" i="88"/>
  <c r="D26" i="88"/>
  <c r="C26" i="88"/>
  <c r="M25" i="88"/>
  <c r="N25" i="88" s="1"/>
  <c r="L25" i="88"/>
  <c r="J25" i="88"/>
  <c r="K25" i="88" s="1"/>
  <c r="I25" i="88"/>
  <c r="G25" i="88"/>
  <c r="F25" i="88"/>
  <c r="D25" i="88"/>
  <c r="E25" i="88" s="1"/>
  <c r="C25" i="88"/>
  <c r="N24" i="88"/>
  <c r="M24" i="88"/>
  <c r="L24" i="88"/>
  <c r="J24" i="88"/>
  <c r="K24" i="88" s="1"/>
  <c r="I24" i="88"/>
  <c r="G24" i="88"/>
  <c r="H24" i="88" s="1"/>
  <c r="F24" i="88"/>
  <c r="D24" i="88"/>
  <c r="C24" i="88"/>
  <c r="E24" i="88" s="1"/>
  <c r="N23" i="88"/>
  <c r="M23" i="88"/>
  <c r="L23" i="88"/>
  <c r="J23" i="88"/>
  <c r="I23" i="88"/>
  <c r="G23" i="88"/>
  <c r="H23" i="88" s="1"/>
  <c r="F23" i="88"/>
  <c r="D23" i="88"/>
  <c r="E23" i="88" s="1"/>
  <c r="C23" i="88"/>
  <c r="M22" i="88"/>
  <c r="N22" i="88" s="1"/>
  <c r="L22" i="88"/>
  <c r="J22" i="88"/>
  <c r="K22" i="88" s="1"/>
  <c r="I22" i="88"/>
  <c r="G22" i="88"/>
  <c r="F22" i="88"/>
  <c r="D22" i="88"/>
  <c r="C22" i="88"/>
  <c r="M21" i="88"/>
  <c r="N21" i="88" s="1"/>
  <c r="L21" i="88"/>
  <c r="J21" i="88"/>
  <c r="K21" i="88" s="1"/>
  <c r="I21" i="88"/>
  <c r="G21" i="88"/>
  <c r="H21" i="88" s="1"/>
  <c r="F21" i="88"/>
  <c r="D21" i="88"/>
  <c r="C21" i="88"/>
  <c r="M20" i="88"/>
  <c r="N20" i="88" s="1"/>
  <c r="L20" i="88"/>
  <c r="J20" i="88"/>
  <c r="I20" i="88"/>
  <c r="G20" i="88"/>
  <c r="H20" i="88" s="1"/>
  <c r="F20" i="88"/>
  <c r="D20" i="88"/>
  <c r="C20" i="88"/>
  <c r="E20" i="88" s="1"/>
  <c r="M19" i="88"/>
  <c r="N19" i="88" s="1"/>
  <c r="L19" i="88"/>
  <c r="J19" i="88"/>
  <c r="K19" i="88" s="1"/>
  <c r="I19" i="88"/>
  <c r="G19" i="88"/>
  <c r="F19" i="88"/>
  <c r="D19" i="88"/>
  <c r="C19" i="88"/>
  <c r="M18" i="88"/>
  <c r="N18" i="88" s="1"/>
  <c r="L18" i="88"/>
  <c r="J18" i="88"/>
  <c r="K18" i="88" s="1"/>
  <c r="I18" i="88"/>
  <c r="G18" i="88"/>
  <c r="F18" i="88"/>
  <c r="D18" i="88"/>
  <c r="C18" i="88"/>
  <c r="E18" i="88" s="1"/>
  <c r="M17" i="88"/>
  <c r="N17" i="88" s="1"/>
  <c r="L17" i="88"/>
  <c r="J17" i="88"/>
  <c r="I17" i="88"/>
  <c r="G17" i="88"/>
  <c r="F17" i="88"/>
  <c r="D17" i="88"/>
  <c r="C17" i="88"/>
  <c r="M16" i="88"/>
  <c r="N16" i="88" s="1"/>
  <c r="L16" i="88"/>
  <c r="J16" i="88"/>
  <c r="I16" i="88"/>
  <c r="G16" i="88"/>
  <c r="F16" i="88"/>
  <c r="D16" i="88"/>
  <c r="C16" i="88"/>
  <c r="E16" i="88" s="1"/>
  <c r="M15" i="88"/>
  <c r="L15" i="88"/>
  <c r="N15" i="88" s="1"/>
  <c r="J15" i="88"/>
  <c r="I15" i="88"/>
  <c r="G15" i="88"/>
  <c r="F15" i="88"/>
  <c r="D15" i="88"/>
  <c r="C15" i="88"/>
  <c r="N14" i="88"/>
  <c r="M14" i="88"/>
  <c r="L14" i="88"/>
  <c r="J14" i="88"/>
  <c r="I14" i="88"/>
  <c r="G14" i="88"/>
  <c r="F14" i="88"/>
  <c r="D14" i="88"/>
  <c r="C14" i="88"/>
  <c r="M13" i="88"/>
  <c r="L13" i="88"/>
  <c r="N13" i="88" s="1"/>
  <c r="J13" i="88"/>
  <c r="I13" i="88"/>
  <c r="G13" i="88"/>
  <c r="F13" i="88"/>
  <c r="D13" i="88"/>
  <c r="E13" i="88" s="1"/>
  <c r="C13" i="88"/>
  <c r="M12" i="88"/>
  <c r="N12" i="88" s="1"/>
  <c r="L12" i="88"/>
  <c r="J12" i="88"/>
  <c r="I12" i="88"/>
  <c r="G12" i="88"/>
  <c r="H12" i="88" s="1"/>
  <c r="F12" i="88"/>
  <c r="D12" i="88"/>
  <c r="C12" i="88"/>
  <c r="N11" i="88"/>
  <c r="M11" i="88"/>
  <c r="L11" i="88"/>
  <c r="J11" i="88"/>
  <c r="I11" i="88"/>
  <c r="G11" i="88"/>
  <c r="H11" i="88" s="1"/>
  <c r="F11" i="88"/>
  <c r="D11" i="88"/>
  <c r="C11" i="88"/>
  <c r="N10" i="88"/>
  <c r="M10" i="88"/>
  <c r="L10" i="88"/>
  <c r="J10" i="88"/>
  <c r="K10" i="88" s="1"/>
  <c r="I10" i="88"/>
  <c r="G10" i="88"/>
  <c r="H10" i="88" s="1"/>
  <c r="F10" i="88"/>
  <c r="D10" i="88"/>
  <c r="C10" i="88"/>
  <c r="M9" i="88"/>
  <c r="N9" i="88" s="1"/>
  <c r="L9" i="88"/>
  <c r="J9" i="88"/>
  <c r="K9" i="88" s="1"/>
  <c r="I9" i="88"/>
  <c r="G9" i="88"/>
  <c r="F9" i="88"/>
  <c r="D9" i="88"/>
  <c r="E9" i="88" s="1"/>
  <c r="C9" i="88"/>
  <c r="N8" i="88"/>
  <c r="M8" i="88"/>
  <c r="L8" i="88"/>
  <c r="J8" i="88"/>
  <c r="K8" i="88" s="1"/>
  <c r="I8" i="88"/>
  <c r="G8" i="88"/>
  <c r="H8" i="88" s="1"/>
  <c r="F8" i="88"/>
  <c r="D8" i="88"/>
  <c r="C8" i="88"/>
  <c r="E8" i="88" s="1"/>
  <c r="N7" i="88"/>
  <c r="M7" i="88"/>
  <c r="L7" i="88"/>
  <c r="J7" i="88"/>
  <c r="I7" i="88"/>
  <c r="G7" i="88"/>
  <c r="H7" i="88" s="1"/>
  <c r="F7" i="88"/>
  <c r="D7" i="88"/>
  <c r="E7" i="88" s="1"/>
  <c r="C7" i="88"/>
  <c r="M6" i="88"/>
  <c r="N6" i="88" s="1"/>
  <c r="L6" i="88"/>
  <c r="J6" i="88"/>
  <c r="K6" i="88" s="1"/>
  <c r="I6" i="88"/>
  <c r="G6" i="88"/>
  <c r="F6" i="88"/>
  <c r="D6" i="88"/>
  <c r="C6" i="88"/>
  <c r="C51" i="89"/>
  <c r="B51" i="89"/>
  <c r="C50" i="89"/>
  <c r="B50" i="89"/>
  <c r="C49" i="89"/>
  <c r="B49" i="89"/>
  <c r="C48" i="89"/>
  <c r="B48" i="89"/>
  <c r="C47" i="89"/>
  <c r="B47" i="89"/>
  <c r="C46" i="89"/>
  <c r="B46" i="89"/>
  <c r="C45" i="89"/>
  <c r="B45" i="89"/>
  <c r="C44" i="89"/>
  <c r="B44" i="89"/>
  <c r="C43" i="89"/>
  <c r="B43" i="89"/>
  <c r="C42" i="89"/>
  <c r="B42" i="89"/>
  <c r="C41" i="89"/>
  <c r="B41" i="89"/>
  <c r="C40" i="89"/>
  <c r="B40" i="89"/>
  <c r="C39" i="89"/>
  <c r="B39" i="89"/>
  <c r="C38" i="89"/>
  <c r="B38" i="89"/>
  <c r="C37" i="89"/>
  <c r="B37" i="89"/>
  <c r="C36" i="89"/>
  <c r="B36" i="89"/>
  <c r="C35" i="89"/>
  <c r="B35" i="89"/>
  <c r="C34" i="89"/>
  <c r="B34" i="89"/>
  <c r="C33" i="89"/>
  <c r="B33" i="89"/>
  <c r="C32" i="89"/>
  <c r="B32" i="89"/>
  <c r="C31" i="89"/>
  <c r="B31" i="89"/>
  <c r="C30" i="89"/>
  <c r="B30" i="89"/>
  <c r="C29" i="89"/>
  <c r="B29" i="89"/>
  <c r="C28" i="89"/>
  <c r="B28" i="89"/>
  <c r="C27" i="89"/>
  <c r="B27" i="89"/>
  <c r="C26" i="89"/>
  <c r="B26" i="89"/>
  <c r="C25" i="89"/>
  <c r="B25" i="89"/>
  <c r="C24" i="89"/>
  <c r="B24" i="89"/>
  <c r="C23" i="89"/>
  <c r="B23" i="89"/>
  <c r="C22" i="89"/>
  <c r="B22" i="89"/>
  <c r="C21" i="89"/>
  <c r="B21" i="89"/>
  <c r="C20" i="89"/>
  <c r="B20" i="89"/>
  <c r="C19" i="89"/>
  <c r="B19" i="89"/>
  <c r="C18" i="89"/>
  <c r="B18" i="89"/>
  <c r="C17" i="89"/>
  <c r="B17" i="89"/>
  <c r="C16" i="89"/>
  <c r="B16" i="89"/>
  <c r="C15" i="89"/>
  <c r="B15" i="89"/>
  <c r="C14" i="89"/>
  <c r="B14" i="89"/>
  <c r="C13" i="89"/>
  <c r="B13" i="89"/>
  <c r="F12" i="89"/>
  <c r="C12" i="89"/>
  <c r="B12" i="89"/>
  <c r="F11" i="89"/>
  <c r="C11" i="89"/>
  <c r="B11" i="89"/>
  <c r="F10" i="89"/>
  <c r="C10" i="89"/>
  <c r="B10" i="89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H116" i="87"/>
  <c r="G116" i="87"/>
  <c r="F116" i="87"/>
  <c r="E116" i="87"/>
  <c r="D116" i="87"/>
  <c r="C116" i="87"/>
  <c r="Y115" i="87"/>
  <c r="X115" i="87"/>
  <c r="X117" i="87" s="1"/>
  <c r="W115" i="87"/>
  <c r="W117" i="87" s="1"/>
  <c r="V115" i="87"/>
  <c r="U115" i="87"/>
  <c r="T115" i="87"/>
  <c r="T117" i="87" s="1"/>
  <c r="S115" i="87"/>
  <c r="S117" i="87" s="1"/>
  <c r="R115" i="87"/>
  <c r="Q115" i="87"/>
  <c r="P115" i="87"/>
  <c r="O115" i="87"/>
  <c r="N115" i="87"/>
  <c r="M115" i="87"/>
  <c r="L115" i="87"/>
  <c r="K115" i="87"/>
  <c r="J115" i="87"/>
  <c r="I115" i="87"/>
  <c r="I117" i="87" s="1"/>
  <c r="H115" i="87"/>
  <c r="H117" i="87" s="1"/>
  <c r="G115" i="87"/>
  <c r="G117" i="87" s="1"/>
  <c r="F115" i="87"/>
  <c r="E115" i="87"/>
  <c r="D115" i="87"/>
  <c r="D117" i="87" s="1"/>
  <c r="C115" i="87"/>
  <c r="C117" i="87" s="1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E114" i="87"/>
  <c r="D114" i="87"/>
  <c r="C114" i="87"/>
  <c r="Y113" i="87"/>
  <c r="X113" i="87"/>
  <c r="W113" i="87"/>
  <c r="V113" i="87"/>
  <c r="U113" i="87"/>
  <c r="T113" i="87"/>
  <c r="S113" i="87"/>
  <c r="R113" i="87"/>
  <c r="Q113" i="87"/>
  <c r="P113" i="87"/>
  <c r="O113" i="87"/>
  <c r="N113" i="87"/>
  <c r="M113" i="87"/>
  <c r="L113" i="87"/>
  <c r="K113" i="87"/>
  <c r="J113" i="87"/>
  <c r="I113" i="87"/>
  <c r="H113" i="87"/>
  <c r="G113" i="87"/>
  <c r="F113" i="87"/>
  <c r="E113" i="87"/>
  <c r="D113" i="87"/>
  <c r="C113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E112" i="87"/>
  <c r="D112" i="87"/>
  <c r="C112" i="87"/>
  <c r="Y111" i="87"/>
  <c r="X111" i="87"/>
  <c r="W111" i="87"/>
  <c r="V111" i="87"/>
  <c r="U111" i="87"/>
  <c r="T111" i="87"/>
  <c r="S111" i="87"/>
  <c r="R111" i="87"/>
  <c r="Q111" i="87"/>
  <c r="P111" i="87"/>
  <c r="O111" i="87"/>
  <c r="N111" i="87"/>
  <c r="M111" i="87"/>
  <c r="L111" i="87"/>
  <c r="K111" i="87"/>
  <c r="J111" i="87"/>
  <c r="I111" i="87"/>
  <c r="H111" i="87"/>
  <c r="G111" i="87"/>
  <c r="F111" i="87"/>
  <c r="E111" i="87"/>
  <c r="D111" i="87"/>
  <c r="C111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E110" i="87"/>
  <c r="D110" i="87"/>
  <c r="C110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L109" i="87"/>
  <c r="K109" i="87"/>
  <c r="J109" i="87"/>
  <c r="I109" i="87"/>
  <c r="H109" i="87"/>
  <c r="G109" i="87"/>
  <c r="F109" i="87"/>
  <c r="E109" i="87"/>
  <c r="D109" i="87"/>
  <c r="C109" i="87"/>
  <c r="Y108" i="87"/>
  <c r="X108" i="87"/>
  <c r="W108" i="87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E108" i="87"/>
  <c r="D108" i="87"/>
  <c r="C108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J107" i="87"/>
  <c r="I107" i="87"/>
  <c r="H107" i="87"/>
  <c r="G107" i="87"/>
  <c r="F107" i="87"/>
  <c r="E107" i="87"/>
  <c r="D107" i="87"/>
  <c r="C107" i="87"/>
  <c r="Y106" i="87"/>
  <c r="X106" i="87"/>
  <c r="W106" i="87"/>
  <c r="V106" i="87"/>
  <c r="U106" i="87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E106" i="87"/>
  <c r="D106" i="87"/>
  <c r="C106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I105" i="87"/>
  <c r="H105" i="87"/>
  <c r="G105" i="87"/>
  <c r="F105" i="87"/>
  <c r="E105" i="87"/>
  <c r="D105" i="87"/>
  <c r="C105" i="87"/>
  <c r="Y104" i="87"/>
  <c r="X104" i="87"/>
  <c r="W104" i="87"/>
  <c r="V104" i="87"/>
  <c r="U104" i="87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E104" i="87"/>
  <c r="D104" i="87"/>
  <c r="C104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G103" i="87"/>
  <c r="F103" i="87"/>
  <c r="E103" i="87"/>
  <c r="D103" i="87"/>
  <c r="C103" i="87"/>
  <c r="Y102" i="87"/>
  <c r="X102" i="87"/>
  <c r="W102" i="87"/>
  <c r="V102" i="87"/>
  <c r="U102" i="87"/>
  <c r="T102" i="87"/>
  <c r="S102" i="87"/>
  <c r="R102" i="87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E102" i="87"/>
  <c r="D102" i="87"/>
  <c r="C102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E101" i="87"/>
  <c r="D101" i="87"/>
  <c r="C101" i="87"/>
  <c r="Y100" i="87"/>
  <c r="X100" i="87"/>
  <c r="W100" i="87"/>
  <c r="V100" i="87"/>
  <c r="U100" i="87"/>
  <c r="T100" i="87"/>
  <c r="S100" i="87"/>
  <c r="R100" i="87"/>
  <c r="Q100" i="87"/>
  <c r="P100" i="87"/>
  <c r="O100" i="87"/>
  <c r="N100" i="87"/>
  <c r="M100" i="87"/>
  <c r="L100" i="87"/>
  <c r="K100" i="87"/>
  <c r="J100" i="87"/>
  <c r="I100" i="87"/>
  <c r="H100" i="87"/>
  <c r="G100" i="87"/>
  <c r="F100" i="87"/>
  <c r="E100" i="87"/>
  <c r="D100" i="87"/>
  <c r="C100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E99" i="87"/>
  <c r="D99" i="87"/>
  <c r="C99" i="87"/>
  <c r="Y98" i="87"/>
  <c r="X98" i="87"/>
  <c r="W98" i="87"/>
  <c r="V98" i="87"/>
  <c r="U98" i="87"/>
  <c r="T98" i="87"/>
  <c r="S98" i="87"/>
  <c r="R98" i="87"/>
  <c r="Q98" i="87"/>
  <c r="P98" i="87"/>
  <c r="O98" i="87"/>
  <c r="N98" i="87"/>
  <c r="M98" i="87"/>
  <c r="L98" i="87"/>
  <c r="K98" i="87"/>
  <c r="J98" i="87"/>
  <c r="I98" i="87"/>
  <c r="H98" i="87"/>
  <c r="G98" i="87"/>
  <c r="F98" i="87"/>
  <c r="E98" i="87"/>
  <c r="D98" i="87"/>
  <c r="C98" i="87"/>
  <c r="Y97" i="87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E97" i="87"/>
  <c r="D97" i="87"/>
  <c r="C97" i="87"/>
  <c r="Y96" i="87"/>
  <c r="X96" i="87"/>
  <c r="W96" i="87"/>
  <c r="V96" i="87"/>
  <c r="U96" i="87"/>
  <c r="T96" i="87"/>
  <c r="S96" i="87"/>
  <c r="R96" i="87"/>
  <c r="Q96" i="87"/>
  <c r="P96" i="87"/>
  <c r="O96" i="87"/>
  <c r="N96" i="87"/>
  <c r="M96" i="87"/>
  <c r="L96" i="87"/>
  <c r="K96" i="87"/>
  <c r="J96" i="87"/>
  <c r="I96" i="87"/>
  <c r="H96" i="87"/>
  <c r="G96" i="87"/>
  <c r="F96" i="87"/>
  <c r="E96" i="87"/>
  <c r="D96" i="87"/>
  <c r="C96" i="87"/>
  <c r="Y95" i="87"/>
  <c r="X95" i="87"/>
  <c r="W95" i="87"/>
  <c r="V95" i="87"/>
  <c r="U95" i="87"/>
  <c r="T95" i="87"/>
  <c r="S95" i="87"/>
  <c r="R95" i="87"/>
  <c r="Q95" i="87"/>
  <c r="P95" i="87"/>
  <c r="O95" i="87"/>
  <c r="N95" i="87"/>
  <c r="M95" i="87"/>
  <c r="L95" i="87"/>
  <c r="K95" i="87"/>
  <c r="J95" i="87"/>
  <c r="I95" i="87"/>
  <c r="H95" i="87"/>
  <c r="G95" i="87"/>
  <c r="F95" i="87"/>
  <c r="E95" i="87"/>
  <c r="D95" i="87"/>
  <c r="C95" i="87"/>
  <c r="Y94" i="87"/>
  <c r="X94" i="87"/>
  <c r="W94" i="87"/>
  <c r="V94" i="87"/>
  <c r="U94" i="87"/>
  <c r="T94" i="87"/>
  <c r="S94" i="87"/>
  <c r="R94" i="87"/>
  <c r="Q94" i="87"/>
  <c r="P94" i="87"/>
  <c r="O94" i="87"/>
  <c r="N94" i="87"/>
  <c r="M94" i="87"/>
  <c r="L94" i="87"/>
  <c r="K94" i="87"/>
  <c r="J94" i="87"/>
  <c r="I94" i="87"/>
  <c r="H94" i="87"/>
  <c r="G94" i="87"/>
  <c r="F94" i="87"/>
  <c r="E94" i="87"/>
  <c r="D94" i="87"/>
  <c r="C94" i="87"/>
  <c r="Y93" i="87"/>
  <c r="X93" i="87"/>
  <c r="W93" i="87"/>
  <c r="V93" i="87"/>
  <c r="U93" i="87"/>
  <c r="T93" i="87"/>
  <c r="S93" i="87"/>
  <c r="R93" i="87"/>
  <c r="Q93" i="87"/>
  <c r="P93" i="87"/>
  <c r="O93" i="87"/>
  <c r="N93" i="87"/>
  <c r="M93" i="87"/>
  <c r="L93" i="87"/>
  <c r="K93" i="87"/>
  <c r="J93" i="87"/>
  <c r="I93" i="87"/>
  <c r="H93" i="87"/>
  <c r="G93" i="87"/>
  <c r="F93" i="87"/>
  <c r="E93" i="87"/>
  <c r="D93" i="87"/>
  <c r="C93" i="87"/>
  <c r="Y92" i="87"/>
  <c r="X92" i="87"/>
  <c r="W92" i="87"/>
  <c r="V92" i="87"/>
  <c r="U92" i="87"/>
  <c r="T92" i="87"/>
  <c r="S92" i="87"/>
  <c r="R92" i="87"/>
  <c r="Q92" i="87"/>
  <c r="P92" i="87"/>
  <c r="O92" i="87"/>
  <c r="N92" i="87"/>
  <c r="M92" i="87"/>
  <c r="L92" i="87"/>
  <c r="K92" i="87"/>
  <c r="J92" i="87"/>
  <c r="I92" i="87"/>
  <c r="H92" i="87"/>
  <c r="G92" i="87"/>
  <c r="F92" i="87"/>
  <c r="E92" i="87"/>
  <c r="D92" i="87"/>
  <c r="C92" i="87"/>
  <c r="Y91" i="87"/>
  <c r="X91" i="87"/>
  <c r="W91" i="87"/>
  <c r="V91" i="87"/>
  <c r="U91" i="87"/>
  <c r="T91" i="87"/>
  <c r="S91" i="87"/>
  <c r="R91" i="87"/>
  <c r="Q91" i="87"/>
  <c r="P91" i="87"/>
  <c r="O91" i="87"/>
  <c r="N91" i="87"/>
  <c r="M91" i="87"/>
  <c r="L91" i="87"/>
  <c r="K91" i="87"/>
  <c r="J91" i="87"/>
  <c r="I91" i="87"/>
  <c r="H91" i="87"/>
  <c r="G91" i="87"/>
  <c r="F91" i="87"/>
  <c r="E91" i="87"/>
  <c r="D91" i="87"/>
  <c r="C91" i="87"/>
  <c r="Y90" i="87"/>
  <c r="X90" i="87"/>
  <c r="W90" i="87"/>
  <c r="V90" i="87"/>
  <c r="U90" i="87"/>
  <c r="T90" i="87"/>
  <c r="S90" i="87"/>
  <c r="R90" i="87"/>
  <c r="Q90" i="87"/>
  <c r="P90" i="87"/>
  <c r="O90" i="87"/>
  <c r="N90" i="87"/>
  <c r="M90" i="87"/>
  <c r="L90" i="87"/>
  <c r="K90" i="87"/>
  <c r="J90" i="87"/>
  <c r="I90" i="87"/>
  <c r="H90" i="87"/>
  <c r="G90" i="87"/>
  <c r="F90" i="87"/>
  <c r="E90" i="87"/>
  <c r="D90" i="87"/>
  <c r="C90" i="87"/>
  <c r="Y89" i="87"/>
  <c r="X89" i="87"/>
  <c r="W89" i="87"/>
  <c r="V89" i="87"/>
  <c r="U89" i="87"/>
  <c r="T89" i="87"/>
  <c r="S89" i="87"/>
  <c r="R89" i="87"/>
  <c r="Q89" i="87"/>
  <c r="P89" i="87"/>
  <c r="O89" i="87"/>
  <c r="N89" i="87"/>
  <c r="M89" i="87"/>
  <c r="L89" i="87"/>
  <c r="K89" i="87"/>
  <c r="J89" i="87"/>
  <c r="I89" i="87"/>
  <c r="H89" i="87"/>
  <c r="G89" i="87"/>
  <c r="F89" i="87"/>
  <c r="E89" i="87"/>
  <c r="D89" i="87"/>
  <c r="C89" i="87"/>
  <c r="Y88" i="87"/>
  <c r="X88" i="87"/>
  <c r="W88" i="87"/>
  <c r="V88" i="87"/>
  <c r="U88" i="87"/>
  <c r="T88" i="87"/>
  <c r="S88" i="87"/>
  <c r="R88" i="87"/>
  <c r="Q88" i="87"/>
  <c r="P88" i="87"/>
  <c r="O88" i="87"/>
  <c r="N88" i="87"/>
  <c r="M88" i="87"/>
  <c r="L88" i="87"/>
  <c r="K88" i="87"/>
  <c r="J88" i="87"/>
  <c r="I88" i="87"/>
  <c r="H88" i="87"/>
  <c r="G88" i="87"/>
  <c r="F88" i="87"/>
  <c r="E88" i="87"/>
  <c r="D88" i="87"/>
  <c r="C88" i="87"/>
  <c r="Y87" i="87"/>
  <c r="X87" i="87"/>
  <c r="W87" i="87"/>
  <c r="V87" i="87"/>
  <c r="U87" i="87"/>
  <c r="T87" i="87"/>
  <c r="S87" i="87"/>
  <c r="R87" i="87"/>
  <c r="Q87" i="87"/>
  <c r="P87" i="87"/>
  <c r="O87" i="87"/>
  <c r="N87" i="87"/>
  <c r="M87" i="87"/>
  <c r="L87" i="87"/>
  <c r="K87" i="87"/>
  <c r="J87" i="87"/>
  <c r="I87" i="87"/>
  <c r="H87" i="87"/>
  <c r="G87" i="87"/>
  <c r="F87" i="87"/>
  <c r="E87" i="87"/>
  <c r="D87" i="87"/>
  <c r="C87" i="87"/>
  <c r="Y86" i="87"/>
  <c r="X86" i="87"/>
  <c r="W86" i="87"/>
  <c r="V86" i="87"/>
  <c r="U86" i="87"/>
  <c r="T86" i="87"/>
  <c r="S86" i="87"/>
  <c r="R86" i="87"/>
  <c r="Q86" i="87"/>
  <c r="P86" i="87"/>
  <c r="O86" i="87"/>
  <c r="N86" i="87"/>
  <c r="M86" i="87"/>
  <c r="L86" i="87"/>
  <c r="K86" i="87"/>
  <c r="J86" i="87"/>
  <c r="I86" i="87"/>
  <c r="H86" i="87"/>
  <c r="G86" i="87"/>
  <c r="F86" i="87"/>
  <c r="E86" i="87"/>
  <c r="D86" i="87"/>
  <c r="C86" i="87"/>
  <c r="Y85" i="87"/>
  <c r="X85" i="87"/>
  <c r="W85" i="87"/>
  <c r="V85" i="87"/>
  <c r="U85" i="87"/>
  <c r="T85" i="87"/>
  <c r="S85" i="87"/>
  <c r="R85" i="87"/>
  <c r="Q85" i="87"/>
  <c r="P85" i="87"/>
  <c r="O85" i="87"/>
  <c r="N85" i="87"/>
  <c r="M85" i="87"/>
  <c r="L85" i="87"/>
  <c r="K85" i="87"/>
  <c r="J85" i="87"/>
  <c r="I85" i="87"/>
  <c r="H85" i="87"/>
  <c r="G85" i="87"/>
  <c r="F85" i="87"/>
  <c r="E85" i="87"/>
  <c r="D85" i="87"/>
  <c r="C85" i="87"/>
  <c r="Y84" i="87"/>
  <c r="X84" i="87"/>
  <c r="W84" i="87"/>
  <c r="V84" i="87"/>
  <c r="U84" i="87"/>
  <c r="T84" i="87"/>
  <c r="S84" i="87"/>
  <c r="R84" i="87"/>
  <c r="Q84" i="87"/>
  <c r="P84" i="87"/>
  <c r="O84" i="87"/>
  <c r="N84" i="87"/>
  <c r="M84" i="87"/>
  <c r="L84" i="87"/>
  <c r="K84" i="87"/>
  <c r="J84" i="87"/>
  <c r="I84" i="87"/>
  <c r="H84" i="87"/>
  <c r="G84" i="87"/>
  <c r="F84" i="87"/>
  <c r="E84" i="87"/>
  <c r="D84" i="87"/>
  <c r="C84" i="87"/>
  <c r="Y83" i="87"/>
  <c r="X83" i="87"/>
  <c r="W83" i="87"/>
  <c r="V83" i="87"/>
  <c r="U83" i="87"/>
  <c r="T83" i="87"/>
  <c r="S83" i="87"/>
  <c r="R83" i="87"/>
  <c r="Q83" i="87"/>
  <c r="P83" i="87"/>
  <c r="O83" i="87"/>
  <c r="N83" i="87"/>
  <c r="M83" i="87"/>
  <c r="L83" i="87"/>
  <c r="K83" i="87"/>
  <c r="J83" i="87"/>
  <c r="I83" i="87"/>
  <c r="H83" i="87"/>
  <c r="G83" i="87"/>
  <c r="F83" i="87"/>
  <c r="E83" i="87"/>
  <c r="D83" i="87"/>
  <c r="C83" i="87"/>
  <c r="Y82" i="87"/>
  <c r="X82" i="87"/>
  <c r="W82" i="87"/>
  <c r="V82" i="87"/>
  <c r="U82" i="87"/>
  <c r="T82" i="87"/>
  <c r="S82" i="87"/>
  <c r="R82" i="87"/>
  <c r="Q82" i="87"/>
  <c r="P82" i="87"/>
  <c r="O82" i="87"/>
  <c r="N82" i="87"/>
  <c r="M82" i="87"/>
  <c r="L82" i="87"/>
  <c r="K82" i="87"/>
  <c r="J82" i="87"/>
  <c r="I82" i="87"/>
  <c r="H82" i="87"/>
  <c r="G82" i="87"/>
  <c r="F82" i="87"/>
  <c r="E82" i="87"/>
  <c r="D82" i="87"/>
  <c r="C82" i="87"/>
  <c r="Y81" i="87"/>
  <c r="X81" i="87"/>
  <c r="W81" i="87"/>
  <c r="V81" i="87"/>
  <c r="U81" i="87"/>
  <c r="T81" i="87"/>
  <c r="S81" i="87"/>
  <c r="R81" i="87"/>
  <c r="Q81" i="87"/>
  <c r="P81" i="87"/>
  <c r="O81" i="87"/>
  <c r="N81" i="87"/>
  <c r="M81" i="87"/>
  <c r="L81" i="87"/>
  <c r="K81" i="87"/>
  <c r="J81" i="87"/>
  <c r="I81" i="87"/>
  <c r="H81" i="87"/>
  <c r="G81" i="87"/>
  <c r="F81" i="87"/>
  <c r="E81" i="87"/>
  <c r="D81" i="87"/>
  <c r="C81" i="87"/>
  <c r="Y80" i="87"/>
  <c r="X80" i="87"/>
  <c r="W80" i="87"/>
  <c r="V80" i="87"/>
  <c r="U80" i="87"/>
  <c r="T80" i="87"/>
  <c r="S80" i="87"/>
  <c r="R80" i="87"/>
  <c r="Q80" i="87"/>
  <c r="P80" i="87"/>
  <c r="O80" i="87"/>
  <c r="N80" i="87"/>
  <c r="M80" i="87"/>
  <c r="L80" i="87"/>
  <c r="K80" i="87"/>
  <c r="J80" i="87"/>
  <c r="I80" i="87"/>
  <c r="H80" i="87"/>
  <c r="G80" i="87"/>
  <c r="F80" i="87"/>
  <c r="E80" i="87"/>
  <c r="D80" i="87"/>
  <c r="C80" i="87"/>
  <c r="Y79" i="87"/>
  <c r="X79" i="87"/>
  <c r="W79" i="87"/>
  <c r="V79" i="87"/>
  <c r="U79" i="87"/>
  <c r="T79" i="87"/>
  <c r="S79" i="87"/>
  <c r="R79" i="87"/>
  <c r="Q79" i="87"/>
  <c r="P79" i="87"/>
  <c r="O79" i="87"/>
  <c r="N79" i="87"/>
  <c r="M79" i="87"/>
  <c r="L79" i="87"/>
  <c r="K79" i="87"/>
  <c r="J79" i="87"/>
  <c r="I79" i="87"/>
  <c r="H79" i="87"/>
  <c r="G79" i="87"/>
  <c r="F79" i="87"/>
  <c r="E79" i="87"/>
  <c r="D79" i="87"/>
  <c r="C79" i="87"/>
  <c r="Y78" i="87"/>
  <c r="X78" i="87"/>
  <c r="W78" i="87"/>
  <c r="V78" i="87"/>
  <c r="U78" i="87"/>
  <c r="T78" i="87"/>
  <c r="S78" i="87"/>
  <c r="R78" i="87"/>
  <c r="Q78" i="87"/>
  <c r="P78" i="87"/>
  <c r="O78" i="87"/>
  <c r="N78" i="87"/>
  <c r="M78" i="87"/>
  <c r="L78" i="87"/>
  <c r="K78" i="87"/>
  <c r="J78" i="87"/>
  <c r="I78" i="87"/>
  <c r="H78" i="87"/>
  <c r="G78" i="87"/>
  <c r="F78" i="87"/>
  <c r="E78" i="87"/>
  <c r="D78" i="87"/>
  <c r="C78" i="87"/>
  <c r="Y77" i="87"/>
  <c r="X77" i="87"/>
  <c r="W77" i="87"/>
  <c r="V77" i="87"/>
  <c r="U77" i="87"/>
  <c r="T77" i="87"/>
  <c r="S77" i="87"/>
  <c r="R77" i="87"/>
  <c r="Q77" i="87"/>
  <c r="P77" i="87"/>
  <c r="O77" i="87"/>
  <c r="N77" i="87"/>
  <c r="M77" i="87"/>
  <c r="L77" i="87"/>
  <c r="K77" i="87"/>
  <c r="J77" i="87"/>
  <c r="I77" i="87"/>
  <c r="H77" i="87"/>
  <c r="G77" i="87"/>
  <c r="F77" i="87"/>
  <c r="E77" i="87"/>
  <c r="D77" i="87"/>
  <c r="C77" i="87"/>
  <c r="Y76" i="87"/>
  <c r="X76" i="87"/>
  <c r="W76" i="87"/>
  <c r="V76" i="87"/>
  <c r="U76" i="87"/>
  <c r="T76" i="87"/>
  <c r="S76" i="87"/>
  <c r="R76" i="87"/>
  <c r="Q76" i="87"/>
  <c r="P76" i="87"/>
  <c r="O76" i="87"/>
  <c r="N76" i="87"/>
  <c r="M76" i="87"/>
  <c r="L76" i="87"/>
  <c r="K76" i="87"/>
  <c r="J76" i="87"/>
  <c r="I76" i="87"/>
  <c r="H76" i="87"/>
  <c r="G76" i="87"/>
  <c r="F76" i="87"/>
  <c r="E76" i="87"/>
  <c r="D76" i="87"/>
  <c r="C76" i="87"/>
  <c r="Y75" i="87"/>
  <c r="X75" i="87"/>
  <c r="W75" i="87"/>
  <c r="V75" i="87"/>
  <c r="U75" i="87"/>
  <c r="T75" i="87"/>
  <c r="S75" i="87"/>
  <c r="R75" i="87"/>
  <c r="Q75" i="87"/>
  <c r="P75" i="87"/>
  <c r="O75" i="87"/>
  <c r="N75" i="87"/>
  <c r="M75" i="87"/>
  <c r="L75" i="87"/>
  <c r="K75" i="87"/>
  <c r="J75" i="87"/>
  <c r="I75" i="87"/>
  <c r="H75" i="87"/>
  <c r="G75" i="87"/>
  <c r="F75" i="87"/>
  <c r="E75" i="87"/>
  <c r="D75" i="87"/>
  <c r="C75" i="87"/>
  <c r="Y74" i="87"/>
  <c r="X74" i="87"/>
  <c r="W74" i="87"/>
  <c r="V74" i="87"/>
  <c r="U74" i="87"/>
  <c r="T74" i="87"/>
  <c r="S74" i="87"/>
  <c r="R74" i="87"/>
  <c r="Q74" i="87"/>
  <c r="P74" i="87"/>
  <c r="O74" i="87"/>
  <c r="N74" i="87"/>
  <c r="M74" i="87"/>
  <c r="L74" i="87"/>
  <c r="K74" i="87"/>
  <c r="J74" i="87"/>
  <c r="I74" i="87"/>
  <c r="H74" i="87"/>
  <c r="G74" i="87"/>
  <c r="F74" i="87"/>
  <c r="E74" i="87"/>
  <c r="D74" i="87"/>
  <c r="C74" i="87"/>
  <c r="Y73" i="87"/>
  <c r="X73" i="87"/>
  <c r="W73" i="87"/>
  <c r="V73" i="87"/>
  <c r="U73" i="87"/>
  <c r="T73" i="87"/>
  <c r="S73" i="87"/>
  <c r="R73" i="87"/>
  <c r="Q73" i="87"/>
  <c r="P73" i="87"/>
  <c r="O73" i="87"/>
  <c r="N73" i="87"/>
  <c r="M73" i="87"/>
  <c r="L73" i="87"/>
  <c r="K73" i="87"/>
  <c r="J73" i="87"/>
  <c r="I73" i="87"/>
  <c r="H73" i="87"/>
  <c r="G73" i="87"/>
  <c r="F73" i="87"/>
  <c r="E73" i="87"/>
  <c r="D73" i="87"/>
  <c r="C73" i="87"/>
  <c r="X68" i="87"/>
  <c r="W68" i="87"/>
  <c r="V68" i="87"/>
  <c r="U68" i="87"/>
  <c r="T68" i="87"/>
  <c r="S68" i="87"/>
  <c r="R68" i="87"/>
  <c r="Q68" i="87"/>
  <c r="P68" i="87"/>
  <c r="O68" i="87"/>
  <c r="N68" i="87"/>
  <c r="M68" i="87"/>
  <c r="L68" i="87"/>
  <c r="K68" i="87"/>
  <c r="J68" i="87"/>
  <c r="I68" i="87"/>
  <c r="H68" i="87"/>
  <c r="G68" i="87"/>
  <c r="F68" i="87"/>
  <c r="E68" i="87"/>
  <c r="D68" i="87"/>
  <c r="C68" i="87"/>
  <c r="Y67" i="87"/>
  <c r="X67" i="87"/>
  <c r="W67" i="87"/>
  <c r="V67" i="87"/>
  <c r="U67" i="87"/>
  <c r="T67" i="87"/>
  <c r="S67" i="87"/>
  <c r="R67" i="87"/>
  <c r="Q67" i="87"/>
  <c r="P67" i="87"/>
  <c r="O67" i="87"/>
  <c r="N67" i="87"/>
  <c r="M67" i="87"/>
  <c r="L67" i="87"/>
  <c r="K67" i="87"/>
  <c r="J67" i="87"/>
  <c r="I67" i="87"/>
  <c r="H67" i="87"/>
  <c r="G67" i="87"/>
  <c r="F67" i="87"/>
  <c r="E67" i="87"/>
  <c r="D67" i="87"/>
  <c r="C67" i="87"/>
  <c r="Y66" i="87"/>
  <c r="X66" i="87"/>
  <c r="W66" i="87"/>
  <c r="V66" i="87"/>
  <c r="U66" i="87"/>
  <c r="T66" i="87"/>
  <c r="S66" i="87"/>
  <c r="R66" i="87"/>
  <c r="Q66" i="87"/>
  <c r="P66" i="87"/>
  <c r="O66" i="87"/>
  <c r="N66" i="87"/>
  <c r="M66" i="87"/>
  <c r="L66" i="87"/>
  <c r="K66" i="87"/>
  <c r="J66" i="87"/>
  <c r="I66" i="87"/>
  <c r="H66" i="87"/>
  <c r="G66" i="87"/>
  <c r="F66" i="87"/>
  <c r="E66" i="87"/>
  <c r="D66" i="87"/>
  <c r="C66" i="87"/>
  <c r="Y65" i="87"/>
  <c r="X65" i="87"/>
  <c r="W65" i="87"/>
  <c r="V65" i="87"/>
  <c r="U65" i="87"/>
  <c r="T65" i="87"/>
  <c r="S65" i="87"/>
  <c r="R65" i="87"/>
  <c r="Q65" i="87"/>
  <c r="P65" i="87"/>
  <c r="O65" i="87"/>
  <c r="N65" i="87"/>
  <c r="M65" i="87"/>
  <c r="L65" i="87"/>
  <c r="K65" i="87"/>
  <c r="J65" i="87"/>
  <c r="I65" i="87"/>
  <c r="H65" i="87"/>
  <c r="G65" i="87"/>
  <c r="F65" i="87"/>
  <c r="E65" i="87"/>
  <c r="D65" i="87"/>
  <c r="C65" i="87"/>
  <c r="Y64" i="87"/>
  <c r="X64" i="87"/>
  <c r="W64" i="87"/>
  <c r="V64" i="87"/>
  <c r="U64" i="87"/>
  <c r="T64" i="87"/>
  <c r="S64" i="87"/>
  <c r="R64" i="87"/>
  <c r="Q64" i="87"/>
  <c r="P64" i="87"/>
  <c r="O64" i="87"/>
  <c r="N64" i="87"/>
  <c r="M64" i="87"/>
  <c r="L64" i="87"/>
  <c r="K64" i="87"/>
  <c r="J64" i="87"/>
  <c r="I64" i="87"/>
  <c r="H64" i="87"/>
  <c r="G64" i="87"/>
  <c r="F64" i="87"/>
  <c r="E64" i="87"/>
  <c r="D64" i="87"/>
  <c r="C64" i="87"/>
  <c r="Y63" i="87"/>
  <c r="X63" i="87"/>
  <c r="W63" i="87"/>
  <c r="V63" i="87"/>
  <c r="U63" i="87"/>
  <c r="T63" i="87"/>
  <c r="S63" i="87"/>
  <c r="R63" i="87"/>
  <c r="Q63" i="87"/>
  <c r="P63" i="87"/>
  <c r="O63" i="87"/>
  <c r="N63" i="87"/>
  <c r="M63" i="87"/>
  <c r="L63" i="87"/>
  <c r="K63" i="87"/>
  <c r="J63" i="87"/>
  <c r="I63" i="87"/>
  <c r="H63" i="87"/>
  <c r="G63" i="87"/>
  <c r="F63" i="87"/>
  <c r="E63" i="87"/>
  <c r="D63" i="87"/>
  <c r="C63" i="87"/>
  <c r="Y62" i="87"/>
  <c r="X62" i="87"/>
  <c r="W62" i="87"/>
  <c r="V62" i="87"/>
  <c r="U62" i="87"/>
  <c r="T62" i="87"/>
  <c r="S62" i="87"/>
  <c r="R62" i="87"/>
  <c r="Q62" i="87"/>
  <c r="P62" i="87"/>
  <c r="O62" i="87"/>
  <c r="N62" i="87"/>
  <c r="M62" i="87"/>
  <c r="L62" i="87"/>
  <c r="K62" i="87"/>
  <c r="J62" i="87"/>
  <c r="I62" i="87"/>
  <c r="H62" i="87"/>
  <c r="G62" i="87"/>
  <c r="F62" i="87"/>
  <c r="E62" i="87"/>
  <c r="D62" i="87"/>
  <c r="C62" i="87"/>
  <c r="Y61" i="87"/>
  <c r="X61" i="87"/>
  <c r="W61" i="87"/>
  <c r="V61" i="87"/>
  <c r="U61" i="87"/>
  <c r="T61" i="87"/>
  <c r="S61" i="87"/>
  <c r="R61" i="87"/>
  <c r="Q61" i="87"/>
  <c r="P61" i="87"/>
  <c r="O61" i="87"/>
  <c r="N61" i="87"/>
  <c r="M61" i="87"/>
  <c r="L61" i="87"/>
  <c r="K61" i="87"/>
  <c r="J61" i="87"/>
  <c r="I61" i="87"/>
  <c r="H61" i="87"/>
  <c r="G61" i="87"/>
  <c r="F61" i="87"/>
  <c r="E61" i="87"/>
  <c r="D61" i="87"/>
  <c r="C61" i="87"/>
  <c r="Y60" i="87"/>
  <c r="X60" i="87"/>
  <c r="W60" i="87"/>
  <c r="V60" i="87"/>
  <c r="U60" i="87"/>
  <c r="T60" i="87"/>
  <c r="S60" i="87"/>
  <c r="R60" i="87"/>
  <c r="Q60" i="87"/>
  <c r="P60" i="87"/>
  <c r="O60" i="87"/>
  <c r="N60" i="87"/>
  <c r="M60" i="87"/>
  <c r="L60" i="87"/>
  <c r="K60" i="87"/>
  <c r="J60" i="87"/>
  <c r="I60" i="87"/>
  <c r="H60" i="87"/>
  <c r="G60" i="87"/>
  <c r="F60" i="87"/>
  <c r="E60" i="87"/>
  <c r="D60" i="87"/>
  <c r="C60" i="87"/>
  <c r="Y59" i="87"/>
  <c r="X59" i="87"/>
  <c r="W59" i="87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Y58" i="87"/>
  <c r="X58" i="87"/>
  <c r="W58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Y57" i="87"/>
  <c r="X57" i="87"/>
  <c r="W57" i="87"/>
  <c r="V57" i="87"/>
  <c r="U57" i="87"/>
  <c r="T57" i="87"/>
  <c r="S57" i="87"/>
  <c r="R57" i="87"/>
  <c r="Q57" i="87"/>
  <c r="P57" i="87"/>
  <c r="O57" i="87"/>
  <c r="N57" i="87"/>
  <c r="M57" i="87"/>
  <c r="L57" i="87"/>
  <c r="K57" i="87"/>
  <c r="J57" i="87"/>
  <c r="I57" i="87"/>
  <c r="H57" i="87"/>
  <c r="G57" i="87"/>
  <c r="F57" i="87"/>
  <c r="E57" i="87"/>
  <c r="D57" i="87"/>
  <c r="C57" i="87"/>
  <c r="Y56" i="87"/>
  <c r="X56" i="87"/>
  <c r="W56" i="87"/>
  <c r="V56" i="87"/>
  <c r="U56" i="87"/>
  <c r="T56" i="87"/>
  <c r="S56" i="87"/>
  <c r="R56" i="87"/>
  <c r="Q56" i="87"/>
  <c r="P56" i="87"/>
  <c r="O56" i="87"/>
  <c r="N56" i="87"/>
  <c r="M56" i="87"/>
  <c r="L56" i="87"/>
  <c r="K56" i="87"/>
  <c r="J56" i="87"/>
  <c r="I56" i="87"/>
  <c r="H56" i="87"/>
  <c r="G56" i="87"/>
  <c r="F56" i="87"/>
  <c r="E56" i="87"/>
  <c r="D56" i="87"/>
  <c r="C56" i="87"/>
  <c r="Y55" i="87"/>
  <c r="X55" i="87"/>
  <c r="W55" i="87"/>
  <c r="V55" i="87"/>
  <c r="U55" i="87"/>
  <c r="T55" i="87"/>
  <c r="S55" i="87"/>
  <c r="R55" i="87"/>
  <c r="Q55" i="87"/>
  <c r="P55" i="87"/>
  <c r="O55" i="87"/>
  <c r="N55" i="87"/>
  <c r="M55" i="87"/>
  <c r="L55" i="87"/>
  <c r="K55" i="87"/>
  <c r="J55" i="87"/>
  <c r="I55" i="87"/>
  <c r="H55" i="87"/>
  <c r="G55" i="87"/>
  <c r="F55" i="87"/>
  <c r="E55" i="87"/>
  <c r="D55" i="87"/>
  <c r="C55" i="87"/>
  <c r="Y54" i="87"/>
  <c r="X54" i="87"/>
  <c r="W54" i="87"/>
  <c r="V54" i="87"/>
  <c r="U54" i="87"/>
  <c r="T54" i="87"/>
  <c r="S54" i="87"/>
  <c r="R54" i="87"/>
  <c r="Q54" i="87"/>
  <c r="P54" i="87"/>
  <c r="O54" i="87"/>
  <c r="N54" i="87"/>
  <c r="M54" i="87"/>
  <c r="L54" i="87"/>
  <c r="K54" i="87"/>
  <c r="J54" i="87"/>
  <c r="I54" i="87"/>
  <c r="H54" i="87"/>
  <c r="G54" i="87"/>
  <c r="F54" i="87"/>
  <c r="E54" i="87"/>
  <c r="D54" i="87"/>
  <c r="C54" i="87"/>
  <c r="Y53" i="87"/>
  <c r="X53" i="87"/>
  <c r="W53" i="87"/>
  <c r="V53" i="87"/>
  <c r="U53" i="87"/>
  <c r="T53" i="87"/>
  <c r="S53" i="87"/>
  <c r="R53" i="87"/>
  <c r="Q53" i="87"/>
  <c r="P53" i="87"/>
  <c r="O53" i="87"/>
  <c r="N53" i="87"/>
  <c r="M53" i="87"/>
  <c r="L53" i="87"/>
  <c r="K53" i="87"/>
  <c r="J53" i="87"/>
  <c r="I53" i="87"/>
  <c r="H53" i="87"/>
  <c r="G53" i="87"/>
  <c r="F53" i="87"/>
  <c r="E53" i="87"/>
  <c r="D53" i="87"/>
  <c r="C53" i="87"/>
  <c r="Y52" i="87"/>
  <c r="X52" i="87"/>
  <c r="W52" i="87"/>
  <c r="V52" i="87"/>
  <c r="U52" i="87"/>
  <c r="T52" i="87"/>
  <c r="S52" i="87"/>
  <c r="R52" i="87"/>
  <c r="Q52" i="87"/>
  <c r="P52" i="87"/>
  <c r="O52" i="87"/>
  <c r="N52" i="87"/>
  <c r="M52" i="87"/>
  <c r="L52" i="87"/>
  <c r="K52" i="87"/>
  <c r="J52" i="87"/>
  <c r="I52" i="87"/>
  <c r="H52" i="87"/>
  <c r="G52" i="87"/>
  <c r="F52" i="87"/>
  <c r="E52" i="87"/>
  <c r="D52" i="87"/>
  <c r="C52" i="87"/>
  <c r="Y51" i="87"/>
  <c r="X51" i="87"/>
  <c r="W51" i="87"/>
  <c r="V51" i="87"/>
  <c r="U51" i="87"/>
  <c r="T51" i="87"/>
  <c r="S51" i="87"/>
  <c r="R51" i="87"/>
  <c r="Q51" i="87"/>
  <c r="P51" i="87"/>
  <c r="O51" i="87"/>
  <c r="N51" i="87"/>
  <c r="M51" i="87"/>
  <c r="L51" i="87"/>
  <c r="K51" i="87"/>
  <c r="J51" i="87"/>
  <c r="I51" i="87"/>
  <c r="H51" i="87"/>
  <c r="G51" i="87"/>
  <c r="F51" i="87"/>
  <c r="E51" i="87"/>
  <c r="D51" i="87"/>
  <c r="C51" i="87"/>
  <c r="Y50" i="87"/>
  <c r="X50" i="87"/>
  <c r="W50" i="87"/>
  <c r="V50" i="87"/>
  <c r="U50" i="87"/>
  <c r="T50" i="87"/>
  <c r="S50" i="87"/>
  <c r="R50" i="87"/>
  <c r="Q50" i="87"/>
  <c r="P50" i="87"/>
  <c r="O50" i="87"/>
  <c r="N50" i="87"/>
  <c r="M50" i="87"/>
  <c r="L50" i="87"/>
  <c r="K50" i="87"/>
  <c r="J50" i="87"/>
  <c r="I50" i="87"/>
  <c r="H50" i="87"/>
  <c r="G50" i="87"/>
  <c r="F50" i="87"/>
  <c r="E50" i="87"/>
  <c r="D50" i="87"/>
  <c r="C50" i="87"/>
  <c r="Y49" i="87"/>
  <c r="X49" i="87"/>
  <c r="W49" i="87"/>
  <c r="V49" i="87"/>
  <c r="U49" i="87"/>
  <c r="T49" i="87"/>
  <c r="S49" i="87"/>
  <c r="R49" i="87"/>
  <c r="Q49" i="87"/>
  <c r="P49" i="87"/>
  <c r="O49" i="87"/>
  <c r="N49" i="87"/>
  <c r="M49" i="87"/>
  <c r="L49" i="87"/>
  <c r="K49" i="87"/>
  <c r="J49" i="87"/>
  <c r="I49" i="87"/>
  <c r="H49" i="87"/>
  <c r="G49" i="87"/>
  <c r="F49" i="87"/>
  <c r="E49" i="87"/>
  <c r="D49" i="87"/>
  <c r="C49" i="87"/>
  <c r="Y48" i="87"/>
  <c r="X48" i="87"/>
  <c r="W48" i="87"/>
  <c r="V48" i="87"/>
  <c r="U48" i="87"/>
  <c r="T48" i="87"/>
  <c r="S48" i="87"/>
  <c r="R48" i="87"/>
  <c r="Q48" i="87"/>
  <c r="P48" i="87"/>
  <c r="O48" i="87"/>
  <c r="N48" i="87"/>
  <c r="M48" i="87"/>
  <c r="L48" i="87"/>
  <c r="K48" i="87"/>
  <c r="J48" i="87"/>
  <c r="I48" i="87"/>
  <c r="H48" i="87"/>
  <c r="G48" i="87"/>
  <c r="F48" i="87"/>
  <c r="E48" i="87"/>
  <c r="D48" i="87"/>
  <c r="C48" i="87"/>
  <c r="Y47" i="87"/>
  <c r="X47" i="87"/>
  <c r="W47" i="87"/>
  <c r="V47" i="87"/>
  <c r="U47" i="87"/>
  <c r="T47" i="87"/>
  <c r="S47" i="87"/>
  <c r="R47" i="87"/>
  <c r="Q47" i="87"/>
  <c r="P47" i="87"/>
  <c r="O47" i="87"/>
  <c r="N47" i="87"/>
  <c r="M47" i="87"/>
  <c r="L47" i="87"/>
  <c r="K47" i="87"/>
  <c r="J47" i="87"/>
  <c r="I47" i="87"/>
  <c r="H47" i="87"/>
  <c r="G47" i="87"/>
  <c r="F47" i="87"/>
  <c r="E47" i="87"/>
  <c r="D47" i="87"/>
  <c r="C47" i="87"/>
  <c r="Y46" i="87"/>
  <c r="X46" i="87"/>
  <c r="W46" i="87"/>
  <c r="V46" i="87"/>
  <c r="U46" i="87"/>
  <c r="T46" i="87"/>
  <c r="S46" i="87"/>
  <c r="R46" i="87"/>
  <c r="Q46" i="87"/>
  <c r="P46" i="87"/>
  <c r="O46" i="87"/>
  <c r="N46" i="87"/>
  <c r="M46" i="87"/>
  <c r="L46" i="87"/>
  <c r="K46" i="87"/>
  <c r="J46" i="87"/>
  <c r="I46" i="87"/>
  <c r="H46" i="87"/>
  <c r="G46" i="87"/>
  <c r="F46" i="87"/>
  <c r="E46" i="87"/>
  <c r="D46" i="87"/>
  <c r="C46" i="87"/>
  <c r="Y45" i="87"/>
  <c r="X45" i="87"/>
  <c r="W45" i="87"/>
  <c r="V45" i="87"/>
  <c r="U45" i="87"/>
  <c r="T45" i="87"/>
  <c r="S45" i="87"/>
  <c r="R45" i="87"/>
  <c r="Q45" i="87"/>
  <c r="P45" i="87"/>
  <c r="O45" i="87"/>
  <c r="N45" i="87"/>
  <c r="M45" i="87"/>
  <c r="L45" i="87"/>
  <c r="K45" i="87"/>
  <c r="J45" i="87"/>
  <c r="I45" i="87"/>
  <c r="H45" i="87"/>
  <c r="G45" i="87"/>
  <c r="F45" i="87"/>
  <c r="E45" i="87"/>
  <c r="D45" i="87"/>
  <c r="C45" i="87"/>
  <c r="Y44" i="87"/>
  <c r="X44" i="87"/>
  <c r="W44" i="87"/>
  <c r="V44" i="87"/>
  <c r="U44" i="87"/>
  <c r="T44" i="87"/>
  <c r="S44" i="87"/>
  <c r="R44" i="87"/>
  <c r="Q44" i="87"/>
  <c r="P44" i="87"/>
  <c r="O44" i="87"/>
  <c r="N44" i="87"/>
  <c r="M44" i="87"/>
  <c r="L44" i="87"/>
  <c r="K44" i="87"/>
  <c r="J44" i="87"/>
  <c r="I44" i="87"/>
  <c r="H44" i="87"/>
  <c r="G44" i="87"/>
  <c r="F44" i="87"/>
  <c r="E44" i="87"/>
  <c r="D44" i="87"/>
  <c r="C44" i="87"/>
  <c r="Y43" i="87"/>
  <c r="X43" i="87"/>
  <c r="W43" i="87"/>
  <c r="V43" i="87"/>
  <c r="U43" i="87"/>
  <c r="T43" i="87"/>
  <c r="S43" i="87"/>
  <c r="R43" i="87"/>
  <c r="Q43" i="87"/>
  <c r="P43" i="87"/>
  <c r="O43" i="87"/>
  <c r="N43" i="87"/>
  <c r="M43" i="87"/>
  <c r="L43" i="87"/>
  <c r="K43" i="87"/>
  <c r="J43" i="87"/>
  <c r="I43" i="87"/>
  <c r="H43" i="87"/>
  <c r="G43" i="87"/>
  <c r="F43" i="87"/>
  <c r="E43" i="87"/>
  <c r="D43" i="87"/>
  <c r="C43" i="87"/>
  <c r="Y42" i="87"/>
  <c r="X42" i="87"/>
  <c r="W42" i="87"/>
  <c r="V42" i="87"/>
  <c r="U42" i="87"/>
  <c r="T42" i="87"/>
  <c r="S42" i="87"/>
  <c r="R42" i="87"/>
  <c r="Q42" i="87"/>
  <c r="P42" i="87"/>
  <c r="O42" i="87"/>
  <c r="N42" i="87"/>
  <c r="M42" i="87"/>
  <c r="L42" i="87"/>
  <c r="K42" i="87"/>
  <c r="J42" i="87"/>
  <c r="I42" i="87"/>
  <c r="H42" i="87"/>
  <c r="G42" i="87"/>
  <c r="F42" i="87"/>
  <c r="E42" i="87"/>
  <c r="D42" i="87"/>
  <c r="C42" i="87"/>
  <c r="Y41" i="87"/>
  <c r="X41" i="87"/>
  <c r="W41" i="87"/>
  <c r="V41" i="87"/>
  <c r="U41" i="87"/>
  <c r="T41" i="87"/>
  <c r="S41" i="87"/>
  <c r="R41" i="87"/>
  <c r="Q41" i="87"/>
  <c r="P41" i="87"/>
  <c r="O41" i="87"/>
  <c r="N41" i="87"/>
  <c r="M41" i="87"/>
  <c r="L41" i="87"/>
  <c r="K41" i="87"/>
  <c r="J41" i="87"/>
  <c r="I41" i="87"/>
  <c r="H41" i="87"/>
  <c r="G41" i="87"/>
  <c r="F41" i="87"/>
  <c r="E41" i="87"/>
  <c r="D41" i="87"/>
  <c r="C41" i="87"/>
  <c r="Y40" i="87"/>
  <c r="X40" i="87"/>
  <c r="W40" i="87"/>
  <c r="V40" i="87"/>
  <c r="U40" i="87"/>
  <c r="T40" i="87"/>
  <c r="S40" i="87"/>
  <c r="R40" i="87"/>
  <c r="Q40" i="87"/>
  <c r="P40" i="87"/>
  <c r="O40" i="87"/>
  <c r="N40" i="87"/>
  <c r="M40" i="87"/>
  <c r="L40" i="87"/>
  <c r="K40" i="87"/>
  <c r="J40" i="87"/>
  <c r="I40" i="87"/>
  <c r="H40" i="87"/>
  <c r="G40" i="87"/>
  <c r="F40" i="87"/>
  <c r="E40" i="87"/>
  <c r="D40" i="87"/>
  <c r="C40" i="87"/>
  <c r="Y39" i="87"/>
  <c r="X39" i="87"/>
  <c r="W39" i="87"/>
  <c r="V39" i="87"/>
  <c r="U39" i="87"/>
  <c r="T39" i="87"/>
  <c r="S39" i="87"/>
  <c r="R39" i="87"/>
  <c r="Q39" i="87"/>
  <c r="P39" i="87"/>
  <c r="O39" i="87"/>
  <c r="N39" i="87"/>
  <c r="M39" i="87"/>
  <c r="L39" i="87"/>
  <c r="K39" i="87"/>
  <c r="J39" i="87"/>
  <c r="I39" i="87"/>
  <c r="H39" i="87"/>
  <c r="G39" i="87"/>
  <c r="F39" i="87"/>
  <c r="E39" i="87"/>
  <c r="D39" i="87"/>
  <c r="C39" i="87"/>
  <c r="Y38" i="87"/>
  <c r="X38" i="87"/>
  <c r="W38" i="87"/>
  <c r="V38" i="87"/>
  <c r="U38" i="87"/>
  <c r="T38" i="87"/>
  <c r="S38" i="87"/>
  <c r="R38" i="87"/>
  <c r="Q38" i="87"/>
  <c r="P38" i="87"/>
  <c r="O38" i="87"/>
  <c r="N38" i="87"/>
  <c r="M38" i="87"/>
  <c r="L38" i="87"/>
  <c r="K38" i="87"/>
  <c r="J38" i="87"/>
  <c r="I38" i="87"/>
  <c r="H38" i="87"/>
  <c r="G38" i="87"/>
  <c r="F38" i="87"/>
  <c r="E38" i="87"/>
  <c r="D38" i="87"/>
  <c r="C38" i="87"/>
  <c r="Y37" i="87"/>
  <c r="X37" i="87"/>
  <c r="W37" i="87"/>
  <c r="V37" i="87"/>
  <c r="U37" i="87"/>
  <c r="T37" i="87"/>
  <c r="S37" i="87"/>
  <c r="R37" i="87"/>
  <c r="Q37" i="87"/>
  <c r="P37" i="87"/>
  <c r="O37" i="87"/>
  <c r="N37" i="87"/>
  <c r="M37" i="87"/>
  <c r="L37" i="87"/>
  <c r="K37" i="87"/>
  <c r="J37" i="87"/>
  <c r="I37" i="87"/>
  <c r="H37" i="87"/>
  <c r="G37" i="87"/>
  <c r="F37" i="87"/>
  <c r="E37" i="87"/>
  <c r="D37" i="87"/>
  <c r="C37" i="87"/>
  <c r="Y36" i="87"/>
  <c r="X36" i="87"/>
  <c r="W36" i="87"/>
  <c r="V36" i="87"/>
  <c r="U36" i="87"/>
  <c r="T36" i="87"/>
  <c r="S36" i="87"/>
  <c r="R36" i="87"/>
  <c r="Q36" i="87"/>
  <c r="P36" i="87"/>
  <c r="O36" i="87"/>
  <c r="N36" i="87"/>
  <c r="M36" i="87"/>
  <c r="L36" i="87"/>
  <c r="K36" i="87"/>
  <c r="J36" i="87"/>
  <c r="I36" i="87"/>
  <c r="H36" i="87"/>
  <c r="G36" i="87"/>
  <c r="F36" i="87"/>
  <c r="E36" i="87"/>
  <c r="D36" i="87"/>
  <c r="C36" i="87"/>
  <c r="Y35" i="87"/>
  <c r="X35" i="87"/>
  <c r="W35" i="87"/>
  <c r="V35" i="87"/>
  <c r="U35" i="87"/>
  <c r="T35" i="87"/>
  <c r="S35" i="87"/>
  <c r="R35" i="87"/>
  <c r="Q35" i="87"/>
  <c r="P35" i="87"/>
  <c r="O35" i="87"/>
  <c r="N35" i="87"/>
  <c r="M35" i="87"/>
  <c r="L35" i="87"/>
  <c r="K35" i="87"/>
  <c r="J35" i="87"/>
  <c r="I35" i="87"/>
  <c r="H35" i="87"/>
  <c r="G35" i="87"/>
  <c r="F35" i="87"/>
  <c r="E35" i="87"/>
  <c r="D35" i="87"/>
  <c r="C35" i="87"/>
  <c r="Y34" i="87"/>
  <c r="X34" i="87"/>
  <c r="W34" i="87"/>
  <c r="V34" i="87"/>
  <c r="U34" i="87"/>
  <c r="T34" i="87"/>
  <c r="S34" i="87"/>
  <c r="R34" i="87"/>
  <c r="Q34" i="87"/>
  <c r="P34" i="87"/>
  <c r="O34" i="87"/>
  <c r="N34" i="87"/>
  <c r="M34" i="87"/>
  <c r="L34" i="87"/>
  <c r="K34" i="87"/>
  <c r="J34" i="87"/>
  <c r="I34" i="87"/>
  <c r="H34" i="87"/>
  <c r="G34" i="87"/>
  <c r="F34" i="87"/>
  <c r="E34" i="87"/>
  <c r="D34" i="87"/>
  <c r="C34" i="87"/>
  <c r="Y33" i="87"/>
  <c r="X33" i="87"/>
  <c r="W33" i="87"/>
  <c r="V33" i="87"/>
  <c r="U33" i="87"/>
  <c r="T33" i="87"/>
  <c r="S33" i="87"/>
  <c r="R33" i="87"/>
  <c r="Q33" i="87"/>
  <c r="P33" i="87"/>
  <c r="O33" i="87"/>
  <c r="N33" i="87"/>
  <c r="M33" i="87"/>
  <c r="L33" i="87"/>
  <c r="K33" i="87"/>
  <c r="J33" i="87"/>
  <c r="I33" i="87"/>
  <c r="H33" i="87"/>
  <c r="G33" i="87"/>
  <c r="F33" i="87"/>
  <c r="E33" i="87"/>
  <c r="D33" i="87"/>
  <c r="C33" i="87"/>
  <c r="Y32" i="87"/>
  <c r="X32" i="87"/>
  <c r="W32" i="87"/>
  <c r="V32" i="87"/>
  <c r="U32" i="87"/>
  <c r="T32" i="87"/>
  <c r="S32" i="87"/>
  <c r="R32" i="87"/>
  <c r="Q32" i="87"/>
  <c r="P32" i="87"/>
  <c r="O32" i="87"/>
  <c r="N32" i="87"/>
  <c r="M32" i="87"/>
  <c r="L32" i="87"/>
  <c r="K32" i="87"/>
  <c r="J32" i="87"/>
  <c r="I32" i="87"/>
  <c r="H32" i="87"/>
  <c r="G32" i="87"/>
  <c r="F32" i="87"/>
  <c r="E32" i="87"/>
  <c r="D32" i="87"/>
  <c r="C32" i="87"/>
  <c r="Y31" i="87"/>
  <c r="X31" i="87"/>
  <c r="W31" i="87"/>
  <c r="V31" i="87"/>
  <c r="U31" i="87"/>
  <c r="T31" i="87"/>
  <c r="S31" i="87"/>
  <c r="R31" i="87"/>
  <c r="Q31" i="87"/>
  <c r="P31" i="87"/>
  <c r="O31" i="87"/>
  <c r="N31" i="87"/>
  <c r="M31" i="87"/>
  <c r="L31" i="87"/>
  <c r="K31" i="87"/>
  <c r="J31" i="87"/>
  <c r="I31" i="87"/>
  <c r="H31" i="87"/>
  <c r="G31" i="87"/>
  <c r="F31" i="87"/>
  <c r="E31" i="87"/>
  <c r="D31" i="87"/>
  <c r="C31" i="87"/>
  <c r="Y30" i="87"/>
  <c r="X30" i="87"/>
  <c r="W30" i="87"/>
  <c r="V30" i="87"/>
  <c r="U30" i="87"/>
  <c r="T30" i="87"/>
  <c r="S30" i="87"/>
  <c r="R30" i="87"/>
  <c r="Q30" i="87"/>
  <c r="P30" i="87"/>
  <c r="O30" i="87"/>
  <c r="N30" i="87"/>
  <c r="M30" i="87"/>
  <c r="L30" i="87"/>
  <c r="K30" i="87"/>
  <c r="J30" i="87"/>
  <c r="I30" i="87"/>
  <c r="H30" i="87"/>
  <c r="G30" i="87"/>
  <c r="F30" i="87"/>
  <c r="E30" i="87"/>
  <c r="D30" i="87"/>
  <c r="C30" i="87"/>
  <c r="Y29" i="87"/>
  <c r="X29" i="87"/>
  <c r="W29" i="87"/>
  <c r="V29" i="87"/>
  <c r="U29" i="87"/>
  <c r="T2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Y28" i="87"/>
  <c r="X28" i="87"/>
  <c r="W28" i="87"/>
  <c r="V28" i="87"/>
  <c r="U28" i="87"/>
  <c r="T28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Y27" i="87"/>
  <c r="X27" i="87"/>
  <c r="W27" i="87"/>
  <c r="V27" i="87"/>
  <c r="U27" i="87"/>
  <c r="T27" i="87"/>
  <c r="S27" i="87"/>
  <c r="R27" i="87"/>
  <c r="Q27" i="87"/>
  <c r="P27" i="87"/>
  <c r="O27" i="87"/>
  <c r="N27" i="87"/>
  <c r="M27" i="87"/>
  <c r="L27" i="87"/>
  <c r="K27" i="87"/>
  <c r="J27" i="87"/>
  <c r="I27" i="87"/>
  <c r="H27" i="87"/>
  <c r="G27" i="87"/>
  <c r="F27" i="87"/>
  <c r="E27" i="87"/>
  <c r="D27" i="87"/>
  <c r="C27" i="87"/>
  <c r="Y26" i="87"/>
  <c r="X26" i="87"/>
  <c r="W26" i="87"/>
  <c r="V26" i="87"/>
  <c r="U26" i="87"/>
  <c r="T26" i="87"/>
  <c r="S26" i="87"/>
  <c r="R26" i="87"/>
  <c r="Q26" i="87"/>
  <c r="P26" i="87"/>
  <c r="O26" i="87"/>
  <c r="N26" i="87"/>
  <c r="M26" i="87"/>
  <c r="L26" i="87"/>
  <c r="K26" i="87"/>
  <c r="J26" i="87"/>
  <c r="I26" i="87"/>
  <c r="H26" i="87"/>
  <c r="G26" i="87"/>
  <c r="F26" i="87"/>
  <c r="E26" i="87"/>
  <c r="D26" i="87"/>
  <c r="C26" i="87"/>
  <c r="G28" i="84"/>
  <c r="D28" i="84"/>
  <c r="C28" i="84"/>
  <c r="E28" i="84" s="1"/>
  <c r="G27" i="84"/>
  <c r="D27" i="84"/>
  <c r="E27" i="84" s="1"/>
  <c r="F27" i="84" s="1"/>
  <c r="C27" i="84"/>
  <c r="G26" i="84"/>
  <c r="D26" i="84"/>
  <c r="C26" i="84"/>
  <c r="E26" i="84" s="1"/>
  <c r="F26" i="84" s="1"/>
  <c r="G25" i="84"/>
  <c r="D25" i="84"/>
  <c r="C25" i="84"/>
  <c r="E25" i="84" s="1"/>
  <c r="F25" i="84" s="1"/>
  <c r="G24" i="84"/>
  <c r="D24" i="84"/>
  <c r="C24" i="84"/>
  <c r="E24" i="84" s="1"/>
  <c r="G23" i="84"/>
  <c r="D23" i="84"/>
  <c r="C23" i="84"/>
  <c r="E23" i="84" s="1"/>
  <c r="F23" i="84" s="1"/>
  <c r="G22" i="84"/>
  <c r="D22" i="84"/>
  <c r="C22" i="84"/>
  <c r="E22" i="84" s="1"/>
  <c r="F22" i="84" s="1"/>
  <c r="G21" i="84"/>
  <c r="D21" i="84"/>
  <c r="C21" i="84"/>
  <c r="G20" i="84"/>
  <c r="D20" i="84"/>
  <c r="C20" i="84"/>
  <c r="E20" i="84" s="1"/>
  <c r="F20" i="84" s="1"/>
  <c r="G19" i="84"/>
  <c r="D19" i="84"/>
  <c r="C19" i="84"/>
  <c r="G18" i="84"/>
  <c r="D18" i="84"/>
  <c r="C18" i="84"/>
  <c r="E18" i="84" s="1"/>
  <c r="F18" i="84" s="1"/>
  <c r="G17" i="84"/>
  <c r="D17" i="84"/>
  <c r="C17" i="84"/>
  <c r="E17" i="84" s="1"/>
  <c r="F17" i="84" s="1"/>
  <c r="G16" i="84"/>
  <c r="D16" i="84"/>
  <c r="C16" i="84"/>
  <c r="E16" i="84" s="1"/>
  <c r="G15" i="84"/>
  <c r="E15" i="84"/>
  <c r="F15" i="84" s="1"/>
  <c r="D15" i="84"/>
  <c r="C15" i="84"/>
  <c r="G14" i="84"/>
  <c r="D14" i="84"/>
  <c r="C14" i="84"/>
  <c r="E14" i="84" s="1"/>
  <c r="F14" i="84" s="1"/>
  <c r="G13" i="84"/>
  <c r="D13" i="84"/>
  <c r="C13" i="84"/>
  <c r="E13" i="84" s="1"/>
  <c r="G12" i="84"/>
  <c r="D12" i="84"/>
  <c r="C12" i="84"/>
  <c r="G11" i="84"/>
  <c r="D11" i="84"/>
  <c r="C11" i="84"/>
  <c r="G10" i="84"/>
  <c r="D10" i="84"/>
  <c r="E10" i="84" s="1"/>
  <c r="F10" i="84" s="1"/>
  <c r="C10" i="84"/>
  <c r="G9" i="84"/>
  <c r="D9" i="84"/>
  <c r="C9" i="84"/>
  <c r="E9" i="84" s="1"/>
  <c r="F9" i="84" s="1"/>
  <c r="G8" i="84"/>
  <c r="D8" i="84"/>
  <c r="C8" i="84"/>
  <c r="E8" i="84" s="1"/>
  <c r="F8" i="84" s="1"/>
  <c r="G7" i="84"/>
  <c r="E7" i="84"/>
  <c r="D7" i="84"/>
  <c r="C7" i="84"/>
  <c r="G6" i="84"/>
  <c r="E6" i="84"/>
  <c r="F6" i="84" s="1"/>
  <c r="D6" i="84"/>
  <c r="C6" i="84"/>
  <c r="J55" i="95"/>
  <c r="I55" i="95"/>
  <c r="D55" i="95"/>
  <c r="C55" i="95"/>
  <c r="J54" i="95"/>
  <c r="K54" i="95" s="1"/>
  <c r="I54" i="95"/>
  <c r="F54" i="95" a="1"/>
  <c r="F54" i="95" s="1"/>
  <c r="D54" i="95"/>
  <c r="C54" i="95"/>
  <c r="J53" i="95"/>
  <c r="K53" i="95" s="1"/>
  <c r="I53" i="95"/>
  <c r="F53" i="95" a="1"/>
  <c r="F53" i="95" s="1"/>
  <c r="D53" i="95"/>
  <c r="C53" i="95"/>
  <c r="K52" i="95"/>
  <c r="J52" i="95"/>
  <c r="I52" i="95"/>
  <c r="F52" i="95" a="1"/>
  <c r="F52" i="95" s="1"/>
  <c r="D52" i="95"/>
  <c r="C52" i="95"/>
  <c r="J51" i="95"/>
  <c r="K51" i="95" s="1"/>
  <c r="I51" i="95"/>
  <c r="F51" i="95" a="1"/>
  <c r="F51" i="95" s="1"/>
  <c r="D51" i="95"/>
  <c r="C51" i="95"/>
  <c r="K50" i="95"/>
  <c r="J50" i="95"/>
  <c r="I50" i="95"/>
  <c r="F50" i="95" a="1"/>
  <c r="F50" i="95" s="1"/>
  <c r="D50" i="95"/>
  <c r="C50" i="95"/>
  <c r="K49" i="95"/>
  <c r="J49" i="95"/>
  <c r="I49" i="95"/>
  <c r="F49" i="95" a="1"/>
  <c r="F49" i="95" s="1"/>
  <c r="D49" i="95"/>
  <c r="C49" i="95"/>
  <c r="K48" i="95"/>
  <c r="J48" i="95"/>
  <c r="I48" i="95"/>
  <c r="F48" i="95" a="1"/>
  <c r="F48" i="95" s="1"/>
  <c r="D48" i="95"/>
  <c r="C48" i="95"/>
  <c r="K47" i="95"/>
  <c r="J47" i="95"/>
  <c r="I47" i="95"/>
  <c r="F47" i="95" a="1"/>
  <c r="F47" i="95" s="1"/>
  <c r="D47" i="95"/>
  <c r="C47" i="95"/>
  <c r="K46" i="95"/>
  <c r="J46" i="95"/>
  <c r="I46" i="95"/>
  <c r="F46" i="95" a="1"/>
  <c r="F46" i="95" s="1"/>
  <c r="D46" i="95"/>
  <c r="C46" i="95"/>
  <c r="J45" i="95"/>
  <c r="I45" i="95"/>
  <c r="K45" i="95" s="1"/>
  <c r="F45" i="95" a="1"/>
  <c r="F45" i="95" s="1"/>
  <c r="D45" i="95"/>
  <c r="E45" i="95" s="1"/>
  <c r="C45" i="95"/>
  <c r="J44" i="95"/>
  <c r="I44" i="95"/>
  <c r="K44" i="95" s="1"/>
  <c r="F44" i="95" a="1"/>
  <c r="F44" i="95" s="1"/>
  <c r="D44" i="95"/>
  <c r="E44" i="95" s="1"/>
  <c r="C44" i="95"/>
  <c r="K43" i="95"/>
  <c r="J43" i="95"/>
  <c r="I43" i="95"/>
  <c r="F43" i="95" a="1"/>
  <c r="F43" i="95" s="1"/>
  <c r="D43" i="95"/>
  <c r="E43" i="95" s="1"/>
  <c r="C43" i="95"/>
  <c r="K42" i="95"/>
  <c r="J42" i="95"/>
  <c r="I42" i="95"/>
  <c r="F42" i="95" a="1"/>
  <c r="F42" i="95"/>
  <c r="D42" i="95"/>
  <c r="E42" i="95" s="1"/>
  <c r="C42" i="95"/>
  <c r="J41" i="95"/>
  <c r="I41" i="95"/>
  <c r="F41" i="95" a="1"/>
  <c r="F41" i="95" s="1"/>
  <c r="D41" i="95"/>
  <c r="C41" i="95"/>
  <c r="J40" i="95"/>
  <c r="I40" i="95"/>
  <c r="K40" i="95" s="1"/>
  <c r="F40" i="95" a="1"/>
  <c r="F40" i="95" s="1"/>
  <c r="D40" i="95"/>
  <c r="C40" i="95"/>
  <c r="J39" i="95"/>
  <c r="I39" i="95"/>
  <c r="K39" i="95" s="1"/>
  <c r="F39" i="95" a="1"/>
  <c r="F39" i="95" s="1"/>
  <c r="D39" i="95"/>
  <c r="E39" i="95" s="1"/>
  <c r="C39" i="95"/>
  <c r="J38" i="95"/>
  <c r="I38" i="95"/>
  <c r="F38" i="95" a="1"/>
  <c r="F38" i="95" s="1"/>
  <c r="D38" i="95"/>
  <c r="C38" i="95"/>
  <c r="J37" i="95"/>
  <c r="I37" i="95"/>
  <c r="F37" i="95" a="1"/>
  <c r="F37" i="95" s="1"/>
  <c r="D37" i="95"/>
  <c r="C37" i="95"/>
  <c r="J36" i="95"/>
  <c r="I36" i="95"/>
  <c r="F36" i="95" a="1"/>
  <c r="F36" i="95" s="1"/>
  <c r="D36" i="95"/>
  <c r="E36" i="95" s="1"/>
  <c r="C36" i="95"/>
  <c r="J35" i="95"/>
  <c r="I35" i="95"/>
  <c r="F35" i="95" a="1"/>
  <c r="F35" i="95" s="1"/>
  <c r="D35" i="95"/>
  <c r="C35" i="95"/>
  <c r="J34" i="95"/>
  <c r="I34" i="95"/>
  <c r="F34" i="95" a="1"/>
  <c r="F34" i="95" s="1"/>
  <c r="D34" i="95"/>
  <c r="C34" i="95"/>
  <c r="J33" i="95"/>
  <c r="I33" i="95"/>
  <c r="F33" i="95" a="1"/>
  <c r="F33" i="95" s="1"/>
  <c r="D33" i="95"/>
  <c r="C33" i="95"/>
  <c r="J28" i="95"/>
  <c r="I28" i="95"/>
  <c r="D28" i="95"/>
  <c r="E28" i="95" s="1"/>
  <c r="C28" i="95"/>
  <c r="L27" i="95" a="1"/>
  <c r="L27" i="95" s="1"/>
  <c r="J27" i="95"/>
  <c r="I27" i="95"/>
  <c r="F27" i="95" a="1"/>
  <c r="F27" i="95" s="1"/>
  <c r="D27" i="95"/>
  <c r="C27" i="95"/>
  <c r="L26" i="95" a="1"/>
  <c r="L26" i="95" s="1"/>
  <c r="J26" i="95"/>
  <c r="I26" i="95"/>
  <c r="F26" i="95" a="1"/>
  <c r="F26" i="95" s="1"/>
  <c r="D26" i="95"/>
  <c r="C26" i="95"/>
  <c r="E26" i="95" s="1"/>
  <c r="L25" i="95" a="1"/>
  <c r="L25" i="95" s="1"/>
  <c r="J25" i="95"/>
  <c r="I25" i="95"/>
  <c r="F25" i="95" a="1"/>
  <c r="F25" i="95" s="1"/>
  <c r="D25" i="95"/>
  <c r="C25" i="95"/>
  <c r="L24" i="95" a="1"/>
  <c r="L24" i="95" s="1"/>
  <c r="J24" i="95"/>
  <c r="I24" i="95"/>
  <c r="F24" i="95" a="1"/>
  <c r="F24" i="95" s="1"/>
  <c r="D24" i="95"/>
  <c r="C24" i="95"/>
  <c r="E24" i="95" s="1"/>
  <c r="L23" i="95" a="1"/>
  <c r="L23" i="95"/>
  <c r="J23" i="95"/>
  <c r="I23" i="95"/>
  <c r="F23" i="95" a="1"/>
  <c r="F23" i="95" s="1"/>
  <c r="D23" i="95"/>
  <c r="C23" i="95"/>
  <c r="L22" i="95" a="1"/>
  <c r="L22" i="95" s="1"/>
  <c r="J22" i="95"/>
  <c r="I22" i="95"/>
  <c r="F22" i="95" a="1"/>
  <c r="F22" i="95" s="1"/>
  <c r="D22" i="95"/>
  <c r="C22" i="95"/>
  <c r="L21" i="95" a="1"/>
  <c r="L21" i="95" s="1"/>
  <c r="J21" i="95"/>
  <c r="I21" i="95"/>
  <c r="F21" i="95" a="1"/>
  <c r="F21" i="95" s="1"/>
  <c r="D21" i="95"/>
  <c r="C21" i="95"/>
  <c r="L20" i="95" a="1"/>
  <c r="L20" i="95" s="1"/>
  <c r="J20" i="95"/>
  <c r="K20" i="95" s="1"/>
  <c r="I20" i="95"/>
  <c r="F20" i="95" a="1"/>
  <c r="F20" i="95" s="1"/>
  <c r="D20" i="95"/>
  <c r="E20" i="95" s="1"/>
  <c r="C20" i="95"/>
  <c r="L19" i="95" a="1"/>
  <c r="L19" i="95" s="1"/>
  <c r="J19" i="95"/>
  <c r="I19" i="95"/>
  <c r="F19" i="95" a="1"/>
  <c r="F19" i="95" s="1"/>
  <c r="D19" i="95"/>
  <c r="C19" i="95"/>
  <c r="L18" i="95" a="1"/>
  <c r="L18" i="95" s="1"/>
  <c r="J18" i="95"/>
  <c r="K18" i="95" s="1"/>
  <c r="I18" i="95"/>
  <c r="F18" i="95" a="1"/>
  <c r="F18" i="95"/>
  <c r="D18" i="95"/>
  <c r="E18" i="95" s="1"/>
  <c r="C18" i="95"/>
  <c r="L17" i="95" a="1"/>
  <c r="L17" i="95" s="1"/>
  <c r="J17" i="95"/>
  <c r="I17" i="95"/>
  <c r="F17" i="95" a="1"/>
  <c r="F17" i="95" s="1"/>
  <c r="D17" i="95"/>
  <c r="E17" i="95" s="1"/>
  <c r="C17" i="95"/>
  <c r="L16" i="95" a="1"/>
  <c r="L16" i="95" s="1"/>
  <c r="J16" i="95"/>
  <c r="I16" i="95"/>
  <c r="F16" i="95" a="1"/>
  <c r="F16" i="95" s="1"/>
  <c r="D16" i="95"/>
  <c r="C16" i="95"/>
  <c r="L15" i="95" a="1"/>
  <c r="L15" i="95"/>
  <c r="J15" i="95"/>
  <c r="I15" i="95"/>
  <c r="F15" i="95" a="1"/>
  <c r="F15" i="95" s="1"/>
  <c r="D15" i="95"/>
  <c r="C15" i="95"/>
  <c r="L14" i="95" a="1"/>
  <c r="L14" i="95"/>
  <c r="J14" i="95"/>
  <c r="I14" i="95"/>
  <c r="F14" i="95" a="1"/>
  <c r="F14" i="95" s="1"/>
  <c r="D14" i="95"/>
  <c r="C14" i="95"/>
  <c r="E14" i="95" s="1"/>
  <c r="L13" i="95" a="1"/>
  <c r="L13" i="95" s="1"/>
  <c r="J13" i="95"/>
  <c r="I13" i="95"/>
  <c r="K13" i="95" s="1"/>
  <c r="F13" i="95" a="1"/>
  <c r="F13" i="95" s="1"/>
  <c r="D13" i="95"/>
  <c r="C13" i="95"/>
  <c r="E13" i="95" s="1"/>
  <c r="L12" i="95" a="1"/>
  <c r="L12" i="95" s="1"/>
  <c r="J12" i="95"/>
  <c r="I12" i="95"/>
  <c r="F12" i="95" a="1"/>
  <c r="F12" i="95" s="1"/>
  <c r="D12" i="95"/>
  <c r="C12" i="95"/>
  <c r="L11" i="95" a="1"/>
  <c r="L11" i="95" s="1"/>
  <c r="J11" i="95"/>
  <c r="I11" i="95"/>
  <c r="F11" i="95" a="1"/>
  <c r="F11" i="95" s="1"/>
  <c r="D11" i="95"/>
  <c r="C11" i="95"/>
  <c r="L10" i="95" a="1"/>
  <c r="L10" i="95" s="1"/>
  <c r="J10" i="95"/>
  <c r="K10" i="95" s="1"/>
  <c r="I10" i="95"/>
  <c r="F10" i="95" a="1"/>
  <c r="F10" i="95" s="1"/>
  <c r="D10" i="95"/>
  <c r="C10" i="95"/>
  <c r="L9" i="95" a="1"/>
  <c r="L9" i="95" s="1"/>
  <c r="J9" i="95"/>
  <c r="K9" i="95" s="1"/>
  <c r="I9" i="95"/>
  <c r="F9" i="95" a="1"/>
  <c r="F9" i="95" s="1"/>
  <c r="D9" i="95"/>
  <c r="E9" i="95" s="1"/>
  <c r="C9" i="95"/>
  <c r="L8" i="95" a="1"/>
  <c r="L8" i="95" s="1"/>
  <c r="J8" i="95"/>
  <c r="I8" i="95"/>
  <c r="F8" i="95" a="1"/>
  <c r="F8" i="95" s="1"/>
  <c r="D8" i="95"/>
  <c r="C8" i="95"/>
  <c r="L7" i="95" a="1"/>
  <c r="L7" i="95" s="1"/>
  <c r="J7" i="95"/>
  <c r="I7" i="95"/>
  <c r="F7" i="95" a="1"/>
  <c r="F7" i="95"/>
  <c r="D7" i="95"/>
  <c r="C7" i="95"/>
  <c r="L6" i="95" a="1"/>
  <c r="L6" i="95" s="1"/>
  <c r="J6" i="95"/>
  <c r="I6" i="95"/>
  <c r="F6" i="95" a="1"/>
  <c r="F6" i="95" s="1"/>
  <c r="D6" i="95"/>
  <c r="C6" i="95"/>
  <c r="G93" i="81"/>
  <c r="B93" i="81"/>
  <c r="E93" i="81" s="1"/>
  <c r="G92" i="81"/>
  <c r="D92" i="81"/>
  <c r="B92" i="81"/>
  <c r="E92" i="81" s="1"/>
  <c r="G91" i="81"/>
  <c r="D91" i="81"/>
  <c r="C91" i="81"/>
  <c r="B91" i="81"/>
  <c r="E91" i="81" s="1"/>
  <c r="G90" i="81"/>
  <c r="D90" i="81"/>
  <c r="C90" i="81"/>
  <c r="B90" i="81"/>
  <c r="E90" i="81" s="1"/>
  <c r="C89" i="81"/>
  <c r="F89" i="81" s="1"/>
  <c r="B89" i="81"/>
  <c r="E89" i="81" s="1"/>
  <c r="D88" i="81"/>
  <c r="B88" i="81"/>
  <c r="E88" i="81" s="1"/>
  <c r="C87" i="81"/>
  <c r="B87" i="81"/>
  <c r="E87" i="81" s="1"/>
  <c r="B86" i="81"/>
  <c r="G85" i="81"/>
  <c r="B85" i="81"/>
  <c r="E85" i="81" s="1"/>
  <c r="G84" i="81"/>
  <c r="D84" i="81"/>
  <c r="B84" i="81"/>
  <c r="E84" i="81" s="1"/>
  <c r="H83" i="81"/>
  <c r="G83" i="81"/>
  <c r="D83" i="81"/>
  <c r="C83" i="81"/>
  <c r="F83" i="81" s="1"/>
  <c r="B83" i="81"/>
  <c r="E83" i="81" s="1"/>
  <c r="G82" i="81"/>
  <c r="H82" i="81" s="1"/>
  <c r="I82" i="81" s="1"/>
  <c r="D82" i="81"/>
  <c r="C82" i="81"/>
  <c r="B82" i="81"/>
  <c r="E82" i="81" s="1"/>
  <c r="C81" i="81"/>
  <c r="F81" i="81" s="1"/>
  <c r="B81" i="81"/>
  <c r="E81" i="81" s="1"/>
  <c r="D80" i="81"/>
  <c r="B80" i="81"/>
  <c r="E80" i="81" s="1"/>
  <c r="C79" i="81"/>
  <c r="B79" i="81"/>
  <c r="E79" i="81" s="1"/>
  <c r="B78" i="81"/>
  <c r="G77" i="81"/>
  <c r="B77" i="81"/>
  <c r="E77" i="81" s="1"/>
  <c r="G76" i="81"/>
  <c r="D76" i="81"/>
  <c r="B76" i="81"/>
  <c r="E76" i="81" s="1"/>
  <c r="G75" i="81"/>
  <c r="H75" i="81" s="1"/>
  <c r="I75" i="81" s="1"/>
  <c r="D75" i="81"/>
  <c r="C75" i="81"/>
  <c r="B75" i="81"/>
  <c r="E75" i="81" s="1"/>
  <c r="F75" i="81" s="1"/>
  <c r="G74" i="81"/>
  <c r="E74" i="81"/>
  <c r="F74" i="81" s="1"/>
  <c r="D74" i="81"/>
  <c r="C74" i="81"/>
  <c r="J71" i="81"/>
  <c r="I71" i="81"/>
  <c r="G71" i="81"/>
  <c r="D71" i="81"/>
  <c r="C71" i="81"/>
  <c r="B71" i="81"/>
  <c r="F71" i="81" s="1"/>
  <c r="J70" i="81"/>
  <c r="I70" i="81"/>
  <c r="G70" i="81"/>
  <c r="H70" i="81" s="1"/>
  <c r="F70" i="81"/>
  <c r="D70" i="81"/>
  <c r="B70" i="81"/>
  <c r="C70" i="81" s="1"/>
  <c r="E70" i="81" s="1"/>
  <c r="I69" i="81"/>
  <c r="G69" i="81"/>
  <c r="F69" i="81"/>
  <c r="D69" i="81"/>
  <c r="C69" i="81"/>
  <c r="B69" i="81"/>
  <c r="J69" i="81" s="1"/>
  <c r="I68" i="81"/>
  <c r="B68" i="81"/>
  <c r="J68" i="81" s="1"/>
  <c r="J67" i="81"/>
  <c r="I67" i="81"/>
  <c r="C67" i="81"/>
  <c r="B67" i="81"/>
  <c r="B66" i="81"/>
  <c r="I65" i="81"/>
  <c r="G65" i="81"/>
  <c r="F65" i="81"/>
  <c r="D65" i="81"/>
  <c r="E65" i="81" s="1"/>
  <c r="C65" i="81"/>
  <c r="B65" i="81"/>
  <c r="J65" i="81" s="1"/>
  <c r="K65" i="81" s="1"/>
  <c r="G64" i="81"/>
  <c r="F64" i="81"/>
  <c r="C64" i="81"/>
  <c r="B64" i="81"/>
  <c r="D64" i="81" s="1"/>
  <c r="J63" i="81"/>
  <c r="I63" i="81"/>
  <c r="G63" i="81"/>
  <c r="D63" i="81"/>
  <c r="E63" i="81" s="1"/>
  <c r="C63" i="81"/>
  <c r="B63" i="81"/>
  <c r="F63" i="81" s="1"/>
  <c r="J62" i="81"/>
  <c r="I62" i="81"/>
  <c r="G62" i="81"/>
  <c r="F62" i="81"/>
  <c r="D62" i="81"/>
  <c r="B62" i="81"/>
  <c r="C62" i="81" s="1"/>
  <c r="I61" i="81"/>
  <c r="G61" i="81"/>
  <c r="F61" i="81"/>
  <c r="D61" i="81"/>
  <c r="E61" i="81" s="1"/>
  <c r="C61" i="81"/>
  <c r="B61" i="81"/>
  <c r="J61" i="81" s="1"/>
  <c r="J60" i="81"/>
  <c r="I60" i="81"/>
  <c r="C60" i="81"/>
  <c r="B60" i="81"/>
  <c r="G60" i="81" s="1"/>
  <c r="I59" i="81"/>
  <c r="B59" i="81"/>
  <c r="J59" i="81" s="1"/>
  <c r="J58" i="81"/>
  <c r="I58" i="81"/>
  <c r="D58" i="81"/>
  <c r="C58" i="81"/>
  <c r="E58" i="81" s="1"/>
  <c r="B58" i="81"/>
  <c r="I57" i="81"/>
  <c r="G57" i="81"/>
  <c r="F57" i="81"/>
  <c r="D57" i="81"/>
  <c r="E57" i="81" s="1"/>
  <c r="C57" i="81"/>
  <c r="B57" i="81"/>
  <c r="J57" i="81" s="1"/>
  <c r="K57" i="81" s="1"/>
  <c r="C56" i="81"/>
  <c r="B56" i="81"/>
  <c r="J55" i="81"/>
  <c r="I55" i="81"/>
  <c r="G55" i="81"/>
  <c r="D55" i="81"/>
  <c r="C55" i="81"/>
  <c r="B55" i="81"/>
  <c r="F55" i="81" s="1"/>
  <c r="J54" i="81"/>
  <c r="D54" i="81"/>
  <c r="B54" i="81"/>
  <c r="C54" i="81" s="1"/>
  <c r="I53" i="81"/>
  <c r="G53" i="81"/>
  <c r="F53" i="81"/>
  <c r="D53" i="81"/>
  <c r="C53" i="81"/>
  <c r="B53" i="81"/>
  <c r="J53" i="81" s="1"/>
  <c r="J52" i="81"/>
  <c r="K52" i="81" s="1"/>
  <c r="I52" i="81"/>
  <c r="G52" i="81"/>
  <c r="F52" i="81"/>
  <c r="D52" i="81"/>
  <c r="C52" i="81"/>
  <c r="F48" i="81"/>
  <c r="D48" i="81"/>
  <c r="B48" i="81"/>
  <c r="K48" i="81" s="1"/>
  <c r="I47" i="81"/>
  <c r="G47" i="81"/>
  <c r="F47" i="81"/>
  <c r="H47" i="81" s="1"/>
  <c r="D47" i="81"/>
  <c r="B47" i="81"/>
  <c r="B46" i="81"/>
  <c r="G46" i="81" s="1"/>
  <c r="D45" i="81"/>
  <c r="B45" i="81"/>
  <c r="L45" i="81" s="1"/>
  <c r="L44" i="81"/>
  <c r="I44" i="81"/>
  <c r="F44" i="81"/>
  <c r="D44" i="81"/>
  <c r="C44" i="81"/>
  <c r="E44" i="81" s="1"/>
  <c r="B44" i="81"/>
  <c r="G44" i="81" s="1"/>
  <c r="L43" i="81"/>
  <c r="I43" i="81"/>
  <c r="G43" i="81"/>
  <c r="F43" i="81"/>
  <c r="D43" i="81"/>
  <c r="B43" i="81"/>
  <c r="K42" i="81"/>
  <c r="I42" i="81"/>
  <c r="F42" i="81"/>
  <c r="C42" i="81"/>
  <c r="B42" i="81"/>
  <c r="G42" i="81" s="1"/>
  <c r="L41" i="81"/>
  <c r="I41" i="81"/>
  <c r="G41" i="81"/>
  <c r="B41" i="81"/>
  <c r="B40" i="81"/>
  <c r="K40" i="81" s="1"/>
  <c r="D39" i="81"/>
  <c r="B39" i="81"/>
  <c r="L39" i="81" s="1"/>
  <c r="B38" i="81"/>
  <c r="G38" i="81" s="1"/>
  <c r="G37" i="81"/>
  <c r="B37" i="81"/>
  <c r="L37" i="81" s="1"/>
  <c r="I36" i="81"/>
  <c r="D36" i="81"/>
  <c r="B36" i="81"/>
  <c r="K36" i="81" s="1"/>
  <c r="L35" i="81"/>
  <c r="K35" i="81"/>
  <c r="I35" i="81"/>
  <c r="G35" i="81"/>
  <c r="F35" i="81"/>
  <c r="D35" i="81"/>
  <c r="C35" i="81"/>
  <c r="B35" i="81"/>
  <c r="B34" i="81"/>
  <c r="F34" i="81" s="1"/>
  <c r="L33" i="81"/>
  <c r="K33" i="81"/>
  <c r="I33" i="81"/>
  <c r="G33" i="81"/>
  <c r="F33" i="81"/>
  <c r="D33" i="81"/>
  <c r="C33" i="81"/>
  <c r="B33" i="81"/>
  <c r="L32" i="81"/>
  <c r="I32" i="81"/>
  <c r="C32" i="81"/>
  <c r="B32" i="81"/>
  <c r="F32" i="81" s="1"/>
  <c r="L31" i="81"/>
  <c r="K31" i="81"/>
  <c r="I31" i="81"/>
  <c r="G31" i="81"/>
  <c r="F31" i="81"/>
  <c r="D31" i="81"/>
  <c r="C31" i="81"/>
  <c r="E31" i="81" s="1"/>
  <c r="B31" i="81"/>
  <c r="I30" i="81"/>
  <c r="G30" i="81"/>
  <c r="B30" i="81"/>
  <c r="F30" i="81" s="1"/>
  <c r="L29" i="81"/>
  <c r="K29" i="81"/>
  <c r="I29" i="81"/>
  <c r="G29" i="81"/>
  <c r="F29" i="81"/>
  <c r="D29" i="81"/>
  <c r="C29" i="81"/>
  <c r="B26" i="81"/>
  <c r="K26" i="81" s="1"/>
  <c r="J25" i="81"/>
  <c r="G25" i="81"/>
  <c r="B25" i="81"/>
  <c r="K25" i="81" s="1"/>
  <c r="J24" i="81"/>
  <c r="H24" i="81"/>
  <c r="G24" i="81"/>
  <c r="E24" i="81"/>
  <c r="C24" i="81"/>
  <c r="B24" i="81"/>
  <c r="K24" i="81" s="1"/>
  <c r="J23" i="81"/>
  <c r="H23" i="81"/>
  <c r="G23" i="81"/>
  <c r="D23" i="81"/>
  <c r="B23" i="81"/>
  <c r="K23" i="81" s="1"/>
  <c r="J22" i="81"/>
  <c r="H22" i="81"/>
  <c r="G22" i="81"/>
  <c r="E22" i="81"/>
  <c r="D22" i="81"/>
  <c r="C22" i="81"/>
  <c r="B22" i="81"/>
  <c r="K22" i="81" s="1"/>
  <c r="B21" i="81"/>
  <c r="K21" i="81" s="1"/>
  <c r="H20" i="81"/>
  <c r="E20" i="81"/>
  <c r="D20" i="81"/>
  <c r="C20" i="81"/>
  <c r="B20" i="81"/>
  <c r="K20" i="81" s="1"/>
  <c r="J19" i="81"/>
  <c r="C19" i="81"/>
  <c r="B19" i="81"/>
  <c r="K19" i="81" s="1"/>
  <c r="H18" i="81"/>
  <c r="B18" i="81"/>
  <c r="K18" i="81" s="1"/>
  <c r="J17" i="81"/>
  <c r="G17" i="81"/>
  <c r="B17" i="81"/>
  <c r="K17" i="81" s="1"/>
  <c r="J16" i="81"/>
  <c r="H16" i="81"/>
  <c r="G16" i="81"/>
  <c r="E16" i="81"/>
  <c r="C16" i="81"/>
  <c r="B16" i="81"/>
  <c r="K16" i="81" s="1"/>
  <c r="K15" i="81"/>
  <c r="J15" i="81"/>
  <c r="H15" i="81"/>
  <c r="G15" i="81"/>
  <c r="E15" i="81"/>
  <c r="C15" i="81"/>
  <c r="B15" i="81"/>
  <c r="D15" i="81" s="1"/>
  <c r="K14" i="81"/>
  <c r="J14" i="81"/>
  <c r="H14" i="81"/>
  <c r="G14" i="81"/>
  <c r="E14" i="81"/>
  <c r="C14" i="81"/>
  <c r="B14" i="81"/>
  <c r="D14" i="81" s="1"/>
  <c r="K13" i="81"/>
  <c r="J13" i="81"/>
  <c r="H13" i="81"/>
  <c r="G13" i="81"/>
  <c r="E13" i="81"/>
  <c r="C13" i="81"/>
  <c r="B13" i="81"/>
  <c r="D13" i="81" s="1"/>
  <c r="K12" i="81"/>
  <c r="J12" i="81"/>
  <c r="H12" i="81"/>
  <c r="G12" i="81"/>
  <c r="E12" i="81"/>
  <c r="C12" i="81"/>
  <c r="B12" i="81"/>
  <c r="D12" i="81" s="1"/>
  <c r="K11" i="81"/>
  <c r="J11" i="81"/>
  <c r="H11" i="81"/>
  <c r="G11" i="81"/>
  <c r="E11" i="81"/>
  <c r="C11" i="81"/>
  <c r="B11" i="81"/>
  <c r="D11" i="81" s="1"/>
  <c r="K10" i="81"/>
  <c r="J10" i="81"/>
  <c r="H10" i="81"/>
  <c r="G10" i="81"/>
  <c r="E10" i="81"/>
  <c r="C10" i="81"/>
  <c r="B10" i="81"/>
  <c r="D10" i="81" s="1"/>
  <c r="K9" i="81"/>
  <c r="J9" i="81"/>
  <c r="H9" i="81"/>
  <c r="G9" i="81"/>
  <c r="E9" i="81"/>
  <c r="C9" i="81"/>
  <c r="B9" i="81"/>
  <c r="D9" i="81" s="1"/>
  <c r="K8" i="81"/>
  <c r="J8" i="81"/>
  <c r="H8" i="81"/>
  <c r="G8" i="81"/>
  <c r="E8" i="81"/>
  <c r="C8" i="81"/>
  <c r="B8" i="81"/>
  <c r="D8" i="81" s="1"/>
  <c r="K7" i="81"/>
  <c r="J7" i="81"/>
  <c r="H7" i="81"/>
  <c r="G7" i="81"/>
  <c r="E7" i="81"/>
  <c r="D7" i="81"/>
  <c r="C7" i="81"/>
  <c r="L27" i="80"/>
  <c r="K27" i="80"/>
  <c r="I27" i="80"/>
  <c r="H27" i="80"/>
  <c r="F27" i="80"/>
  <c r="E27" i="80"/>
  <c r="D27" i="80"/>
  <c r="C27" i="80"/>
  <c r="L26" i="80"/>
  <c r="K26" i="80"/>
  <c r="I26" i="80"/>
  <c r="H26" i="80"/>
  <c r="F26" i="80"/>
  <c r="E26" i="80"/>
  <c r="D26" i="80"/>
  <c r="C26" i="80"/>
  <c r="L25" i="80"/>
  <c r="K25" i="80"/>
  <c r="I25" i="80"/>
  <c r="H25" i="80"/>
  <c r="F25" i="80"/>
  <c r="E25" i="80"/>
  <c r="D25" i="80"/>
  <c r="C25" i="80"/>
  <c r="L24" i="80"/>
  <c r="K24" i="80"/>
  <c r="I24" i="80"/>
  <c r="H24" i="80"/>
  <c r="F24" i="80"/>
  <c r="E24" i="80"/>
  <c r="D24" i="80"/>
  <c r="C24" i="80"/>
  <c r="L23" i="80"/>
  <c r="K23" i="80"/>
  <c r="I23" i="80"/>
  <c r="H23" i="80"/>
  <c r="F23" i="80"/>
  <c r="E23" i="80"/>
  <c r="D23" i="80"/>
  <c r="C23" i="80"/>
  <c r="L22" i="80"/>
  <c r="K22" i="80"/>
  <c r="I22" i="80"/>
  <c r="H22" i="80"/>
  <c r="F22" i="80"/>
  <c r="E22" i="80"/>
  <c r="D22" i="80"/>
  <c r="C22" i="80"/>
  <c r="L21" i="80"/>
  <c r="K21" i="80"/>
  <c r="I21" i="80"/>
  <c r="H21" i="80"/>
  <c r="F21" i="80"/>
  <c r="E21" i="80"/>
  <c r="D21" i="80"/>
  <c r="C21" i="80"/>
  <c r="L20" i="80"/>
  <c r="K20" i="80"/>
  <c r="I20" i="80"/>
  <c r="H20" i="80"/>
  <c r="F20" i="80"/>
  <c r="E20" i="80"/>
  <c r="D20" i="80"/>
  <c r="C20" i="80"/>
  <c r="L19" i="80"/>
  <c r="K19" i="80"/>
  <c r="I19" i="80"/>
  <c r="H19" i="80"/>
  <c r="F19" i="80"/>
  <c r="E19" i="80"/>
  <c r="D19" i="80"/>
  <c r="C19" i="80"/>
  <c r="L18" i="80"/>
  <c r="K18" i="80"/>
  <c r="I18" i="80"/>
  <c r="H18" i="80"/>
  <c r="F18" i="80"/>
  <c r="E18" i="80"/>
  <c r="D18" i="80"/>
  <c r="C18" i="80"/>
  <c r="L17" i="80"/>
  <c r="K17" i="80"/>
  <c r="I17" i="80"/>
  <c r="H17" i="80"/>
  <c r="F17" i="80"/>
  <c r="E17" i="80"/>
  <c r="D17" i="80"/>
  <c r="C17" i="80"/>
  <c r="L16" i="80"/>
  <c r="K16" i="80"/>
  <c r="I16" i="80"/>
  <c r="H16" i="80"/>
  <c r="F16" i="80"/>
  <c r="E16" i="80"/>
  <c r="D16" i="80"/>
  <c r="C16" i="80"/>
  <c r="L15" i="80"/>
  <c r="K15" i="80"/>
  <c r="I15" i="80"/>
  <c r="H15" i="80"/>
  <c r="F15" i="80"/>
  <c r="E15" i="80"/>
  <c r="D15" i="80"/>
  <c r="C15" i="80"/>
  <c r="L14" i="80"/>
  <c r="K14" i="80"/>
  <c r="I14" i="80"/>
  <c r="H14" i="80"/>
  <c r="F14" i="80"/>
  <c r="E14" i="80"/>
  <c r="D14" i="80"/>
  <c r="C14" i="80"/>
  <c r="L13" i="80"/>
  <c r="K13" i="80"/>
  <c r="I13" i="80"/>
  <c r="H13" i="80"/>
  <c r="F13" i="80"/>
  <c r="E13" i="80"/>
  <c r="D13" i="80"/>
  <c r="C13" i="80"/>
  <c r="L12" i="80"/>
  <c r="K12" i="80"/>
  <c r="I12" i="80"/>
  <c r="H12" i="80"/>
  <c r="F12" i="80"/>
  <c r="E12" i="80"/>
  <c r="D12" i="80"/>
  <c r="C12" i="80"/>
  <c r="L11" i="80"/>
  <c r="K11" i="80"/>
  <c r="I11" i="80"/>
  <c r="H11" i="80"/>
  <c r="F11" i="80"/>
  <c r="E11" i="80"/>
  <c r="D11" i="80"/>
  <c r="C11" i="80"/>
  <c r="L10" i="80"/>
  <c r="K10" i="80"/>
  <c r="I10" i="80"/>
  <c r="H10" i="80"/>
  <c r="F10" i="80"/>
  <c r="E10" i="80"/>
  <c r="D10" i="80"/>
  <c r="C10" i="80"/>
  <c r="L9" i="80"/>
  <c r="K9" i="80"/>
  <c r="I9" i="80"/>
  <c r="H9" i="80"/>
  <c r="F9" i="80"/>
  <c r="E9" i="80"/>
  <c r="D9" i="80"/>
  <c r="C9" i="80"/>
  <c r="L8" i="80"/>
  <c r="K8" i="80"/>
  <c r="I8" i="80"/>
  <c r="H8" i="80"/>
  <c r="F8" i="80"/>
  <c r="E8" i="80"/>
  <c r="D8" i="80"/>
  <c r="C8" i="80"/>
  <c r="L7" i="80"/>
  <c r="K7" i="80"/>
  <c r="I7" i="80"/>
  <c r="H7" i="80"/>
  <c r="F7" i="80"/>
  <c r="E7" i="80"/>
  <c r="D7" i="80"/>
  <c r="C7" i="80"/>
  <c r="L6" i="80"/>
  <c r="K6" i="80"/>
  <c r="I6" i="80"/>
  <c r="H6" i="80"/>
  <c r="F6" i="80"/>
  <c r="E6" i="80"/>
  <c r="D6" i="80"/>
  <c r="C6" i="80"/>
  <c r="L5" i="80"/>
  <c r="K5" i="80"/>
  <c r="I5" i="80"/>
  <c r="H5" i="80"/>
  <c r="F5" i="80"/>
  <c r="E5" i="80"/>
  <c r="D5" i="80"/>
  <c r="C5" i="80"/>
  <c r="H76" i="110"/>
  <c r="E76" i="110"/>
  <c r="O75" i="110"/>
  <c r="G75" i="110"/>
  <c r="L74" i="110"/>
  <c r="Q73" i="110"/>
  <c r="O73" i="110"/>
  <c r="J73" i="110"/>
  <c r="P71" i="110" a="1"/>
  <c r="B71" i="110"/>
  <c r="O76" i="110" s="1"/>
  <c r="AJ69" i="110"/>
  <c r="AG69" i="110"/>
  <c r="AF69" i="110"/>
  <c r="AE69" i="110"/>
  <c r="AD69" i="110"/>
  <c r="AC69" i="110"/>
  <c r="AB69" i="110"/>
  <c r="Z69" i="110"/>
  <c r="X69" i="110"/>
  <c r="W69" i="110"/>
  <c r="V69" i="110"/>
  <c r="U69" i="110"/>
  <c r="AJ68" i="110"/>
  <c r="AH68" i="110"/>
  <c r="AG68" i="110"/>
  <c r="AF68" i="110"/>
  <c r="AE68" i="110"/>
  <c r="AC68" i="110"/>
  <c r="AB68" i="110"/>
  <c r="Z68" i="110"/>
  <c r="Y68" i="110"/>
  <c r="X68" i="110"/>
  <c r="W68" i="110"/>
  <c r="V68" i="110"/>
  <c r="H68" i="110"/>
  <c r="AJ67" i="110"/>
  <c r="AG67" i="110"/>
  <c r="AF67" i="110"/>
  <c r="AE67" i="110"/>
  <c r="AD67" i="110"/>
  <c r="AC67" i="110"/>
  <c r="AB67" i="110"/>
  <c r="Z67" i="110"/>
  <c r="X67" i="110"/>
  <c r="W67" i="110"/>
  <c r="V67" i="110"/>
  <c r="U67" i="110"/>
  <c r="R67" i="110"/>
  <c r="O67" i="110"/>
  <c r="AJ66" i="110"/>
  <c r="AH66" i="110"/>
  <c r="AG66" i="110"/>
  <c r="AF66" i="110"/>
  <c r="AE66" i="110"/>
  <c r="AC66" i="110"/>
  <c r="AB66" i="110"/>
  <c r="Z66" i="110"/>
  <c r="Y66" i="110"/>
  <c r="X66" i="110"/>
  <c r="W66" i="110"/>
  <c r="V66" i="110"/>
  <c r="L66" i="110"/>
  <c r="C66" i="110"/>
  <c r="AH64" i="110" a="1"/>
  <c r="T64" i="110"/>
  <c r="P64" i="110" a="1"/>
  <c r="B64" i="110"/>
  <c r="F69" i="110" s="1"/>
  <c r="AJ62" i="110"/>
  <c r="AD62" i="110"/>
  <c r="AB62" i="110"/>
  <c r="W62" i="110"/>
  <c r="U62" i="110"/>
  <c r="N62" i="110"/>
  <c r="AE61" i="110"/>
  <c r="AC61" i="110"/>
  <c r="Z61" i="110"/>
  <c r="U61" i="110"/>
  <c r="M61" i="110"/>
  <c r="AH60" i="110"/>
  <c r="AC60" i="110"/>
  <c r="X60" i="110"/>
  <c r="W60" i="110"/>
  <c r="N60" i="110"/>
  <c r="D60" i="110"/>
  <c r="AH59" i="110"/>
  <c r="AD59" i="110"/>
  <c r="X59" i="110"/>
  <c r="W59" i="110"/>
  <c r="N59" i="110"/>
  <c r="E59" i="110"/>
  <c r="AH57" i="110" a="1"/>
  <c r="T57" i="110"/>
  <c r="P57" i="110" a="1"/>
  <c r="B57" i="110"/>
  <c r="E62" i="110" s="1"/>
  <c r="AI55" i="110"/>
  <c r="AG55" i="110"/>
  <c r="AB55" i="110"/>
  <c r="Z55" i="110"/>
  <c r="Y55" i="110"/>
  <c r="V55" i="110"/>
  <c r="R55" i="110"/>
  <c r="Q55" i="110"/>
  <c r="P55" i="110"/>
  <c r="O55" i="110"/>
  <c r="N55" i="110"/>
  <c r="L55" i="110"/>
  <c r="K55" i="110"/>
  <c r="J55" i="110"/>
  <c r="I55" i="110"/>
  <c r="H55" i="110"/>
  <c r="G55" i="110"/>
  <c r="F55" i="110"/>
  <c r="D55" i="110"/>
  <c r="C55" i="110"/>
  <c r="AJ54" i="110"/>
  <c r="AG54" i="110"/>
  <c r="AC54" i="110"/>
  <c r="AB54" i="110"/>
  <c r="X54" i="110"/>
  <c r="V54" i="110"/>
  <c r="U54" i="110"/>
  <c r="R54" i="110"/>
  <c r="Q54" i="110"/>
  <c r="P54" i="110"/>
  <c r="O54" i="110"/>
  <c r="N54" i="110"/>
  <c r="L54" i="110"/>
  <c r="K54" i="110"/>
  <c r="J54" i="110"/>
  <c r="I54" i="110"/>
  <c r="H54" i="110"/>
  <c r="G54" i="110"/>
  <c r="F54" i="110"/>
  <c r="D54" i="110"/>
  <c r="C54" i="110"/>
  <c r="AJ53" i="110"/>
  <c r="AI53" i="110"/>
  <c r="AB53" i="110"/>
  <c r="AA53" i="110"/>
  <c r="Z53" i="110"/>
  <c r="X53" i="110"/>
  <c r="U53" i="110"/>
  <c r="R53" i="110"/>
  <c r="Q53" i="110"/>
  <c r="P53" i="110"/>
  <c r="O53" i="110"/>
  <c r="N53" i="110"/>
  <c r="L53" i="110"/>
  <c r="K53" i="110"/>
  <c r="J53" i="110"/>
  <c r="I53" i="110"/>
  <c r="H53" i="110"/>
  <c r="G53" i="110"/>
  <c r="F53" i="110"/>
  <c r="D53" i="110"/>
  <c r="C53" i="110"/>
  <c r="AI52" i="110"/>
  <c r="AF52" i="110"/>
  <c r="AD52" i="110"/>
  <c r="AA52" i="110"/>
  <c r="Z52" i="110"/>
  <c r="U52" i="110"/>
  <c r="R52" i="110"/>
  <c r="Q52" i="110"/>
  <c r="P52" i="110"/>
  <c r="O52" i="110"/>
  <c r="N52" i="110"/>
  <c r="L52" i="110"/>
  <c r="K52" i="110"/>
  <c r="J52" i="110"/>
  <c r="I52" i="110"/>
  <c r="H52" i="110"/>
  <c r="G52" i="110"/>
  <c r="F52" i="110"/>
  <c r="D52" i="110"/>
  <c r="C52" i="110"/>
  <c r="AH50" i="110" a="1"/>
  <c r="AH50" i="110" s="1"/>
  <c r="T50" i="110"/>
  <c r="P50" i="110" a="1"/>
  <c r="P50" i="110" s="1"/>
  <c r="B50" i="110"/>
  <c r="M55" i="110" s="1"/>
  <c r="AH48" i="110"/>
  <c r="AE48" i="110"/>
  <c r="AD48" i="110"/>
  <c r="Z48" i="110"/>
  <c r="Y48" i="110"/>
  <c r="V48" i="110"/>
  <c r="Q48" i="110"/>
  <c r="O48" i="110"/>
  <c r="N48" i="110"/>
  <c r="M48" i="110"/>
  <c r="L48" i="110"/>
  <c r="I48" i="110"/>
  <c r="E48" i="110"/>
  <c r="D48" i="110"/>
  <c r="AI47" i="110"/>
  <c r="AG47" i="110"/>
  <c r="AE47" i="110"/>
  <c r="Z47" i="110"/>
  <c r="Y47" i="110"/>
  <c r="V47" i="110"/>
  <c r="R47" i="110"/>
  <c r="Q47" i="110"/>
  <c r="P47" i="110"/>
  <c r="N47" i="110"/>
  <c r="I47" i="110"/>
  <c r="H47" i="110"/>
  <c r="G47" i="110"/>
  <c r="F47" i="110"/>
  <c r="E47" i="110"/>
  <c r="AI46" i="110"/>
  <c r="AG46" i="110"/>
  <c r="AE46" i="110"/>
  <c r="AB46" i="110"/>
  <c r="Z46" i="110"/>
  <c r="W46" i="110"/>
  <c r="R46" i="110"/>
  <c r="O46" i="110"/>
  <c r="N46" i="110"/>
  <c r="M46" i="110"/>
  <c r="I46" i="110"/>
  <c r="H46" i="110"/>
  <c r="F46" i="110"/>
  <c r="E46" i="110"/>
  <c r="AJ45" i="110"/>
  <c r="AH45" i="110"/>
  <c r="AE45" i="110"/>
  <c r="AB45" i="110"/>
  <c r="AA45" i="110"/>
  <c r="Z45" i="110"/>
  <c r="Q45" i="110"/>
  <c r="P45" i="110"/>
  <c r="O45" i="110"/>
  <c r="N45" i="110"/>
  <c r="J45" i="110"/>
  <c r="I45" i="110"/>
  <c r="F45" i="110"/>
  <c r="E45" i="110"/>
  <c r="D45" i="110"/>
  <c r="AH43" i="110" a="1"/>
  <c r="AH43" i="110" s="1"/>
  <c r="T43" i="110"/>
  <c r="P43" i="110" a="1"/>
  <c r="B43" i="110"/>
  <c r="Y41" i="110"/>
  <c r="AH36" i="110" a="1"/>
  <c r="T36" i="110"/>
  <c r="P36" i="110" a="1"/>
  <c r="B36" i="110"/>
  <c r="R34" i="110"/>
  <c r="P34" i="110"/>
  <c r="L34" i="110"/>
  <c r="H34" i="110"/>
  <c r="R33" i="110"/>
  <c r="K33" i="110"/>
  <c r="F33" i="110"/>
  <c r="C33" i="110"/>
  <c r="Q32" i="110"/>
  <c r="L32" i="110"/>
  <c r="F32" i="110"/>
  <c r="C32" i="110"/>
  <c r="AD31" i="110"/>
  <c r="M31" i="110"/>
  <c r="L31" i="110"/>
  <c r="H31" i="110"/>
  <c r="C31" i="110"/>
  <c r="AH29" i="110" a="1"/>
  <c r="T29" i="110"/>
  <c r="P29" i="110" a="1"/>
  <c r="B29" i="110"/>
  <c r="R27" i="110"/>
  <c r="Q27" i="110"/>
  <c r="P27" i="110"/>
  <c r="O27" i="110"/>
  <c r="N27" i="110"/>
  <c r="L27" i="110"/>
  <c r="K27" i="110"/>
  <c r="J27" i="110"/>
  <c r="I27" i="110"/>
  <c r="H27" i="110"/>
  <c r="G27" i="110"/>
  <c r="F27" i="110"/>
  <c r="D27" i="110"/>
  <c r="C27" i="110"/>
  <c r="R26" i="110"/>
  <c r="Q26" i="110"/>
  <c r="P26" i="110"/>
  <c r="O26" i="110"/>
  <c r="N26" i="110"/>
  <c r="L26" i="110"/>
  <c r="K26" i="110"/>
  <c r="J26" i="110"/>
  <c r="I26" i="110"/>
  <c r="H26" i="110"/>
  <c r="G26" i="110"/>
  <c r="F26" i="110"/>
  <c r="D26" i="110"/>
  <c r="C26" i="110"/>
  <c r="AA25" i="110"/>
  <c r="R25" i="110"/>
  <c r="Q25" i="110"/>
  <c r="P25" i="110"/>
  <c r="O25" i="110"/>
  <c r="N25" i="110"/>
  <c r="L25" i="110"/>
  <c r="K25" i="110"/>
  <c r="J25" i="110"/>
  <c r="I25" i="110"/>
  <c r="H25" i="110"/>
  <c r="G25" i="110"/>
  <c r="F25" i="110"/>
  <c r="D25" i="110"/>
  <c r="C25" i="110"/>
  <c r="R24" i="110"/>
  <c r="Q24" i="110"/>
  <c r="P24" i="110"/>
  <c r="O24" i="110"/>
  <c r="N24" i="110"/>
  <c r="L24" i="110"/>
  <c r="K24" i="110"/>
  <c r="J24" i="110"/>
  <c r="I24" i="110"/>
  <c r="H24" i="110"/>
  <c r="G24" i="110"/>
  <c r="F24" i="110"/>
  <c r="D24" i="110"/>
  <c r="C24" i="110"/>
  <c r="AH22" i="110" a="1"/>
  <c r="T22" i="110"/>
  <c r="P22" i="110" a="1"/>
  <c r="P22" i="110" s="1"/>
  <c r="B22" i="110"/>
  <c r="M27" i="110" s="1"/>
  <c r="AI20" i="110"/>
  <c r="AH20" i="110"/>
  <c r="AD20" i="110"/>
  <c r="AA20" i="110"/>
  <c r="Y20" i="110"/>
  <c r="M20" i="110"/>
  <c r="G20" i="110"/>
  <c r="AG19" i="110"/>
  <c r="AF19" i="110"/>
  <c r="AE19" i="110"/>
  <c r="W19" i="110"/>
  <c r="AJ18" i="110"/>
  <c r="AD18" i="110"/>
  <c r="AB18" i="110"/>
  <c r="Y18" i="110"/>
  <c r="W18" i="110"/>
  <c r="P18" i="110"/>
  <c r="G18" i="110"/>
  <c r="AJ17" i="110"/>
  <c r="AI17" i="110"/>
  <c r="AG17" i="110"/>
  <c r="AB17" i="110"/>
  <c r="Z17" i="110"/>
  <c r="Y17" i="110"/>
  <c r="O17" i="110"/>
  <c r="L17" i="110"/>
  <c r="AH15" i="110" a="1"/>
  <c r="T15" i="110"/>
  <c r="P15" i="110" a="1"/>
  <c r="B15" i="110"/>
  <c r="AJ13" i="110"/>
  <c r="AH13" i="110"/>
  <c r="AG13" i="110"/>
  <c r="AF13" i="110"/>
  <c r="AE13" i="110"/>
  <c r="AD13" i="110"/>
  <c r="AC13" i="110"/>
  <c r="AB13" i="110"/>
  <c r="Z13" i="110"/>
  <c r="Y13" i="110"/>
  <c r="X13" i="110"/>
  <c r="W13" i="110"/>
  <c r="V13" i="110"/>
  <c r="U13" i="110"/>
  <c r="R13" i="110"/>
  <c r="P13" i="110"/>
  <c r="O13" i="110"/>
  <c r="N13" i="110"/>
  <c r="M13" i="110"/>
  <c r="K13" i="110"/>
  <c r="J13" i="110"/>
  <c r="H13" i="110"/>
  <c r="G13" i="110"/>
  <c r="F13" i="110"/>
  <c r="E13" i="110"/>
  <c r="D13" i="110"/>
  <c r="AJ12" i="110"/>
  <c r="AH12" i="110"/>
  <c r="AG12" i="110"/>
  <c r="AF12" i="110"/>
  <c r="AE12" i="110"/>
  <c r="AD12" i="110"/>
  <c r="AC12" i="110"/>
  <c r="AB12" i="110"/>
  <c r="Z12" i="110"/>
  <c r="Y12" i="110"/>
  <c r="X12" i="110"/>
  <c r="W12" i="110"/>
  <c r="V12" i="110"/>
  <c r="U12" i="110"/>
  <c r="R12" i="110"/>
  <c r="O12" i="110"/>
  <c r="N12" i="110"/>
  <c r="M12" i="110"/>
  <c r="L12" i="110"/>
  <c r="K12" i="110"/>
  <c r="J12" i="110"/>
  <c r="H12" i="110"/>
  <c r="F12" i="110"/>
  <c r="E12" i="110"/>
  <c r="D12" i="110"/>
  <c r="C12" i="110"/>
  <c r="AJ11" i="110"/>
  <c r="AH11" i="110"/>
  <c r="AG11" i="110"/>
  <c r="AF11" i="110"/>
  <c r="AE11" i="110"/>
  <c r="AD11" i="110"/>
  <c r="AC11" i="110"/>
  <c r="AB11" i="110"/>
  <c r="Z11" i="110"/>
  <c r="Y11" i="110"/>
  <c r="X11" i="110"/>
  <c r="W11" i="110"/>
  <c r="V11" i="110"/>
  <c r="U11" i="110"/>
  <c r="R11" i="110"/>
  <c r="P11" i="110"/>
  <c r="O11" i="110"/>
  <c r="N11" i="110"/>
  <c r="M11" i="110"/>
  <c r="K11" i="110"/>
  <c r="J11" i="110"/>
  <c r="H11" i="110"/>
  <c r="G11" i="110"/>
  <c r="F11" i="110"/>
  <c r="E11" i="110"/>
  <c r="D11" i="110"/>
  <c r="AJ10" i="110"/>
  <c r="AH10" i="110"/>
  <c r="AG10" i="110"/>
  <c r="AF10" i="110"/>
  <c r="AE10" i="110"/>
  <c r="AD10" i="110"/>
  <c r="AC10" i="110"/>
  <c r="AB10" i="110"/>
  <c r="Z10" i="110"/>
  <c r="Y10" i="110"/>
  <c r="X10" i="110"/>
  <c r="W10" i="110"/>
  <c r="V10" i="110"/>
  <c r="U10" i="110"/>
  <c r="R10" i="110"/>
  <c r="O10" i="110"/>
  <c r="N10" i="110"/>
  <c r="M10" i="110"/>
  <c r="L10" i="110"/>
  <c r="K10" i="110"/>
  <c r="J10" i="110"/>
  <c r="H10" i="110"/>
  <c r="F10" i="110"/>
  <c r="E10" i="110"/>
  <c r="D10" i="110"/>
  <c r="C10" i="110"/>
  <c r="AH8" i="110"/>
  <c r="T8" i="110"/>
  <c r="AI13" i="110" s="1"/>
  <c r="P8" i="110"/>
  <c r="B8" i="110"/>
  <c r="Q76" i="108"/>
  <c r="O76" i="108"/>
  <c r="N76" i="108"/>
  <c r="K76" i="108"/>
  <c r="I76" i="108"/>
  <c r="H76" i="108"/>
  <c r="D76" i="108"/>
  <c r="C76" i="108"/>
  <c r="R75" i="108"/>
  <c r="O75" i="108"/>
  <c r="N75" i="108"/>
  <c r="L75" i="108"/>
  <c r="I75" i="108"/>
  <c r="G75" i="108"/>
  <c r="F75" i="108"/>
  <c r="C75" i="108"/>
  <c r="R74" i="108"/>
  <c r="P74" i="108"/>
  <c r="L74" i="108"/>
  <c r="K74" i="108"/>
  <c r="J74" i="108"/>
  <c r="H74" i="108"/>
  <c r="D74" i="108"/>
  <c r="C74" i="108"/>
  <c r="Q73" i="108"/>
  <c r="P73" i="108"/>
  <c r="O73" i="108"/>
  <c r="J73" i="108"/>
  <c r="I73" i="108"/>
  <c r="H73" i="108"/>
  <c r="F73" i="108"/>
  <c r="D73" i="108"/>
  <c r="P71" i="108" a="1"/>
  <c r="B71" i="108"/>
  <c r="AJ69" i="108"/>
  <c r="AI69" i="108"/>
  <c r="AG69" i="108"/>
  <c r="AF69" i="108"/>
  <c r="AE69" i="108"/>
  <c r="AD69" i="108"/>
  <c r="AC69" i="108"/>
  <c r="AB69" i="108"/>
  <c r="AA69" i="108"/>
  <c r="Y69" i="108"/>
  <c r="X69" i="108"/>
  <c r="W69" i="108"/>
  <c r="V69" i="108"/>
  <c r="U69" i="108"/>
  <c r="Q69" i="108"/>
  <c r="O69" i="108"/>
  <c r="N69" i="108"/>
  <c r="M69" i="108"/>
  <c r="L69" i="108"/>
  <c r="J69" i="108"/>
  <c r="I69" i="108"/>
  <c r="F69" i="108"/>
  <c r="E69" i="108"/>
  <c r="D69" i="108"/>
  <c r="C69" i="108"/>
  <c r="AJ68" i="108"/>
  <c r="AI68" i="108"/>
  <c r="AG68" i="108"/>
  <c r="AF68" i="108"/>
  <c r="AE68" i="108"/>
  <c r="AD68" i="108"/>
  <c r="AC68" i="108"/>
  <c r="AB68" i="108"/>
  <c r="AA68" i="108"/>
  <c r="Y68" i="108"/>
  <c r="X68" i="108"/>
  <c r="W68" i="108"/>
  <c r="V68" i="108"/>
  <c r="U68" i="108"/>
  <c r="R68" i="108"/>
  <c r="Q68" i="108"/>
  <c r="N68" i="108"/>
  <c r="M68" i="108"/>
  <c r="L68" i="108"/>
  <c r="J68" i="108"/>
  <c r="I68" i="108"/>
  <c r="G68" i="108"/>
  <c r="E68" i="108"/>
  <c r="D68" i="108"/>
  <c r="C68" i="108"/>
  <c r="AJ67" i="108"/>
  <c r="AI67" i="108"/>
  <c r="AG67" i="108"/>
  <c r="AF67" i="108"/>
  <c r="AE67" i="108"/>
  <c r="AD67" i="108"/>
  <c r="AC67" i="108"/>
  <c r="AB67" i="108"/>
  <c r="AA67" i="108"/>
  <c r="Y67" i="108"/>
  <c r="X67" i="108"/>
  <c r="W67" i="108"/>
  <c r="V67" i="108"/>
  <c r="U67" i="108"/>
  <c r="R67" i="108"/>
  <c r="Q67" i="108"/>
  <c r="O67" i="108"/>
  <c r="M67" i="108"/>
  <c r="L67" i="108"/>
  <c r="J67" i="108"/>
  <c r="I67" i="108"/>
  <c r="G67" i="108"/>
  <c r="F67" i="108"/>
  <c r="E67" i="108"/>
  <c r="C67" i="108"/>
  <c r="AJ66" i="108"/>
  <c r="AI66" i="108"/>
  <c r="AG66" i="108"/>
  <c r="AF66" i="108"/>
  <c r="AE66" i="108"/>
  <c r="AD66" i="108"/>
  <c r="AC66" i="108"/>
  <c r="AB66" i="108"/>
  <c r="AA66" i="108"/>
  <c r="Y66" i="108"/>
  <c r="X66" i="108"/>
  <c r="W66" i="108"/>
  <c r="V66" i="108"/>
  <c r="U66" i="108"/>
  <c r="Q66" i="108"/>
  <c r="N66" i="108"/>
  <c r="M66" i="108"/>
  <c r="L66" i="108"/>
  <c r="K66" i="108"/>
  <c r="J66" i="108"/>
  <c r="I66" i="108"/>
  <c r="E66" i="108"/>
  <c r="D66" i="108"/>
  <c r="C66" i="108"/>
  <c r="AH64" i="108" a="1"/>
  <c r="AH64" i="108" s="1"/>
  <c r="T64" i="108"/>
  <c r="AH69" i="108" s="1"/>
  <c r="P64" i="108" a="1"/>
  <c r="B64" i="108"/>
  <c r="AE62" i="108"/>
  <c r="Y62" i="108"/>
  <c r="Q62" i="108"/>
  <c r="P62" i="108"/>
  <c r="M62" i="108"/>
  <c r="J62" i="108"/>
  <c r="H62" i="108"/>
  <c r="E62" i="108"/>
  <c r="C62" i="108"/>
  <c r="AG61" i="108"/>
  <c r="Z61" i="108"/>
  <c r="R61" i="108"/>
  <c r="Q61" i="108"/>
  <c r="L61" i="108"/>
  <c r="J61" i="108"/>
  <c r="H61" i="108"/>
  <c r="G61" i="108"/>
  <c r="C61" i="108"/>
  <c r="AG60" i="108"/>
  <c r="AA60" i="108"/>
  <c r="Z60" i="108"/>
  <c r="O60" i="108"/>
  <c r="M60" i="108"/>
  <c r="J60" i="108"/>
  <c r="H60" i="108"/>
  <c r="G60" i="108"/>
  <c r="C60" i="108"/>
  <c r="AI59" i="108"/>
  <c r="AB59" i="108"/>
  <c r="R59" i="108"/>
  <c r="P59" i="108"/>
  <c r="O59" i="108"/>
  <c r="J59" i="108"/>
  <c r="I59" i="108"/>
  <c r="E59" i="108"/>
  <c r="C59" i="108"/>
  <c r="AH57" i="108" a="1"/>
  <c r="T57" i="108"/>
  <c r="AH62" i="108" s="1"/>
  <c r="P57" i="108" a="1"/>
  <c r="B57" i="108"/>
  <c r="AG55" i="108"/>
  <c r="AF55" i="108"/>
  <c r="X55" i="108"/>
  <c r="U55" i="108"/>
  <c r="AH54" i="108"/>
  <c r="AC54" i="108"/>
  <c r="X54" i="108"/>
  <c r="W54" i="108"/>
  <c r="AF53" i="108"/>
  <c r="AE53" i="108"/>
  <c r="X53" i="108"/>
  <c r="AH52" i="108"/>
  <c r="AG52" i="108"/>
  <c r="AF52" i="108"/>
  <c r="W52" i="108"/>
  <c r="AH50" i="108" a="1"/>
  <c r="T50" i="108"/>
  <c r="P50" i="108" a="1"/>
  <c r="B50" i="108"/>
  <c r="AI48" i="108"/>
  <c r="AH48" i="108"/>
  <c r="AG48" i="108"/>
  <c r="AE48" i="108"/>
  <c r="AD48" i="108"/>
  <c r="AC48" i="108"/>
  <c r="AA48" i="108"/>
  <c r="Z48" i="108"/>
  <c r="Y48" i="108"/>
  <c r="X48" i="108"/>
  <c r="V48" i="108"/>
  <c r="U48" i="108"/>
  <c r="Q48" i="108"/>
  <c r="P48" i="108"/>
  <c r="I48" i="108"/>
  <c r="H48" i="108"/>
  <c r="F48" i="108"/>
  <c r="AI47" i="108"/>
  <c r="AH47" i="108"/>
  <c r="AG47" i="108"/>
  <c r="AF47" i="108"/>
  <c r="AE47" i="108"/>
  <c r="AD47" i="108"/>
  <c r="AC47" i="108"/>
  <c r="Z47" i="108"/>
  <c r="Y47" i="108"/>
  <c r="X47" i="108"/>
  <c r="W47" i="108"/>
  <c r="V47" i="108"/>
  <c r="U47" i="108"/>
  <c r="O47" i="108"/>
  <c r="M47" i="108"/>
  <c r="I47" i="108"/>
  <c r="G47" i="108"/>
  <c r="F47" i="108"/>
  <c r="AJ46" i="108"/>
  <c r="AI46" i="108"/>
  <c r="AG46" i="108"/>
  <c r="AF46" i="108"/>
  <c r="AE46" i="108"/>
  <c r="AD46" i="108"/>
  <c r="AC46" i="108"/>
  <c r="AB46" i="108"/>
  <c r="AA46" i="108"/>
  <c r="Y46" i="108"/>
  <c r="X46" i="108"/>
  <c r="W46" i="108"/>
  <c r="V46" i="108"/>
  <c r="U46" i="108"/>
  <c r="R46" i="108"/>
  <c r="M46" i="108"/>
  <c r="K46" i="108"/>
  <c r="I46" i="108"/>
  <c r="F46" i="108"/>
  <c r="AJ45" i="108"/>
  <c r="AI45" i="108"/>
  <c r="AG45" i="108"/>
  <c r="AF45" i="108"/>
  <c r="AE45" i="108"/>
  <c r="AD45" i="108"/>
  <c r="AC45" i="108"/>
  <c r="AB45" i="108"/>
  <c r="AA45" i="108"/>
  <c r="Y45" i="108"/>
  <c r="X45" i="108"/>
  <c r="W45" i="108"/>
  <c r="V45" i="108"/>
  <c r="U45" i="108"/>
  <c r="R45" i="108"/>
  <c r="N45" i="108"/>
  <c r="M45" i="108"/>
  <c r="J45" i="108"/>
  <c r="F45" i="108"/>
  <c r="D45" i="108"/>
  <c r="AH43" i="108" a="1"/>
  <c r="AH43" i="108" s="1"/>
  <c r="T43" i="108"/>
  <c r="P43" i="108" a="1"/>
  <c r="P43" i="108" s="1"/>
  <c r="B43" i="108"/>
  <c r="AE41" i="108"/>
  <c r="R41" i="108"/>
  <c r="P41" i="108"/>
  <c r="M41" i="108"/>
  <c r="L41" i="108"/>
  <c r="K41" i="108"/>
  <c r="J41" i="108"/>
  <c r="I41" i="108"/>
  <c r="H41" i="108"/>
  <c r="D41" i="108"/>
  <c r="C41" i="108"/>
  <c r="AJ40" i="108"/>
  <c r="Y40" i="108"/>
  <c r="R40" i="108"/>
  <c r="P40" i="108"/>
  <c r="O40" i="108"/>
  <c r="M40" i="108"/>
  <c r="L40" i="108"/>
  <c r="K40" i="108"/>
  <c r="I40" i="108"/>
  <c r="H40" i="108"/>
  <c r="E40" i="108"/>
  <c r="D40" i="108"/>
  <c r="C40" i="108"/>
  <c r="AJ39" i="108"/>
  <c r="AC39" i="108"/>
  <c r="U39" i="108"/>
  <c r="Q39" i="108"/>
  <c r="P39" i="108"/>
  <c r="M39" i="108"/>
  <c r="L39" i="108"/>
  <c r="K39" i="108"/>
  <c r="J39" i="108"/>
  <c r="I39" i="108"/>
  <c r="G39" i="108"/>
  <c r="D39" i="108"/>
  <c r="C39" i="108"/>
  <c r="AG38" i="108"/>
  <c r="Z38" i="108"/>
  <c r="W38" i="108"/>
  <c r="Q38" i="108"/>
  <c r="P38" i="108"/>
  <c r="O38" i="108"/>
  <c r="M38" i="108"/>
  <c r="L38" i="108"/>
  <c r="K38" i="108"/>
  <c r="I38" i="108"/>
  <c r="G38" i="108"/>
  <c r="E38" i="108"/>
  <c r="D38" i="108"/>
  <c r="C38" i="108"/>
  <c r="AH36" i="108" a="1"/>
  <c r="T36" i="108"/>
  <c r="P36" i="108" a="1"/>
  <c r="B36" i="108"/>
  <c r="AI34" i="108"/>
  <c r="AG34" i="108"/>
  <c r="AE34" i="108"/>
  <c r="Z34" i="108"/>
  <c r="Y34" i="108"/>
  <c r="X34" i="108"/>
  <c r="R34" i="108"/>
  <c r="Q34" i="108"/>
  <c r="P34" i="108"/>
  <c r="N34" i="108"/>
  <c r="M34" i="108"/>
  <c r="J34" i="108"/>
  <c r="I34" i="108"/>
  <c r="G34" i="108"/>
  <c r="F34" i="108"/>
  <c r="C34" i="108"/>
  <c r="AH33" i="108"/>
  <c r="AG33" i="108"/>
  <c r="AC33" i="108"/>
  <c r="Z33" i="108"/>
  <c r="Y33" i="108"/>
  <c r="U33" i="108"/>
  <c r="R33" i="108"/>
  <c r="N33" i="108"/>
  <c r="M33" i="108"/>
  <c r="K33" i="108"/>
  <c r="J33" i="108"/>
  <c r="I33" i="108"/>
  <c r="H33" i="108"/>
  <c r="F33" i="108"/>
  <c r="AJ32" i="108"/>
  <c r="AI32" i="108"/>
  <c r="AE32" i="108"/>
  <c r="AC32" i="108"/>
  <c r="AA32" i="108"/>
  <c r="X32" i="108"/>
  <c r="U32" i="108"/>
  <c r="R32" i="108"/>
  <c r="Q32" i="108"/>
  <c r="O32" i="108"/>
  <c r="N32" i="108"/>
  <c r="J32" i="108"/>
  <c r="I32" i="108"/>
  <c r="H32" i="108"/>
  <c r="G32" i="108"/>
  <c r="E32" i="108"/>
  <c r="C32" i="108"/>
  <c r="AI31" i="108"/>
  <c r="AG31" i="108"/>
  <c r="AF31" i="108"/>
  <c r="Z31" i="108"/>
  <c r="Y31" i="108"/>
  <c r="X31" i="108"/>
  <c r="R31" i="108"/>
  <c r="O31" i="108"/>
  <c r="N31" i="108"/>
  <c r="M31" i="108"/>
  <c r="K31" i="108"/>
  <c r="J31" i="108"/>
  <c r="H31" i="108"/>
  <c r="E31" i="108"/>
  <c r="C31" i="108"/>
  <c r="AH29" i="108" a="1"/>
  <c r="AH29" i="108" s="1"/>
  <c r="T29" i="108"/>
  <c r="P29" i="108" a="1"/>
  <c r="B29" i="108"/>
  <c r="AH27" i="108"/>
  <c r="AG27" i="108"/>
  <c r="AF27" i="108"/>
  <c r="AE27" i="108"/>
  <c r="AD27" i="108"/>
  <c r="AA27" i="108"/>
  <c r="Z27" i="108"/>
  <c r="W27" i="108"/>
  <c r="V27" i="108"/>
  <c r="U27" i="108"/>
  <c r="O27" i="108"/>
  <c r="L27" i="108"/>
  <c r="G27" i="108"/>
  <c r="F27" i="108"/>
  <c r="AI26" i="108"/>
  <c r="AH26" i="108"/>
  <c r="AE26" i="108"/>
  <c r="AD26" i="108"/>
  <c r="AC26" i="108"/>
  <c r="AA26" i="108"/>
  <c r="Y26" i="108"/>
  <c r="W26" i="108"/>
  <c r="V26" i="108"/>
  <c r="Q26" i="108"/>
  <c r="P26" i="108"/>
  <c r="I26" i="108"/>
  <c r="H26" i="108"/>
  <c r="F26" i="108"/>
  <c r="AI25" i="108"/>
  <c r="AH25" i="108"/>
  <c r="AG25" i="108"/>
  <c r="AF25" i="108"/>
  <c r="AE25" i="108"/>
  <c r="AA25" i="108"/>
  <c r="Y25" i="108"/>
  <c r="X25" i="108"/>
  <c r="W25" i="108"/>
  <c r="V25" i="108"/>
  <c r="U25" i="108"/>
  <c r="M25" i="108"/>
  <c r="K25" i="108"/>
  <c r="F25" i="108"/>
  <c r="E25" i="108"/>
  <c r="AI24" i="108"/>
  <c r="AH24" i="108"/>
  <c r="AF24" i="108"/>
  <c r="AE24" i="108"/>
  <c r="AD24" i="108"/>
  <c r="AC24" i="108"/>
  <c r="Z24" i="108"/>
  <c r="W24" i="108"/>
  <c r="V24" i="108"/>
  <c r="U24" i="108"/>
  <c r="P24" i="108"/>
  <c r="N24" i="108"/>
  <c r="H24" i="108"/>
  <c r="G24" i="108"/>
  <c r="C24" i="108"/>
  <c r="AH22" i="108" a="1"/>
  <c r="AH22" i="108" s="1"/>
  <c r="T22" i="108"/>
  <c r="P22" i="108" a="1"/>
  <c r="B22" i="108"/>
  <c r="AG20" i="108"/>
  <c r="AF20" i="108"/>
  <c r="AE20" i="108"/>
  <c r="U20" i="108"/>
  <c r="Q20" i="108"/>
  <c r="N20" i="108"/>
  <c r="J20" i="108"/>
  <c r="I20" i="108"/>
  <c r="H20" i="108"/>
  <c r="D20" i="108"/>
  <c r="AJ19" i="108"/>
  <c r="AI19" i="108"/>
  <c r="AH19" i="108"/>
  <c r="AF19" i="108"/>
  <c r="U19" i="108"/>
  <c r="R19" i="108"/>
  <c r="O19" i="108"/>
  <c r="M19" i="108"/>
  <c r="L19" i="108"/>
  <c r="I19" i="108"/>
  <c r="H19" i="108"/>
  <c r="C19" i="108"/>
  <c r="AI18" i="108"/>
  <c r="AH18" i="108"/>
  <c r="AG18" i="108"/>
  <c r="AE18" i="108"/>
  <c r="U18" i="108"/>
  <c r="Q18" i="108"/>
  <c r="L18" i="108"/>
  <c r="K18" i="108"/>
  <c r="I18" i="108"/>
  <c r="F18" i="108"/>
  <c r="D18" i="108"/>
  <c r="AJ17" i="108"/>
  <c r="AI17" i="108"/>
  <c r="AH17" i="108"/>
  <c r="AG17" i="108"/>
  <c r="R17" i="108"/>
  <c r="Q17" i="108"/>
  <c r="P17" i="108"/>
  <c r="N17" i="108"/>
  <c r="M17" i="108"/>
  <c r="J17" i="108"/>
  <c r="F17" i="108"/>
  <c r="E17" i="108"/>
  <c r="AH15" i="108" a="1"/>
  <c r="AH15" i="108" s="1"/>
  <c r="T15" i="108"/>
  <c r="P15" i="108" a="1"/>
  <c r="P15" i="108" s="1"/>
  <c r="B15" i="108"/>
  <c r="R13" i="108"/>
  <c r="O13" i="108"/>
  <c r="N13" i="108"/>
  <c r="L13" i="108"/>
  <c r="G13" i="108"/>
  <c r="F13" i="108"/>
  <c r="C13" i="108"/>
  <c r="N12" i="108"/>
  <c r="M12" i="108"/>
  <c r="L12" i="108"/>
  <c r="G12" i="108"/>
  <c r="F12" i="108"/>
  <c r="E12" i="108"/>
  <c r="C12" i="108"/>
  <c r="R11" i="108"/>
  <c r="Q11" i="108"/>
  <c r="N11" i="108"/>
  <c r="K11" i="108"/>
  <c r="J11" i="108"/>
  <c r="F11" i="108"/>
  <c r="E11" i="108"/>
  <c r="AF10" i="108"/>
  <c r="Q10" i="108"/>
  <c r="L10" i="108"/>
  <c r="K10" i="108"/>
  <c r="J10" i="108"/>
  <c r="G10" i="108"/>
  <c r="E10" i="108"/>
  <c r="C10" i="108"/>
  <c r="T8" i="108"/>
  <c r="B8" i="108"/>
  <c r="K75" i="109"/>
  <c r="N73" i="109"/>
  <c r="B71" i="109"/>
  <c r="P71" i="109" s="1"/>
  <c r="AH69" i="109"/>
  <c r="AE69" i="109"/>
  <c r="AD69" i="109"/>
  <c r="AA69" i="109"/>
  <c r="Y69" i="109"/>
  <c r="X69" i="109"/>
  <c r="V69" i="109"/>
  <c r="E69" i="109"/>
  <c r="AD68" i="109"/>
  <c r="AC68" i="109"/>
  <c r="AB68" i="109"/>
  <c r="Y68" i="109"/>
  <c r="X68" i="109"/>
  <c r="W68" i="109"/>
  <c r="AE67" i="109"/>
  <c r="AC67" i="109"/>
  <c r="AB67" i="109"/>
  <c r="Z67" i="109"/>
  <c r="W67" i="109"/>
  <c r="V67" i="109"/>
  <c r="AH66" i="109"/>
  <c r="AF66" i="109"/>
  <c r="AE66" i="109"/>
  <c r="AB66" i="109"/>
  <c r="Y66" i="109"/>
  <c r="X66" i="109"/>
  <c r="W66" i="109"/>
  <c r="AF64" i="109"/>
  <c r="T64" i="109"/>
  <c r="B64" i="109"/>
  <c r="AG62" i="109"/>
  <c r="AC62" i="109"/>
  <c r="AA62" i="109"/>
  <c r="W62" i="109"/>
  <c r="V62" i="109"/>
  <c r="R62" i="109"/>
  <c r="P62" i="109"/>
  <c r="O62" i="109"/>
  <c r="L62" i="109"/>
  <c r="K62" i="109"/>
  <c r="J62" i="109"/>
  <c r="H62" i="109"/>
  <c r="G62" i="109"/>
  <c r="C62" i="109"/>
  <c r="AH61" i="109"/>
  <c r="AG61" i="109"/>
  <c r="AC61" i="109"/>
  <c r="Z61" i="109"/>
  <c r="X61" i="109"/>
  <c r="W61" i="109"/>
  <c r="Q61" i="109"/>
  <c r="O61" i="109"/>
  <c r="N61" i="109"/>
  <c r="M61" i="109"/>
  <c r="J61" i="109"/>
  <c r="I61" i="109"/>
  <c r="F61" i="109"/>
  <c r="E61" i="109"/>
  <c r="C61" i="109"/>
  <c r="AH60" i="109"/>
  <c r="AG60" i="109"/>
  <c r="AA60" i="109"/>
  <c r="Z60" i="109"/>
  <c r="X60" i="109"/>
  <c r="V60" i="109"/>
  <c r="O60" i="109"/>
  <c r="N60" i="109"/>
  <c r="M60" i="109"/>
  <c r="L60" i="109"/>
  <c r="K60" i="109"/>
  <c r="H60" i="109"/>
  <c r="G60" i="109"/>
  <c r="D60" i="109"/>
  <c r="C60" i="109"/>
  <c r="AG59" i="109"/>
  <c r="AC59" i="109"/>
  <c r="AA59" i="109"/>
  <c r="X59" i="109"/>
  <c r="U59" i="109"/>
  <c r="R59" i="109"/>
  <c r="Q59" i="109"/>
  <c r="N59" i="109"/>
  <c r="M59" i="109"/>
  <c r="J59" i="109"/>
  <c r="I59" i="109"/>
  <c r="G59" i="109"/>
  <c r="F59" i="109"/>
  <c r="D59" i="109"/>
  <c r="AF57" i="109"/>
  <c r="T57" i="109"/>
  <c r="B57" i="109"/>
  <c r="AH55" i="109"/>
  <c r="AG55" i="109"/>
  <c r="AA55" i="109"/>
  <c r="Y55" i="109"/>
  <c r="V55" i="109"/>
  <c r="Q55" i="109"/>
  <c r="P55" i="109"/>
  <c r="O55" i="109"/>
  <c r="N55" i="109"/>
  <c r="M55" i="109"/>
  <c r="L55" i="109"/>
  <c r="K55" i="109"/>
  <c r="H55" i="109"/>
  <c r="G55" i="109"/>
  <c r="F55" i="109"/>
  <c r="E55" i="109"/>
  <c r="D55" i="109"/>
  <c r="C55" i="109"/>
  <c r="AB54" i="109"/>
  <c r="Y54" i="109"/>
  <c r="X54" i="109"/>
  <c r="R54" i="109"/>
  <c r="Q54" i="109"/>
  <c r="O54" i="109"/>
  <c r="N54" i="109"/>
  <c r="M54" i="109"/>
  <c r="K54" i="109"/>
  <c r="J54" i="109"/>
  <c r="I54" i="109"/>
  <c r="G54" i="109"/>
  <c r="F54" i="109"/>
  <c r="E54" i="109"/>
  <c r="D54" i="109"/>
  <c r="AG53" i="109"/>
  <c r="AE53" i="109"/>
  <c r="AA53" i="109"/>
  <c r="V53" i="109"/>
  <c r="R53" i="109"/>
  <c r="Q53" i="109"/>
  <c r="P53" i="109"/>
  <c r="M53" i="109"/>
  <c r="L53" i="109"/>
  <c r="K53" i="109"/>
  <c r="J53" i="109"/>
  <c r="I53" i="109"/>
  <c r="H53" i="109"/>
  <c r="G53" i="109"/>
  <c r="D53" i="109"/>
  <c r="C53" i="109"/>
  <c r="AH52" i="109"/>
  <c r="AF52" i="109"/>
  <c r="Y52" i="109"/>
  <c r="X52" i="109"/>
  <c r="W52" i="109"/>
  <c r="R52" i="109"/>
  <c r="P52" i="109"/>
  <c r="O52" i="109"/>
  <c r="N52" i="109"/>
  <c r="M52" i="109"/>
  <c r="K52" i="109"/>
  <c r="J52" i="109"/>
  <c r="I52" i="109"/>
  <c r="G52" i="109"/>
  <c r="F52" i="109"/>
  <c r="E52" i="109"/>
  <c r="C52" i="109"/>
  <c r="T50" i="109"/>
  <c r="P50" i="109"/>
  <c r="B50" i="109"/>
  <c r="AG48" i="109"/>
  <c r="AB48" i="109"/>
  <c r="Y48" i="109"/>
  <c r="V48" i="109"/>
  <c r="L48" i="109"/>
  <c r="D48" i="109"/>
  <c r="AH47" i="109"/>
  <c r="AF47" i="109"/>
  <c r="Z47" i="109"/>
  <c r="W47" i="109"/>
  <c r="U47" i="109"/>
  <c r="M47" i="109"/>
  <c r="I47" i="109"/>
  <c r="AH46" i="109"/>
  <c r="AG46" i="109"/>
  <c r="AC46" i="109"/>
  <c r="Y46" i="109"/>
  <c r="U46" i="109"/>
  <c r="Q46" i="109"/>
  <c r="H46" i="109"/>
  <c r="G46" i="109"/>
  <c r="AF45" i="109"/>
  <c r="AE45" i="109"/>
  <c r="AB45" i="109"/>
  <c r="V45" i="109"/>
  <c r="R45" i="109"/>
  <c r="I45" i="109"/>
  <c r="G45" i="109"/>
  <c r="F45" i="109"/>
  <c r="T43" i="109"/>
  <c r="B43" i="109"/>
  <c r="AD41" i="109"/>
  <c r="Q41" i="109"/>
  <c r="O41" i="109"/>
  <c r="L41" i="109"/>
  <c r="I41" i="109"/>
  <c r="G41" i="109"/>
  <c r="D41" i="109"/>
  <c r="AE40" i="109"/>
  <c r="W40" i="109"/>
  <c r="R40" i="109"/>
  <c r="Q40" i="109"/>
  <c r="L40" i="109"/>
  <c r="J40" i="109"/>
  <c r="G40" i="109"/>
  <c r="F40" i="109"/>
  <c r="AD39" i="109"/>
  <c r="U39" i="109"/>
  <c r="Q39" i="109"/>
  <c r="L39" i="109"/>
  <c r="K39" i="109"/>
  <c r="H39" i="109"/>
  <c r="E39" i="109"/>
  <c r="D39" i="109"/>
  <c r="AA38" i="109"/>
  <c r="Q38" i="109"/>
  <c r="N38" i="109"/>
  <c r="K38" i="109"/>
  <c r="J38" i="109"/>
  <c r="F38" i="109"/>
  <c r="E38" i="109"/>
  <c r="T36" i="109"/>
  <c r="B36" i="109"/>
  <c r="AH34" i="109"/>
  <c r="AG34" i="109"/>
  <c r="AE34" i="109"/>
  <c r="AD34" i="109"/>
  <c r="AC34" i="109"/>
  <c r="Z34" i="109"/>
  <c r="Y34" i="109"/>
  <c r="W34" i="109"/>
  <c r="V34" i="109"/>
  <c r="U34" i="109"/>
  <c r="R34" i="109"/>
  <c r="M34" i="109"/>
  <c r="K34" i="109"/>
  <c r="J34" i="109"/>
  <c r="I34" i="109"/>
  <c r="E34" i="109"/>
  <c r="C34" i="109"/>
  <c r="AH33" i="109"/>
  <c r="AG33" i="109"/>
  <c r="AF33" i="109"/>
  <c r="AE33" i="109"/>
  <c r="AB33" i="109"/>
  <c r="AA33" i="109"/>
  <c r="Y33" i="109"/>
  <c r="X33" i="109"/>
  <c r="W33" i="109"/>
  <c r="U33" i="109"/>
  <c r="Q33" i="109"/>
  <c r="P33" i="109"/>
  <c r="O33" i="109"/>
  <c r="K33" i="109"/>
  <c r="J33" i="109"/>
  <c r="H33" i="109"/>
  <c r="F33" i="109"/>
  <c r="AH32" i="109"/>
  <c r="AG32" i="109"/>
  <c r="AE32" i="109"/>
  <c r="AD32" i="109"/>
  <c r="AC32" i="109"/>
  <c r="AA32" i="109"/>
  <c r="Z32" i="109"/>
  <c r="X32" i="109"/>
  <c r="V32" i="109"/>
  <c r="U32" i="109"/>
  <c r="Q32" i="109"/>
  <c r="P32" i="109"/>
  <c r="O32" i="109"/>
  <c r="K32" i="109"/>
  <c r="I32" i="109"/>
  <c r="F32" i="109"/>
  <c r="E32" i="109"/>
  <c r="D32" i="109"/>
  <c r="AF31" i="109"/>
  <c r="AE31" i="109"/>
  <c r="AD31" i="109"/>
  <c r="AC31" i="109"/>
  <c r="AB31" i="109"/>
  <c r="AA31" i="109"/>
  <c r="X31" i="109"/>
  <c r="V31" i="109"/>
  <c r="U31" i="109"/>
  <c r="R31" i="109"/>
  <c r="Q31" i="109"/>
  <c r="O31" i="109"/>
  <c r="J31" i="109"/>
  <c r="I31" i="109"/>
  <c r="F31" i="109"/>
  <c r="D31" i="109"/>
  <c r="C31" i="109"/>
  <c r="AF29" i="109"/>
  <c r="T29" i="109"/>
  <c r="B29" i="109"/>
  <c r="AH27" i="109"/>
  <c r="AG27" i="109"/>
  <c r="AE27" i="109"/>
  <c r="AD27" i="109"/>
  <c r="AC27" i="109"/>
  <c r="AA27" i="109"/>
  <c r="Z27" i="109"/>
  <c r="Y27" i="109"/>
  <c r="X27" i="109"/>
  <c r="V27" i="109"/>
  <c r="U27" i="109"/>
  <c r="Q27" i="109"/>
  <c r="P27" i="109"/>
  <c r="O27" i="109"/>
  <c r="M27" i="109"/>
  <c r="K27" i="109"/>
  <c r="I27" i="109"/>
  <c r="G27" i="109"/>
  <c r="F27" i="109"/>
  <c r="E27" i="109"/>
  <c r="AG26" i="109"/>
  <c r="AF26" i="109"/>
  <c r="AE26" i="109"/>
  <c r="AD26" i="109"/>
  <c r="AC26" i="109"/>
  <c r="AB26" i="109"/>
  <c r="AA26" i="109"/>
  <c r="X26" i="109"/>
  <c r="W26" i="109"/>
  <c r="V26" i="109"/>
  <c r="U26" i="109"/>
  <c r="R26" i="109"/>
  <c r="O26" i="109"/>
  <c r="M26" i="109"/>
  <c r="K26" i="109"/>
  <c r="J26" i="109"/>
  <c r="I26" i="109"/>
  <c r="G26" i="109"/>
  <c r="F26" i="109"/>
  <c r="C26" i="109"/>
  <c r="AH25" i="109"/>
  <c r="AG25" i="109"/>
  <c r="AE25" i="109"/>
  <c r="AD25" i="109"/>
  <c r="AC25" i="109"/>
  <c r="AA25" i="109"/>
  <c r="Z25" i="109"/>
  <c r="Y25" i="109"/>
  <c r="W25" i="109"/>
  <c r="V25" i="109"/>
  <c r="U25" i="109"/>
  <c r="R25" i="109"/>
  <c r="P25" i="109"/>
  <c r="O25" i="109"/>
  <c r="L25" i="109"/>
  <c r="J25" i="109"/>
  <c r="I25" i="109"/>
  <c r="G25" i="109"/>
  <c r="E25" i="109"/>
  <c r="D25" i="109"/>
  <c r="C25" i="109"/>
  <c r="AH24" i="109"/>
  <c r="AG24" i="109"/>
  <c r="AF24" i="109"/>
  <c r="AC24" i="109"/>
  <c r="AB24" i="109"/>
  <c r="AA24" i="109"/>
  <c r="Z24" i="109"/>
  <c r="Y24" i="109"/>
  <c r="X24" i="109"/>
  <c r="W24" i="109"/>
  <c r="R24" i="109"/>
  <c r="Q24" i="109"/>
  <c r="P24" i="109"/>
  <c r="O24" i="109"/>
  <c r="N24" i="109"/>
  <c r="M24" i="109"/>
  <c r="H24" i="109"/>
  <c r="G24" i="109"/>
  <c r="F24" i="109"/>
  <c r="E24" i="109"/>
  <c r="C24" i="109"/>
  <c r="AF22" i="109"/>
  <c r="T22" i="109"/>
  <c r="B22" i="109"/>
  <c r="P20" i="109"/>
  <c r="M20" i="109"/>
  <c r="K20" i="109"/>
  <c r="D20" i="109"/>
  <c r="N19" i="109"/>
  <c r="G19" i="109"/>
  <c r="D19" i="109"/>
  <c r="P18" i="109"/>
  <c r="H18" i="109"/>
  <c r="G18" i="109"/>
  <c r="K17" i="109"/>
  <c r="J17" i="109"/>
  <c r="I17" i="109"/>
  <c r="C17" i="109"/>
  <c r="T15" i="109"/>
  <c r="B15" i="109"/>
  <c r="C20" i="109" s="1"/>
  <c r="AH13" i="109"/>
  <c r="AG13" i="109"/>
  <c r="AD13" i="109"/>
  <c r="AC13" i="109"/>
  <c r="AB13" i="109"/>
  <c r="AA13" i="109"/>
  <c r="Z13" i="109"/>
  <c r="Y13" i="109"/>
  <c r="W13" i="109"/>
  <c r="U13" i="109"/>
  <c r="Q13" i="109"/>
  <c r="O13" i="109"/>
  <c r="M13" i="109"/>
  <c r="L13" i="109"/>
  <c r="I13" i="109"/>
  <c r="H13" i="109"/>
  <c r="G13" i="109"/>
  <c r="C13" i="109"/>
  <c r="AG12" i="109"/>
  <c r="AF12" i="109"/>
  <c r="AE12" i="109"/>
  <c r="AC12" i="109"/>
  <c r="AB12" i="109"/>
  <c r="AA12" i="109"/>
  <c r="Z12" i="109"/>
  <c r="X12" i="109"/>
  <c r="W12" i="109"/>
  <c r="U12" i="109"/>
  <c r="R12" i="109"/>
  <c r="Q12" i="109"/>
  <c r="P12" i="109"/>
  <c r="M12" i="109"/>
  <c r="J12" i="109"/>
  <c r="H12" i="109"/>
  <c r="G12" i="109"/>
  <c r="F12" i="109"/>
  <c r="AH11" i="109"/>
  <c r="AG11" i="109"/>
  <c r="AF11" i="109"/>
  <c r="AE11" i="109"/>
  <c r="AD11" i="109"/>
  <c r="AC11" i="109"/>
  <c r="Z11" i="109"/>
  <c r="Y11" i="109"/>
  <c r="X11" i="109"/>
  <c r="W11" i="109"/>
  <c r="V11" i="109"/>
  <c r="U11" i="109"/>
  <c r="Q11" i="109"/>
  <c r="O11" i="109"/>
  <c r="N11" i="109"/>
  <c r="L11" i="109"/>
  <c r="K11" i="109"/>
  <c r="I11" i="109"/>
  <c r="F11" i="109"/>
  <c r="D11" i="109"/>
  <c r="AG10" i="109"/>
  <c r="AF10" i="109"/>
  <c r="AE10" i="109"/>
  <c r="AC10" i="109"/>
  <c r="AB10" i="109"/>
  <c r="AA10" i="109"/>
  <c r="Y10" i="109"/>
  <c r="X10" i="109"/>
  <c r="W10" i="109"/>
  <c r="V10" i="109"/>
  <c r="R10" i="109"/>
  <c r="O10" i="109"/>
  <c r="N10" i="109"/>
  <c r="M10" i="109"/>
  <c r="I10" i="109"/>
  <c r="G10" i="109"/>
  <c r="E10" i="109"/>
  <c r="D10" i="109"/>
  <c r="C10" i="109"/>
  <c r="AF8" i="109"/>
  <c r="T8" i="109"/>
  <c r="B8" i="109"/>
  <c r="R76" i="107"/>
  <c r="P76" i="107"/>
  <c r="J76" i="107"/>
  <c r="I76" i="107"/>
  <c r="H76" i="107"/>
  <c r="E76" i="107"/>
  <c r="C76" i="107"/>
  <c r="P75" i="107"/>
  <c r="N75" i="107"/>
  <c r="J75" i="107"/>
  <c r="F75" i="107"/>
  <c r="E75" i="107"/>
  <c r="C75" i="107"/>
  <c r="O74" i="107"/>
  <c r="N74" i="107"/>
  <c r="K74" i="107"/>
  <c r="F74" i="107"/>
  <c r="E74" i="107"/>
  <c r="Q73" i="107"/>
  <c r="P73" i="107"/>
  <c r="O73" i="107"/>
  <c r="J73" i="107"/>
  <c r="I73" i="107"/>
  <c r="C73" i="107"/>
  <c r="B71" i="107"/>
  <c r="P71" i="107" s="1"/>
  <c r="Q69" i="107"/>
  <c r="O69" i="107"/>
  <c r="M69" i="107"/>
  <c r="I69" i="107"/>
  <c r="H69" i="107"/>
  <c r="G69" i="107"/>
  <c r="M68" i="107"/>
  <c r="L68" i="107"/>
  <c r="J68" i="107"/>
  <c r="H68" i="107"/>
  <c r="D68" i="107"/>
  <c r="C68" i="107"/>
  <c r="R67" i="107"/>
  <c r="P67" i="107"/>
  <c r="L67" i="107"/>
  <c r="J67" i="107"/>
  <c r="H67" i="107"/>
  <c r="E67" i="107"/>
  <c r="D67" i="107"/>
  <c r="O66" i="107"/>
  <c r="L66" i="107"/>
  <c r="J66" i="107"/>
  <c r="I66" i="107"/>
  <c r="E66" i="107"/>
  <c r="C66" i="107"/>
  <c r="T64" i="107"/>
  <c r="B64" i="107"/>
  <c r="AH62" i="107"/>
  <c r="AG62" i="107"/>
  <c r="AF62" i="107"/>
  <c r="AE62" i="107"/>
  <c r="AD62" i="107"/>
  <c r="AC62" i="107"/>
  <c r="AA62" i="107"/>
  <c r="Y62" i="107"/>
  <c r="X62" i="107"/>
  <c r="W62" i="107"/>
  <c r="V62" i="107"/>
  <c r="U62" i="107"/>
  <c r="AI61" i="107"/>
  <c r="AH61" i="107"/>
  <c r="AG61" i="107"/>
  <c r="AF61" i="107"/>
  <c r="AD61" i="107"/>
  <c r="AC61" i="107"/>
  <c r="AA61" i="107"/>
  <c r="Z61" i="107"/>
  <c r="Y61" i="107"/>
  <c r="X61" i="107"/>
  <c r="W61" i="107"/>
  <c r="U61" i="107"/>
  <c r="AH60" i="107"/>
  <c r="AG60" i="107"/>
  <c r="AF60" i="107"/>
  <c r="AE60" i="107"/>
  <c r="AD60" i="107"/>
  <c r="AC60" i="107"/>
  <c r="AA60" i="107"/>
  <c r="Y60" i="107"/>
  <c r="X60" i="107"/>
  <c r="W60" i="107"/>
  <c r="V60" i="107"/>
  <c r="U60" i="107"/>
  <c r="AI59" i="107"/>
  <c r="AH59" i="107"/>
  <c r="AG59" i="107"/>
  <c r="AF59" i="107"/>
  <c r="AD59" i="107"/>
  <c r="AC59" i="107"/>
  <c r="AA59" i="107"/>
  <c r="Z59" i="107"/>
  <c r="Y59" i="107"/>
  <c r="X59" i="107"/>
  <c r="W59" i="107"/>
  <c r="U59" i="107"/>
  <c r="P59" i="107"/>
  <c r="T57" i="107"/>
  <c r="B57" i="107"/>
  <c r="N60" i="107" s="1"/>
  <c r="AJ55" i="107"/>
  <c r="AI55" i="107"/>
  <c r="AH55" i="107"/>
  <c r="AE55" i="107"/>
  <c r="AC55" i="107"/>
  <c r="AB55" i="107"/>
  <c r="AA55" i="107"/>
  <c r="Z55" i="107"/>
  <c r="Y55" i="107"/>
  <c r="W55" i="107"/>
  <c r="R55" i="107"/>
  <c r="Q55" i="107"/>
  <c r="M55" i="107"/>
  <c r="L55" i="107"/>
  <c r="H55" i="107"/>
  <c r="G55" i="107"/>
  <c r="E55" i="107"/>
  <c r="C55" i="107"/>
  <c r="AJ54" i="107"/>
  <c r="AH54" i="107"/>
  <c r="AE54" i="107"/>
  <c r="AD54" i="107"/>
  <c r="AC54" i="107"/>
  <c r="AB54" i="107"/>
  <c r="AA54" i="107"/>
  <c r="Y54" i="107"/>
  <c r="W54" i="107"/>
  <c r="U54" i="107"/>
  <c r="Q54" i="107"/>
  <c r="P54" i="107"/>
  <c r="M54" i="107"/>
  <c r="K54" i="107"/>
  <c r="I54" i="107"/>
  <c r="H54" i="107"/>
  <c r="D54" i="107"/>
  <c r="AJ53" i="107"/>
  <c r="AI53" i="107"/>
  <c r="AG53" i="107"/>
  <c r="AE53" i="107"/>
  <c r="AC53" i="107"/>
  <c r="AB53" i="107"/>
  <c r="AA53" i="107"/>
  <c r="Z53" i="107"/>
  <c r="Y53" i="107"/>
  <c r="V53" i="107"/>
  <c r="R53" i="107"/>
  <c r="Q53" i="107"/>
  <c r="P53" i="107"/>
  <c r="M53" i="107"/>
  <c r="L53" i="107"/>
  <c r="G53" i="107"/>
  <c r="E53" i="107"/>
  <c r="D53" i="107"/>
  <c r="AJ52" i="107"/>
  <c r="AG52" i="107"/>
  <c r="AE52" i="107"/>
  <c r="AD52" i="107"/>
  <c r="AC52" i="107"/>
  <c r="AB52" i="107"/>
  <c r="AA52" i="107"/>
  <c r="Y52" i="107"/>
  <c r="V52" i="107"/>
  <c r="U52" i="107"/>
  <c r="R52" i="107"/>
  <c r="P52" i="107"/>
  <c r="L52" i="107"/>
  <c r="I52" i="107"/>
  <c r="H52" i="107"/>
  <c r="G52" i="107"/>
  <c r="C52" i="107"/>
  <c r="AH50" i="107"/>
  <c r="T50" i="107"/>
  <c r="B50" i="107"/>
  <c r="AI48" i="107"/>
  <c r="AG48" i="107"/>
  <c r="AF48" i="107"/>
  <c r="AE48" i="107"/>
  <c r="AD48" i="107"/>
  <c r="AA48" i="107"/>
  <c r="X48" i="107"/>
  <c r="W48" i="107"/>
  <c r="V48" i="107"/>
  <c r="U48" i="107"/>
  <c r="Q48" i="107"/>
  <c r="D48" i="107"/>
  <c r="AI47" i="107"/>
  <c r="AG47" i="107"/>
  <c r="AF47" i="107"/>
  <c r="AE47" i="107"/>
  <c r="AA47" i="107"/>
  <c r="Z47" i="107"/>
  <c r="Y47" i="107"/>
  <c r="X47" i="107"/>
  <c r="V47" i="107"/>
  <c r="M47" i="107"/>
  <c r="G47" i="107"/>
  <c r="AI46" i="107"/>
  <c r="AG46" i="107"/>
  <c r="AF46" i="107"/>
  <c r="AC46" i="107"/>
  <c r="AA46" i="107"/>
  <c r="Z46" i="107"/>
  <c r="X46" i="107"/>
  <c r="W46" i="107"/>
  <c r="V46" i="107"/>
  <c r="U46" i="107"/>
  <c r="M46" i="107"/>
  <c r="AI45" i="107"/>
  <c r="AH45" i="107"/>
  <c r="AG45" i="107"/>
  <c r="AF45" i="107"/>
  <c r="AC45" i="107"/>
  <c r="AA45" i="107"/>
  <c r="Y45" i="107"/>
  <c r="X45" i="107"/>
  <c r="W45" i="107"/>
  <c r="V45" i="107"/>
  <c r="P45" i="107"/>
  <c r="E45" i="107"/>
  <c r="T43" i="107"/>
  <c r="B43" i="107"/>
  <c r="AJ41" i="107"/>
  <c r="AH41" i="107"/>
  <c r="AG41" i="107"/>
  <c r="AE41" i="107"/>
  <c r="AD41" i="107"/>
  <c r="AB41" i="107"/>
  <c r="Z41" i="107"/>
  <c r="W41" i="107"/>
  <c r="V41" i="107"/>
  <c r="U41" i="107"/>
  <c r="O41" i="107"/>
  <c r="K41" i="107"/>
  <c r="H41" i="107"/>
  <c r="E41" i="107"/>
  <c r="D41" i="107"/>
  <c r="AG40" i="107"/>
  <c r="AE40" i="107"/>
  <c r="AD40" i="107"/>
  <c r="AC40" i="107"/>
  <c r="AB40" i="107"/>
  <c r="AA40" i="107"/>
  <c r="W40" i="107"/>
  <c r="U40" i="107"/>
  <c r="Q40" i="107"/>
  <c r="J40" i="107"/>
  <c r="H40" i="107"/>
  <c r="G40" i="107"/>
  <c r="AI39" i="107"/>
  <c r="AH39" i="107"/>
  <c r="AG39" i="107"/>
  <c r="AD39" i="107"/>
  <c r="AB39" i="107"/>
  <c r="AA39" i="107"/>
  <c r="Y39" i="107"/>
  <c r="W39" i="107"/>
  <c r="V39" i="107"/>
  <c r="U39" i="107"/>
  <c r="L39" i="107"/>
  <c r="H39" i="107"/>
  <c r="D39" i="107"/>
  <c r="AJ38" i="107"/>
  <c r="AI38" i="107"/>
  <c r="AG38" i="107"/>
  <c r="AE38" i="107"/>
  <c r="AD38" i="107"/>
  <c r="AC38" i="107"/>
  <c r="Z38" i="107"/>
  <c r="W38" i="107"/>
  <c r="V38" i="107"/>
  <c r="U38" i="107"/>
  <c r="Q38" i="107"/>
  <c r="K38" i="107"/>
  <c r="G38" i="107"/>
  <c r="E38" i="107"/>
  <c r="AH36" i="107"/>
  <c r="T36" i="107"/>
  <c r="P36" i="107"/>
  <c r="B36" i="107"/>
  <c r="P41" i="107" s="1"/>
  <c r="AF34" i="107"/>
  <c r="AC34" i="107"/>
  <c r="Y34" i="107"/>
  <c r="W34" i="107"/>
  <c r="Q34" i="107"/>
  <c r="P34" i="107"/>
  <c r="O34" i="107"/>
  <c r="N34" i="107"/>
  <c r="L34" i="107"/>
  <c r="K34" i="107"/>
  <c r="I34" i="107"/>
  <c r="H34" i="107"/>
  <c r="G34" i="107"/>
  <c r="F34" i="107"/>
  <c r="E34" i="107"/>
  <c r="C34" i="107"/>
  <c r="AG33" i="107"/>
  <c r="AD33" i="107"/>
  <c r="AA33" i="107"/>
  <c r="X33" i="107"/>
  <c r="W33" i="107"/>
  <c r="P33" i="107"/>
  <c r="O33" i="107"/>
  <c r="N33" i="107"/>
  <c r="M33" i="107"/>
  <c r="L33" i="107"/>
  <c r="K33" i="107"/>
  <c r="I33" i="107"/>
  <c r="G33" i="107"/>
  <c r="F33" i="107"/>
  <c r="E33" i="107"/>
  <c r="D33" i="107"/>
  <c r="C33" i="107"/>
  <c r="AE32" i="107"/>
  <c r="AD32" i="107"/>
  <c r="AA32" i="107"/>
  <c r="U32" i="107"/>
  <c r="Q32" i="107"/>
  <c r="P32" i="107"/>
  <c r="O32" i="107"/>
  <c r="N32" i="107"/>
  <c r="L32" i="107"/>
  <c r="K32" i="107"/>
  <c r="I32" i="107"/>
  <c r="H32" i="107"/>
  <c r="G32" i="107"/>
  <c r="F32" i="107"/>
  <c r="E32" i="107"/>
  <c r="C32" i="107"/>
  <c r="AI31" i="107"/>
  <c r="AE31" i="107"/>
  <c r="AA31" i="107"/>
  <c r="V31" i="107"/>
  <c r="P31" i="107"/>
  <c r="O31" i="107"/>
  <c r="N31" i="107"/>
  <c r="M31" i="107"/>
  <c r="L31" i="107"/>
  <c r="K31" i="107"/>
  <c r="I31" i="107"/>
  <c r="G31" i="107"/>
  <c r="F31" i="107"/>
  <c r="E31" i="107"/>
  <c r="D31" i="107"/>
  <c r="C31" i="107"/>
  <c r="T29" i="107"/>
  <c r="AD34" i="107" s="1"/>
  <c r="P29" i="107"/>
  <c r="B29" i="107"/>
  <c r="AI27" i="107"/>
  <c r="AH27" i="107"/>
  <c r="AD27" i="107"/>
  <c r="AA27" i="107"/>
  <c r="Z27" i="107"/>
  <c r="U27" i="107"/>
  <c r="O27" i="107"/>
  <c r="L27" i="107"/>
  <c r="J27" i="107"/>
  <c r="I27" i="107"/>
  <c r="G27" i="107"/>
  <c r="C27" i="107"/>
  <c r="AI26" i="107"/>
  <c r="AB26" i="107"/>
  <c r="Z26" i="107"/>
  <c r="V26" i="107"/>
  <c r="R26" i="107"/>
  <c r="P26" i="107"/>
  <c r="K26" i="107"/>
  <c r="J26" i="107"/>
  <c r="I26" i="107"/>
  <c r="E26" i="107"/>
  <c r="D26" i="107"/>
  <c r="AJ25" i="107"/>
  <c r="AH25" i="107"/>
  <c r="AE25" i="107"/>
  <c r="Z25" i="107"/>
  <c r="U25" i="107"/>
  <c r="P25" i="107"/>
  <c r="L25" i="107"/>
  <c r="K25" i="107"/>
  <c r="I25" i="107"/>
  <c r="E25" i="107"/>
  <c r="D25" i="107"/>
  <c r="AI24" i="107"/>
  <c r="AC24" i="107"/>
  <c r="AB24" i="107"/>
  <c r="AA24" i="107"/>
  <c r="V24" i="107"/>
  <c r="P24" i="107"/>
  <c r="M24" i="107"/>
  <c r="J24" i="107"/>
  <c r="I24" i="107"/>
  <c r="G24" i="107"/>
  <c r="D24" i="107"/>
  <c r="AH22" i="107"/>
  <c r="T22" i="107"/>
  <c r="AD26" i="107" s="1"/>
  <c r="B22" i="107"/>
  <c r="AG20" i="107"/>
  <c r="AD20" i="107"/>
  <c r="AA20" i="107"/>
  <c r="X20" i="107"/>
  <c r="V20" i="107"/>
  <c r="H20" i="107"/>
  <c r="AH19" i="107"/>
  <c r="AF19" i="107"/>
  <c r="AE19" i="107"/>
  <c r="Z19" i="107"/>
  <c r="W19" i="107"/>
  <c r="L19" i="107"/>
  <c r="AG18" i="107"/>
  <c r="AE18" i="107"/>
  <c r="AA18" i="107"/>
  <c r="Y18" i="107"/>
  <c r="V18" i="107"/>
  <c r="F18" i="107"/>
  <c r="AH17" i="107"/>
  <c r="AG17" i="107"/>
  <c r="AE17" i="107"/>
  <c r="AC17" i="107"/>
  <c r="W17" i="107"/>
  <c r="O17" i="107"/>
  <c r="T15" i="107"/>
  <c r="B15" i="107"/>
  <c r="AI13" i="107"/>
  <c r="AH13" i="107"/>
  <c r="AG13" i="107"/>
  <c r="AD13" i="107"/>
  <c r="AC13" i="107"/>
  <c r="AB13" i="107"/>
  <c r="Y13" i="107"/>
  <c r="W13" i="107"/>
  <c r="V13" i="107"/>
  <c r="M13" i="107"/>
  <c r="D13" i="107"/>
  <c r="AJ12" i="107"/>
  <c r="AH12" i="107"/>
  <c r="AD12" i="107"/>
  <c r="AC12" i="107"/>
  <c r="AB12" i="107"/>
  <c r="AA12" i="107"/>
  <c r="Z12" i="107"/>
  <c r="Y12" i="107"/>
  <c r="M12" i="107"/>
  <c r="J12" i="107"/>
  <c r="G12" i="107"/>
  <c r="AI11" i="107"/>
  <c r="AH11" i="107"/>
  <c r="AE11" i="107"/>
  <c r="AC11" i="107"/>
  <c r="AB11" i="107"/>
  <c r="Z11" i="107"/>
  <c r="Y11" i="107"/>
  <c r="W11" i="107"/>
  <c r="U11" i="107"/>
  <c r="O11" i="107"/>
  <c r="H11" i="107"/>
  <c r="AJ10" i="107"/>
  <c r="AI10" i="107"/>
  <c r="AG10" i="107"/>
  <c r="AD10" i="107"/>
  <c r="AC10" i="107"/>
  <c r="AB10" i="107"/>
  <c r="Z10" i="107"/>
  <c r="Y10" i="107"/>
  <c r="U10" i="107"/>
  <c r="Q10" i="107"/>
  <c r="L10" i="107"/>
  <c r="D10" i="107"/>
  <c r="T8" i="107"/>
  <c r="B8" i="107"/>
  <c r="P76" i="105"/>
  <c r="L76" i="105"/>
  <c r="K76" i="105"/>
  <c r="G76" i="105"/>
  <c r="E76" i="105"/>
  <c r="Q75" i="105"/>
  <c r="P75" i="105"/>
  <c r="I75" i="105"/>
  <c r="H75" i="105"/>
  <c r="D75" i="105"/>
  <c r="C75" i="105"/>
  <c r="O74" i="105"/>
  <c r="M74" i="105"/>
  <c r="I74" i="105"/>
  <c r="D74" i="105"/>
  <c r="C74" i="105"/>
  <c r="Q73" i="105"/>
  <c r="L73" i="105"/>
  <c r="K73" i="105"/>
  <c r="H73" i="105"/>
  <c r="D73" i="105"/>
  <c r="B71" i="105"/>
  <c r="AJ69" i="105"/>
  <c r="AI69" i="105"/>
  <c r="AF69" i="105"/>
  <c r="AC69" i="105"/>
  <c r="AB69" i="105"/>
  <c r="AA69" i="105"/>
  <c r="Z69" i="105"/>
  <c r="Y69" i="105"/>
  <c r="W69" i="105"/>
  <c r="R69" i="105"/>
  <c r="Q69" i="105"/>
  <c r="P69" i="105"/>
  <c r="O69" i="105"/>
  <c r="N69" i="105"/>
  <c r="K69" i="105"/>
  <c r="J69" i="105"/>
  <c r="I69" i="105"/>
  <c r="H69" i="105"/>
  <c r="G69" i="105"/>
  <c r="F69" i="105"/>
  <c r="E69" i="105"/>
  <c r="AJ68" i="105"/>
  <c r="AI68" i="105"/>
  <c r="AH68" i="105"/>
  <c r="AE68" i="105"/>
  <c r="AC68" i="105"/>
  <c r="AA68" i="105"/>
  <c r="Z68" i="105"/>
  <c r="Y68" i="105"/>
  <c r="X68" i="105"/>
  <c r="W68" i="105"/>
  <c r="R68" i="105"/>
  <c r="P68" i="105"/>
  <c r="O68" i="105"/>
  <c r="N68" i="105"/>
  <c r="M68" i="105"/>
  <c r="K68" i="105"/>
  <c r="J68" i="105"/>
  <c r="I68" i="105"/>
  <c r="G68" i="105"/>
  <c r="F68" i="105"/>
  <c r="E68" i="105"/>
  <c r="C68" i="105"/>
  <c r="AJ67" i="105"/>
  <c r="AI67" i="105"/>
  <c r="AH67" i="105"/>
  <c r="AE67" i="105"/>
  <c r="AB67" i="105"/>
  <c r="AA67" i="105"/>
  <c r="Z67" i="105"/>
  <c r="Y67" i="105"/>
  <c r="W67" i="105"/>
  <c r="R67" i="105"/>
  <c r="Q67" i="105"/>
  <c r="P67" i="105"/>
  <c r="O67" i="105"/>
  <c r="N67" i="105"/>
  <c r="K67" i="105"/>
  <c r="J67" i="105"/>
  <c r="I67" i="105"/>
  <c r="H67" i="105"/>
  <c r="G67" i="105"/>
  <c r="F67" i="105"/>
  <c r="E67" i="105"/>
  <c r="AJ66" i="105"/>
  <c r="AI66" i="105"/>
  <c r="AH66" i="105"/>
  <c r="AF66" i="105"/>
  <c r="AE66" i="105"/>
  <c r="AC66" i="105"/>
  <c r="Z66" i="105"/>
  <c r="Y66" i="105"/>
  <c r="X66" i="105"/>
  <c r="U66" i="105"/>
  <c r="R66" i="105"/>
  <c r="P66" i="105"/>
  <c r="O66" i="105"/>
  <c r="N66" i="105"/>
  <c r="M66" i="105"/>
  <c r="K66" i="105"/>
  <c r="J66" i="105"/>
  <c r="I66" i="105"/>
  <c r="G66" i="105"/>
  <c r="F66" i="105"/>
  <c r="E66" i="105"/>
  <c r="C66" i="105"/>
  <c r="AH64" i="105"/>
  <c r="T64" i="105"/>
  <c r="P64" i="105"/>
  <c r="B64" i="105"/>
  <c r="AJ62" i="105"/>
  <c r="AI62" i="105"/>
  <c r="AG62" i="105"/>
  <c r="AE62" i="105"/>
  <c r="AD62" i="105"/>
  <c r="AC62" i="105"/>
  <c r="AA62" i="105"/>
  <c r="Y62" i="105"/>
  <c r="X62" i="105"/>
  <c r="W62" i="105"/>
  <c r="U62" i="105"/>
  <c r="M62" i="105"/>
  <c r="I62" i="105"/>
  <c r="E62" i="105"/>
  <c r="AJ61" i="105"/>
  <c r="AI61" i="105"/>
  <c r="AE61" i="105"/>
  <c r="AD61" i="105"/>
  <c r="AC61" i="105"/>
  <c r="AB61" i="105"/>
  <c r="AA61" i="105"/>
  <c r="Y61" i="105"/>
  <c r="X61" i="105"/>
  <c r="U61" i="105"/>
  <c r="N61" i="105"/>
  <c r="K61" i="105"/>
  <c r="F61" i="105"/>
  <c r="D61" i="105"/>
  <c r="AJ60" i="105"/>
  <c r="AI60" i="105"/>
  <c r="AF60" i="105"/>
  <c r="AE60" i="105"/>
  <c r="AD60" i="105"/>
  <c r="AC60" i="105"/>
  <c r="AA60" i="105"/>
  <c r="Y60" i="105"/>
  <c r="X60" i="105"/>
  <c r="V60" i="105"/>
  <c r="U60" i="105"/>
  <c r="M60" i="105"/>
  <c r="J60" i="105"/>
  <c r="F60" i="105"/>
  <c r="D60" i="105"/>
  <c r="AJ59" i="105"/>
  <c r="AG59" i="105"/>
  <c r="AE59" i="105"/>
  <c r="AD59" i="105"/>
  <c r="AC59" i="105"/>
  <c r="AB59" i="105"/>
  <c r="AA59" i="105"/>
  <c r="Y59" i="105"/>
  <c r="V59" i="105"/>
  <c r="U59" i="105"/>
  <c r="R59" i="105"/>
  <c r="M59" i="105"/>
  <c r="J59" i="105"/>
  <c r="I59" i="105"/>
  <c r="D59" i="105"/>
  <c r="AH57" i="105"/>
  <c r="T57" i="105"/>
  <c r="B57" i="105"/>
  <c r="AJ55" i="105"/>
  <c r="AI55" i="105"/>
  <c r="AE55" i="105"/>
  <c r="AC55" i="105"/>
  <c r="AA55" i="105"/>
  <c r="Z55" i="105"/>
  <c r="Y55" i="105"/>
  <c r="U55" i="105"/>
  <c r="O55" i="105"/>
  <c r="AI54" i="105"/>
  <c r="AG54" i="105"/>
  <c r="AF54" i="105"/>
  <c r="AE54" i="105"/>
  <c r="AB54" i="105"/>
  <c r="Z54" i="105"/>
  <c r="Y54" i="105"/>
  <c r="U54" i="105"/>
  <c r="J54" i="105"/>
  <c r="AJ53" i="105"/>
  <c r="AH53" i="105"/>
  <c r="AG53" i="105"/>
  <c r="AE53" i="105"/>
  <c r="AB53" i="105"/>
  <c r="Z53" i="105"/>
  <c r="X53" i="105"/>
  <c r="U53" i="105"/>
  <c r="H53" i="105"/>
  <c r="AH52" i="105"/>
  <c r="AG52" i="105"/>
  <c r="AC52" i="105"/>
  <c r="AB52" i="105"/>
  <c r="Z52" i="105"/>
  <c r="X52" i="105"/>
  <c r="W52" i="105"/>
  <c r="U52" i="105"/>
  <c r="T50" i="105"/>
  <c r="B50" i="105"/>
  <c r="E52" i="105" s="1"/>
  <c r="AG48" i="105"/>
  <c r="AE48" i="105"/>
  <c r="AC48" i="105"/>
  <c r="AB48" i="105"/>
  <c r="W48" i="105"/>
  <c r="V48" i="105"/>
  <c r="U48" i="105"/>
  <c r="N48" i="105"/>
  <c r="K48" i="105"/>
  <c r="I48" i="105"/>
  <c r="E48" i="105"/>
  <c r="AI47" i="105"/>
  <c r="AG47" i="105"/>
  <c r="AF47" i="105"/>
  <c r="AB47" i="105"/>
  <c r="AA47" i="105"/>
  <c r="X47" i="105"/>
  <c r="U47" i="105"/>
  <c r="O47" i="105"/>
  <c r="J47" i="105"/>
  <c r="E47" i="105"/>
  <c r="D47" i="105"/>
  <c r="AI46" i="105"/>
  <c r="AF46" i="105"/>
  <c r="AD46" i="105"/>
  <c r="AC46" i="105"/>
  <c r="X46" i="105"/>
  <c r="W46" i="105"/>
  <c r="V46" i="105"/>
  <c r="Q46" i="105"/>
  <c r="N46" i="105"/>
  <c r="J46" i="105"/>
  <c r="E46" i="105"/>
  <c r="AJ45" i="105"/>
  <c r="AI45" i="105"/>
  <c r="AG45" i="105"/>
  <c r="AC45" i="105"/>
  <c r="AB45" i="105"/>
  <c r="Y45" i="105"/>
  <c r="W45" i="105"/>
  <c r="R45" i="105"/>
  <c r="M45" i="105"/>
  <c r="L45" i="105"/>
  <c r="J45" i="105"/>
  <c r="E45" i="105"/>
  <c r="T43" i="105"/>
  <c r="B43" i="105"/>
  <c r="AI41" i="105"/>
  <c r="AH41" i="105"/>
  <c r="AC41" i="105"/>
  <c r="AB41" i="105"/>
  <c r="AA41" i="105"/>
  <c r="Y41" i="105"/>
  <c r="X41" i="105"/>
  <c r="W41" i="105"/>
  <c r="Q41" i="105"/>
  <c r="O41" i="105"/>
  <c r="M41" i="105"/>
  <c r="G41" i="105"/>
  <c r="E41" i="105"/>
  <c r="AH40" i="105"/>
  <c r="AG40" i="105"/>
  <c r="AE40" i="105"/>
  <c r="AC40" i="105"/>
  <c r="AB40" i="105"/>
  <c r="Y40" i="105"/>
  <c r="X40" i="105"/>
  <c r="R40" i="105"/>
  <c r="Q40" i="105"/>
  <c r="P40" i="105"/>
  <c r="K40" i="105"/>
  <c r="J40" i="105"/>
  <c r="E40" i="105"/>
  <c r="AJ39" i="105"/>
  <c r="AI39" i="105"/>
  <c r="AH39" i="105"/>
  <c r="AF39" i="105"/>
  <c r="AC39" i="105"/>
  <c r="AB39" i="105"/>
  <c r="Y39" i="105"/>
  <c r="X39" i="105"/>
  <c r="P39" i="105"/>
  <c r="N39" i="105"/>
  <c r="M39" i="105"/>
  <c r="H39" i="105"/>
  <c r="G39" i="105"/>
  <c r="AJ38" i="105"/>
  <c r="AH38" i="105"/>
  <c r="AF38" i="105"/>
  <c r="AC38" i="105"/>
  <c r="AA38" i="105"/>
  <c r="Y38" i="105"/>
  <c r="X38" i="105"/>
  <c r="U38" i="105"/>
  <c r="R38" i="105"/>
  <c r="M38" i="105"/>
  <c r="K38" i="105"/>
  <c r="I38" i="105"/>
  <c r="G38" i="105"/>
  <c r="C38" i="105"/>
  <c r="AH36" i="105"/>
  <c r="T36" i="105"/>
  <c r="B36" i="105"/>
  <c r="AJ34" i="105"/>
  <c r="AG34" i="105"/>
  <c r="AF34" i="105"/>
  <c r="AE34" i="105"/>
  <c r="AD34" i="105"/>
  <c r="AC34" i="105"/>
  <c r="AB34" i="105"/>
  <c r="AA34" i="105"/>
  <c r="X34" i="105"/>
  <c r="W34" i="105"/>
  <c r="V34" i="105"/>
  <c r="U34" i="105"/>
  <c r="R34" i="105"/>
  <c r="L34" i="105"/>
  <c r="I34" i="105"/>
  <c r="F34" i="105"/>
  <c r="C34" i="105"/>
  <c r="AJ33" i="105"/>
  <c r="AI33" i="105"/>
  <c r="AG33" i="105"/>
  <c r="AF33" i="105"/>
  <c r="AE33" i="105"/>
  <c r="AC33" i="105"/>
  <c r="AB33" i="105"/>
  <c r="AA33" i="105"/>
  <c r="Y33" i="105"/>
  <c r="X33" i="105"/>
  <c r="W33" i="105"/>
  <c r="V33" i="105"/>
  <c r="N33" i="105"/>
  <c r="M33" i="105"/>
  <c r="L33" i="105"/>
  <c r="G33" i="105"/>
  <c r="F33" i="105"/>
  <c r="AJ32" i="105"/>
  <c r="AG32" i="105"/>
  <c r="AF32" i="105"/>
  <c r="AE32" i="105"/>
  <c r="AD32" i="105"/>
  <c r="AC32" i="105"/>
  <c r="AB32" i="105"/>
  <c r="AA32" i="105"/>
  <c r="X32" i="105"/>
  <c r="W32" i="105"/>
  <c r="V32" i="105"/>
  <c r="U32" i="105"/>
  <c r="R32" i="105"/>
  <c r="O32" i="105"/>
  <c r="M32" i="105"/>
  <c r="I32" i="105"/>
  <c r="C32" i="105"/>
  <c r="AJ31" i="105"/>
  <c r="AI31" i="105"/>
  <c r="AG31" i="105"/>
  <c r="AF31" i="105"/>
  <c r="AE31" i="105"/>
  <c r="AC31" i="105"/>
  <c r="AB31" i="105"/>
  <c r="AA31" i="105"/>
  <c r="Y31" i="105"/>
  <c r="X31" i="105"/>
  <c r="W31" i="105"/>
  <c r="V31" i="105"/>
  <c r="O31" i="105"/>
  <c r="K31" i="105"/>
  <c r="I31" i="105"/>
  <c r="E31" i="105"/>
  <c r="D31" i="105"/>
  <c r="C31" i="105"/>
  <c r="AH29" i="105"/>
  <c r="T29" i="105"/>
  <c r="B29" i="105"/>
  <c r="AJ27" i="105"/>
  <c r="AG27" i="105"/>
  <c r="AF27" i="105"/>
  <c r="AB27" i="105"/>
  <c r="Z27" i="105"/>
  <c r="W27" i="105"/>
  <c r="P27" i="105"/>
  <c r="O27" i="105"/>
  <c r="N27" i="105"/>
  <c r="K27" i="105"/>
  <c r="J27" i="105"/>
  <c r="H27" i="105"/>
  <c r="F27" i="105"/>
  <c r="E27" i="105"/>
  <c r="C27" i="105"/>
  <c r="AI26" i="105"/>
  <c r="AG26" i="105"/>
  <c r="AC26" i="105"/>
  <c r="AB26" i="105"/>
  <c r="AA26" i="105"/>
  <c r="U26" i="105"/>
  <c r="Q26" i="105"/>
  <c r="P26" i="105"/>
  <c r="O26" i="105"/>
  <c r="K26" i="105"/>
  <c r="J26" i="105"/>
  <c r="I26" i="105"/>
  <c r="G26" i="105"/>
  <c r="F26" i="105"/>
  <c r="C26" i="105"/>
  <c r="AH25" i="105"/>
  <c r="AG25" i="105"/>
  <c r="AE25" i="105"/>
  <c r="AA25" i="105"/>
  <c r="Y25" i="105"/>
  <c r="Q25" i="105"/>
  <c r="P25" i="105"/>
  <c r="O25" i="105"/>
  <c r="M25" i="105"/>
  <c r="K25" i="105"/>
  <c r="J25" i="105"/>
  <c r="G25" i="105"/>
  <c r="F25" i="105"/>
  <c r="E25" i="105"/>
  <c r="AI24" i="105"/>
  <c r="AE24" i="105"/>
  <c r="AC24" i="105"/>
  <c r="AB24" i="105"/>
  <c r="X24" i="105"/>
  <c r="R24" i="105"/>
  <c r="Q24" i="105"/>
  <c r="P24" i="105"/>
  <c r="M24" i="105"/>
  <c r="K24" i="105"/>
  <c r="J24" i="105"/>
  <c r="H24" i="105"/>
  <c r="G24" i="105"/>
  <c r="F24" i="105"/>
  <c r="T22" i="105"/>
  <c r="P22" i="105"/>
  <c r="B22" i="105"/>
  <c r="AJ20" i="105"/>
  <c r="AI20" i="105"/>
  <c r="AF20" i="105"/>
  <c r="AD20" i="105"/>
  <c r="AC20" i="105"/>
  <c r="AB20" i="105"/>
  <c r="AA20" i="105"/>
  <c r="Y20" i="105"/>
  <c r="W20" i="105"/>
  <c r="V20" i="105"/>
  <c r="R20" i="105"/>
  <c r="Q20" i="105"/>
  <c r="O20" i="105"/>
  <c r="N20" i="105"/>
  <c r="L20" i="105"/>
  <c r="K20" i="105"/>
  <c r="J20" i="105"/>
  <c r="I20" i="105"/>
  <c r="G20" i="105"/>
  <c r="F20" i="105"/>
  <c r="E20" i="105"/>
  <c r="C20" i="105"/>
  <c r="AJ19" i="105"/>
  <c r="AI19" i="105"/>
  <c r="AG19" i="105"/>
  <c r="AE19" i="105"/>
  <c r="AD19" i="105"/>
  <c r="AB19" i="105"/>
  <c r="AA19" i="105"/>
  <c r="Y19" i="105"/>
  <c r="X19" i="105"/>
  <c r="W19" i="105"/>
  <c r="U19" i="105"/>
  <c r="Q19" i="105"/>
  <c r="O19" i="105"/>
  <c r="N19" i="105"/>
  <c r="M19" i="105"/>
  <c r="L19" i="105"/>
  <c r="K19" i="105"/>
  <c r="J19" i="105"/>
  <c r="G19" i="105"/>
  <c r="F19" i="105"/>
  <c r="E19" i="105"/>
  <c r="D19" i="105"/>
  <c r="C19" i="105"/>
  <c r="AJ18" i="105"/>
  <c r="AI18" i="105"/>
  <c r="AE18" i="105"/>
  <c r="AD18" i="105"/>
  <c r="AC18" i="105"/>
  <c r="AB18" i="105"/>
  <c r="AA18" i="105"/>
  <c r="Y18" i="105"/>
  <c r="W18" i="105"/>
  <c r="U18" i="105"/>
  <c r="R18" i="105"/>
  <c r="Q18" i="105"/>
  <c r="O18" i="105"/>
  <c r="N18" i="105"/>
  <c r="L18" i="105"/>
  <c r="K18" i="105"/>
  <c r="J18" i="105"/>
  <c r="I18" i="105"/>
  <c r="G18" i="105"/>
  <c r="F18" i="105"/>
  <c r="E18" i="105"/>
  <c r="C18" i="105"/>
  <c r="AJ17" i="105"/>
  <c r="AI17" i="105"/>
  <c r="AF17" i="105"/>
  <c r="AE17" i="105"/>
  <c r="AD17" i="105"/>
  <c r="AB17" i="105"/>
  <c r="AA17" i="105"/>
  <c r="Y17" i="105"/>
  <c r="X17" i="105"/>
  <c r="V17" i="105"/>
  <c r="U17" i="105"/>
  <c r="Q17" i="105"/>
  <c r="O17" i="105"/>
  <c r="N17" i="105"/>
  <c r="M17" i="105"/>
  <c r="L17" i="105"/>
  <c r="K17" i="105"/>
  <c r="J17" i="105"/>
  <c r="G17" i="105"/>
  <c r="F17" i="105"/>
  <c r="E17" i="105"/>
  <c r="D17" i="105"/>
  <c r="C17" i="105"/>
  <c r="AH15" i="105"/>
  <c r="T15" i="105"/>
  <c r="B15" i="105"/>
  <c r="AI13" i="105"/>
  <c r="AG13" i="105"/>
  <c r="AE13" i="105"/>
  <c r="AA13" i="105"/>
  <c r="Z13" i="105"/>
  <c r="U13" i="105"/>
  <c r="N13" i="105"/>
  <c r="M13" i="105"/>
  <c r="J13" i="105"/>
  <c r="G13" i="105"/>
  <c r="E13" i="105"/>
  <c r="AH12" i="105"/>
  <c r="AE12" i="105"/>
  <c r="AA12" i="105"/>
  <c r="Z12" i="105"/>
  <c r="W12" i="105"/>
  <c r="R12" i="105"/>
  <c r="O12" i="105"/>
  <c r="I12" i="105"/>
  <c r="E12" i="105"/>
  <c r="AJ11" i="105"/>
  <c r="AH11" i="105"/>
  <c r="AC11" i="105"/>
  <c r="X11" i="105"/>
  <c r="W11" i="105"/>
  <c r="U11" i="105"/>
  <c r="N11" i="105"/>
  <c r="I11" i="105"/>
  <c r="E11" i="105"/>
  <c r="AI10" i="105"/>
  <c r="AH10" i="105"/>
  <c r="AF10" i="105"/>
  <c r="AB10" i="105"/>
  <c r="Y10" i="105"/>
  <c r="Q10" i="105"/>
  <c r="P10" i="105"/>
  <c r="K10" i="105"/>
  <c r="J10" i="105"/>
  <c r="I10" i="105"/>
  <c r="E10" i="105"/>
  <c r="T8" i="105"/>
  <c r="B8" i="105"/>
  <c r="Q76" i="102"/>
  <c r="O76" i="102"/>
  <c r="K76" i="102"/>
  <c r="J76" i="102"/>
  <c r="D76" i="102"/>
  <c r="C76" i="102"/>
  <c r="Q75" i="102"/>
  <c r="N75" i="102"/>
  <c r="K75" i="102"/>
  <c r="J75" i="102"/>
  <c r="F75" i="102"/>
  <c r="D75" i="102"/>
  <c r="O74" i="102"/>
  <c r="N74" i="102"/>
  <c r="L74" i="102"/>
  <c r="I74" i="102"/>
  <c r="F74" i="102"/>
  <c r="E74" i="102"/>
  <c r="O73" i="102"/>
  <c r="N73" i="102"/>
  <c r="K73" i="102"/>
  <c r="J73" i="102"/>
  <c r="F73" i="102"/>
  <c r="D73" i="102"/>
  <c r="P71" i="102"/>
  <c r="B71" i="102"/>
  <c r="AF69" i="102"/>
  <c r="AD69" i="102"/>
  <c r="Z69" i="102"/>
  <c r="X69" i="102"/>
  <c r="V69" i="102"/>
  <c r="Q69" i="102"/>
  <c r="M69" i="102"/>
  <c r="I69" i="102"/>
  <c r="H69" i="102"/>
  <c r="G69" i="102"/>
  <c r="C69" i="102"/>
  <c r="AI68" i="102"/>
  <c r="AG68" i="102"/>
  <c r="W68" i="102"/>
  <c r="V68" i="102"/>
  <c r="Q68" i="102"/>
  <c r="N68" i="102"/>
  <c r="M68" i="102"/>
  <c r="G68" i="102"/>
  <c r="E68" i="102"/>
  <c r="D68" i="102"/>
  <c r="AG67" i="102"/>
  <c r="AF67" i="102"/>
  <c r="AE67" i="102"/>
  <c r="AA67" i="102"/>
  <c r="W67" i="102"/>
  <c r="P67" i="102"/>
  <c r="O67" i="102"/>
  <c r="K67" i="102"/>
  <c r="I67" i="102"/>
  <c r="H67" i="102"/>
  <c r="C67" i="102"/>
  <c r="AH66" i="102"/>
  <c r="AF66" i="102"/>
  <c r="AC66" i="102"/>
  <c r="AA66" i="102"/>
  <c r="W66" i="102"/>
  <c r="O66" i="102"/>
  <c r="N66" i="102"/>
  <c r="L66" i="102"/>
  <c r="H66" i="102"/>
  <c r="F66" i="102"/>
  <c r="E66" i="102"/>
  <c r="T64" i="102"/>
  <c r="B64" i="102"/>
  <c r="AJ62" i="102"/>
  <c r="AG62" i="102"/>
  <c r="AE62" i="102"/>
  <c r="AB62" i="102"/>
  <c r="Z62" i="102"/>
  <c r="W62" i="102"/>
  <c r="V62" i="102"/>
  <c r="P62" i="102"/>
  <c r="O62" i="102"/>
  <c r="M62" i="102"/>
  <c r="K62" i="102"/>
  <c r="J62" i="102"/>
  <c r="H62" i="102"/>
  <c r="E62" i="102"/>
  <c r="D62" i="102"/>
  <c r="C62" i="102"/>
  <c r="AI61" i="102"/>
  <c r="AG61" i="102"/>
  <c r="AC61" i="102"/>
  <c r="AB61" i="102"/>
  <c r="AA61" i="102"/>
  <c r="V61" i="102"/>
  <c r="U61" i="102"/>
  <c r="Q61" i="102"/>
  <c r="P61" i="102"/>
  <c r="O61" i="102"/>
  <c r="K61" i="102"/>
  <c r="J61" i="102"/>
  <c r="I61" i="102"/>
  <c r="G61" i="102"/>
  <c r="E61" i="102"/>
  <c r="C61" i="102"/>
  <c r="AH60" i="102"/>
  <c r="AG60" i="102"/>
  <c r="AD60" i="102"/>
  <c r="AA60" i="102"/>
  <c r="Y60" i="102"/>
  <c r="W60" i="102"/>
  <c r="Q60" i="102"/>
  <c r="P60" i="102"/>
  <c r="O60" i="102"/>
  <c r="L60" i="102"/>
  <c r="K60" i="102"/>
  <c r="J60" i="102"/>
  <c r="G60" i="102"/>
  <c r="E60" i="102"/>
  <c r="D60" i="102"/>
  <c r="AI59" i="102"/>
  <c r="AD59" i="102"/>
  <c r="AC59" i="102"/>
  <c r="AB59" i="102"/>
  <c r="W59" i="102"/>
  <c r="V59" i="102"/>
  <c r="R59" i="102"/>
  <c r="Q59" i="102"/>
  <c r="P59" i="102"/>
  <c r="L59" i="102"/>
  <c r="K59" i="102"/>
  <c r="J59" i="102"/>
  <c r="H59" i="102"/>
  <c r="G59" i="102"/>
  <c r="E59" i="102"/>
  <c r="T57" i="102"/>
  <c r="P57" i="102"/>
  <c r="B57" i="102"/>
  <c r="AI55" i="102"/>
  <c r="AH55" i="102"/>
  <c r="AF55" i="102"/>
  <c r="AE55" i="102"/>
  <c r="AD55" i="102"/>
  <c r="AC55" i="102"/>
  <c r="AA55" i="102"/>
  <c r="Z55" i="102"/>
  <c r="Y55" i="102"/>
  <c r="W55" i="102"/>
  <c r="V55" i="102"/>
  <c r="U55" i="102"/>
  <c r="P55" i="102"/>
  <c r="I55" i="102"/>
  <c r="G55" i="102"/>
  <c r="F55" i="102"/>
  <c r="AI54" i="102"/>
  <c r="AH54" i="102"/>
  <c r="AG54" i="102"/>
  <c r="AF54" i="102"/>
  <c r="AE54" i="102"/>
  <c r="AD54" i="102"/>
  <c r="AA54" i="102"/>
  <c r="Z54" i="102"/>
  <c r="Y54" i="102"/>
  <c r="X54" i="102"/>
  <c r="W54" i="102"/>
  <c r="V54" i="102"/>
  <c r="U54" i="102"/>
  <c r="P54" i="102"/>
  <c r="O54" i="102"/>
  <c r="L54" i="102"/>
  <c r="K54" i="102"/>
  <c r="G54" i="102"/>
  <c r="E54" i="102"/>
  <c r="AI53" i="102"/>
  <c r="AH53" i="102"/>
  <c r="AF53" i="102"/>
  <c r="AE53" i="102"/>
  <c r="AD53" i="102"/>
  <c r="AC53" i="102"/>
  <c r="AA53" i="102"/>
  <c r="Z53" i="102"/>
  <c r="Y53" i="102"/>
  <c r="W53" i="102"/>
  <c r="V53" i="102"/>
  <c r="U53" i="102"/>
  <c r="Q53" i="102"/>
  <c r="N53" i="102"/>
  <c r="L53" i="102"/>
  <c r="G53" i="102"/>
  <c r="F53" i="102"/>
  <c r="AI52" i="102"/>
  <c r="AH52" i="102"/>
  <c r="AG52" i="102"/>
  <c r="AF52" i="102"/>
  <c r="AE52" i="102"/>
  <c r="AD52" i="102"/>
  <c r="AA52" i="102"/>
  <c r="Z52" i="102"/>
  <c r="Y52" i="102"/>
  <c r="X52" i="102"/>
  <c r="W52" i="102"/>
  <c r="V52" i="102"/>
  <c r="U52" i="102"/>
  <c r="P52" i="102"/>
  <c r="N52" i="102"/>
  <c r="J52" i="102"/>
  <c r="H52" i="102"/>
  <c r="G52" i="102"/>
  <c r="D52" i="102"/>
  <c r="Y50" i="102"/>
  <c r="T50" i="102"/>
  <c r="P50" i="102"/>
  <c r="B50" i="102"/>
  <c r="AI48" i="102"/>
  <c r="AG48" i="102"/>
  <c r="AD48" i="102"/>
  <c r="Z48" i="102"/>
  <c r="Y48" i="102"/>
  <c r="X48" i="102"/>
  <c r="O48" i="102"/>
  <c r="I48" i="102"/>
  <c r="F48" i="102"/>
  <c r="D48" i="102"/>
  <c r="AH47" i="102"/>
  <c r="AD47" i="102"/>
  <c r="Z47" i="102"/>
  <c r="Y47" i="102"/>
  <c r="U47" i="102"/>
  <c r="R47" i="102"/>
  <c r="N47" i="102"/>
  <c r="H47" i="102"/>
  <c r="F47" i="102"/>
  <c r="D47" i="102"/>
  <c r="AI46" i="102"/>
  <c r="AH46" i="102"/>
  <c r="AG46" i="102"/>
  <c r="AC46" i="102"/>
  <c r="X46" i="102"/>
  <c r="U46" i="102"/>
  <c r="R46" i="102"/>
  <c r="O46" i="102"/>
  <c r="H46" i="102"/>
  <c r="C46" i="102"/>
  <c r="AI45" i="102"/>
  <c r="AH45" i="102"/>
  <c r="AD45" i="102"/>
  <c r="AC45" i="102"/>
  <c r="Y45" i="102"/>
  <c r="X45" i="102"/>
  <c r="Q45" i="102"/>
  <c r="O45" i="102"/>
  <c r="N45" i="102"/>
  <c r="J45" i="102"/>
  <c r="H45" i="102"/>
  <c r="C45" i="102"/>
  <c r="T43" i="102"/>
  <c r="B43" i="102"/>
  <c r="L48" i="102" s="1"/>
  <c r="AJ41" i="102"/>
  <c r="AH41" i="102"/>
  <c r="AG41" i="102"/>
  <c r="AF41" i="102"/>
  <c r="AE41" i="102"/>
  <c r="AD41" i="102"/>
  <c r="AC41" i="102"/>
  <c r="AB41" i="102"/>
  <c r="Z41" i="102"/>
  <c r="Y41" i="102"/>
  <c r="X41" i="102"/>
  <c r="W41" i="102"/>
  <c r="V41" i="102"/>
  <c r="U41" i="102"/>
  <c r="N41" i="102"/>
  <c r="J41" i="102"/>
  <c r="G41" i="102"/>
  <c r="D41" i="102"/>
  <c r="AJ40" i="102"/>
  <c r="AH40" i="102"/>
  <c r="AG40" i="102"/>
  <c r="AF40" i="102"/>
  <c r="AE40" i="102"/>
  <c r="AD40" i="102"/>
  <c r="AC40" i="102"/>
  <c r="AB40" i="102"/>
  <c r="Z40" i="102"/>
  <c r="Y40" i="102"/>
  <c r="X40" i="102"/>
  <c r="W40" i="102"/>
  <c r="V40" i="102"/>
  <c r="U40" i="102"/>
  <c r="R40" i="102"/>
  <c r="N40" i="102"/>
  <c r="J40" i="102"/>
  <c r="H40" i="102"/>
  <c r="D40" i="102"/>
  <c r="C40" i="102"/>
  <c r="AJ39" i="102"/>
  <c r="AH39" i="102"/>
  <c r="AG39" i="102"/>
  <c r="AF39" i="102"/>
  <c r="AE39" i="102"/>
  <c r="AD39" i="102"/>
  <c r="AC39" i="102"/>
  <c r="AB39" i="102"/>
  <c r="Z39" i="102"/>
  <c r="Y39" i="102"/>
  <c r="X39" i="102"/>
  <c r="W39" i="102"/>
  <c r="V39" i="102"/>
  <c r="U39" i="102"/>
  <c r="R39" i="102"/>
  <c r="P39" i="102"/>
  <c r="J39" i="102"/>
  <c r="E39" i="102"/>
  <c r="AJ38" i="102"/>
  <c r="AH38" i="102"/>
  <c r="AG38" i="102"/>
  <c r="AF38" i="102"/>
  <c r="AE38" i="102"/>
  <c r="AD38" i="102"/>
  <c r="AC38" i="102"/>
  <c r="AB38" i="102"/>
  <c r="Z38" i="102"/>
  <c r="Y38" i="102"/>
  <c r="X38" i="102"/>
  <c r="W38" i="102"/>
  <c r="V38" i="102"/>
  <c r="U38" i="102"/>
  <c r="M38" i="102"/>
  <c r="L38" i="102"/>
  <c r="H38" i="102"/>
  <c r="G38" i="102"/>
  <c r="E38" i="102"/>
  <c r="Y36" i="102"/>
  <c r="T36" i="102"/>
  <c r="AI41" i="102" s="1"/>
  <c r="B36" i="102"/>
  <c r="AI34" i="102"/>
  <c r="AD34" i="102"/>
  <c r="AC34" i="102"/>
  <c r="Y34" i="102"/>
  <c r="R34" i="102"/>
  <c r="Q34" i="102"/>
  <c r="O34" i="102"/>
  <c r="N34" i="102"/>
  <c r="J34" i="102"/>
  <c r="I34" i="102"/>
  <c r="H34" i="102"/>
  <c r="F34" i="102"/>
  <c r="D34" i="102"/>
  <c r="C34" i="102"/>
  <c r="AG33" i="102"/>
  <c r="Y33" i="102"/>
  <c r="R33" i="102"/>
  <c r="Q33" i="102"/>
  <c r="O33" i="102"/>
  <c r="N33" i="102"/>
  <c r="L33" i="102"/>
  <c r="J33" i="102"/>
  <c r="I33" i="102"/>
  <c r="F33" i="102"/>
  <c r="D33" i="102"/>
  <c r="C33" i="102"/>
  <c r="AH32" i="102"/>
  <c r="AG32" i="102"/>
  <c r="Y32" i="102"/>
  <c r="R32" i="102"/>
  <c r="Q32" i="102"/>
  <c r="N32" i="102"/>
  <c r="L32" i="102"/>
  <c r="J32" i="102"/>
  <c r="I32" i="102"/>
  <c r="H32" i="102"/>
  <c r="F32" i="102"/>
  <c r="D32" i="102"/>
  <c r="AI31" i="102"/>
  <c r="AH31" i="102"/>
  <c r="AG31" i="102"/>
  <c r="AB31" i="102"/>
  <c r="X31" i="102"/>
  <c r="R31" i="102"/>
  <c r="Q31" i="102"/>
  <c r="O31" i="102"/>
  <c r="N31" i="102"/>
  <c r="L31" i="102"/>
  <c r="I31" i="102"/>
  <c r="H31" i="102"/>
  <c r="F31" i="102"/>
  <c r="D31" i="102"/>
  <c r="C31" i="102"/>
  <c r="T29" i="102"/>
  <c r="P29" i="102"/>
  <c r="B29" i="102"/>
  <c r="AJ27" i="102"/>
  <c r="AH27" i="102"/>
  <c r="AG27" i="102"/>
  <c r="AF27" i="102"/>
  <c r="AE27" i="102"/>
  <c r="AD27" i="102"/>
  <c r="AC27" i="102"/>
  <c r="AB27" i="102"/>
  <c r="Z27" i="102"/>
  <c r="Y27" i="102"/>
  <c r="X27" i="102"/>
  <c r="W27" i="102"/>
  <c r="V27" i="102"/>
  <c r="U27" i="102"/>
  <c r="R27" i="102"/>
  <c r="N27" i="102"/>
  <c r="M27" i="102"/>
  <c r="L27" i="102"/>
  <c r="J27" i="102"/>
  <c r="H27" i="102"/>
  <c r="G27" i="102"/>
  <c r="E27" i="102"/>
  <c r="C27" i="102"/>
  <c r="AJ26" i="102"/>
  <c r="AH26" i="102"/>
  <c r="AG26" i="102"/>
  <c r="AF26" i="102"/>
  <c r="AE26" i="102"/>
  <c r="AD26" i="102"/>
  <c r="AC26" i="102"/>
  <c r="AB26" i="102"/>
  <c r="Z26" i="102"/>
  <c r="Y26" i="102"/>
  <c r="X26" i="102"/>
  <c r="W26" i="102"/>
  <c r="V26" i="102"/>
  <c r="U26" i="102"/>
  <c r="P26" i="102"/>
  <c r="N26" i="102"/>
  <c r="M26" i="102"/>
  <c r="L26" i="102"/>
  <c r="J26" i="102"/>
  <c r="H26" i="102"/>
  <c r="G26" i="102"/>
  <c r="D26" i="102"/>
  <c r="C26" i="102"/>
  <c r="AJ25" i="102"/>
  <c r="AH25" i="102"/>
  <c r="AG25" i="102"/>
  <c r="AF25" i="102"/>
  <c r="AE25" i="102"/>
  <c r="AD25" i="102"/>
  <c r="AC25" i="102"/>
  <c r="AB25" i="102"/>
  <c r="Z25" i="102"/>
  <c r="Y25" i="102"/>
  <c r="X25" i="102"/>
  <c r="W25" i="102"/>
  <c r="V25" i="102"/>
  <c r="U25" i="102"/>
  <c r="R25" i="102"/>
  <c r="P25" i="102"/>
  <c r="N25" i="102"/>
  <c r="M25" i="102"/>
  <c r="L25" i="102"/>
  <c r="J25" i="102"/>
  <c r="H25" i="102"/>
  <c r="E25" i="102"/>
  <c r="D25" i="102"/>
  <c r="C25" i="102"/>
  <c r="AJ24" i="102"/>
  <c r="AH24" i="102"/>
  <c r="AG24" i="102"/>
  <c r="AF24" i="102"/>
  <c r="AE24" i="102"/>
  <c r="AD24" i="102"/>
  <c r="AC24" i="102"/>
  <c r="AB24" i="102"/>
  <c r="Z24" i="102"/>
  <c r="Y24" i="102"/>
  <c r="X24" i="102"/>
  <c r="W24" i="102"/>
  <c r="V24" i="102"/>
  <c r="U24" i="102"/>
  <c r="R24" i="102"/>
  <c r="P24" i="102"/>
  <c r="N24" i="102"/>
  <c r="M24" i="102"/>
  <c r="L24" i="102"/>
  <c r="J24" i="102"/>
  <c r="G24" i="102"/>
  <c r="E24" i="102"/>
  <c r="D24" i="102"/>
  <c r="C24" i="102"/>
  <c r="Y22" i="102"/>
  <c r="T22" i="102"/>
  <c r="AI27" i="102" s="1"/>
  <c r="P22" i="102"/>
  <c r="B22" i="102"/>
  <c r="AH20" i="102"/>
  <c r="AC20" i="102"/>
  <c r="U20" i="102"/>
  <c r="F20" i="102"/>
  <c r="AH19" i="102"/>
  <c r="AD19" i="102"/>
  <c r="Y19" i="102"/>
  <c r="U19" i="102"/>
  <c r="I19" i="102"/>
  <c r="AG18" i="102"/>
  <c r="Z18" i="102"/>
  <c r="Y18" i="102"/>
  <c r="R18" i="102"/>
  <c r="D18" i="102"/>
  <c r="AB17" i="102"/>
  <c r="Y17" i="102"/>
  <c r="U17" i="102"/>
  <c r="L17" i="102"/>
  <c r="T15" i="102"/>
  <c r="B15" i="102"/>
  <c r="N19" i="102" s="1"/>
  <c r="AJ13" i="102"/>
  <c r="AH13" i="102"/>
  <c r="AG13" i="102"/>
  <c r="AF13" i="102"/>
  <c r="AE13" i="102"/>
  <c r="AD13" i="102"/>
  <c r="AC13" i="102"/>
  <c r="AB13" i="102"/>
  <c r="Z13" i="102"/>
  <c r="Y13" i="102"/>
  <c r="X13" i="102"/>
  <c r="W13" i="102"/>
  <c r="V13" i="102"/>
  <c r="U13" i="102"/>
  <c r="R13" i="102"/>
  <c r="P13" i="102"/>
  <c r="M13" i="102"/>
  <c r="L13" i="102"/>
  <c r="J13" i="102"/>
  <c r="H13" i="102"/>
  <c r="G13" i="102"/>
  <c r="E13" i="102"/>
  <c r="D13" i="102"/>
  <c r="AJ12" i="102"/>
  <c r="AH12" i="102"/>
  <c r="AG12" i="102"/>
  <c r="AF12" i="102"/>
  <c r="AE12" i="102"/>
  <c r="AD12" i="102"/>
  <c r="AC12" i="102"/>
  <c r="AB12" i="102"/>
  <c r="Z12" i="102"/>
  <c r="Y12" i="102"/>
  <c r="X12" i="102"/>
  <c r="W12" i="102"/>
  <c r="V12" i="102"/>
  <c r="U12" i="102"/>
  <c r="R12" i="102"/>
  <c r="N12" i="102"/>
  <c r="M12" i="102"/>
  <c r="L12" i="102"/>
  <c r="J12" i="102"/>
  <c r="H12" i="102"/>
  <c r="G12" i="102"/>
  <c r="E12" i="102"/>
  <c r="C12" i="102"/>
  <c r="AJ11" i="102"/>
  <c r="AH11" i="102"/>
  <c r="AG11" i="102"/>
  <c r="AF11" i="102"/>
  <c r="AE11" i="102"/>
  <c r="AD11" i="102"/>
  <c r="AC11" i="102"/>
  <c r="AB11" i="102"/>
  <c r="Z11" i="102"/>
  <c r="Y11" i="102"/>
  <c r="X11" i="102"/>
  <c r="W11" i="102"/>
  <c r="V11" i="102"/>
  <c r="U11" i="102"/>
  <c r="P11" i="102"/>
  <c r="N11" i="102"/>
  <c r="M11" i="102"/>
  <c r="L11" i="102"/>
  <c r="J11" i="102"/>
  <c r="H11" i="102"/>
  <c r="G11" i="102"/>
  <c r="D11" i="102"/>
  <c r="C11" i="102"/>
  <c r="AJ10" i="102"/>
  <c r="AH10" i="102"/>
  <c r="AG10" i="102"/>
  <c r="AF10" i="102"/>
  <c r="AE10" i="102"/>
  <c r="AD10" i="102"/>
  <c r="AC10" i="102"/>
  <c r="AB10" i="102"/>
  <c r="Z10" i="102"/>
  <c r="Y10" i="102"/>
  <c r="X10" i="102"/>
  <c r="W10" i="102"/>
  <c r="V10" i="102"/>
  <c r="U10" i="102"/>
  <c r="R10" i="102"/>
  <c r="P10" i="102"/>
  <c r="N10" i="102"/>
  <c r="M10" i="102"/>
  <c r="L10" i="102"/>
  <c r="J10" i="102"/>
  <c r="H10" i="102"/>
  <c r="F10" i="102"/>
  <c r="E10" i="102"/>
  <c r="D10" i="102"/>
  <c r="C10" i="102"/>
  <c r="Y8" i="102"/>
  <c r="T8" i="102"/>
  <c r="AI13" i="102" s="1"/>
  <c r="P8" i="102"/>
  <c r="B8" i="102"/>
  <c r="S108" i="111"/>
  <c r="R108" i="111"/>
  <c r="Q108" i="111"/>
  <c r="P108" i="111"/>
  <c r="O108" i="111"/>
  <c r="N108" i="111"/>
  <c r="M108" i="111"/>
  <c r="L108" i="111"/>
  <c r="K108" i="111"/>
  <c r="AD108" i="111" s="1"/>
  <c r="J108" i="111"/>
  <c r="I108" i="111"/>
  <c r="H108" i="111"/>
  <c r="G108" i="111"/>
  <c r="F108" i="111"/>
  <c r="E108" i="111"/>
  <c r="D108" i="111"/>
  <c r="C108" i="111"/>
  <c r="V108" i="111" s="1"/>
  <c r="S107" i="111"/>
  <c r="R107" i="111"/>
  <c r="Q107" i="111"/>
  <c r="P107" i="111"/>
  <c r="O107" i="111"/>
  <c r="N107" i="111"/>
  <c r="M107" i="111"/>
  <c r="L107" i="111"/>
  <c r="K107" i="111"/>
  <c r="J107" i="111"/>
  <c r="I107" i="111"/>
  <c r="H107" i="111"/>
  <c r="G107" i="111"/>
  <c r="F107" i="111"/>
  <c r="E107" i="111"/>
  <c r="D107" i="111"/>
  <c r="C107" i="111"/>
  <c r="V107" i="111" s="1"/>
  <c r="S106" i="111"/>
  <c r="X106" i="111" s="1"/>
  <c r="R106" i="111"/>
  <c r="Q106" i="111"/>
  <c r="P106" i="111"/>
  <c r="O106" i="111"/>
  <c r="N106" i="111"/>
  <c r="M106" i="111"/>
  <c r="AF106" i="111" s="1"/>
  <c r="L106" i="111"/>
  <c r="K106" i="111"/>
  <c r="J106" i="111"/>
  <c r="I106" i="111"/>
  <c r="H106" i="111"/>
  <c r="G106" i="111"/>
  <c r="F106" i="111"/>
  <c r="E106" i="111"/>
  <c r="D106" i="111"/>
  <c r="C106" i="111"/>
  <c r="V106" i="111" s="1"/>
  <c r="S105" i="111"/>
  <c r="R105" i="111"/>
  <c r="AK105" i="111" s="1"/>
  <c r="Q105" i="111"/>
  <c r="P105" i="111"/>
  <c r="O105" i="111"/>
  <c r="N105" i="111"/>
  <c r="M105" i="111"/>
  <c r="L105" i="111"/>
  <c r="K105" i="111"/>
  <c r="AD105" i="111" s="1"/>
  <c r="J105" i="111"/>
  <c r="I105" i="111"/>
  <c r="H105" i="111"/>
  <c r="G105" i="111"/>
  <c r="F105" i="111"/>
  <c r="Y105" i="111" s="1"/>
  <c r="E105" i="111"/>
  <c r="D105" i="111"/>
  <c r="C105" i="111"/>
  <c r="V105" i="111" s="1"/>
  <c r="S104" i="111"/>
  <c r="R104" i="111"/>
  <c r="Q104" i="111"/>
  <c r="P104" i="111"/>
  <c r="O104" i="111"/>
  <c r="AH104" i="111" s="1"/>
  <c r="N104" i="111"/>
  <c r="M104" i="111"/>
  <c r="AF104" i="111" s="1"/>
  <c r="L104" i="111"/>
  <c r="AE104" i="111" s="1"/>
  <c r="K104" i="111"/>
  <c r="AD104" i="111" s="1"/>
  <c r="J104" i="111"/>
  <c r="I104" i="111"/>
  <c r="H104" i="111"/>
  <c r="G104" i="111"/>
  <c r="Z104" i="111" s="1"/>
  <c r="F104" i="111"/>
  <c r="E104" i="111"/>
  <c r="X104" i="111" s="1"/>
  <c r="D104" i="111"/>
  <c r="C104" i="111"/>
  <c r="V104" i="111" s="1"/>
  <c r="S103" i="111"/>
  <c r="AA103" i="111" s="1"/>
  <c r="R103" i="111"/>
  <c r="Q103" i="111"/>
  <c r="P103" i="111"/>
  <c r="O103" i="111"/>
  <c r="AH103" i="111" s="1"/>
  <c r="N103" i="111"/>
  <c r="M103" i="111"/>
  <c r="L103" i="111"/>
  <c r="K103" i="111"/>
  <c r="J103" i="111"/>
  <c r="I103" i="111"/>
  <c r="AB103" i="111" s="1"/>
  <c r="H103" i="111"/>
  <c r="G103" i="111"/>
  <c r="F103" i="111"/>
  <c r="E103" i="111"/>
  <c r="D103" i="111"/>
  <c r="W103" i="111" s="1"/>
  <c r="C103" i="111"/>
  <c r="V103" i="111" s="1"/>
  <c r="S102" i="111"/>
  <c r="R102" i="111"/>
  <c r="Q102" i="111"/>
  <c r="P102" i="111"/>
  <c r="O102" i="111"/>
  <c r="AH102" i="111" s="1"/>
  <c r="N102" i="111"/>
  <c r="M102" i="111"/>
  <c r="L102" i="111"/>
  <c r="K102" i="111"/>
  <c r="AD102" i="111" s="1"/>
  <c r="J102" i="111"/>
  <c r="I102" i="111"/>
  <c r="H102" i="111"/>
  <c r="G102" i="111"/>
  <c r="F102" i="111"/>
  <c r="E102" i="111"/>
  <c r="D102" i="111"/>
  <c r="C102" i="111"/>
  <c r="V102" i="111" s="1"/>
  <c r="S101" i="111"/>
  <c r="R101" i="111"/>
  <c r="AK101" i="111" s="1"/>
  <c r="Q101" i="111"/>
  <c r="P101" i="111"/>
  <c r="O101" i="111"/>
  <c r="AH101" i="111" s="1"/>
  <c r="N101" i="111"/>
  <c r="AG101" i="111" s="1"/>
  <c r="M101" i="111"/>
  <c r="AF101" i="111" s="1"/>
  <c r="L101" i="111"/>
  <c r="K101" i="111"/>
  <c r="J101" i="111"/>
  <c r="I101" i="111"/>
  <c r="H101" i="111"/>
  <c r="G101" i="111"/>
  <c r="F101" i="111"/>
  <c r="E101" i="111"/>
  <c r="D101" i="111"/>
  <c r="C101" i="111"/>
  <c r="V101" i="111" s="1"/>
  <c r="S100" i="111"/>
  <c r="AG100" i="111" s="1"/>
  <c r="R100" i="111"/>
  <c r="Q100" i="111"/>
  <c r="P100" i="111"/>
  <c r="O100" i="111"/>
  <c r="N100" i="111"/>
  <c r="M100" i="111"/>
  <c r="L100" i="111"/>
  <c r="K100" i="111"/>
  <c r="J100" i="111"/>
  <c r="I100" i="111"/>
  <c r="H100" i="111"/>
  <c r="G100" i="111"/>
  <c r="F100" i="111"/>
  <c r="E100" i="111"/>
  <c r="D100" i="111"/>
  <c r="C100" i="111"/>
  <c r="V100" i="111" s="1"/>
  <c r="S99" i="111"/>
  <c r="AI99" i="111" s="1"/>
  <c r="R99" i="111"/>
  <c r="Q99" i="111"/>
  <c r="P99" i="111"/>
  <c r="O99" i="111"/>
  <c r="N99" i="111"/>
  <c r="M99" i="111"/>
  <c r="L99" i="111"/>
  <c r="K99" i="111"/>
  <c r="J99" i="111"/>
  <c r="I99" i="111"/>
  <c r="H99" i="111"/>
  <c r="G99" i="111"/>
  <c r="F99" i="111"/>
  <c r="E99" i="111"/>
  <c r="D99" i="111"/>
  <c r="C99" i="111"/>
  <c r="V99" i="111" s="1"/>
  <c r="V98" i="111"/>
  <c r="S98" i="111"/>
  <c r="R98" i="111"/>
  <c r="AK98" i="111" s="1"/>
  <c r="Q98" i="111"/>
  <c r="AJ98" i="111" s="1"/>
  <c r="P98" i="111"/>
  <c r="O98" i="111"/>
  <c r="N98" i="111"/>
  <c r="M98" i="111"/>
  <c r="L98" i="111"/>
  <c r="K98" i="111"/>
  <c r="AD98" i="111" s="1"/>
  <c r="J98" i="111"/>
  <c r="I98" i="111"/>
  <c r="AB98" i="111" s="1"/>
  <c r="H98" i="111"/>
  <c r="G98" i="111"/>
  <c r="F98" i="111"/>
  <c r="E98" i="111"/>
  <c r="D98" i="111"/>
  <c r="W98" i="111" s="1"/>
  <c r="C98" i="111"/>
  <c r="S97" i="111"/>
  <c r="W97" i="111" s="1"/>
  <c r="R97" i="111"/>
  <c r="Q97" i="111"/>
  <c r="P97" i="111"/>
  <c r="O97" i="111"/>
  <c r="N97" i="111"/>
  <c r="M97" i="111"/>
  <c r="L97" i="111"/>
  <c r="K97" i="111"/>
  <c r="J97" i="111"/>
  <c r="I97" i="111"/>
  <c r="H97" i="111"/>
  <c r="G97" i="111"/>
  <c r="F97" i="111"/>
  <c r="E97" i="111"/>
  <c r="D97" i="111"/>
  <c r="C97" i="111"/>
  <c r="V97" i="111" s="1"/>
  <c r="AE96" i="111"/>
  <c r="S96" i="111"/>
  <c r="R96" i="111"/>
  <c r="Q96" i="111"/>
  <c r="P96" i="111"/>
  <c r="O96" i="111"/>
  <c r="AH96" i="111" s="1"/>
  <c r="N96" i="111"/>
  <c r="AG96" i="111" s="1"/>
  <c r="M96" i="111"/>
  <c r="L96" i="111"/>
  <c r="K96" i="111"/>
  <c r="AD96" i="111" s="1"/>
  <c r="J96" i="111"/>
  <c r="AC96" i="111" s="1"/>
  <c r="I96" i="111"/>
  <c r="H96" i="111"/>
  <c r="G96" i="111"/>
  <c r="F96" i="111"/>
  <c r="Y96" i="111" s="1"/>
  <c r="E96" i="111"/>
  <c r="D96" i="111"/>
  <c r="W96" i="111" s="1"/>
  <c r="C96" i="111"/>
  <c r="V96" i="111" s="1"/>
  <c r="S95" i="111"/>
  <c r="AF95" i="111" s="1"/>
  <c r="R95" i="111"/>
  <c r="Q95" i="111"/>
  <c r="P95" i="111"/>
  <c r="AI95" i="111" s="1"/>
  <c r="O95" i="111"/>
  <c r="N95" i="111"/>
  <c r="M95" i="111"/>
  <c r="L95" i="111"/>
  <c r="K95" i="111"/>
  <c r="AD95" i="111" s="1"/>
  <c r="J95" i="111"/>
  <c r="I95" i="111"/>
  <c r="H95" i="111"/>
  <c r="G95" i="111"/>
  <c r="F95" i="111"/>
  <c r="Y95" i="111" s="1"/>
  <c r="E95" i="111"/>
  <c r="D95" i="111"/>
  <c r="C95" i="111"/>
  <c r="V95" i="111" s="1"/>
  <c r="S94" i="111"/>
  <c r="AG94" i="111" s="1"/>
  <c r="R94" i="111"/>
  <c r="Q94" i="111"/>
  <c r="P94" i="111"/>
  <c r="O94" i="111"/>
  <c r="N94" i="111"/>
  <c r="M94" i="111"/>
  <c r="L94" i="111"/>
  <c r="K94" i="111"/>
  <c r="J94" i="111"/>
  <c r="I94" i="111"/>
  <c r="H94" i="111"/>
  <c r="G94" i="111"/>
  <c r="F94" i="111"/>
  <c r="E94" i="111"/>
  <c r="D94" i="111"/>
  <c r="C94" i="111"/>
  <c r="V94" i="111" s="1"/>
  <c r="AD93" i="111"/>
  <c r="V93" i="111"/>
  <c r="S93" i="111"/>
  <c r="R93" i="111"/>
  <c r="AK93" i="111" s="1"/>
  <c r="Q93" i="111"/>
  <c r="AJ93" i="111" s="1"/>
  <c r="P93" i="111"/>
  <c r="O93" i="111"/>
  <c r="N93" i="111"/>
  <c r="AG93" i="111" s="1"/>
  <c r="M93" i="111"/>
  <c r="L93" i="111"/>
  <c r="AE93" i="111" s="1"/>
  <c r="K93" i="111"/>
  <c r="J93" i="111"/>
  <c r="AC93" i="111" s="1"/>
  <c r="I93" i="111"/>
  <c r="AB93" i="111" s="1"/>
  <c r="H93" i="111"/>
  <c r="G93" i="111"/>
  <c r="Z93" i="111" s="1"/>
  <c r="F93" i="111"/>
  <c r="Y93" i="111" s="1"/>
  <c r="E93" i="111"/>
  <c r="D93" i="111"/>
  <c r="W93" i="111" s="1"/>
  <c r="C93" i="111"/>
  <c r="AK92" i="111"/>
  <c r="S92" i="111"/>
  <c r="R92" i="111"/>
  <c r="Q92" i="111"/>
  <c r="P92" i="111"/>
  <c r="O92" i="111"/>
  <c r="N92" i="111"/>
  <c r="M92" i="111"/>
  <c r="L92" i="111"/>
  <c r="K92" i="111"/>
  <c r="AD92" i="111" s="1"/>
  <c r="J92" i="111"/>
  <c r="I92" i="111"/>
  <c r="H92" i="111"/>
  <c r="G92" i="111"/>
  <c r="F92" i="111"/>
  <c r="E92" i="111"/>
  <c r="D92" i="111"/>
  <c r="C92" i="111"/>
  <c r="V92" i="111" s="1"/>
  <c r="AH91" i="111"/>
  <c r="S91" i="111"/>
  <c r="R91" i="111"/>
  <c r="AK91" i="111" s="1"/>
  <c r="Q91" i="111"/>
  <c r="P91" i="111"/>
  <c r="O91" i="111"/>
  <c r="N91" i="111"/>
  <c r="M91" i="111"/>
  <c r="L91" i="111"/>
  <c r="AE91" i="111" s="1"/>
  <c r="K91" i="111"/>
  <c r="AD91" i="111" s="1"/>
  <c r="J91" i="111"/>
  <c r="I91" i="111"/>
  <c r="H91" i="111"/>
  <c r="AA91" i="111" s="1"/>
  <c r="G91" i="111"/>
  <c r="F91" i="111"/>
  <c r="E91" i="111"/>
  <c r="D91" i="111"/>
  <c r="C91" i="111"/>
  <c r="V91" i="111" s="1"/>
  <c r="AC90" i="111"/>
  <c r="S90" i="111"/>
  <c r="R90" i="111"/>
  <c r="AK90" i="111" s="1"/>
  <c r="Q90" i="111"/>
  <c r="P90" i="111"/>
  <c r="AI90" i="111" s="1"/>
  <c r="O90" i="111"/>
  <c r="N90" i="111"/>
  <c r="M90" i="111"/>
  <c r="L90" i="111"/>
  <c r="AE90" i="111" s="1"/>
  <c r="K90" i="111"/>
  <c r="AD90" i="111" s="1"/>
  <c r="J90" i="111"/>
  <c r="I90" i="111"/>
  <c r="AB90" i="111" s="1"/>
  <c r="H90" i="111"/>
  <c r="AA90" i="111" s="1"/>
  <c r="G90" i="111"/>
  <c r="Z90" i="111" s="1"/>
  <c r="F90" i="111"/>
  <c r="Y90" i="111" s="1"/>
  <c r="E90" i="111"/>
  <c r="D90" i="111"/>
  <c r="C90" i="111"/>
  <c r="V90" i="111" s="1"/>
  <c r="S89" i="111"/>
  <c r="AJ89" i="111" s="1"/>
  <c r="R89" i="111"/>
  <c r="Q89" i="111"/>
  <c r="P89" i="111"/>
  <c r="O89" i="111"/>
  <c r="N89" i="111"/>
  <c r="M89" i="111"/>
  <c r="L89" i="111"/>
  <c r="K89" i="111"/>
  <c r="AD89" i="111" s="1"/>
  <c r="J89" i="111"/>
  <c r="I89" i="111"/>
  <c r="H89" i="111"/>
  <c r="G89" i="111"/>
  <c r="F89" i="111"/>
  <c r="E89" i="111"/>
  <c r="D89" i="111"/>
  <c r="C89" i="111"/>
  <c r="V89" i="111" s="1"/>
  <c r="S88" i="111"/>
  <c r="R88" i="111"/>
  <c r="Q88" i="111"/>
  <c r="P88" i="111"/>
  <c r="AI88" i="111" s="1"/>
  <c r="O88" i="111"/>
  <c r="N88" i="111"/>
  <c r="AG88" i="111" s="1"/>
  <c r="M88" i="111"/>
  <c r="L88" i="111"/>
  <c r="AE88" i="111" s="1"/>
  <c r="K88" i="111"/>
  <c r="AD88" i="111" s="1"/>
  <c r="J88" i="111"/>
  <c r="I88" i="111"/>
  <c r="H88" i="111"/>
  <c r="AA88" i="111" s="1"/>
  <c r="G88" i="111"/>
  <c r="F88" i="111"/>
  <c r="E88" i="111"/>
  <c r="D88" i="111"/>
  <c r="W88" i="111" s="1"/>
  <c r="C88" i="111"/>
  <c r="V88" i="111" s="1"/>
  <c r="W87" i="111"/>
  <c r="V87" i="111"/>
  <c r="S87" i="111"/>
  <c r="R87" i="111"/>
  <c r="Q87" i="111"/>
  <c r="P87" i="111"/>
  <c r="O87" i="111"/>
  <c r="N87" i="111"/>
  <c r="M87" i="111"/>
  <c r="L87" i="111"/>
  <c r="AE87" i="111" s="1"/>
  <c r="K87" i="111"/>
  <c r="AD87" i="111" s="1"/>
  <c r="J87" i="111"/>
  <c r="I87" i="111"/>
  <c r="H87" i="111"/>
  <c r="G87" i="111"/>
  <c r="F87" i="111"/>
  <c r="E87" i="111"/>
  <c r="X87" i="111" s="1"/>
  <c r="D87" i="111"/>
  <c r="C87" i="111"/>
  <c r="AH86" i="111"/>
  <c r="S86" i="111"/>
  <c r="W86" i="111" s="1"/>
  <c r="R86" i="111"/>
  <c r="AK86" i="111" s="1"/>
  <c r="Q86" i="111"/>
  <c r="P86" i="111"/>
  <c r="O86" i="111"/>
  <c r="N86" i="111"/>
  <c r="M86" i="111"/>
  <c r="L86" i="111"/>
  <c r="AE86" i="111" s="1"/>
  <c r="K86" i="111"/>
  <c r="J86" i="111"/>
  <c r="I86" i="111"/>
  <c r="H86" i="111"/>
  <c r="AA86" i="111" s="1"/>
  <c r="G86" i="111"/>
  <c r="F86" i="111"/>
  <c r="E86" i="111"/>
  <c r="D86" i="111"/>
  <c r="C86" i="111"/>
  <c r="V86" i="111" s="1"/>
  <c r="AJ82" i="111"/>
  <c r="V82" i="111"/>
  <c r="S82" i="111"/>
  <c r="R82" i="111"/>
  <c r="Q82" i="111"/>
  <c r="P82" i="111"/>
  <c r="O82" i="111"/>
  <c r="AH82" i="111" s="1"/>
  <c r="N82" i="111"/>
  <c r="AG82" i="111" s="1"/>
  <c r="M82" i="111"/>
  <c r="AF82" i="111" s="1"/>
  <c r="L82" i="111"/>
  <c r="AE82" i="111" s="1"/>
  <c r="K82" i="111"/>
  <c r="AD82" i="111" s="1"/>
  <c r="J82" i="111"/>
  <c r="I82" i="111"/>
  <c r="AB82" i="111" s="1"/>
  <c r="H82" i="111"/>
  <c r="G82" i="111"/>
  <c r="Z82" i="111" s="1"/>
  <c r="F82" i="111"/>
  <c r="Y82" i="111" s="1"/>
  <c r="E82" i="111"/>
  <c r="D82" i="111"/>
  <c r="W82" i="111" s="1"/>
  <c r="C82" i="111"/>
  <c r="S81" i="111"/>
  <c r="R81" i="111"/>
  <c r="Q81" i="111"/>
  <c r="P81" i="111"/>
  <c r="O81" i="111"/>
  <c r="N81" i="111"/>
  <c r="M81" i="111"/>
  <c r="L81" i="111"/>
  <c r="K81" i="111"/>
  <c r="J81" i="111"/>
  <c r="I81" i="111"/>
  <c r="AB81" i="111" s="1"/>
  <c r="H81" i="111"/>
  <c r="G81" i="111"/>
  <c r="F81" i="111"/>
  <c r="E81" i="111"/>
  <c r="D81" i="111"/>
  <c r="C81" i="111"/>
  <c r="V81" i="111" s="1"/>
  <c r="S80" i="111"/>
  <c r="R80" i="111"/>
  <c r="Q80" i="111"/>
  <c r="P80" i="111"/>
  <c r="O80" i="111"/>
  <c r="N80" i="111"/>
  <c r="AG80" i="111" s="1"/>
  <c r="M80" i="111"/>
  <c r="L80" i="111"/>
  <c r="K80" i="111"/>
  <c r="AD80" i="111" s="1"/>
  <c r="J80" i="111"/>
  <c r="I80" i="111"/>
  <c r="H80" i="111"/>
  <c r="G80" i="111"/>
  <c r="F80" i="111"/>
  <c r="Y80" i="111" s="1"/>
  <c r="E80" i="111"/>
  <c r="D80" i="111"/>
  <c r="C80" i="111"/>
  <c r="V80" i="111" s="1"/>
  <c r="S79" i="111"/>
  <c r="R79" i="111"/>
  <c r="Q79" i="111"/>
  <c r="AJ79" i="111" s="1"/>
  <c r="P79" i="111"/>
  <c r="O79" i="111"/>
  <c r="N79" i="111"/>
  <c r="M79" i="111"/>
  <c r="L79" i="111"/>
  <c r="K79" i="111"/>
  <c r="J79" i="111"/>
  <c r="I79" i="111"/>
  <c r="H79" i="111"/>
  <c r="G79" i="111"/>
  <c r="F79" i="111"/>
  <c r="E79" i="111"/>
  <c r="D79" i="111"/>
  <c r="C79" i="111"/>
  <c r="V79" i="111" s="1"/>
  <c r="AG78" i="111"/>
  <c r="S78" i="111"/>
  <c r="R78" i="111"/>
  <c r="AK78" i="111" s="1"/>
  <c r="Q78" i="111"/>
  <c r="P78" i="111"/>
  <c r="AI78" i="111" s="1"/>
  <c r="O78" i="111"/>
  <c r="AH78" i="111" s="1"/>
  <c r="N78" i="111"/>
  <c r="M78" i="111"/>
  <c r="L78" i="111"/>
  <c r="K78" i="111"/>
  <c r="AD78" i="111" s="1"/>
  <c r="J78" i="111"/>
  <c r="AC78" i="111" s="1"/>
  <c r="I78" i="111"/>
  <c r="H78" i="111"/>
  <c r="AA78" i="111" s="1"/>
  <c r="G78" i="111"/>
  <c r="Z78" i="111" s="1"/>
  <c r="F78" i="111"/>
  <c r="E78" i="111"/>
  <c r="D78" i="111"/>
  <c r="W78" i="111" s="1"/>
  <c r="C78" i="111"/>
  <c r="V78" i="111" s="1"/>
  <c r="AH77" i="111"/>
  <c r="Y77" i="111"/>
  <c r="S77" i="111"/>
  <c r="R77" i="111"/>
  <c r="Q77" i="111"/>
  <c r="P77" i="111"/>
  <c r="O77" i="111"/>
  <c r="N77" i="111"/>
  <c r="AG77" i="111" s="1"/>
  <c r="M77" i="111"/>
  <c r="L77" i="111"/>
  <c r="K77" i="111"/>
  <c r="AD77" i="111" s="1"/>
  <c r="J77" i="111"/>
  <c r="I77" i="111"/>
  <c r="H77" i="111"/>
  <c r="G77" i="111"/>
  <c r="F77" i="111"/>
  <c r="E77" i="111"/>
  <c r="D77" i="111"/>
  <c r="W77" i="111" s="1"/>
  <c r="C77" i="111"/>
  <c r="V77" i="111" s="1"/>
  <c r="S76" i="111"/>
  <c r="R76" i="111"/>
  <c r="AK76" i="111" s="1"/>
  <c r="Q76" i="111"/>
  <c r="AJ76" i="111" s="1"/>
  <c r="P76" i="111"/>
  <c r="O76" i="111"/>
  <c r="AH76" i="111" s="1"/>
  <c r="N76" i="111"/>
  <c r="M76" i="111"/>
  <c r="AF76" i="111" s="1"/>
  <c r="L76" i="111"/>
  <c r="K76" i="111"/>
  <c r="AD76" i="111" s="1"/>
  <c r="J76" i="111"/>
  <c r="AC76" i="111" s="1"/>
  <c r="I76" i="111"/>
  <c r="H76" i="111"/>
  <c r="AA76" i="111" s="1"/>
  <c r="G76" i="111"/>
  <c r="Z76" i="111" s="1"/>
  <c r="F76" i="111"/>
  <c r="E76" i="111"/>
  <c r="X76" i="111" s="1"/>
  <c r="D76" i="111"/>
  <c r="C76" i="111"/>
  <c r="V76" i="111" s="1"/>
  <c r="AH75" i="111"/>
  <c r="S75" i="111"/>
  <c r="R75" i="111"/>
  <c r="Q75" i="111"/>
  <c r="P75" i="111"/>
  <c r="O75" i="111"/>
  <c r="N75" i="111"/>
  <c r="M75" i="111"/>
  <c r="L75" i="111"/>
  <c r="K75" i="111"/>
  <c r="AD75" i="111" s="1"/>
  <c r="J75" i="111"/>
  <c r="I75" i="111"/>
  <c r="H75" i="111"/>
  <c r="G75" i="111"/>
  <c r="F75" i="111"/>
  <c r="E75" i="111"/>
  <c r="D75" i="111"/>
  <c r="C75" i="111"/>
  <c r="V75" i="111" s="1"/>
  <c r="S74" i="111"/>
  <c r="AF74" i="111" s="1"/>
  <c r="R74" i="111"/>
  <c r="Q74" i="111"/>
  <c r="P74" i="111"/>
  <c r="O74" i="111"/>
  <c r="N74" i="111"/>
  <c r="M74" i="111"/>
  <c r="L74" i="111"/>
  <c r="K74" i="111"/>
  <c r="AD74" i="111" s="1"/>
  <c r="J74" i="111"/>
  <c r="I74" i="111"/>
  <c r="H74" i="111"/>
  <c r="G74" i="111"/>
  <c r="F74" i="111"/>
  <c r="E74" i="111"/>
  <c r="D74" i="111"/>
  <c r="C74" i="111"/>
  <c r="V74" i="111" s="1"/>
  <c r="S73" i="111"/>
  <c r="R73" i="111"/>
  <c r="Q73" i="111"/>
  <c r="AJ73" i="111" s="1"/>
  <c r="P73" i="111"/>
  <c r="O73" i="111"/>
  <c r="N73" i="111"/>
  <c r="M73" i="111"/>
  <c r="L73" i="111"/>
  <c r="K73" i="111"/>
  <c r="AD73" i="111" s="1"/>
  <c r="J73" i="111"/>
  <c r="I73" i="111"/>
  <c r="H73" i="111"/>
  <c r="G73" i="111"/>
  <c r="F73" i="111"/>
  <c r="E73" i="111"/>
  <c r="D73" i="111"/>
  <c r="C73" i="111"/>
  <c r="V73" i="111" s="1"/>
  <c r="AD72" i="111"/>
  <c r="S72" i="111"/>
  <c r="R72" i="111"/>
  <c r="AK72" i="111" s="1"/>
  <c r="Q72" i="111"/>
  <c r="P72" i="111"/>
  <c r="O72" i="111"/>
  <c r="AH72" i="111" s="1"/>
  <c r="N72" i="111"/>
  <c r="M72" i="111"/>
  <c r="L72" i="111"/>
  <c r="AE72" i="111" s="1"/>
  <c r="K72" i="111"/>
  <c r="J72" i="111"/>
  <c r="I72" i="111"/>
  <c r="H72" i="111"/>
  <c r="AA72" i="111" s="1"/>
  <c r="G72" i="111"/>
  <c r="F72" i="111"/>
  <c r="E72" i="111"/>
  <c r="D72" i="111"/>
  <c r="C72" i="111"/>
  <c r="V72" i="111" s="1"/>
  <c r="S71" i="111"/>
  <c r="R71" i="111"/>
  <c r="Q71" i="111"/>
  <c r="P71" i="111"/>
  <c r="O71" i="111"/>
  <c r="N71" i="111"/>
  <c r="M71" i="111"/>
  <c r="L71" i="111"/>
  <c r="K71" i="111"/>
  <c r="J71" i="111"/>
  <c r="I71" i="111"/>
  <c r="H71" i="111"/>
  <c r="G71" i="111"/>
  <c r="F71" i="111"/>
  <c r="E71" i="111"/>
  <c r="D71" i="111"/>
  <c r="C71" i="111"/>
  <c r="V71" i="111" s="1"/>
  <c r="S70" i="111"/>
  <c r="R70" i="111"/>
  <c r="Q70" i="111"/>
  <c r="AJ70" i="111" s="1"/>
  <c r="P70" i="111"/>
  <c r="O70" i="111"/>
  <c r="AH70" i="111" s="1"/>
  <c r="N70" i="111"/>
  <c r="M70" i="111"/>
  <c r="L70" i="111"/>
  <c r="K70" i="111"/>
  <c r="AD70" i="111" s="1"/>
  <c r="J70" i="111"/>
  <c r="I70" i="111"/>
  <c r="H70" i="111"/>
  <c r="G70" i="111"/>
  <c r="F70" i="111"/>
  <c r="Y70" i="111" s="1"/>
  <c r="E70" i="111"/>
  <c r="X70" i="111" s="1"/>
  <c r="D70" i="111"/>
  <c r="C70" i="111"/>
  <c r="V70" i="111" s="1"/>
  <c r="S69" i="111"/>
  <c r="R69" i="111"/>
  <c r="Q69" i="111"/>
  <c r="P69" i="111"/>
  <c r="AI69" i="111" s="1"/>
  <c r="O69" i="111"/>
  <c r="N69" i="111"/>
  <c r="M69" i="111"/>
  <c r="L69" i="111"/>
  <c r="K69" i="111"/>
  <c r="J69" i="111"/>
  <c r="I69" i="111"/>
  <c r="H69" i="111"/>
  <c r="G69" i="111"/>
  <c r="F69" i="111"/>
  <c r="E69" i="111"/>
  <c r="D69" i="111"/>
  <c r="C69" i="111"/>
  <c r="V69" i="111" s="1"/>
  <c r="AD68" i="111"/>
  <c r="S68" i="111"/>
  <c r="R68" i="111"/>
  <c r="AK68" i="111" s="1"/>
  <c r="Q68" i="111"/>
  <c r="AJ68" i="111" s="1"/>
  <c r="P68" i="111"/>
  <c r="AI68" i="111" s="1"/>
  <c r="O68" i="111"/>
  <c r="AH68" i="111" s="1"/>
  <c r="N68" i="111"/>
  <c r="AG68" i="111" s="1"/>
  <c r="M68" i="111"/>
  <c r="AF68" i="111" s="1"/>
  <c r="L68" i="111"/>
  <c r="AE68" i="111" s="1"/>
  <c r="K68" i="111"/>
  <c r="J68" i="111"/>
  <c r="AC68" i="111" s="1"/>
  <c r="I68" i="111"/>
  <c r="AB68" i="111" s="1"/>
  <c r="H68" i="111"/>
  <c r="AA68" i="111" s="1"/>
  <c r="G68" i="111"/>
  <c r="F68" i="111"/>
  <c r="Y68" i="111" s="1"/>
  <c r="E68" i="111"/>
  <c r="X68" i="111" s="1"/>
  <c r="D68" i="111"/>
  <c r="W68" i="111" s="1"/>
  <c r="C68" i="111"/>
  <c r="V68" i="111" s="1"/>
  <c r="AJ67" i="111"/>
  <c r="X67" i="111"/>
  <c r="S67" i="111"/>
  <c r="R67" i="111"/>
  <c r="AK67" i="111" s="1"/>
  <c r="Q67" i="111"/>
  <c r="P67" i="111"/>
  <c r="O67" i="111"/>
  <c r="AH67" i="111" s="1"/>
  <c r="N67" i="111"/>
  <c r="M67" i="111"/>
  <c r="AF67" i="111" s="1"/>
  <c r="L67" i="111"/>
  <c r="AE67" i="111" s="1"/>
  <c r="K67" i="111"/>
  <c r="AD67" i="111" s="1"/>
  <c r="J67" i="111"/>
  <c r="I67" i="111"/>
  <c r="H67" i="111"/>
  <c r="AA67" i="111" s="1"/>
  <c r="G67" i="111"/>
  <c r="F67" i="111"/>
  <c r="E67" i="111"/>
  <c r="D67" i="111"/>
  <c r="C67" i="111"/>
  <c r="V67" i="111" s="1"/>
  <c r="S66" i="111"/>
  <c r="R66" i="111"/>
  <c r="Q66" i="111"/>
  <c r="P66" i="111"/>
  <c r="O66" i="111"/>
  <c r="N66" i="111"/>
  <c r="M66" i="111"/>
  <c r="L66" i="111"/>
  <c r="K66" i="111"/>
  <c r="J66" i="111"/>
  <c r="I66" i="111"/>
  <c r="H66" i="111"/>
  <c r="G66" i="111"/>
  <c r="F66" i="111"/>
  <c r="E66" i="111"/>
  <c r="D66" i="111"/>
  <c r="C66" i="111"/>
  <c r="V66" i="111" s="1"/>
  <c r="S65" i="111"/>
  <c r="R65" i="111"/>
  <c r="Q65" i="111"/>
  <c r="P65" i="111"/>
  <c r="O65" i="111"/>
  <c r="N65" i="111"/>
  <c r="M65" i="111"/>
  <c r="L65" i="111"/>
  <c r="K65" i="111"/>
  <c r="J65" i="111"/>
  <c r="I65" i="111"/>
  <c r="H65" i="111"/>
  <c r="G65" i="111"/>
  <c r="F65" i="111"/>
  <c r="E65" i="111"/>
  <c r="D65" i="111"/>
  <c r="C65" i="111"/>
  <c r="V65" i="111" s="1"/>
  <c r="S64" i="111"/>
  <c r="R64" i="111"/>
  <c r="Q64" i="111"/>
  <c r="P64" i="111"/>
  <c r="O64" i="111"/>
  <c r="AH64" i="111" s="1"/>
  <c r="N64" i="111"/>
  <c r="M64" i="111"/>
  <c r="L64" i="111"/>
  <c r="K64" i="111"/>
  <c r="J64" i="111"/>
  <c r="I64" i="111"/>
  <c r="H64" i="111"/>
  <c r="G64" i="111"/>
  <c r="F64" i="111"/>
  <c r="E64" i="111"/>
  <c r="D64" i="111"/>
  <c r="C64" i="111"/>
  <c r="V64" i="111" s="1"/>
  <c r="AJ63" i="111"/>
  <c r="X63" i="111"/>
  <c r="S63" i="111"/>
  <c r="R63" i="111"/>
  <c r="Q63" i="111"/>
  <c r="P63" i="111"/>
  <c r="AI63" i="111" s="1"/>
  <c r="O63" i="111"/>
  <c r="N63" i="111"/>
  <c r="M63" i="111"/>
  <c r="AF63" i="111" s="1"/>
  <c r="L63" i="111"/>
  <c r="K63" i="111"/>
  <c r="AD63" i="111" s="1"/>
  <c r="J63" i="111"/>
  <c r="AC63" i="111" s="1"/>
  <c r="I63" i="111"/>
  <c r="AB63" i="111" s="1"/>
  <c r="H63" i="111"/>
  <c r="AA63" i="111" s="1"/>
  <c r="G63" i="111"/>
  <c r="F63" i="111"/>
  <c r="Y63" i="111" s="1"/>
  <c r="E63" i="111"/>
  <c r="D63" i="111"/>
  <c r="C63" i="111"/>
  <c r="V63" i="111" s="1"/>
  <c r="V62" i="111"/>
  <c r="S62" i="111"/>
  <c r="R62" i="111"/>
  <c r="Q62" i="111"/>
  <c r="AJ62" i="111" s="1"/>
  <c r="P62" i="111"/>
  <c r="O62" i="111"/>
  <c r="AH62" i="111" s="1"/>
  <c r="N62" i="111"/>
  <c r="M62" i="111"/>
  <c r="L62" i="111"/>
  <c r="AE62" i="111" s="1"/>
  <c r="K62" i="111"/>
  <c r="AD62" i="111" s="1"/>
  <c r="J62" i="111"/>
  <c r="AC62" i="111" s="1"/>
  <c r="I62" i="111"/>
  <c r="AB62" i="111" s="1"/>
  <c r="H62" i="111"/>
  <c r="G62" i="111"/>
  <c r="F62" i="111"/>
  <c r="E62" i="111"/>
  <c r="D62" i="111"/>
  <c r="W62" i="111" s="1"/>
  <c r="C62" i="111"/>
  <c r="S61" i="111"/>
  <c r="R61" i="111"/>
  <c r="Q61" i="111"/>
  <c r="P61" i="111"/>
  <c r="O61" i="111"/>
  <c r="AH61" i="111" s="1"/>
  <c r="N61" i="111"/>
  <c r="M61" i="111"/>
  <c r="L61" i="111"/>
  <c r="AE61" i="111" s="1"/>
  <c r="K61" i="111"/>
  <c r="AD61" i="111" s="1"/>
  <c r="J61" i="111"/>
  <c r="AC61" i="111" s="1"/>
  <c r="I61" i="111"/>
  <c r="H61" i="111"/>
  <c r="G61" i="111"/>
  <c r="F61" i="111"/>
  <c r="E61" i="111"/>
  <c r="D61" i="111"/>
  <c r="W61" i="111" s="1"/>
  <c r="C61" i="111"/>
  <c r="V61" i="111" s="1"/>
  <c r="AD60" i="111"/>
  <c r="S60" i="111"/>
  <c r="AF60" i="111" s="1"/>
  <c r="R60" i="111"/>
  <c r="Q60" i="111"/>
  <c r="AJ60" i="111" s="1"/>
  <c r="P60" i="111"/>
  <c r="O60" i="111"/>
  <c r="AH60" i="111" s="1"/>
  <c r="N60" i="111"/>
  <c r="M60" i="111"/>
  <c r="L60" i="111"/>
  <c r="K60" i="111"/>
  <c r="J60" i="111"/>
  <c r="I60" i="111"/>
  <c r="H60" i="111"/>
  <c r="G60" i="111"/>
  <c r="F60" i="111"/>
  <c r="E60" i="111"/>
  <c r="D60" i="111"/>
  <c r="C60" i="111"/>
  <c r="V60" i="111" s="1"/>
  <c r="AH55" i="111"/>
  <c r="S55" i="111"/>
  <c r="R55" i="111"/>
  <c r="AK55" i="111" s="1"/>
  <c r="Q55" i="111"/>
  <c r="AJ55" i="111" s="1"/>
  <c r="P55" i="111"/>
  <c r="O55" i="111"/>
  <c r="N55" i="111"/>
  <c r="M55" i="111"/>
  <c r="AF55" i="111" s="1"/>
  <c r="L55" i="111"/>
  <c r="K55" i="111"/>
  <c r="J55" i="111"/>
  <c r="I55" i="111"/>
  <c r="H55" i="111"/>
  <c r="G55" i="111"/>
  <c r="Z55" i="111" s="1"/>
  <c r="F55" i="111"/>
  <c r="E55" i="111"/>
  <c r="X55" i="111" s="1"/>
  <c r="D55" i="111"/>
  <c r="C55" i="111"/>
  <c r="V55" i="111" s="1"/>
  <c r="Z54" i="111"/>
  <c r="S54" i="111"/>
  <c r="R54" i="111"/>
  <c r="Q54" i="111"/>
  <c r="P54" i="111"/>
  <c r="AI54" i="111" s="1"/>
  <c r="O54" i="111"/>
  <c r="N54" i="111"/>
  <c r="AG54" i="111" s="1"/>
  <c r="M54" i="111"/>
  <c r="L54" i="111"/>
  <c r="AE54" i="111" s="1"/>
  <c r="K54" i="111"/>
  <c r="AD54" i="111" s="1"/>
  <c r="J54" i="111"/>
  <c r="I54" i="111"/>
  <c r="H54" i="111"/>
  <c r="AA54" i="111" s="1"/>
  <c r="G54" i="111"/>
  <c r="F54" i="111"/>
  <c r="Y54" i="111" s="1"/>
  <c r="E54" i="111"/>
  <c r="X54" i="111" s="1"/>
  <c r="D54" i="111"/>
  <c r="W54" i="111" s="1"/>
  <c r="C54" i="111"/>
  <c r="V54" i="111" s="1"/>
  <c r="S53" i="111"/>
  <c r="R53" i="111"/>
  <c r="Q53" i="111"/>
  <c r="P53" i="111"/>
  <c r="O53" i="111"/>
  <c r="N53" i="111"/>
  <c r="M53" i="111"/>
  <c r="L53" i="111"/>
  <c r="K53" i="111"/>
  <c r="AD53" i="111" s="1"/>
  <c r="J53" i="111"/>
  <c r="I53" i="111"/>
  <c r="H53" i="111"/>
  <c r="G53" i="111"/>
  <c r="Z53" i="111" s="1"/>
  <c r="F53" i="111"/>
  <c r="E53" i="111"/>
  <c r="D53" i="111"/>
  <c r="C53" i="111"/>
  <c r="V53" i="111" s="1"/>
  <c r="AF52" i="111"/>
  <c r="AB52" i="111"/>
  <c r="S52" i="111"/>
  <c r="R52" i="111"/>
  <c r="AK52" i="111" s="1"/>
  <c r="Q52" i="111"/>
  <c r="AJ52" i="111" s="1"/>
  <c r="P52" i="111"/>
  <c r="O52" i="111"/>
  <c r="AH52" i="111" s="1"/>
  <c r="N52" i="111"/>
  <c r="AG52" i="111" s="1"/>
  <c r="M52" i="111"/>
  <c r="L52" i="111"/>
  <c r="K52" i="111"/>
  <c r="AD52" i="111" s="1"/>
  <c r="J52" i="111"/>
  <c r="I52" i="111"/>
  <c r="H52" i="111"/>
  <c r="AA52" i="111" s="1"/>
  <c r="G52" i="111"/>
  <c r="Z52" i="111" s="1"/>
  <c r="F52" i="111"/>
  <c r="Y52" i="111" s="1"/>
  <c r="E52" i="111"/>
  <c r="D52" i="111"/>
  <c r="W52" i="111" s="1"/>
  <c r="C52" i="111"/>
  <c r="V52" i="111" s="1"/>
  <c r="AI51" i="111"/>
  <c r="AB51" i="111"/>
  <c r="V51" i="111"/>
  <c r="S51" i="111"/>
  <c r="R51" i="111"/>
  <c r="Q51" i="111"/>
  <c r="P51" i="111"/>
  <c r="O51" i="111"/>
  <c r="N51" i="111"/>
  <c r="M51" i="111"/>
  <c r="L51" i="111"/>
  <c r="AE51" i="111" s="1"/>
  <c r="K51" i="111"/>
  <c r="J51" i="111"/>
  <c r="I51" i="111"/>
  <c r="H51" i="111"/>
  <c r="AA51" i="111" s="1"/>
  <c r="G51" i="111"/>
  <c r="Z51" i="111" s="1"/>
  <c r="F51" i="111"/>
  <c r="Y51" i="111" s="1"/>
  <c r="E51" i="111"/>
  <c r="D51" i="111"/>
  <c r="W51" i="111" s="1"/>
  <c r="C51" i="111"/>
  <c r="AK50" i="111"/>
  <c r="V50" i="111"/>
  <c r="S50" i="111"/>
  <c r="AB50" i="111" s="1"/>
  <c r="R50" i="111"/>
  <c r="Q50" i="111"/>
  <c r="P50" i="111"/>
  <c r="AI50" i="111" s="1"/>
  <c r="O50" i="111"/>
  <c r="AH50" i="111" s="1"/>
  <c r="N50" i="111"/>
  <c r="M50" i="111"/>
  <c r="AF50" i="111" s="1"/>
  <c r="L50" i="111"/>
  <c r="AE50" i="111" s="1"/>
  <c r="K50" i="111"/>
  <c r="AD50" i="111" s="1"/>
  <c r="J50" i="111"/>
  <c r="AC50" i="111" s="1"/>
  <c r="I50" i="111"/>
  <c r="H50" i="111"/>
  <c r="AA50" i="111" s="1"/>
  <c r="G50" i="111"/>
  <c r="Z50" i="111" s="1"/>
  <c r="F50" i="111"/>
  <c r="E50" i="111"/>
  <c r="D50" i="111"/>
  <c r="W50" i="111" s="1"/>
  <c r="C50" i="111"/>
  <c r="S49" i="111"/>
  <c r="R49" i="111"/>
  <c r="Q49" i="111"/>
  <c r="P49" i="111"/>
  <c r="AI49" i="111" s="1"/>
  <c r="O49" i="111"/>
  <c r="N49" i="111"/>
  <c r="M49" i="111"/>
  <c r="L49" i="111"/>
  <c r="K49" i="111"/>
  <c r="AD49" i="111" s="1"/>
  <c r="J49" i="111"/>
  <c r="I49" i="111"/>
  <c r="H49" i="111"/>
  <c r="G49" i="111"/>
  <c r="Z49" i="111" s="1"/>
  <c r="F49" i="111"/>
  <c r="E49" i="111"/>
  <c r="D49" i="111"/>
  <c r="W49" i="111" s="1"/>
  <c r="C49" i="111"/>
  <c r="V49" i="111" s="1"/>
  <c r="AB48" i="111"/>
  <c r="S48" i="111"/>
  <c r="R48" i="111"/>
  <c r="Q48" i="111"/>
  <c r="P48" i="111"/>
  <c r="O48" i="111"/>
  <c r="AH48" i="111" s="1"/>
  <c r="N48" i="111"/>
  <c r="M48" i="111"/>
  <c r="L48" i="111"/>
  <c r="K48" i="111"/>
  <c r="AD48" i="111" s="1"/>
  <c r="J48" i="111"/>
  <c r="AC48" i="111" s="1"/>
  <c r="I48" i="111"/>
  <c r="H48" i="111"/>
  <c r="G48" i="111"/>
  <c r="F48" i="111"/>
  <c r="E48" i="111"/>
  <c r="D48" i="111"/>
  <c r="C48" i="111"/>
  <c r="V48" i="111" s="1"/>
  <c r="S47" i="111"/>
  <c r="R47" i="111"/>
  <c r="Q47" i="111"/>
  <c r="P47" i="111"/>
  <c r="O47" i="111"/>
  <c r="N47" i="111"/>
  <c r="M47" i="111"/>
  <c r="L47" i="111"/>
  <c r="K47" i="111"/>
  <c r="AD47" i="111" s="1"/>
  <c r="J47" i="111"/>
  <c r="I47" i="111"/>
  <c r="H47" i="111"/>
  <c r="G47" i="111"/>
  <c r="F47" i="111"/>
  <c r="E47" i="111"/>
  <c r="D47" i="111"/>
  <c r="C47" i="111"/>
  <c r="V47" i="111" s="1"/>
  <c r="S46" i="111"/>
  <c r="R46" i="111"/>
  <c r="Q46" i="111"/>
  <c r="P46" i="111"/>
  <c r="O46" i="111"/>
  <c r="N46" i="111"/>
  <c r="M46" i="111"/>
  <c r="L46" i="111"/>
  <c r="K46" i="111"/>
  <c r="AD46" i="111" s="1"/>
  <c r="J46" i="111"/>
  <c r="I46" i="111"/>
  <c r="H46" i="111"/>
  <c r="G46" i="111"/>
  <c r="Z46" i="111" s="1"/>
  <c r="F46" i="111"/>
  <c r="E46" i="111"/>
  <c r="D46" i="111"/>
  <c r="C46" i="111"/>
  <c r="V46" i="111" s="1"/>
  <c r="AI45" i="111"/>
  <c r="S45" i="111"/>
  <c r="AA45" i="111" s="1"/>
  <c r="R45" i="111"/>
  <c r="Q45" i="111"/>
  <c r="P45" i="111"/>
  <c r="O45" i="111"/>
  <c r="N45" i="111"/>
  <c r="M45" i="111"/>
  <c r="L45" i="111"/>
  <c r="K45" i="111"/>
  <c r="J45" i="111"/>
  <c r="I45" i="111"/>
  <c r="H45" i="111"/>
  <c r="G45" i="111"/>
  <c r="F45" i="111"/>
  <c r="E45" i="111"/>
  <c r="D45" i="111"/>
  <c r="C45" i="111"/>
  <c r="V45" i="111" s="1"/>
  <c r="AD44" i="111"/>
  <c r="S44" i="111"/>
  <c r="AH44" i="111" s="1"/>
  <c r="R44" i="111"/>
  <c r="AK44" i="111" s="1"/>
  <c r="Q44" i="111"/>
  <c r="AJ44" i="111" s="1"/>
  <c r="P44" i="111"/>
  <c r="O44" i="111"/>
  <c r="N44" i="111"/>
  <c r="M44" i="111"/>
  <c r="AF44" i="111" s="1"/>
  <c r="L44" i="111"/>
  <c r="K44" i="111"/>
  <c r="J44" i="111"/>
  <c r="AC44" i="111" s="1"/>
  <c r="I44" i="111"/>
  <c r="H44" i="111"/>
  <c r="G44" i="111"/>
  <c r="Z44" i="111" s="1"/>
  <c r="F44" i="111"/>
  <c r="E44" i="111"/>
  <c r="X44" i="111" s="1"/>
  <c r="D44" i="111"/>
  <c r="W44" i="111" s="1"/>
  <c r="C44" i="111"/>
  <c r="V44" i="111" s="1"/>
  <c r="AI43" i="111"/>
  <c r="S43" i="111"/>
  <c r="R43" i="111"/>
  <c r="Q43" i="111"/>
  <c r="AJ43" i="111" s="1"/>
  <c r="P43" i="111"/>
  <c r="O43" i="111"/>
  <c r="AH43" i="111" s="1"/>
  <c r="N43" i="111"/>
  <c r="M43" i="111"/>
  <c r="AF43" i="111" s="1"/>
  <c r="L43" i="111"/>
  <c r="AE43" i="111" s="1"/>
  <c r="K43" i="111"/>
  <c r="AD43" i="111" s="1"/>
  <c r="J43" i="111"/>
  <c r="AC43" i="111" s="1"/>
  <c r="I43" i="111"/>
  <c r="H43" i="111"/>
  <c r="G43" i="111"/>
  <c r="Z43" i="111" s="1"/>
  <c r="F43" i="111"/>
  <c r="E43" i="111"/>
  <c r="X43" i="111" s="1"/>
  <c r="D43" i="111"/>
  <c r="W43" i="111" s="1"/>
  <c r="C43" i="111"/>
  <c r="V43" i="111" s="1"/>
  <c r="S42" i="111"/>
  <c r="R42" i="111"/>
  <c r="AK42" i="111" s="1"/>
  <c r="Q42" i="111"/>
  <c r="P42" i="111"/>
  <c r="O42" i="111"/>
  <c r="N42" i="111"/>
  <c r="M42" i="111"/>
  <c r="L42" i="111"/>
  <c r="K42" i="111"/>
  <c r="AD42" i="111" s="1"/>
  <c r="J42" i="111"/>
  <c r="I42" i="111"/>
  <c r="H42" i="111"/>
  <c r="G42" i="111"/>
  <c r="F42" i="111"/>
  <c r="E42" i="111"/>
  <c r="X42" i="111" s="1"/>
  <c r="D42" i="111"/>
  <c r="W42" i="111" s="1"/>
  <c r="C42" i="111"/>
  <c r="V42" i="111" s="1"/>
  <c r="S41" i="111"/>
  <c r="R41" i="111"/>
  <c r="Q41" i="111"/>
  <c r="P41" i="111"/>
  <c r="O41" i="111"/>
  <c r="AH41" i="111" s="1"/>
  <c r="N41" i="111"/>
  <c r="AG41" i="111" s="1"/>
  <c r="M41" i="111"/>
  <c r="AF41" i="111" s="1"/>
  <c r="L41" i="111"/>
  <c r="AE41" i="111" s="1"/>
  <c r="K41" i="111"/>
  <c r="AD41" i="111" s="1"/>
  <c r="J41" i="111"/>
  <c r="AC41" i="111" s="1"/>
  <c r="I41" i="111"/>
  <c r="H41" i="111"/>
  <c r="G41" i="111"/>
  <c r="Z41" i="111" s="1"/>
  <c r="F41" i="111"/>
  <c r="Y41" i="111" s="1"/>
  <c r="E41" i="111"/>
  <c r="X41" i="111" s="1"/>
  <c r="D41" i="111"/>
  <c r="C41" i="111"/>
  <c r="V41" i="111" s="1"/>
  <c r="AA40" i="111"/>
  <c r="S40" i="111"/>
  <c r="R40" i="111"/>
  <c r="Q40" i="111"/>
  <c r="P40" i="111"/>
  <c r="AI40" i="111" s="1"/>
  <c r="O40" i="111"/>
  <c r="AH40" i="111" s="1"/>
  <c r="N40" i="111"/>
  <c r="M40" i="111"/>
  <c r="AF40" i="111" s="1"/>
  <c r="L40" i="111"/>
  <c r="AE40" i="111" s="1"/>
  <c r="K40" i="111"/>
  <c r="AD40" i="111" s="1"/>
  <c r="J40" i="111"/>
  <c r="I40" i="111"/>
  <c r="AB40" i="111" s="1"/>
  <c r="H40" i="111"/>
  <c r="G40" i="111"/>
  <c r="Z40" i="111" s="1"/>
  <c r="F40" i="111"/>
  <c r="Y40" i="111" s="1"/>
  <c r="E40" i="111"/>
  <c r="D40" i="111"/>
  <c r="C40" i="111"/>
  <c r="V40" i="111" s="1"/>
  <c r="S39" i="111"/>
  <c r="AF39" i="111" s="1"/>
  <c r="R39" i="111"/>
  <c r="Q39" i="111"/>
  <c r="P39" i="111"/>
  <c r="O39" i="111"/>
  <c r="N39" i="111"/>
  <c r="AG39" i="111" s="1"/>
  <c r="M39" i="111"/>
  <c r="L39" i="111"/>
  <c r="K39" i="111"/>
  <c r="AD39" i="111" s="1"/>
  <c r="J39" i="111"/>
  <c r="I39" i="111"/>
  <c r="H39" i="111"/>
  <c r="G39" i="111"/>
  <c r="F39" i="111"/>
  <c r="E39" i="111"/>
  <c r="D39" i="111"/>
  <c r="C39" i="111"/>
  <c r="V39" i="111" s="1"/>
  <c r="S38" i="111"/>
  <c r="R38" i="111"/>
  <c r="Q38" i="111"/>
  <c r="P38" i="111"/>
  <c r="O38" i="111"/>
  <c r="N38" i="111"/>
  <c r="M38" i="111"/>
  <c r="L38" i="111"/>
  <c r="K38" i="111"/>
  <c r="J38" i="111"/>
  <c r="I38" i="111"/>
  <c r="H38" i="111"/>
  <c r="G38" i="111"/>
  <c r="F38" i="111"/>
  <c r="E38" i="111"/>
  <c r="D38" i="111"/>
  <c r="C38" i="111"/>
  <c r="V38" i="111" s="1"/>
  <c r="AJ37" i="111"/>
  <c r="S37" i="111"/>
  <c r="R37" i="111"/>
  <c r="Q37" i="111"/>
  <c r="P37" i="111"/>
  <c r="O37" i="111"/>
  <c r="N37" i="111"/>
  <c r="M37" i="111"/>
  <c r="L37" i="111"/>
  <c r="K37" i="111"/>
  <c r="AD37" i="111" s="1"/>
  <c r="J37" i="111"/>
  <c r="I37" i="111"/>
  <c r="H37" i="111"/>
  <c r="G37" i="111"/>
  <c r="F37" i="111"/>
  <c r="E37" i="111"/>
  <c r="D37" i="111"/>
  <c r="C37" i="111"/>
  <c r="V37" i="111" s="1"/>
  <c r="S36" i="111"/>
  <c r="R36" i="111"/>
  <c r="Q36" i="111"/>
  <c r="P36" i="111"/>
  <c r="O36" i="111"/>
  <c r="N36" i="111"/>
  <c r="M36" i="111"/>
  <c r="L36" i="111"/>
  <c r="K36" i="111"/>
  <c r="J36" i="111"/>
  <c r="I36" i="111"/>
  <c r="H36" i="111"/>
  <c r="G36" i="111"/>
  <c r="F36" i="111"/>
  <c r="E36" i="111"/>
  <c r="D36" i="111"/>
  <c r="C36" i="111"/>
  <c r="V36" i="111" s="1"/>
  <c r="V35" i="111"/>
  <c r="S35" i="111"/>
  <c r="R35" i="111"/>
  <c r="AK35" i="111" s="1"/>
  <c r="Q35" i="111"/>
  <c r="AJ35" i="111" s="1"/>
  <c r="P35" i="111"/>
  <c r="AI35" i="111" s="1"/>
  <c r="O35" i="111"/>
  <c r="AH35" i="111" s="1"/>
  <c r="N35" i="111"/>
  <c r="M35" i="111"/>
  <c r="AF35" i="111" s="1"/>
  <c r="L35" i="111"/>
  <c r="AE35" i="111" s="1"/>
  <c r="K35" i="111"/>
  <c r="AD35" i="111" s="1"/>
  <c r="J35" i="111"/>
  <c r="AC35" i="111" s="1"/>
  <c r="I35" i="111"/>
  <c r="AB35" i="111" s="1"/>
  <c r="H35" i="111"/>
  <c r="AA35" i="111" s="1"/>
  <c r="G35" i="111"/>
  <c r="Z35" i="111" s="1"/>
  <c r="F35" i="111"/>
  <c r="E35" i="111"/>
  <c r="D35" i="111"/>
  <c r="W35" i="111" s="1"/>
  <c r="C35" i="111"/>
  <c r="Z34" i="111"/>
  <c r="S34" i="111"/>
  <c r="AH34" i="111" s="1"/>
  <c r="R34" i="111"/>
  <c r="Q34" i="111"/>
  <c r="P34" i="111"/>
  <c r="O34" i="111"/>
  <c r="N34" i="111"/>
  <c r="M34" i="111"/>
  <c r="L34" i="111"/>
  <c r="K34" i="111"/>
  <c r="J34" i="111"/>
  <c r="I34" i="111"/>
  <c r="H34" i="111"/>
  <c r="G34" i="111"/>
  <c r="F34" i="111"/>
  <c r="E34" i="111"/>
  <c r="D34" i="111"/>
  <c r="C34" i="111"/>
  <c r="V34" i="111" s="1"/>
  <c r="AF33" i="111"/>
  <c r="S33" i="111"/>
  <c r="R33" i="111"/>
  <c r="Q33" i="111"/>
  <c r="P33" i="111"/>
  <c r="AI33" i="111" s="1"/>
  <c r="O33" i="111"/>
  <c r="N33" i="111"/>
  <c r="AG33" i="111" s="1"/>
  <c r="M33" i="111"/>
  <c r="L33" i="111"/>
  <c r="K33" i="111"/>
  <c r="J33" i="111"/>
  <c r="AC33" i="111" s="1"/>
  <c r="I33" i="111"/>
  <c r="H33" i="111"/>
  <c r="AA33" i="111" s="1"/>
  <c r="G33" i="111"/>
  <c r="Z33" i="111" s="1"/>
  <c r="F33" i="111"/>
  <c r="E33" i="111"/>
  <c r="D33" i="111"/>
  <c r="W33" i="111" s="1"/>
  <c r="C33" i="111"/>
  <c r="V33" i="111" s="1"/>
  <c r="AH28" i="111"/>
  <c r="AG28" i="111"/>
  <c r="AB28" i="111"/>
  <c r="S28" i="111"/>
  <c r="R28" i="111"/>
  <c r="Q28" i="111"/>
  <c r="P28" i="111"/>
  <c r="AI28" i="111" s="1"/>
  <c r="O28" i="111"/>
  <c r="N28" i="111"/>
  <c r="M28" i="111"/>
  <c r="AF28" i="111" s="1"/>
  <c r="L28" i="111"/>
  <c r="K28" i="111"/>
  <c r="AD28" i="111" s="1"/>
  <c r="J28" i="111"/>
  <c r="I28" i="111"/>
  <c r="H28" i="111"/>
  <c r="AA28" i="111" s="1"/>
  <c r="G28" i="111"/>
  <c r="F28" i="111"/>
  <c r="Y28" i="111" s="1"/>
  <c r="E28" i="111"/>
  <c r="X28" i="111" s="1"/>
  <c r="D28" i="111"/>
  <c r="C28" i="111"/>
  <c r="V28" i="111" s="1"/>
  <c r="S27" i="111"/>
  <c r="R27" i="111"/>
  <c r="Q27" i="111"/>
  <c r="P27" i="111"/>
  <c r="O27" i="111"/>
  <c r="N27" i="111"/>
  <c r="M27" i="111"/>
  <c r="L27" i="111"/>
  <c r="K27" i="111"/>
  <c r="J27" i="111"/>
  <c r="I27" i="111"/>
  <c r="H27" i="111"/>
  <c r="G27" i="111"/>
  <c r="F27" i="111"/>
  <c r="E27" i="111"/>
  <c r="D27" i="111"/>
  <c r="C27" i="111"/>
  <c r="V27" i="111" s="1"/>
  <c r="AJ26" i="111"/>
  <c r="S26" i="111"/>
  <c r="R26" i="111"/>
  <c r="AK26" i="111" s="1"/>
  <c r="Q26" i="111"/>
  <c r="P26" i="111"/>
  <c r="O26" i="111"/>
  <c r="N26" i="111"/>
  <c r="M26" i="111"/>
  <c r="AF26" i="111" s="1"/>
  <c r="L26" i="111"/>
  <c r="K26" i="111"/>
  <c r="AD26" i="111" s="1"/>
  <c r="J26" i="111"/>
  <c r="I26" i="111"/>
  <c r="H26" i="111"/>
  <c r="G26" i="111"/>
  <c r="Z26" i="111" s="1"/>
  <c r="F26" i="111"/>
  <c r="E26" i="111"/>
  <c r="D26" i="111"/>
  <c r="C26" i="111"/>
  <c r="V26" i="111" s="1"/>
  <c r="S25" i="111"/>
  <c r="R25" i="111"/>
  <c r="Q25" i="111"/>
  <c r="P25" i="111"/>
  <c r="O25" i="111"/>
  <c r="N25" i="111"/>
  <c r="M25" i="111"/>
  <c r="L25" i="111"/>
  <c r="K25" i="111"/>
  <c r="AD25" i="111" s="1"/>
  <c r="J25" i="111"/>
  <c r="AC25" i="111" s="1"/>
  <c r="I25" i="111"/>
  <c r="H25" i="111"/>
  <c r="G25" i="111"/>
  <c r="F25" i="111"/>
  <c r="E25" i="111"/>
  <c r="D25" i="111"/>
  <c r="C25" i="111"/>
  <c r="V25" i="111" s="1"/>
  <c r="AC24" i="111"/>
  <c r="Z24" i="111"/>
  <c r="S24" i="111"/>
  <c r="AB24" i="111" s="1"/>
  <c r="R24" i="111"/>
  <c r="Q24" i="111"/>
  <c r="P24" i="111"/>
  <c r="O24" i="111"/>
  <c r="N24" i="111"/>
  <c r="M24" i="111"/>
  <c r="AF24" i="111" s="1"/>
  <c r="L24" i="111"/>
  <c r="K24" i="111"/>
  <c r="AD24" i="111" s="1"/>
  <c r="J24" i="111"/>
  <c r="I24" i="111"/>
  <c r="H24" i="111"/>
  <c r="G24" i="111"/>
  <c r="F24" i="111"/>
  <c r="E24" i="111"/>
  <c r="X24" i="111" s="1"/>
  <c r="D24" i="111"/>
  <c r="W24" i="111" s="1"/>
  <c r="C24" i="111"/>
  <c r="V24" i="111" s="1"/>
  <c r="AC23" i="111"/>
  <c r="S23" i="111"/>
  <c r="AJ23" i="111" s="1"/>
  <c r="R23" i="111"/>
  <c r="Q23" i="111"/>
  <c r="P23" i="111"/>
  <c r="AI23" i="111" s="1"/>
  <c r="O23" i="111"/>
  <c r="AH23" i="111" s="1"/>
  <c r="N23" i="111"/>
  <c r="M23" i="111"/>
  <c r="AF23" i="111" s="1"/>
  <c r="L23" i="111"/>
  <c r="K23" i="111"/>
  <c r="J23" i="111"/>
  <c r="I23" i="111"/>
  <c r="H23" i="111"/>
  <c r="G23" i="111"/>
  <c r="Z23" i="111" s="1"/>
  <c r="F23" i="111"/>
  <c r="Y23" i="111" s="1"/>
  <c r="E23" i="111"/>
  <c r="D23" i="111"/>
  <c r="C23" i="111"/>
  <c r="V23" i="111" s="1"/>
  <c r="S22" i="111"/>
  <c r="R22" i="111"/>
  <c r="Q22" i="111"/>
  <c r="P22" i="111"/>
  <c r="O22" i="111"/>
  <c r="N22" i="111"/>
  <c r="AG22" i="111" s="1"/>
  <c r="M22" i="111"/>
  <c r="L22" i="111"/>
  <c r="K22" i="111"/>
  <c r="AD22" i="111" s="1"/>
  <c r="J22" i="111"/>
  <c r="I22" i="111"/>
  <c r="H22" i="111"/>
  <c r="G22" i="111"/>
  <c r="F22" i="111"/>
  <c r="Y22" i="111" s="1"/>
  <c r="E22" i="111"/>
  <c r="D22" i="111"/>
  <c r="C22" i="111"/>
  <c r="V22" i="111" s="1"/>
  <c r="S21" i="111"/>
  <c r="R21" i="111"/>
  <c r="Q21" i="111"/>
  <c r="P21" i="111"/>
  <c r="O21" i="111"/>
  <c r="N21" i="111"/>
  <c r="M21" i="111"/>
  <c r="L21" i="111"/>
  <c r="K21" i="111"/>
  <c r="J21" i="111"/>
  <c r="I21" i="111"/>
  <c r="H21" i="111"/>
  <c r="G21" i="111"/>
  <c r="F21" i="111"/>
  <c r="E21" i="111"/>
  <c r="D21" i="111"/>
  <c r="C21" i="111"/>
  <c r="V21" i="111" s="1"/>
  <c r="AH20" i="111"/>
  <c r="V20" i="111"/>
  <c r="S20" i="111"/>
  <c r="R20" i="111"/>
  <c r="Q20" i="111"/>
  <c r="P20" i="111"/>
  <c r="O20" i="111"/>
  <c r="N20" i="111"/>
  <c r="M20" i="111"/>
  <c r="L20" i="111"/>
  <c r="K20" i="111"/>
  <c r="AD20" i="111" s="1"/>
  <c r="J20" i="111"/>
  <c r="I20" i="111"/>
  <c r="H20" i="111"/>
  <c r="G20" i="111"/>
  <c r="F20" i="111"/>
  <c r="E20" i="111"/>
  <c r="D20" i="111"/>
  <c r="W20" i="111" s="1"/>
  <c r="C20" i="111"/>
  <c r="S19" i="111"/>
  <c r="R19" i="111"/>
  <c r="AK19" i="111" s="1"/>
  <c r="Q19" i="111"/>
  <c r="P19" i="111"/>
  <c r="O19" i="111"/>
  <c r="N19" i="111"/>
  <c r="AG19" i="111" s="1"/>
  <c r="M19" i="111"/>
  <c r="AF19" i="111" s="1"/>
  <c r="L19" i="111"/>
  <c r="K19" i="111"/>
  <c r="AD19" i="111" s="1"/>
  <c r="J19" i="111"/>
  <c r="AC19" i="111" s="1"/>
  <c r="I19" i="111"/>
  <c r="H19" i="111"/>
  <c r="G19" i="111"/>
  <c r="F19" i="111"/>
  <c r="E19" i="111"/>
  <c r="X19" i="111" s="1"/>
  <c r="D19" i="111"/>
  <c r="C19" i="111"/>
  <c r="V19" i="111" s="1"/>
  <c r="AI18" i="111"/>
  <c r="Z18" i="111"/>
  <c r="V18" i="111"/>
  <c r="S18" i="111"/>
  <c r="R18" i="111"/>
  <c r="AK18" i="111" s="1"/>
  <c r="Q18" i="111"/>
  <c r="AJ18" i="111" s="1"/>
  <c r="P18" i="111"/>
  <c r="O18" i="111"/>
  <c r="N18" i="111"/>
  <c r="M18" i="111"/>
  <c r="L18" i="111"/>
  <c r="AE18" i="111" s="1"/>
  <c r="K18" i="111"/>
  <c r="AD18" i="111" s="1"/>
  <c r="J18" i="111"/>
  <c r="AC18" i="111" s="1"/>
  <c r="I18" i="111"/>
  <c r="H18" i="111"/>
  <c r="G18" i="111"/>
  <c r="F18" i="111"/>
  <c r="E18" i="111"/>
  <c r="X18" i="111" s="1"/>
  <c r="D18" i="111"/>
  <c r="W18" i="111" s="1"/>
  <c r="C18" i="111"/>
  <c r="AI17" i="111"/>
  <c r="S17" i="111"/>
  <c r="R17" i="111"/>
  <c r="AK17" i="111" s="1"/>
  <c r="Q17" i="111"/>
  <c r="AJ17" i="111" s="1"/>
  <c r="P17" i="111"/>
  <c r="O17" i="111"/>
  <c r="N17" i="111"/>
  <c r="M17" i="111"/>
  <c r="L17" i="111"/>
  <c r="K17" i="111"/>
  <c r="AD17" i="111" s="1"/>
  <c r="J17" i="111"/>
  <c r="I17" i="111"/>
  <c r="AB17" i="111" s="1"/>
  <c r="H17" i="111"/>
  <c r="AA17" i="111" s="1"/>
  <c r="G17" i="111"/>
  <c r="F17" i="111"/>
  <c r="E17" i="111"/>
  <c r="D17" i="111"/>
  <c r="C17" i="111"/>
  <c r="V17" i="111" s="1"/>
  <c r="S16" i="111"/>
  <c r="R16" i="111"/>
  <c r="Q16" i="111"/>
  <c r="P16" i="111"/>
  <c r="O16" i="111"/>
  <c r="N16" i="111"/>
  <c r="M16" i="111"/>
  <c r="L16" i="111"/>
  <c r="K16" i="111"/>
  <c r="J16" i="111"/>
  <c r="I16" i="111"/>
  <c r="H16" i="111"/>
  <c r="G16" i="111"/>
  <c r="F16" i="111"/>
  <c r="E16" i="111"/>
  <c r="D16" i="111"/>
  <c r="C16" i="111"/>
  <c r="V16" i="111" s="1"/>
  <c r="AI15" i="111"/>
  <c r="AF15" i="111"/>
  <c r="V15" i="111"/>
  <c r="S15" i="111"/>
  <c r="R15" i="111"/>
  <c r="AK15" i="111" s="1"/>
  <c r="Q15" i="111"/>
  <c r="AJ15" i="111" s="1"/>
  <c r="P15" i="111"/>
  <c r="O15" i="111"/>
  <c r="N15" i="111"/>
  <c r="AG15" i="111" s="1"/>
  <c r="M15" i="111"/>
  <c r="L15" i="111"/>
  <c r="AE15" i="111" s="1"/>
  <c r="K15" i="111"/>
  <c r="AD15" i="111" s="1"/>
  <c r="J15" i="111"/>
  <c r="AC15" i="111" s="1"/>
  <c r="I15" i="111"/>
  <c r="AB15" i="111" s="1"/>
  <c r="H15" i="111"/>
  <c r="AA15" i="111" s="1"/>
  <c r="G15" i="111"/>
  <c r="F15" i="111"/>
  <c r="E15" i="111"/>
  <c r="X15" i="111" s="1"/>
  <c r="D15" i="111"/>
  <c r="W15" i="111" s="1"/>
  <c r="C15" i="111"/>
  <c r="S14" i="111"/>
  <c r="R14" i="111"/>
  <c r="AK14" i="111" s="1"/>
  <c r="Q14" i="111"/>
  <c r="P14" i="111"/>
  <c r="AI14" i="111" s="1"/>
  <c r="O14" i="111"/>
  <c r="N14" i="111"/>
  <c r="M14" i="111"/>
  <c r="L14" i="111"/>
  <c r="K14" i="111"/>
  <c r="AD14" i="111" s="1"/>
  <c r="J14" i="111"/>
  <c r="I14" i="111"/>
  <c r="H14" i="111"/>
  <c r="G14" i="111"/>
  <c r="F14" i="111"/>
  <c r="E14" i="111"/>
  <c r="D14" i="111"/>
  <c r="C14" i="111"/>
  <c r="V14" i="111" s="1"/>
  <c r="S13" i="111"/>
  <c r="R13" i="111"/>
  <c r="Q13" i="111"/>
  <c r="P13" i="111"/>
  <c r="O13" i="111"/>
  <c r="N13" i="111"/>
  <c r="M13" i="111"/>
  <c r="AF13" i="111" s="1"/>
  <c r="L13" i="111"/>
  <c r="K13" i="111"/>
  <c r="AD13" i="111" s="1"/>
  <c r="J13" i="111"/>
  <c r="I13" i="111"/>
  <c r="H13" i="111"/>
  <c r="G13" i="111"/>
  <c r="F13" i="111"/>
  <c r="E13" i="111"/>
  <c r="D13" i="111"/>
  <c r="C13" i="111"/>
  <c r="V13" i="111" s="1"/>
  <c r="AH12" i="111"/>
  <c r="S12" i="111"/>
  <c r="AF12" i="111" s="1"/>
  <c r="R12" i="111"/>
  <c r="AK12" i="111" s="1"/>
  <c r="Q12" i="111"/>
  <c r="P12" i="111"/>
  <c r="O12" i="111"/>
  <c r="N12" i="111"/>
  <c r="M12" i="111"/>
  <c r="L12" i="111"/>
  <c r="K12" i="111"/>
  <c r="J12" i="111"/>
  <c r="AC12" i="111" s="1"/>
  <c r="I12" i="111"/>
  <c r="H12" i="111"/>
  <c r="AA12" i="111" s="1"/>
  <c r="G12" i="111"/>
  <c r="F12" i="111"/>
  <c r="E12" i="111"/>
  <c r="D12" i="111"/>
  <c r="C12" i="111"/>
  <c r="V12" i="111" s="1"/>
  <c r="S11" i="111"/>
  <c r="R11" i="111"/>
  <c r="Q11" i="111"/>
  <c r="P11" i="111"/>
  <c r="O11" i="111"/>
  <c r="N11" i="111"/>
  <c r="M11" i="111"/>
  <c r="L11" i="111"/>
  <c r="K11" i="111"/>
  <c r="J11" i="111"/>
  <c r="I11" i="111"/>
  <c r="H11" i="111"/>
  <c r="G11" i="111"/>
  <c r="F11" i="111"/>
  <c r="E11" i="111"/>
  <c r="D11" i="111"/>
  <c r="C11" i="111"/>
  <c r="V11" i="111" s="1"/>
  <c r="AA10" i="111"/>
  <c r="V10" i="111"/>
  <c r="S10" i="111"/>
  <c r="R10" i="111"/>
  <c r="Q10" i="111"/>
  <c r="P10" i="111"/>
  <c r="O10" i="111"/>
  <c r="N10" i="111"/>
  <c r="AG10" i="111" s="1"/>
  <c r="M10" i="111"/>
  <c r="AF10" i="111" s="1"/>
  <c r="L10" i="111"/>
  <c r="AE10" i="111" s="1"/>
  <c r="K10" i="111"/>
  <c r="AD10" i="111" s="1"/>
  <c r="J10" i="111"/>
  <c r="AC10" i="111" s="1"/>
  <c r="I10" i="111"/>
  <c r="H10" i="111"/>
  <c r="G10" i="111"/>
  <c r="F10" i="111"/>
  <c r="E10" i="111"/>
  <c r="D10" i="111"/>
  <c r="W10" i="111" s="1"/>
  <c r="C10" i="111"/>
  <c r="S9" i="111"/>
  <c r="R9" i="111"/>
  <c r="Q9" i="111"/>
  <c r="P9" i="111"/>
  <c r="O9" i="111"/>
  <c r="N9" i="111"/>
  <c r="M9" i="111"/>
  <c r="L9" i="111"/>
  <c r="K9" i="111"/>
  <c r="AD9" i="111" s="1"/>
  <c r="J9" i="111"/>
  <c r="I9" i="111"/>
  <c r="H9" i="111"/>
  <c r="G9" i="111"/>
  <c r="F9" i="111"/>
  <c r="E9" i="111"/>
  <c r="D9" i="111"/>
  <c r="C9" i="111"/>
  <c r="V9" i="111" s="1"/>
  <c r="S8" i="111"/>
  <c r="R8" i="111"/>
  <c r="Q8" i="111"/>
  <c r="P8" i="111"/>
  <c r="O8" i="111"/>
  <c r="N8" i="111"/>
  <c r="M8" i="111"/>
  <c r="L8" i="111"/>
  <c r="K8" i="111"/>
  <c r="AD8" i="111" s="1"/>
  <c r="J8" i="111"/>
  <c r="I8" i="111"/>
  <c r="H8" i="111"/>
  <c r="G8" i="111"/>
  <c r="Z8" i="111" s="1"/>
  <c r="F8" i="111"/>
  <c r="E8" i="111"/>
  <c r="D8" i="111"/>
  <c r="C8" i="111"/>
  <c r="V8" i="111" s="1"/>
  <c r="AA7" i="111"/>
  <c r="S7" i="111"/>
  <c r="R7" i="111"/>
  <c r="AK7" i="111" s="1"/>
  <c r="Q7" i="111"/>
  <c r="AJ7" i="111" s="1"/>
  <c r="P7" i="111"/>
  <c r="AI7" i="111" s="1"/>
  <c r="O7" i="111"/>
  <c r="AH7" i="111" s="1"/>
  <c r="N7" i="111"/>
  <c r="AG7" i="111" s="1"/>
  <c r="M7" i="111"/>
  <c r="AF7" i="111" s="1"/>
  <c r="L7" i="111"/>
  <c r="K7" i="111"/>
  <c r="AD7" i="111" s="1"/>
  <c r="J7" i="111"/>
  <c r="AC7" i="111" s="1"/>
  <c r="I7" i="111"/>
  <c r="AB7" i="111" s="1"/>
  <c r="H7" i="111"/>
  <c r="G7" i="111"/>
  <c r="Z7" i="111" s="1"/>
  <c r="F7" i="111"/>
  <c r="Y7" i="111" s="1"/>
  <c r="E7" i="111"/>
  <c r="X7" i="111" s="1"/>
  <c r="D7" i="111"/>
  <c r="C7" i="111"/>
  <c r="V7" i="111" s="1"/>
  <c r="AB6" i="111"/>
  <c r="S6" i="111"/>
  <c r="AD6" i="111" s="1"/>
  <c r="R6" i="111"/>
  <c r="AK6" i="111" s="1"/>
  <c r="Q6" i="111"/>
  <c r="P6" i="111"/>
  <c r="O6" i="111"/>
  <c r="N6" i="111"/>
  <c r="M6" i="111"/>
  <c r="L6" i="111"/>
  <c r="K6" i="111"/>
  <c r="J6" i="111"/>
  <c r="I6" i="111"/>
  <c r="H6" i="111"/>
  <c r="G6" i="111"/>
  <c r="Z6" i="111" s="1"/>
  <c r="F6" i="111"/>
  <c r="E6" i="111"/>
  <c r="X6" i="111" s="1"/>
  <c r="D6" i="111"/>
  <c r="C6" i="111"/>
  <c r="V6" i="111" s="1"/>
  <c r="T297" i="100"/>
  <c r="S297" i="100"/>
  <c r="R297" i="100"/>
  <c r="Q297" i="100"/>
  <c r="P297" i="100"/>
  <c r="O297" i="100"/>
  <c r="N297" i="100"/>
  <c r="M297" i="100"/>
  <c r="L297" i="100"/>
  <c r="K297" i="100"/>
  <c r="J297" i="100"/>
  <c r="I297" i="100"/>
  <c r="H297" i="100"/>
  <c r="G297" i="100"/>
  <c r="F297" i="100"/>
  <c r="E297" i="100"/>
  <c r="D297" i="100"/>
  <c r="T296" i="100"/>
  <c r="S296" i="100"/>
  <c r="R296" i="100"/>
  <c r="Q296" i="100"/>
  <c r="P296" i="100"/>
  <c r="O296" i="100"/>
  <c r="N296" i="100"/>
  <c r="AI296" i="100" s="1"/>
  <c r="M296" i="100"/>
  <c r="L296" i="100"/>
  <c r="K296" i="100"/>
  <c r="J296" i="100"/>
  <c r="I296" i="100"/>
  <c r="H296" i="100"/>
  <c r="G296" i="100"/>
  <c r="F296" i="100"/>
  <c r="E296" i="100"/>
  <c r="D296" i="100"/>
  <c r="T295" i="100"/>
  <c r="S295" i="100"/>
  <c r="R295" i="100"/>
  <c r="Q295" i="100"/>
  <c r="P295" i="100"/>
  <c r="O295" i="100"/>
  <c r="N295" i="100"/>
  <c r="M295" i="100"/>
  <c r="L295" i="100"/>
  <c r="K295" i="100"/>
  <c r="J295" i="100"/>
  <c r="I295" i="100"/>
  <c r="H295" i="100"/>
  <c r="G295" i="100"/>
  <c r="F295" i="100"/>
  <c r="E295" i="100"/>
  <c r="D295" i="100"/>
  <c r="T294" i="100"/>
  <c r="S294" i="100"/>
  <c r="R294" i="100"/>
  <c r="Q294" i="100"/>
  <c r="P294" i="100"/>
  <c r="O294" i="100"/>
  <c r="N294" i="100"/>
  <c r="M294" i="100"/>
  <c r="L294" i="100"/>
  <c r="K294" i="100"/>
  <c r="J294" i="100"/>
  <c r="I294" i="100"/>
  <c r="H294" i="100"/>
  <c r="G294" i="100"/>
  <c r="F294" i="100"/>
  <c r="E294" i="100"/>
  <c r="D294" i="100"/>
  <c r="Y294" i="100" s="1"/>
  <c r="T293" i="100"/>
  <c r="S293" i="100"/>
  <c r="R293" i="100"/>
  <c r="Q293" i="100"/>
  <c r="P293" i="100"/>
  <c r="O293" i="100"/>
  <c r="N293" i="100"/>
  <c r="M293" i="100"/>
  <c r="L293" i="100"/>
  <c r="K293" i="100"/>
  <c r="J293" i="100"/>
  <c r="I293" i="100"/>
  <c r="H293" i="100"/>
  <c r="G293" i="100"/>
  <c r="F293" i="100"/>
  <c r="E293" i="100"/>
  <c r="D293" i="100"/>
  <c r="AN292" i="100"/>
  <c r="T292" i="100"/>
  <c r="S292" i="100"/>
  <c r="R292" i="100"/>
  <c r="Q292" i="100"/>
  <c r="P292" i="100"/>
  <c r="O292" i="100"/>
  <c r="N292" i="100"/>
  <c r="M292" i="100"/>
  <c r="AH292" i="100" s="1"/>
  <c r="L292" i="100"/>
  <c r="K292" i="100"/>
  <c r="J292" i="100"/>
  <c r="I292" i="100"/>
  <c r="H292" i="100"/>
  <c r="G292" i="100"/>
  <c r="F292" i="100"/>
  <c r="E292" i="100"/>
  <c r="D292" i="100"/>
  <c r="T291" i="100"/>
  <c r="S291" i="100"/>
  <c r="R291" i="100"/>
  <c r="Q291" i="100"/>
  <c r="P291" i="100"/>
  <c r="O291" i="100"/>
  <c r="N291" i="100"/>
  <c r="M291" i="100"/>
  <c r="L291" i="100"/>
  <c r="K291" i="100"/>
  <c r="J291" i="100"/>
  <c r="I291" i="100"/>
  <c r="H291" i="100"/>
  <c r="G291" i="100"/>
  <c r="F291" i="100"/>
  <c r="E291" i="100"/>
  <c r="D291" i="100"/>
  <c r="T290" i="100"/>
  <c r="S290" i="100"/>
  <c r="AN290" i="100" s="1"/>
  <c r="R290" i="100"/>
  <c r="Q290" i="100"/>
  <c r="P290" i="100"/>
  <c r="O290" i="100"/>
  <c r="N290" i="100"/>
  <c r="M290" i="100"/>
  <c r="L290" i="100"/>
  <c r="K290" i="100"/>
  <c r="J290" i="100"/>
  <c r="I290" i="100"/>
  <c r="H290" i="100"/>
  <c r="G290" i="100"/>
  <c r="F290" i="100"/>
  <c r="E290" i="100"/>
  <c r="D290" i="100"/>
  <c r="AN289" i="100"/>
  <c r="T289" i="100"/>
  <c r="S289" i="100"/>
  <c r="R289" i="100"/>
  <c r="Q289" i="100"/>
  <c r="P289" i="100"/>
  <c r="O289" i="100"/>
  <c r="N289" i="100"/>
  <c r="M289" i="100"/>
  <c r="L289" i="100"/>
  <c r="K289" i="100"/>
  <c r="J289" i="100"/>
  <c r="I289" i="100"/>
  <c r="AD289" i="100" s="1"/>
  <c r="H289" i="100"/>
  <c r="G289" i="100"/>
  <c r="F289" i="100"/>
  <c r="E289" i="100"/>
  <c r="D289" i="100"/>
  <c r="T288" i="100"/>
  <c r="S288" i="100"/>
  <c r="R288" i="100"/>
  <c r="Q288" i="100"/>
  <c r="P288" i="100"/>
  <c r="O288" i="100"/>
  <c r="N288" i="100"/>
  <c r="M288" i="100"/>
  <c r="L288" i="100"/>
  <c r="AG288" i="100" s="1"/>
  <c r="K288" i="100"/>
  <c r="J288" i="100"/>
  <c r="I288" i="100"/>
  <c r="H288" i="100"/>
  <c r="G288" i="100"/>
  <c r="F288" i="100"/>
  <c r="E288" i="100"/>
  <c r="D288" i="100"/>
  <c r="T287" i="100"/>
  <c r="S287" i="100"/>
  <c r="R287" i="100"/>
  <c r="Q287" i="100"/>
  <c r="P287" i="100"/>
  <c r="O287" i="100"/>
  <c r="N287" i="100"/>
  <c r="M287" i="100"/>
  <c r="L287" i="100"/>
  <c r="K287" i="100"/>
  <c r="J287" i="100"/>
  <c r="I287" i="100"/>
  <c r="H287" i="100"/>
  <c r="G287" i="100"/>
  <c r="F287" i="100"/>
  <c r="E287" i="100"/>
  <c r="D287" i="100"/>
  <c r="T286" i="100"/>
  <c r="S286" i="100"/>
  <c r="R286" i="100"/>
  <c r="Q286" i="100"/>
  <c r="P286" i="100"/>
  <c r="O286" i="100"/>
  <c r="N286" i="100"/>
  <c r="AI286" i="100" s="1"/>
  <c r="M286" i="100"/>
  <c r="L286" i="100"/>
  <c r="K286" i="100"/>
  <c r="J286" i="100"/>
  <c r="I286" i="100"/>
  <c r="H286" i="100"/>
  <c r="G286" i="100"/>
  <c r="F286" i="100"/>
  <c r="E286" i="100"/>
  <c r="D286" i="100"/>
  <c r="Y286" i="100" s="1"/>
  <c r="T285" i="100"/>
  <c r="S285" i="100"/>
  <c r="R285" i="100"/>
  <c r="Q285" i="100"/>
  <c r="P285" i="100"/>
  <c r="O285" i="100"/>
  <c r="N285" i="100"/>
  <c r="M285" i="100"/>
  <c r="L285" i="100"/>
  <c r="K285" i="100"/>
  <c r="J285" i="100"/>
  <c r="I285" i="100"/>
  <c r="H285" i="100"/>
  <c r="G285" i="100"/>
  <c r="F285" i="100"/>
  <c r="E285" i="100"/>
  <c r="D285" i="100"/>
  <c r="Y285" i="100" s="1"/>
  <c r="T284" i="100"/>
  <c r="S284" i="100"/>
  <c r="R284" i="100"/>
  <c r="Q284" i="100"/>
  <c r="P284" i="100"/>
  <c r="O284" i="100"/>
  <c r="N284" i="100"/>
  <c r="M284" i="100"/>
  <c r="L284" i="100"/>
  <c r="K284" i="100"/>
  <c r="J284" i="100"/>
  <c r="I284" i="100"/>
  <c r="H284" i="100"/>
  <c r="G284" i="100"/>
  <c r="F284" i="100"/>
  <c r="E284" i="100"/>
  <c r="D284" i="100"/>
  <c r="T283" i="100"/>
  <c r="S283" i="100"/>
  <c r="R283" i="100"/>
  <c r="Q283" i="100"/>
  <c r="P283" i="100"/>
  <c r="O283" i="100"/>
  <c r="N283" i="100"/>
  <c r="M283" i="100"/>
  <c r="L283" i="100"/>
  <c r="K283" i="100"/>
  <c r="J283" i="100"/>
  <c r="I283" i="100"/>
  <c r="H283" i="100"/>
  <c r="G283" i="100"/>
  <c r="F283" i="100"/>
  <c r="E283" i="100"/>
  <c r="D283" i="100"/>
  <c r="T282" i="100"/>
  <c r="S282" i="100"/>
  <c r="R282" i="100"/>
  <c r="Q282" i="100"/>
  <c r="P282" i="100"/>
  <c r="O282" i="100"/>
  <c r="N282" i="100"/>
  <c r="M282" i="100"/>
  <c r="L282" i="100"/>
  <c r="K282" i="100"/>
  <c r="J282" i="100"/>
  <c r="I282" i="100"/>
  <c r="H282" i="100"/>
  <c r="G282" i="100"/>
  <c r="F282" i="100"/>
  <c r="E282" i="100"/>
  <c r="D282" i="100"/>
  <c r="T281" i="100"/>
  <c r="S281" i="100"/>
  <c r="R281" i="100"/>
  <c r="Q281" i="100"/>
  <c r="AL284" i="100" s="1"/>
  <c r="P281" i="100"/>
  <c r="O281" i="100"/>
  <c r="N281" i="100"/>
  <c r="M281" i="100"/>
  <c r="L281" i="100"/>
  <c r="K281" i="100"/>
  <c r="J281" i="100"/>
  <c r="I281" i="100"/>
  <c r="H281" i="100"/>
  <c r="G281" i="100"/>
  <c r="F281" i="100"/>
  <c r="E281" i="100"/>
  <c r="D281" i="100"/>
  <c r="T280" i="100"/>
  <c r="S280" i="100"/>
  <c r="R280" i="100"/>
  <c r="Q280" i="100"/>
  <c r="P280" i="100"/>
  <c r="O280" i="100"/>
  <c r="N280" i="100"/>
  <c r="M280" i="100"/>
  <c r="AH280" i="100" s="1"/>
  <c r="L280" i="100"/>
  <c r="K280" i="100"/>
  <c r="J280" i="100"/>
  <c r="I280" i="100"/>
  <c r="H280" i="100"/>
  <c r="G280" i="100"/>
  <c r="F280" i="100"/>
  <c r="E280" i="100"/>
  <c r="D280" i="100"/>
  <c r="T279" i="100"/>
  <c r="S279" i="100"/>
  <c r="R279" i="100"/>
  <c r="Q279" i="100"/>
  <c r="P279" i="100"/>
  <c r="O279" i="100"/>
  <c r="N279" i="100"/>
  <c r="M279" i="100"/>
  <c r="L279" i="100"/>
  <c r="K279" i="100"/>
  <c r="J279" i="100"/>
  <c r="I279" i="100"/>
  <c r="H279" i="100"/>
  <c r="G279" i="100"/>
  <c r="F279" i="100"/>
  <c r="E279" i="100"/>
  <c r="D279" i="100"/>
  <c r="T278" i="100"/>
  <c r="S278" i="100"/>
  <c r="R278" i="100"/>
  <c r="Q278" i="100"/>
  <c r="P278" i="100"/>
  <c r="O278" i="100"/>
  <c r="N278" i="100"/>
  <c r="M278" i="100"/>
  <c r="L278" i="100"/>
  <c r="K278" i="100"/>
  <c r="J278" i="100"/>
  <c r="I278" i="100"/>
  <c r="H278" i="100"/>
  <c r="G278" i="100"/>
  <c r="F278" i="100"/>
  <c r="E278" i="100"/>
  <c r="D278" i="100"/>
  <c r="T277" i="100"/>
  <c r="S277" i="100"/>
  <c r="R277" i="100"/>
  <c r="Q277" i="100"/>
  <c r="P277" i="100"/>
  <c r="O277" i="100"/>
  <c r="AJ277" i="100" s="1"/>
  <c r="N277" i="100"/>
  <c r="M277" i="100"/>
  <c r="L277" i="100"/>
  <c r="K277" i="100"/>
  <c r="J277" i="100"/>
  <c r="I277" i="100"/>
  <c r="H277" i="100"/>
  <c r="G277" i="100"/>
  <c r="AB278" i="100" s="1"/>
  <c r="F277" i="100"/>
  <c r="E277" i="100"/>
  <c r="D277" i="100"/>
  <c r="T276" i="100"/>
  <c r="S276" i="100"/>
  <c r="R276" i="100"/>
  <c r="Q276" i="100"/>
  <c r="P276" i="100"/>
  <c r="O276" i="100"/>
  <c r="N276" i="100"/>
  <c r="M276" i="100"/>
  <c r="L276" i="100"/>
  <c r="K276" i="100"/>
  <c r="J276" i="100"/>
  <c r="I276" i="100"/>
  <c r="H276" i="100"/>
  <c r="G276" i="100"/>
  <c r="F276" i="100"/>
  <c r="E276" i="100"/>
  <c r="D276" i="100"/>
  <c r="T275" i="100"/>
  <c r="S275" i="100"/>
  <c r="R275" i="100"/>
  <c r="AM274" i="100" s="1"/>
  <c r="Q275" i="100"/>
  <c r="P275" i="100"/>
  <c r="O275" i="100"/>
  <c r="AJ275" i="100" s="1"/>
  <c r="N275" i="100"/>
  <c r="M275" i="100"/>
  <c r="L275" i="100"/>
  <c r="AG275" i="100" s="1"/>
  <c r="K275" i="100"/>
  <c r="J275" i="100"/>
  <c r="I275" i="100"/>
  <c r="H275" i="100"/>
  <c r="G275" i="100"/>
  <c r="F275" i="100"/>
  <c r="AA275" i="100" s="1"/>
  <c r="E275" i="100"/>
  <c r="D275" i="100"/>
  <c r="T274" i="100"/>
  <c r="S274" i="100"/>
  <c r="R274" i="100"/>
  <c r="Q274" i="100"/>
  <c r="P274" i="100"/>
  <c r="O274" i="100"/>
  <c r="N274" i="100"/>
  <c r="M274" i="100"/>
  <c r="L274" i="100"/>
  <c r="K274" i="100"/>
  <c r="J274" i="100"/>
  <c r="I274" i="100"/>
  <c r="H274" i="100"/>
  <c r="G274" i="100"/>
  <c r="F274" i="100"/>
  <c r="E274" i="100"/>
  <c r="D274" i="100"/>
  <c r="Y273" i="100" s="1"/>
  <c r="T273" i="100"/>
  <c r="S273" i="100"/>
  <c r="AN273" i="100" s="1"/>
  <c r="R273" i="100"/>
  <c r="Q273" i="100"/>
  <c r="P273" i="100"/>
  <c r="O273" i="100"/>
  <c r="N273" i="100"/>
  <c r="M273" i="100"/>
  <c r="L273" i="100"/>
  <c r="K273" i="100"/>
  <c r="J273" i="100"/>
  <c r="I273" i="100"/>
  <c r="H273" i="100"/>
  <c r="G273" i="100"/>
  <c r="F273" i="100"/>
  <c r="E273" i="100"/>
  <c r="D273" i="100"/>
  <c r="T272" i="100"/>
  <c r="S272" i="100"/>
  <c r="R272" i="100"/>
  <c r="Q272" i="100"/>
  <c r="P272" i="100"/>
  <c r="AK272" i="100" s="1"/>
  <c r="O272" i="100"/>
  <c r="N272" i="100"/>
  <c r="M272" i="100"/>
  <c r="L272" i="100"/>
  <c r="K272" i="100"/>
  <c r="J272" i="100"/>
  <c r="I272" i="100"/>
  <c r="H272" i="100"/>
  <c r="G272" i="100"/>
  <c r="F272" i="100"/>
  <c r="E272" i="100"/>
  <c r="D272" i="100"/>
  <c r="T271" i="100"/>
  <c r="S271" i="100"/>
  <c r="R271" i="100"/>
  <c r="Q271" i="100"/>
  <c r="P271" i="100"/>
  <c r="O271" i="100"/>
  <c r="N271" i="100"/>
  <c r="M271" i="100"/>
  <c r="L271" i="100"/>
  <c r="K271" i="100"/>
  <c r="J271" i="100"/>
  <c r="I271" i="100"/>
  <c r="H271" i="100"/>
  <c r="G271" i="100"/>
  <c r="F271" i="100"/>
  <c r="E271" i="100"/>
  <c r="D271" i="100"/>
  <c r="T270" i="100"/>
  <c r="S270" i="100"/>
  <c r="R270" i="100"/>
  <c r="Q270" i="100"/>
  <c r="P270" i="100"/>
  <c r="O270" i="100"/>
  <c r="N270" i="100"/>
  <c r="M270" i="100"/>
  <c r="L270" i="100"/>
  <c r="AG272" i="100" s="1"/>
  <c r="K270" i="100"/>
  <c r="J270" i="100"/>
  <c r="I270" i="100"/>
  <c r="H270" i="100"/>
  <c r="G270" i="100"/>
  <c r="F270" i="100"/>
  <c r="E270" i="100"/>
  <c r="D270" i="100"/>
  <c r="Y270" i="100" s="1"/>
  <c r="T269" i="100"/>
  <c r="S269" i="100"/>
  <c r="AN270" i="100" s="1"/>
  <c r="R269" i="100"/>
  <c r="Q269" i="100"/>
  <c r="P269" i="100"/>
  <c r="O269" i="100"/>
  <c r="N269" i="100"/>
  <c r="M269" i="100"/>
  <c r="L269" i="100"/>
  <c r="K269" i="100"/>
  <c r="AF269" i="100" s="1"/>
  <c r="J269" i="100"/>
  <c r="I269" i="100"/>
  <c r="H269" i="100"/>
  <c r="AC270" i="100" s="1"/>
  <c r="G269" i="100"/>
  <c r="F269" i="100"/>
  <c r="E269" i="100"/>
  <c r="D269" i="100"/>
  <c r="T268" i="100"/>
  <c r="S268" i="100"/>
  <c r="R268" i="100"/>
  <c r="Q268" i="100"/>
  <c r="P268" i="100"/>
  <c r="O268" i="100"/>
  <c r="N268" i="100"/>
  <c r="M268" i="100"/>
  <c r="L268" i="100"/>
  <c r="K268" i="100"/>
  <c r="J268" i="100"/>
  <c r="I268" i="100"/>
  <c r="H268" i="100"/>
  <c r="G268" i="100"/>
  <c r="F268" i="100"/>
  <c r="E268" i="100"/>
  <c r="D268" i="100"/>
  <c r="T267" i="100"/>
  <c r="S267" i="100"/>
  <c r="R267" i="100"/>
  <c r="Q267" i="100"/>
  <c r="P267" i="100"/>
  <c r="O267" i="100"/>
  <c r="N267" i="100"/>
  <c r="M267" i="100"/>
  <c r="L267" i="100"/>
  <c r="K267" i="100"/>
  <c r="J267" i="100"/>
  <c r="I267" i="100"/>
  <c r="H267" i="100"/>
  <c r="G267" i="100"/>
  <c r="AB265" i="100" s="1"/>
  <c r="F267" i="100"/>
  <c r="E267" i="100"/>
  <c r="D267" i="100"/>
  <c r="Y267" i="100" s="1"/>
  <c r="T266" i="100"/>
  <c r="S266" i="100"/>
  <c r="AN266" i="100" s="1"/>
  <c r="R266" i="100"/>
  <c r="Q266" i="100"/>
  <c r="P266" i="100"/>
  <c r="O266" i="100"/>
  <c r="N266" i="100"/>
  <c r="M266" i="100"/>
  <c r="L266" i="100"/>
  <c r="K266" i="100"/>
  <c r="J266" i="100"/>
  <c r="I266" i="100"/>
  <c r="H266" i="100"/>
  <c r="G266" i="100"/>
  <c r="F266" i="100"/>
  <c r="E266" i="100"/>
  <c r="D266" i="100"/>
  <c r="T265" i="100"/>
  <c r="S265" i="100"/>
  <c r="R265" i="100"/>
  <c r="Q265" i="100"/>
  <c r="P265" i="100"/>
  <c r="O265" i="100"/>
  <c r="N265" i="100"/>
  <c r="M265" i="100"/>
  <c r="L265" i="100"/>
  <c r="K265" i="100"/>
  <c r="J265" i="100"/>
  <c r="I265" i="100"/>
  <c r="H265" i="100"/>
  <c r="G265" i="100"/>
  <c r="F265" i="100"/>
  <c r="E265" i="100"/>
  <c r="D265" i="100"/>
  <c r="T264" i="100"/>
  <c r="S264" i="100"/>
  <c r="R264" i="100"/>
  <c r="Q264" i="100"/>
  <c r="P264" i="100"/>
  <c r="O264" i="100"/>
  <c r="N264" i="100"/>
  <c r="M264" i="100"/>
  <c r="L264" i="100"/>
  <c r="K264" i="100"/>
  <c r="J264" i="100"/>
  <c r="I264" i="100"/>
  <c r="H264" i="100"/>
  <c r="G264" i="100"/>
  <c r="AB264" i="100" s="1"/>
  <c r="F264" i="100"/>
  <c r="E264" i="100"/>
  <c r="D264" i="100"/>
  <c r="T263" i="100"/>
  <c r="S263" i="100"/>
  <c r="R263" i="100"/>
  <c r="Q263" i="100"/>
  <c r="P263" i="100"/>
  <c r="AK263" i="100" s="1"/>
  <c r="O263" i="100"/>
  <c r="AJ263" i="100" s="1"/>
  <c r="N263" i="100"/>
  <c r="M263" i="100"/>
  <c r="L263" i="100"/>
  <c r="K263" i="100"/>
  <c r="J263" i="100"/>
  <c r="I263" i="100"/>
  <c r="AD263" i="100" s="1"/>
  <c r="H263" i="100"/>
  <c r="G263" i="100"/>
  <c r="F263" i="100"/>
  <c r="E263" i="100"/>
  <c r="D263" i="100"/>
  <c r="T262" i="100"/>
  <c r="S262" i="100"/>
  <c r="R262" i="100"/>
  <c r="Q262" i="100"/>
  <c r="P262" i="100"/>
  <c r="O262" i="100"/>
  <c r="N262" i="100"/>
  <c r="M262" i="100"/>
  <c r="L262" i="100"/>
  <c r="K262" i="100"/>
  <c r="J262" i="100"/>
  <c r="I262" i="100"/>
  <c r="H262" i="100"/>
  <c r="G262" i="100"/>
  <c r="F262" i="100"/>
  <c r="E262" i="100"/>
  <c r="D262" i="100"/>
  <c r="AB261" i="100"/>
  <c r="T261" i="100"/>
  <c r="S261" i="100"/>
  <c r="R261" i="100"/>
  <c r="Q261" i="100"/>
  <c r="P261" i="100"/>
  <c r="O261" i="100"/>
  <c r="N261" i="100"/>
  <c r="M261" i="100"/>
  <c r="L261" i="100"/>
  <c r="K261" i="100"/>
  <c r="J261" i="100"/>
  <c r="I261" i="100"/>
  <c r="H261" i="100"/>
  <c r="G261" i="100"/>
  <c r="F261" i="100"/>
  <c r="E261" i="100"/>
  <c r="D261" i="100"/>
  <c r="AL260" i="100"/>
  <c r="T260" i="100"/>
  <c r="S260" i="100"/>
  <c r="R260" i="100"/>
  <c r="Q260" i="100"/>
  <c r="P260" i="100"/>
  <c r="O260" i="100"/>
  <c r="N260" i="100"/>
  <c r="M260" i="100"/>
  <c r="L260" i="100"/>
  <c r="K260" i="100"/>
  <c r="J260" i="100"/>
  <c r="I260" i="100"/>
  <c r="H260" i="100"/>
  <c r="G260" i="100"/>
  <c r="F260" i="100"/>
  <c r="E260" i="100"/>
  <c r="Z260" i="100" s="1"/>
  <c r="D260" i="100"/>
  <c r="T259" i="100"/>
  <c r="S259" i="100"/>
  <c r="R259" i="100"/>
  <c r="Q259" i="100"/>
  <c r="P259" i="100"/>
  <c r="O259" i="100"/>
  <c r="AJ259" i="100" s="1"/>
  <c r="N259" i="100"/>
  <c r="M259" i="100"/>
  <c r="L259" i="100"/>
  <c r="K259" i="100"/>
  <c r="J259" i="100"/>
  <c r="I259" i="100"/>
  <c r="H259" i="100"/>
  <c r="G259" i="100"/>
  <c r="F259" i="100"/>
  <c r="E259" i="100"/>
  <c r="D259" i="100"/>
  <c r="T258" i="100"/>
  <c r="S258" i="100"/>
  <c r="R258" i="100"/>
  <c r="Q258" i="100"/>
  <c r="P258" i="100"/>
  <c r="O258" i="100"/>
  <c r="N258" i="100"/>
  <c r="M258" i="100"/>
  <c r="L258" i="100"/>
  <c r="K258" i="100"/>
  <c r="J258" i="100"/>
  <c r="I258" i="100"/>
  <c r="AD257" i="100" s="1"/>
  <c r="H258" i="100"/>
  <c r="G258" i="100"/>
  <c r="AB258" i="100" s="1"/>
  <c r="F258" i="100"/>
  <c r="E258" i="100"/>
  <c r="D258" i="100"/>
  <c r="T257" i="100"/>
  <c r="S257" i="100"/>
  <c r="R257" i="100"/>
  <c r="Q257" i="100"/>
  <c r="AL257" i="100" s="1"/>
  <c r="P257" i="100"/>
  <c r="O257" i="100"/>
  <c r="N257" i="100"/>
  <c r="M257" i="100"/>
  <c r="L257" i="100"/>
  <c r="K257" i="100"/>
  <c r="J257" i="100"/>
  <c r="I257" i="100"/>
  <c r="H257" i="100"/>
  <c r="G257" i="100"/>
  <c r="F257" i="100"/>
  <c r="E257" i="100"/>
  <c r="D257" i="100"/>
  <c r="T256" i="100"/>
  <c r="S256" i="100"/>
  <c r="R256" i="100"/>
  <c r="Q256" i="100"/>
  <c r="P256" i="100"/>
  <c r="O256" i="100"/>
  <c r="N256" i="100"/>
  <c r="M256" i="100"/>
  <c r="L256" i="100"/>
  <c r="K256" i="100"/>
  <c r="J256" i="100"/>
  <c r="I256" i="100"/>
  <c r="AD256" i="100" s="1"/>
  <c r="H256" i="100"/>
  <c r="G256" i="100"/>
  <c r="F256" i="100"/>
  <c r="E256" i="100"/>
  <c r="D256" i="100"/>
  <c r="T255" i="100"/>
  <c r="S255" i="100"/>
  <c r="R255" i="100"/>
  <c r="Q255" i="100"/>
  <c r="P255" i="100"/>
  <c r="O255" i="100"/>
  <c r="N255" i="100"/>
  <c r="M255" i="100"/>
  <c r="L255" i="100"/>
  <c r="K255" i="100"/>
  <c r="J255" i="100"/>
  <c r="I255" i="100"/>
  <c r="H255" i="100"/>
  <c r="AC255" i="100" s="1"/>
  <c r="G255" i="100"/>
  <c r="F255" i="100"/>
  <c r="E255" i="100"/>
  <c r="D255" i="100"/>
  <c r="T254" i="100"/>
  <c r="S254" i="100"/>
  <c r="R254" i="100"/>
  <c r="Q254" i="100"/>
  <c r="P254" i="100"/>
  <c r="O254" i="100"/>
  <c r="N254" i="100"/>
  <c r="M254" i="100"/>
  <c r="L254" i="100"/>
  <c r="K254" i="100"/>
  <c r="J254" i="100"/>
  <c r="I254" i="100"/>
  <c r="H254" i="100"/>
  <c r="G254" i="100"/>
  <c r="F254" i="100"/>
  <c r="E254" i="100"/>
  <c r="D254" i="100"/>
  <c r="AF253" i="100"/>
  <c r="T253" i="100"/>
  <c r="S253" i="100"/>
  <c r="R253" i="100"/>
  <c r="Q253" i="100"/>
  <c r="P253" i="100"/>
  <c r="O253" i="100"/>
  <c r="N253" i="100"/>
  <c r="AI255" i="100" s="1"/>
  <c r="M253" i="100"/>
  <c r="L253" i="100"/>
  <c r="K253" i="100"/>
  <c r="J253" i="100"/>
  <c r="I253" i="100"/>
  <c r="H253" i="100"/>
  <c r="G253" i="100"/>
  <c r="F253" i="100"/>
  <c r="E253" i="100"/>
  <c r="D253" i="100"/>
  <c r="T252" i="100"/>
  <c r="S252" i="100"/>
  <c r="R252" i="100"/>
  <c r="Q252" i="100"/>
  <c r="P252" i="100"/>
  <c r="O252" i="100"/>
  <c r="N252" i="100"/>
  <c r="M252" i="100"/>
  <c r="L252" i="100"/>
  <c r="K252" i="100"/>
  <c r="J252" i="100"/>
  <c r="I252" i="100"/>
  <c r="H252" i="100"/>
  <c r="G252" i="100"/>
  <c r="F252" i="100"/>
  <c r="E252" i="100"/>
  <c r="D252" i="100"/>
  <c r="T251" i="100"/>
  <c r="R251" i="100"/>
  <c r="E251" i="100"/>
  <c r="D251" i="100"/>
  <c r="T250" i="100"/>
  <c r="E250" i="100"/>
  <c r="D250" i="100"/>
  <c r="T249" i="100"/>
  <c r="S249" i="100"/>
  <c r="R249" i="100"/>
  <c r="Q249" i="100"/>
  <c r="S251" i="100" s="1"/>
  <c r="P249" i="100"/>
  <c r="R250" i="100" s="1"/>
  <c r="O249" i="100"/>
  <c r="Q251" i="100" s="1"/>
  <c r="N249" i="100"/>
  <c r="P251" i="100" s="1"/>
  <c r="M249" i="100"/>
  <c r="L249" i="100"/>
  <c r="K249" i="100"/>
  <c r="M251" i="100" s="1"/>
  <c r="J249" i="100"/>
  <c r="L251" i="100" s="1"/>
  <c r="I249" i="100"/>
  <c r="H249" i="100"/>
  <c r="J250" i="100" s="1"/>
  <c r="G249" i="100"/>
  <c r="F249" i="100"/>
  <c r="E249" i="100"/>
  <c r="D249" i="100"/>
  <c r="T248" i="100"/>
  <c r="S248" i="100"/>
  <c r="R248" i="100"/>
  <c r="Q248" i="100"/>
  <c r="P248" i="100"/>
  <c r="O248" i="100"/>
  <c r="N248" i="100"/>
  <c r="M248" i="100"/>
  <c r="L248" i="100"/>
  <c r="K248" i="100"/>
  <c r="J248" i="100"/>
  <c r="I248" i="100"/>
  <c r="H248" i="100"/>
  <c r="G248" i="100"/>
  <c r="F248" i="100"/>
  <c r="E248" i="100"/>
  <c r="D248" i="100"/>
  <c r="T247" i="100"/>
  <c r="S247" i="100"/>
  <c r="E247" i="100"/>
  <c r="D247" i="100"/>
  <c r="T246" i="100"/>
  <c r="S246" i="100"/>
  <c r="Q246" i="100"/>
  <c r="M246" i="100"/>
  <c r="E246" i="100"/>
  <c r="D246" i="100"/>
  <c r="T245" i="100"/>
  <c r="S245" i="100"/>
  <c r="R245" i="100"/>
  <c r="Q245" i="100"/>
  <c r="P245" i="100"/>
  <c r="O245" i="100"/>
  <c r="Q247" i="100" s="1"/>
  <c r="N245" i="100"/>
  <c r="M245" i="100"/>
  <c r="O247" i="100" s="1"/>
  <c r="L245" i="100"/>
  <c r="K245" i="100"/>
  <c r="M247" i="100" s="1"/>
  <c r="J245" i="100"/>
  <c r="I245" i="100"/>
  <c r="K246" i="100" s="1"/>
  <c r="H245" i="100"/>
  <c r="G245" i="100"/>
  <c r="F245" i="100"/>
  <c r="E245" i="100"/>
  <c r="D245" i="100"/>
  <c r="F247" i="100" s="1"/>
  <c r="T244" i="100"/>
  <c r="S244" i="100"/>
  <c r="R244" i="100"/>
  <c r="Q244" i="100"/>
  <c r="AL244" i="100" s="1"/>
  <c r="P244" i="100"/>
  <c r="O244" i="100"/>
  <c r="N244" i="100"/>
  <c r="M244" i="100"/>
  <c r="L244" i="100"/>
  <c r="K244" i="100"/>
  <c r="J244" i="100"/>
  <c r="I244" i="100"/>
  <c r="AD244" i="100" s="1"/>
  <c r="H244" i="100"/>
  <c r="G244" i="100"/>
  <c r="F244" i="100"/>
  <c r="E244" i="100"/>
  <c r="D244" i="100"/>
  <c r="T243" i="100"/>
  <c r="S243" i="100"/>
  <c r="R243" i="100"/>
  <c r="Q243" i="100"/>
  <c r="P243" i="100"/>
  <c r="O243" i="100"/>
  <c r="N243" i="100"/>
  <c r="M243" i="100"/>
  <c r="L243" i="100"/>
  <c r="K243" i="100"/>
  <c r="J243" i="100"/>
  <c r="I243" i="100"/>
  <c r="H243" i="100"/>
  <c r="G243" i="100"/>
  <c r="F243" i="100"/>
  <c r="E243" i="100"/>
  <c r="D243" i="100"/>
  <c r="T242" i="100"/>
  <c r="S242" i="100"/>
  <c r="R242" i="100"/>
  <c r="Q242" i="100"/>
  <c r="P242" i="100"/>
  <c r="O242" i="100"/>
  <c r="N242" i="100"/>
  <c r="M242" i="100"/>
  <c r="L242" i="100"/>
  <c r="K242" i="100"/>
  <c r="J242" i="100"/>
  <c r="I242" i="100"/>
  <c r="H242" i="100"/>
  <c r="G242" i="100"/>
  <c r="F242" i="100"/>
  <c r="E242" i="100"/>
  <c r="D242" i="100"/>
  <c r="AD241" i="100"/>
  <c r="T241" i="100"/>
  <c r="S241" i="100"/>
  <c r="R241" i="100"/>
  <c r="Q241" i="100"/>
  <c r="P241" i="100"/>
  <c r="O241" i="100"/>
  <c r="N241" i="100"/>
  <c r="AI241" i="100" s="1"/>
  <c r="M241" i="100"/>
  <c r="L241" i="100"/>
  <c r="K241" i="100"/>
  <c r="J241" i="100"/>
  <c r="I241" i="100"/>
  <c r="H241" i="100"/>
  <c r="G241" i="100"/>
  <c r="F241" i="100"/>
  <c r="E241" i="100"/>
  <c r="Z241" i="100" s="1"/>
  <c r="D241" i="100"/>
  <c r="T240" i="100"/>
  <c r="S240" i="100"/>
  <c r="R240" i="100"/>
  <c r="Q240" i="100"/>
  <c r="P240" i="100"/>
  <c r="O240" i="100"/>
  <c r="N240" i="100"/>
  <c r="M240" i="100"/>
  <c r="L240" i="100"/>
  <c r="K240" i="100"/>
  <c r="J240" i="100"/>
  <c r="I240" i="100"/>
  <c r="H240" i="100"/>
  <c r="G240" i="100"/>
  <c r="F240" i="100"/>
  <c r="E240" i="100"/>
  <c r="D240" i="100"/>
  <c r="T239" i="100"/>
  <c r="S239" i="100"/>
  <c r="R239" i="100"/>
  <c r="Q239" i="100"/>
  <c r="P239" i="100"/>
  <c r="O239" i="100"/>
  <c r="N239" i="100"/>
  <c r="M239" i="100"/>
  <c r="L239" i="100"/>
  <c r="K239" i="100"/>
  <c r="J239" i="100"/>
  <c r="I239" i="100"/>
  <c r="H239" i="100"/>
  <c r="G239" i="100"/>
  <c r="F239" i="100"/>
  <c r="E239" i="100"/>
  <c r="D239" i="100"/>
  <c r="T238" i="100"/>
  <c r="S238" i="100"/>
  <c r="R238" i="100"/>
  <c r="Q238" i="100"/>
  <c r="P238" i="100"/>
  <c r="O238" i="100"/>
  <c r="N238" i="100"/>
  <c r="M238" i="100"/>
  <c r="L238" i="100"/>
  <c r="K238" i="100"/>
  <c r="J238" i="100"/>
  <c r="I238" i="100"/>
  <c r="H238" i="100"/>
  <c r="G238" i="100"/>
  <c r="F238" i="100"/>
  <c r="E238" i="100"/>
  <c r="D238" i="100"/>
  <c r="T237" i="100"/>
  <c r="S237" i="100"/>
  <c r="R237" i="100"/>
  <c r="Q237" i="100"/>
  <c r="P237" i="100"/>
  <c r="O237" i="100"/>
  <c r="N237" i="100"/>
  <c r="M237" i="100"/>
  <c r="L237" i="100"/>
  <c r="K237" i="100"/>
  <c r="J237" i="100"/>
  <c r="I237" i="100"/>
  <c r="H237" i="100"/>
  <c r="G237" i="100"/>
  <c r="F237" i="100"/>
  <c r="E237" i="100"/>
  <c r="D237" i="100"/>
  <c r="Y238" i="100" s="1"/>
  <c r="AN236" i="100"/>
  <c r="T236" i="100"/>
  <c r="S236" i="100"/>
  <c r="R236" i="100"/>
  <c r="Q236" i="100"/>
  <c r="P236" i="100"/>
  <c r="O236" i="100"/>
  <c r="N236" i="100"/>
  <c r="M236" i="100"/>
  <c r="L236" i="100"/>
  <c r="K236" i="100"/>
  <c r="J236" i="100"/>
  <c r="I236" i="100"/>
  <c r="H236" i="100"/>
  <c r="G236" i="100"/>
  <c r="F236" i="100"/>
  <c r="E236" i="100"/>
  <c r="D236" i="100"/>
  <c r="T235" i="100"/>
  <c r="S235" i="100"/>
  <c r="R235" i="100"/>
  <c r="Q235" i="100"/>
  <c r="P235" i="100"/>
  <c r="O235" i="100"/>
  <c r="N235" i="100"/>
  <c r="AI235" i="100" s="1"/>
  <c r="M235" i="100"/>
  <c r="L235" i="100"/>
  <c r="K235" i="100"/>
  <c r="J235" i="100"/>
  <c r="I235" i="100"/>
  <c r="H235" i="100"/>
  <c r="G235" i="100"/>
  <c r="F235" i="100"/>
  <c r="AA233" i="100" s="1"/>
  <c r="E235" i="100"/>
  <c r="D235" i="100"/>
  <c r="T234" i="100"/>
  <c r="S234" i="100"/>
  <c r="R234" i="100"/>
  <c r="Q234" i="100"/>
  <c r="P234" i="100"/>
  <c r="O234" i="100"/>
  <c r="AJ234" i="100" s="1"/>
  <c r="N234" i="100"/>
  <c r="M234" i="100"/>
  <c r="L234" i="100"/>
  <c r="K234" i="100"/>
  <c r="J234" i="100"/>
  <c r="I234" i="100"/>
  <c r="H234" i="100"/>
  <c r="G234" i="100"/>
  <c r="F234" i="100"/>
  <c r="E234" i="100"/>
  <c r="D234" i="100"/>
  <c r="Y234" i="100" s="1"/>
  <c r="T233" i="100"/>
  <c r="S233" i="100"/>
  <c r="R233" i="100"/>
  <c r="Q233" i="100"/>
  <c r="P233" i="100"/>
  <c r="O233" i="100"/>
  <c r="N233" i="100"/>
  <c r="M233" i="100"/>
  <c r="L233" i="100"/>
  <c r="K233" i="100"/>
  <c r="J233" i="100"/>
  <c r="I233" i="100"/>
  <c r="H233" i="100"/>
  <c r="G233" i="100"/>
  <c r="F233" i="100"/>
  <c r="E233" i="100"/>
  <c r="D233" i="100"/>
  <c r="Y235" i="100" s="1"/>
  <c r="T232" i="100"/>
  <c r="S232" i="100"/>
  <c r="R232" i="100"/>
  <c r="Q232" i="100"/>
  <c r="P232" i="100"/>
  <c r="O232" i="100"/>
  <c r="N232" i="100"/>
  <c r="M232" i="100"/>
  <c r="L232" i="100"/>
  <c r="K232" i="100"/>
  <c r="J232" i="100"/>
  <c r="I232" i="100"/>
  <c r="H232" i="100"/>
  <c r="G232" i="100"/>
  <c r="F232" i="100"/>
  <c r="E232" i="100"/>
  <c r="D232" i="100"/>
  <c r="AL231" i="100"/>
  <c r="T231" i="100"/>
  <c r="S231" i="100"/>
  <c r="R231" i="100"/>
  <c r="Q231" i="100"/>
  <c r="P231" i="100"/>
  <c r="O231" i="100"/>
  <c r="N231" i="100"/>
  <c r="M231" i="100"/>
  <c r="L231" i="100"/>
  <c r="K231" i="100"/>
  <c r="J231" i="100"/>
  <c r="I231" i="100"/>
  <c r="H231" i="100"/>
  <c r="G231" i="100"/>
  <c r="F231" i="100"/>
  <c r="E231" i="100"/>
  <c r="D231" i="100"/>
  <c r="Y231" i="100" s="1"/>
  <c r="T230" i="100"/>
  <c r="S230" i="100"/>
  <c r="R230" i="100"/>
  <c r="Q230" i="100"/>
  <c r="P230" i="100"/>
  <c r="O230" i="100"/>
  <c r="N230" i="100"/>
  <c r="M230" i="100"/>
  <c r="L230" i="100"/>
  <c r="K230" i="100"/>
  <c r="J230" i="100"/>
  <c r="I230" i="100"/>
  <c r="H230" i="100"/>
  <c r="G230" i="100"/>
  <c r="F230" i="100"/>
  <c r="E230" i="100"/>
  <c r="D230" i="100"/>
  <c r="T229" i="100"/>
  <c r="S229" i="100"/>
  <c r="AN229" i="100" s="1"/>
  <c r="R229" i="100"/>
  <c r="Q229" i="100"/>
  <c r="P229" i="100"/>
  <c r="O229" i="100"/>
  <c r="N229" i="100"/>
  <c r="M229" i="100"/>
  <c r="L229" i="100"/>
  <c r="K229" i="100"/>
  <c r="J229" i="100"/>
  <c r="AE229" i="100" s="1"/>
  <c r="I229" i="100"/>
  <c r="H229" i="100"/>
  <c r="G229" i="100"/>
  <c r="F229" i="100"/>
  <c r="E229" i="100"/>
  <c r="D229" i="100"/>
  <c r="T228" i="100"/>
  <c r="S228" i="100"/>
  <c r="R228" i="100"/>
  <c r="Q228" i="100"/>
  <c r="P228" i="100"/>
  <c r="O228" i="100"/>
  <c r="N228" i="100"/>
  <c r="M228" i="100"/>
  <c r="L228" i="100"/>
  <c r="K228" i="100"/>
  <c r="J228" i="100"/>
  <c r="I228" i="100"/>
  <c r="H228" i="100"/>
  <c r="G228" i="100"/>
  <c r="F228" i="100"/>
  <c r="E228" i="100"/>
  <c r="D228" i="100"/>
  <c r="T227" i="100"/>
  <c r="S227" i="100"/>
  <c r="R227" i="100"/>
  <c r="Q227" i="100"/>
  <c r="P227" i="100"/>
  <c r="O227" i="100"/>
  <c r="N227" i="100"/>
  <c r="M227" i="100"/>
  <c r="L227" i="100"/>
  <c r="K227" i="100"/>
  <c r="J227" i="100"/>
  <c r="I227" i="100"/>
  <c r="H227" i="100"/>
  <c r="G227" i="100"/>
  <c r="F227" i="100"/>
  <c r="E227" i="100"/>
  <c r="D227" i="100"/>
  <c r="T226" i="100"/>
  <c r="S226" i="100"/>
  <c r="R226" i="100"/>
  <c r="Q226" i="100"/>
  <c r="P226" i="100"/>
  <c r="O226" i="100"/>
  <c r="N226" i="100"/>
  <c r="M226" i="100"/>
  <c r="L226" i="100"/>
  <c r="K226" i="100"/>
  <c r="J226" i="100"/>
  <c r="I226" i="100"/>
  <c r="H226" i="100"/>
  <c r="G226" i="100"/>
  <c r="F226" i="100"/>
  <c r="E226" i="100"/>
  <c r="D226" i="100"/>
  <c r="T225" i="100"/>
  <c r="S225" i="100"/>
  <c r="R225" i="100"/>
  <c r="Q225" i="100"/>
  <c r="P225" i="100"/>
  <c r="O225" i="100"/>
  <c r="N225" i="100"/>
  <c r="M225" i="100"/>
  <c r="L225" i="100"/>
  <c r="K225" i="100"/>
  <c r="J225" i="100"/>
  <c r="I225" i="100"/>
  <c r="H225" i="100"/>
  <c r="G225" i="100"/>
  <c r="F225" i="100"/>
  <c r="E225" i="100"/>
  <c r="D225" i="100"/>
  <c r="T224" i="100"/>
  <c r="S224" i="100"/>
  <c r="R224" i="100"/>
  <c r="Q224" i="100"/>
  <c r="P224" i="100"/>
  <c r="O224" i="100"/>
  <c r="N224" i="100"/>
  <c r="M224" i="100"/>
  <c r="L224" i="100"/>
  <c r="K224" i="100"/>
  <c r="J224" i="100"/>
  <c r="I224" i="100"/>
  <c r="H224" i="100"/>
  <c r="G224" i="100"/>
  <c r="F224" i="100"/>
  <c r="E224" i="100"/>
  <c r="D224" i="100"/>
  <c r="T223" i="100"/>
  <c r="S223" i="100"/>
  <c r="R223" i="100"/>
  <c r="Q223" i="100"/>
  <c r="P223" i="100"/>
  <c r="O223" i="100"/>
  <c r="N223" i="100"/>
  <c r="M223" i="100"/>
  <c r="L223" i="100"/>
  <c r="K223" i="100"/>
  <c r="J223" i="100"/>
  <c r="I223" i="100"/>
  <c r="H223" i="100"/>
  <c r="G223" i="100"/>
  <c r="F223" i="100"/>
  <c r="E223" i="100"/>
  <c r="D223" i="100"/>
  <c r="T222" i="100"/>
  <c r="S222" i="100"/>
  <c r="R222" i="100"/>
  <c r="Q222" i="100"/>
  <c r="P222" i="100"/>
  <c r="O222" i="100"/>
  <c r="AJ222" i="100" s="1"/>
  <c r="N222" i="100"/>
  <c r="M222" i="100"/>
  <c r="L222" i="100"/>
  <c r="K222" i="100"/>
  <c r="J222" i="100"/>
  <c r="I222" i="100"/>
  <c r="H222" i="100"/>
  <c r="G222" i="100"/>
  <c r="F222" i="100"/>
  <c r="E222" i="100"/>
  <c r="D222" i="100"/>
  <c r="AG221" i="100"/>
  <c r="T221" i="100"/>
  <c r="S221" i="100"/>
  <c r="R221" i="100"/>
  <c r="Q221" i="100"/>
  <c r="P221" i="100"/>
  <c r="O221" i="100"/>
  <c r="N221" i="100"/>
  <c r="M221" i="100"/>
  <c r="AH223" i="100" s="1"/>
  <c r="L221" i="100"/>
  <c r="K221" i="100"/>
  <c r="J221" i="100"/>
  <c r="I221" i="100"/>
  <c r="H221" i="100"/>
  <c r="G221" i="100"/>
  <c r="F221" i="100"/>
  <c r="E221" i="100"/>
  <c r="Z221" i="100" s="1"/>
  <c r="D221" i="100"/>
  <c r="Y222" i="100" s="1"/>
  <c r="T220" i="100"/>
  <c r="S220" i="100"/>
  <c r="R220" i="100"/>
  <c r="Q220" i="100"/>
  <c r="P220" i="100"/>
  <c r="O220" i="100"/>
  <c r="N220" i="100"/>
  <c r="M220" i="100"/>
  <c r="L220" i="100"/>
  <c r="K220" i="100"/>
  <c r="J220" i="100"/>
  <c r="I220" i="100"/>
  <c r="H220" i="100"/>
  <c r="G220" i="100"/>
  <c r="F220" i="100"/>
  <c r="E220" i="100"/>
  <c r="D220" i="100"/>
  <c r="T219" i="100"/>
  <c r="S219" i="100"/>
  <c r="R219" i="100"/>
  <c r="Q219" i="100"/>
  <c r="AL219" i="100" s="1"/>
  <c r="P219" i="100"/>
  <c r="O219" i="100"/>
  <c r="N219" i="100"/>
  <c r="M219" i="100"/>
  <c r="L219" i="100"/>
  <c r="K219" i="100"/>
  <c r="J219" i="100"/>
  <c r="I219" i="100"/>
  <c r="H219" i="100"/>
  <c r="G219" i="100"/>
  <c r="F219" i="100"/>
  <c r="E219" i="100"/>
  <c r="D219" i="100"/>
  <c r="T218" i="100"/>
  <c r="S218" i="100"/>
  <c r="R218" i="100"/>
  <c r="Q218" i="100"/>
  <c r="P218" i="100"/>
  <c r="AK217" i="100" s="1"/>
  <c r="O218" i="100"/>
  <c r="N218" i="100"/>
  <c r="M218" i="100"/>
  <c r="L218" i="100"/>
  <c r="K218" i="100"/>
  <c r="J218" i="100"/>
  <c r="AE218" i="100" s="1"/>
  <c r="I218" i="100"/>
  <c r="AD220" i="100" s="1"/>
  <c r="H218" i="100"/>
  <c r="G218" i="100"/>
  <c r="F218" i="100"/>
  <c r="E218" i="100"/>
  <c r="D218" i="100"/>
  <c r="T217" i="100"/>
  <c r="S217" i="100"/>
  <c r="R217" i="100"/>
  <c r="Q217" i="100"/>
  <c r="P217" i="100"/>
  <c r="O217" i="100"/>
  <c r="N217" i="100"/>
  <c r="M217" i="100"/>
  <c r="L217" i="100"/>
  <c r="K217" i="100"/>
  <c r="J217" i="100"/>
  <c r="I217" i="100"/>
  <c r="H217" i="100"/>
  <c r="G217" i="100"/>
  <c r="F217" i="100"/>
  <c r="E217" i="100"/>
  <c r="D217" i="100"/>
  <c r="T216" i="100"/>
  <c r="S216" i="100"/>
  <c r="R216" i="100"/>
  <c r="Q216" i="100"/>
  <c r="P216" i="100"/>
  <c r="O216" i="100"/>
  <c r="N216" i="100"/>
  <c r="M216" i="100"/>
  <c r="L216" i="100"/>
  <c r="K216" i="100"/>
  <c r="J216" i="100"/>
  <c r="I216" i="100"/>
  <c r="H216" i="100"/>
  <c r="AC216" i="100" s="1"/>
  <c r="G216" i="100"/>
  <c r="F216" i="100"/>
  <c r="E216" i="100"/>
  <c r="D216" i="100"/>
  <c r="T215" i="100"/>
  <c r="S215" i="100"/>
  <c r="R215" i="100"/>
  <c r="Q215" i="100"/>
  <c r="P215" i="100"/>
  <c r="O215" i="100"/>
  <c r="N215" i="100"/>
  <c r="M215" i="100"/>
  <c r="L215" i="100"/>
  <c r="K215" i="100"/>
  <c r="J215" i="100"/>
  <c r="I215" i="100"/>
  <c r="H215" i="100"/>
  <c r="G215" i="100"/>
  <c r="F215" i="100"/>
  <c r="E215" i="100"/>
  <c r="D215" i="100"/>
  <c r="T214" i="100"/>
  <c r="S214" i="100"/>
  <c r="R214" i="100"/>
  <c r="Q214" i="100"/>
  <c r="P214" i="100"/>
  <c r="O214" i="100"/>
  <c r="N214" i="100"/>
  <c r="M214" i="100"/>
  <c r="L214" i="100"/>
  <c r="K214" i="100"/>
  <c r="J214" i="100"/>
  <c r="I214" i="100"/>
  <c r="H214" i="100"/>
  <c r="G214" i="100"/>
  <c r="F214" i="100"/>
  <c r="E214" i="100"/>
  <c r="D214" i="100"/>
  <c r="T213" i="100"/>
  <c r="S213" i="100"/>
  <c r="R213" i="100"/>
  <c r="Q213" i="100"/>
  <c r="P213" i="100"/>
  <c r="O213" i="100"/>
  <c r="N213" i="100"/>
  <c r="M213" i="100"/>
  <c r="L213" i="100"/>
  <c r="K213" i="100"/>
  <c r="J213" i="100"/>
  <c r="I213" i="100"/>
  <c r="H213" i="100"/>
  <c r="G213" i="100"/>
  <c r="F213" i="100"/>
  <c r="E213" i="100"/>
  <c r="D213" i="100"/>
  <c r="T212" i="100"/>
  <c r="S212" i="100"/>
  <c r="R212" i="100"/>
  <c r="Q212" i="100"/>
  <c r="P212" i="100"/>
  <c r="O212" i="100"/>
  <c r="N212" i="100"/>
  <c r="M212" i="100"/>
  <c r="L212" i="100"/>
  <c r="K212" i="100"/>
  <c r="J212" i="100"/>
  <c r="I212" i="100"/>
  <c r="H212" i="100"/>
  <c r="G212" i="100"/>
  <c r="F212" i="100"/>
  <c r="E212" i="100"/>
  <c r="D212" i="100"/>
  <c r="T211" i="100"/>
  <c r="S211" i="100"/>
  <c r="R211" i="100"/>
  <c r="Q211" i="100"/>
  <c r="P211" i="100"/>
  <c r="O211" i="100"/>
  <c r="N211" i="100"/>
  <c r="M211" i="100"/>
  <c r="L211" i="100"/>
  <c r="K211" i="100"/>
  <c r="J211" i="100"/>
  <c r="AE211" i="100" s="1"/>
  <c r="I211" i="100"/>
  <c r="H211" i="100"/>
  <c r="G211" i="100"/>
  <c r="F211" i="100"/>
  <c r="E211" i="100"/>
  <c r="D211" i="100"/>
  <c r="T210" i="100"/>
  <c r="S210" i="100"/>
  <c r="R210" i="100"/>
  <c r="Q210" i="100"/>
  <c r="P210" i="100"/>
  <c r="O210" i="100"/>
  <c r="AJ210" i="100" s="1"/>
  <c r="N210" i="100"/>
  <c r="M210" i="100"/>
  <c r="L210" i="100"/>
  <c r="K210" i="100"/>
  <c r="J210" i="100"/>
  <c r="I210" i="100"/>
  <c r="H210" i="100"/>
  <c r="G210" i="100"/>
  <c r="F210" i="100"/>
  <c r="E210" i="100"/>
  <c r="D210" i="100"/>
  <c r="T209" i="100"/>
  <c r="S209" i="100"/>
  <c r="R209" i="100"/>
  <c r="Q209" i="100"/>
  <c r="P209" i="100"/>
  <c r="O209" i="100"/>
  <c r="N209" i="100"/>
  <c r="M209" i="100"/>
  <c r="AH209" i="100" s="1"/>
  <c r="L209" i="100"/>
  <c r="K209" i="100"/>
  <c r="J209" i="100"/>
  <c r="I209" i="100"/>
  <c r="H209" i="100"/>
  <c r="G209" i="100"/>
  <c r="AB211" i="100" s="1"/>
  <c r="F209" i="100"/>
  <c r="E209" i="100"/>
  <c r="D209" i="100"/>
  <c r="T208" i="100"/>
  <c r="S208" i="100"/>
  <c r="R208" i="100"/>
  <c r="Q208" i="100"/>
  <c r="P208" i="100"/>
  <c r="O208" i="100"/>
  <c r="AJ208" i="100" s="1"/>
  <c r="N208" i="100"/>
  <c r="M208" i="100"/>
  <c r="L208" i="100"/>
  <c r="K208" i="100"/>
  <c r="J208" i="100"/>
  <c r="I208" i="100"/>
  <c r="H208" i="100"/>
  <c r="G208" i="100"/>
  <c r="F208" i="100"/>
  <c r="E208" i="100"/>
  <c r="D208" i="100"/>
  <c r="T207" i="100"/>
  <c r="S207" i="100"/>
  <c r="R207" i="100"/>
  <c r="Q207" i="100"/>
  <c r="P207" i="100"/>
  <c r="O207" i="100"/>
  <c r="N207" i="100"/>
  <c r="M207" i="100"/>
  <c r="L207" i="100"/>
  <c r="K207" i="100"/>
  <c r="J207" i="100"/>
  <c r="I207" i="100"/>
  <c r="H207" i="100"/>
  <c r="G207" i="100"/>
  <c r="F207" i="100"/>
  <c r="E207" i="100"/>
  <c r="D207" i="100"/>
  <c r="T206" i="100"/>
  <c r="S206" i="100"/>
  <c r="R206" i="100"/>
  <c r="AM206" i="100" s="1"/>
  <c r="Q206" i="100"/>
  <c r="P206" i="100"/>
  <c r="O206" i="100"/>
  <c r="N206" i="100"/>
  <c r="M206" i="100"/>
  <c r="L206" i="100"/>
  <c r="K206" i="100"/>
  <c r="J206" i="100"/>
  <c r="I206" i="100"/>
  <c r="H206" i="100"/>
  <c r="G206" i="100"/>
  <c r="F206" i="100"/>
  <c r="E206" i="100"/>
  <c r="D206" i="100"/>
  <c r="T205" i="100"/>
  <c r="S205" i="100"/>
  <c r="R205" i="100"/>
  <c r="Q205" i="100"/>
  <c r="P205" i="100"/>
  <c r="O205" i="100"/>
  <c r="N205" i="100"/>
  <c r="M205" i="100"/>
  <c r="AH207" i="100" s="1"/>
  <c r="L205" i="100"/>
  <c r="K205" i="100"/>
  <c r="J205" i="100"/>
  <c r="AE205" i="100" s="1"/>
  <c r="I205" i="100"/>
  <c r="H205" i="100"/>
  <c r="G205" i="100"/>
  <c r="F205" i="100"/>
  <c r="E205" i="100"/>
  <c r="D205" i="100"/>
  <c r="T200" i="100"/>
  <c r="S200" i="100" a="1"/>
  <c r="S200" i="100" s="1"/>
  <c r="R200" i="100" a="1"/>
  <c r="R200" i="100"/>
  <c r="Q200" i="100" a="1"/>
  <c r="Q200" i="100"/>
  <c r="P200" i="100" a="1"/>
  <c r="P200" i="100" s="1"/>
  <c r="O200" i="100" a="1"/>
  <c r="O200" i="100" s="1"/>
  <c r="N200" i="100" a="1"/>
  <c r="N200" i="100" s="1"/>
  <c r="M200" i="100" a="1"/>
  <c r="M200" i="100" s="1"/>
  <c r="L200" i="100" a="1"/>
  <c r="L200" i="100"/>
  <c r="K200" i="100" a="1"/>
  <c r="K200" i="100" s="1"/>
  <c r="J200" i="100" a="1"/>
  <c r="J200" i="100"/>
  <c r="I200" i="100" a="1"/>
  <c r="I200" i="100" s="1"/>
  <c r="H200" i="100" a="1"/>
  <c r="H200" i="100"/>
  <c r="G200" i="100" a="1"/>
  <c r="G200" i="100" s="1"/>
  <c r="F200" i="100" a="1"/>
  <c r="F200" i="100"/>
  <c r="E200" i="100" a="1"/>
  <c r="E200" i="100" s="1"/>
  <c r="D200" i="100" a="1"/>
  <c r="D200" i="100" s="1"/>
  <c r="T199" i="100"/>
  <c r="S199" i="100"/>
  <c r="R199" i="100"/>
  <c r="Q199" i="100"/>
  <c r="P199" i="100"/>
  <c r="O199" i="100"/>
  <c r="N199" i="100"/>
  <c r="M199" i="100"/>
  <c r="L199" i="100"/>
  <c r="K199" i="100"/>
  <c r="J199" i="100"/>
  <c r="I199" i="100"/>
  <c r="H199" i="100"/>
  <c r="G199" i="100"/>
  <c r="F199" i="100"/>
  <c r="E199" i="100"/>
  <c r="D199" i="100"/>
  <c r="T198" i="100"/>
  <c r="S198" i="100" a="1"/>
  <c r="S198" i="100" s="1"/>
  <c r="R198" i="100" a="1"/>
  <c r="R198" i="100" s="1"/>
  <c r="Q198" i="100" a="1"/>
  <c r="Q198" i="100"/>
  <c r="P198" i="100" a="1"/>
  <c r="P198" i="100" s="1"/>
  <c r="O198" i="100" a="1"/>
  <c r="O198" i="100"/>
  <c r="N198" i="100" a="1"/>
  <c r="N198" i="100" s="1"/>
  <c r="M198" i="100" a="1"/>
  <c r="M198" i="100"/>
  <c r="L198" i="100" a="1"/>
  <c r="L198" i="100" s="1"/>
  <c r="K198" i="100" a="1"/>
  <c r="K198" i="100" s="1"/>
  <c r="J198" i="100" a="1"/>
  <c r="J198" i="100" s="1"/>
  <c r="I198" i="100" a="1"/>
  <c r="I198" i="100"/>
  <c r="H198" i="100" a="1"/>
  <c r="H198" i="100" s="1"/>
  <c r="G198" i="100" a="1"/>
  <c r="G198" i="100"/>
  <c r="F198" i="100" a="1"/>
  <c r="F198" i="100" s="1"/>
  <c r="E198" i="100" a="1"/>
  <c r="E198" i="100"/>
  <c r="D198" i="100" a="1"/>
  <c r="D198" i="100" s="1"/>
  <c r="T197" i="100"/>
  <c r="S197" i="100" a="1"/>
  <c r="S197" i="100" s="1"/>
  <c r="R197" i="100" a="1"/>
  <c r="R197" i="100" s="1"/>
  <c r="Q197" i="100" a="1"/>
  <c r="Q197" i="100" s="1"/>
  <c r="P197" i="100" a="1"/>
  <c r="P197" i="100" s="1"/>
  <c r="O197" i="100" a="1"/>
  <c r="O197" i="100" s="1"/>
  <c r="N197" i="100" a="1"/>
  <c r="N197" i="100"/>
  <c r="M197" i="100" a="1"/>
  <c r="M197" i="100"/>
  <c r="AH197" i="100" s="1"/>
  <c r="L197" i="100" a="1"/>
  <c r="L197" i="100" s="1"/>
  <c r="K197" i="100" a="1"/>
  <c r="K197" i="100" s="1"/>
  <c r="J197" i="100" a="1"/>
  <c r="J197" i="100" s="1"/>
  <c r="I197" i="100" a="1"/>
  <c r="I197" i="100"/>
  <c r="H197" i="100" a="1"/>
  <c r="H197" i="100" s="1"/>
  <c r="G197" i="100" a="1"/>
  <c r="G197" i="100" s="1"/>
  <c r="F197" i="100" a="1"/>
  <c r="F197" i="100" s="1"/>
  <c r="E197" i="100" a="1"/>
  <c r="E197" i="100" s="1"/>
  <c r="D197" i="100" a="1"/>
  <c r="D197" i="100" s="1"/>
  <c r="T196" i="100"/>
  <c r="S196" i="100" a="1"/>
  <c r="S196" i="100" s="1"/>
  <c r="R196" i="100" a="1"/>
  <c r="R196" i="100" s="1"/>
  <c r="Q196" i="100" a="1"/>
  <c r="Q196" i="100" s="1"/>
  <c r="P196" i="100" a="1"/>
  <c r="P196" i="100" s="1"/>
  <c r="O196" i="100" a="1"/>
  <c r="O196" i="100" s="1"/>
  <c r="N196" i="100" a="1"/>
  <c r="N196" i="100"/>
  <c r="M196" i="100" a="1"/>
  <c r="M196" i="100" s="1"/>
  <c r="L196" i="100" a="1"/>
  <c r="L196" i="100"/>
  <c r="K196" i="100" a="1"/>
  <c r="K196" i="100"/>
  <c r="J196" i="100" a="1"/>
  <c r="J196" i="100" s="1"/>
  <c r="I196" i="100" a="1"/>
  <c r="I196" i="100" s="1"/>
  <c r="H196" i="100" a="1"/>
  <c r="H196" i="100" s="1"/>
  <c r="G196" i="100" a="1"/>
  <c r="G196" i="100" s="1"/>
  <c r="F196" i="100" a="1"/>
  <c r="F196" i="100" s="1"/>
  <c r="E196" i="100" a="1"/>
  <c r="E196" i="100" s="1"/>
  <c r="D196" i="100" a="1"/>
  <c r="D196" i="100" s="1"/>
  <c r="T195" i="100" a="1"/>
  <c r="T195" i="100"/>
  <c r="S195" i="100" a="1"/>
  <c r="S195" i="100" s="1"/>
  <c r="R195" i="100" a="1"/>
  <c r="R195" i="100" s="1"/>
  <c r="Q195" i="100" a="1"/>
  <c r="Q195" i="100" s="1"/>
  <c r="P195" i="100" a="1"/>
  <c r="P195" i="100" s="1"/>
  <c r="O195" i="100" a="1"/>
  <c r="O195" i="100" s="1"/>
  <c r="N195" i="100" a="1"/>
  <c r="N195" i="100" s="1"/>
  <c r="M195" i="100" a="1"/>
  <c r="M195" i="100" s="1"/>
  <c r="L195" i="100" a="1"/>
  <c r="L195" i="100" s="1"/>
  <c r="K195" i="100" a="1"/>
  <c r="K195" i="100"/>
  <c r="J195" i="100" a="1"/>
  <c r="J195" i="100" s="1"/>
  <c r="I195" i="100" a="1"/>
  <c r="I195" i="100" s="1"/>
  <c r="H195" i="100" a="1"/>
  <c r="H195" i="100" s="1"/>
  <c r="G195" i="100" a="1"/>
  <c r="G195" i="100" s="1"/>
  <c r="F195" i="100" a="1"/>
  <c r="F195" i="100" s="1"/>
  <c r="E195" i="100" a="1"/>
  <c r="E195" i="100" s="1"/>
  <c r="D195" i="100" a="1"/>
  <c r="D195" i="100" s="1"/>
  <c r="T194" i="100" a="1"/>
  <c r="T194" i="100" s="1"/>
  <c r="S194" i="100" a="1"/>
  <c r="S194" i="100" s="1"/>
  <c r="R194" i="100" a="1"/>
  <c r="R194" i="100" s="1"/>
  <c r="Q194" i="100" a="1"/>
  <c r="Q194" i="100" s="1"/>
  <c r="P194" i="100" a="1"/>
  <c r="P194" i="100" s="1"/>
  <c r="O194" i="100" a="1"/>
  <c r="O194" i="100"/>
  <c r="N194" i="100" a="1"/>
  <c r="N194" i="100" s="1"/>
  <c r="M194" i="100" a="1"/>
  <c r="M194" i="100" s="1"/>
  <c r="L194" i="100" a="1"/>
  <c r="L194" i="100"/>
  <c r="K194" i="100" a="1"/>
  <c r="K194" i="100" s="1"/>
  <c r="J194" i="100" a="1"/>
  <c r="J194" i="100"/>
  <c r="I194" i="100" a="1"/>
  <c r="I194" i="100" s="1"/>
  <c r="H194" i="100" a="1"/>
  <c r="H194" i="100"/>
  <c r="G194" i="100" a="1"/>
  <c r="G194" i="100" s="1"/>
  <c r="F194" i="100" a="1"/>
  <c r="F194" i="100" s="1"/>
  <c r="E194" i="100" a="1"/>
  <c r="E194" i="100" s="1"/>
  <c r="D194" i="100" a="1"/>
  <c r="D194" i="100" s="1"/>
  <c r="T193" i="100" a="1"/>
  <c r="T193" i="100"/>
  <c r="S193" i="100" a="1"/>
  <c r="S193" i="100" s="1"/>
  <c r="R193" i="100" a="1"/>
  <c r="R193" i="100"/>
  <c r="Q193" i="100" a="1"/>
  <c r="Q193" i="100" s="1"/>
  <c r="P193" i="100" a="1"/>
  <c r="P193" i="100"/>
  <c r="O193" i="100" a="1"/>
  <c r="O193" i="100"/>
  <c r="N193" i="100" a="1"/>
  <c r="N193" i="100" s="1"/>
  <c r="AI193" i="100" s="1"/>
  <c r="M193" i="100" a="1"/>
  <c r="M193" i="100" s="1"/>
  <c r="L193" i="100" a="1"/>
  <c r="L193" i="100"/>
  <c r="K193" i="100" a="1"/>
  <c r="K193" i="100"/>
  <c r="J193" i="100" a="1"/>
  <c r="J193" i="100" s="1"/>
  <c r="AE193" i="100" s="1"/>
  <c r="I193" i="100" a="1"/>
  <c r="I193" i="100" s="1"/>
  <c r="H193" i="100" a="1"/>
  <c r="H193" i="100" s="1"/>
  <c r="G193" i="100" a="1"/>
  <c r="G193" i="100"/>
  <c r="F193" i="100" a="1"/>
  <c r="F193" i="100"/>
  <c r="E193" i="100" a="1"/>
  <c r="E193" i="100" s="1"/>
  <c r="D193" i="100" a="1"/>
  <c r="D193" i="100"/>
  <c r="T192" i="100" a="1"/>
  <c r="T192" i="100" s="1"/>
  <c r="S192" i="100" a="1"/>
  <c r="S192" i="100" s="1"/>
  <c r="R192" i="100" a="1"/>
  <c r="R192" i="100"/>
  <c r="Q192" i="100" a="1"/>
  <c r="Q192" i="100" s="1"/>
  <c r="P192" i="100" a="1"/>
  <c r="P192" i="100" s="1"/>
  <c r="O192" i="100" a="1"/>
  <c r="O192" i="100" s="1"/>
  <c r="N192" i="100" a="1"/>
  <c r="N192" i="100" s="1"/>
  <c r="M192" i="100" a="1"/>
  <c r="M192" i="100" s="1"/>
  <c r="L192" i="100" a="1"/>
  <c r="L192" i="100" s="1"/>
  <c r="K192" i="100" a="1"/>
  <c r="K192" i="100"/>
  <c r="J192" i="100" a="1"/>
  <c r="J192" i="100" s="1"/>
  <c r="I192" i="100" a="1"/>
  <c r="I192" i="100" s="1"/>
  <c r="H192" i="100" a="1"/>
  <c r="H192" i="100" s="1"/>
  <c r="G192" i="100" a="1"/>
  <c r="G192" i="100" s="1"/>
  <c r="F192" i="100" a="1"/>
  <c r="F192" i="100" s="1"/>
  <c r="E192" i="100" a="1"/>
  <c r="E192" i="100" s="1"/>
  <c r="D192" i="100" a="1"/>
  <c r="D192" i="100" s="1"/>
  <c r="T191" i="100" a="1"/>
  <c r="T191" i="100" s="1"/>
  <c r="S191" i="100" a="1"/>
  <c r="S191" i="100" s="1"/>
  <c r="R191" i="100" a="1"/>
  <c r="R191" i="100"/>
  <c r="Q191" i="100" a="1"/>
  <c r="Q191" i="100" s="1"/>
  <c r="P191" i="100" a="1"/>
  <c r="P191" i="100" s="1"/>
  <c r="AK191" i="100" s="1"/>
  <c r="O191" i="100" a="1"/>
  <c r="O191" i="100" s="1"/>
  <c r="N191" i="100" a="1"/>
  <c r="N191" i="100" s="1"/>
  <c r="M191" i="100" a="1"/>
  <c r="M191" i="100" s="1"/>
  <c r="L191" i="100" a="1"/>
  <c r="L191" i="100" s="1"/>
  <c r="K191" i="100" a="1"/>
  <c r="K191" i="100" s="1"/>
  <c r="J191" i="100" a="1"/>
  <c r="J191" i="100" s="1"/>
  <c r="I191" i="100" a="1"/>
  <c r="I191" i="100" s="1"/>
  <c r="H191" i="100" a="1"/>
  <c r="H191" i="100" s="1"/>
  <c r="G191" i="100" a="1"/>
  <c r="G191" i="100" s="1"/>
  <c r="F191" i="100" a="1"/>
  <c r="F191" i="100" s="1"/>
  <c r="E191" i="100" a="1"/>
  <c r="E191" i="100" s="1"/>
  <c r="D191" i="100" a="1"/>
  <c r="D191" i="100" s="1"/>
  <c r="T190" i="100" a="1"/>
  <c r="T190" i="100" s="1"/>
  <c r="S190" i="100" a="1"/>
  <c r="S190" i="100" s="1"/>
  <c r="R190" i="100" a="1"/>
  <c r="R190" i="100"/>
  <c r="Q190" i="100" a="1"/>
  <c r="Q190" i="100"/>
  <c r="P190" i="100" a="1"/>
  <c r="P190" i="100" s="1"/>
  <c r="AK190" i="100" s="1"/>
  <c r="O190" i="100" a="1"/>
  <c r="O190" i="100"/>
  <c r="N190" i="100" a="1"/>
  <c r="N190" i="100"/>
  <c r="M190" i="100" a="1"/>
  <c r="M190" i="100" s="1"/>
  <c r="L190" i="100" a="1"/>
  <c r="L190" i="100" s="1"/>
  <c r="K190" i="100" a="1"/>
  <c r="K190" i="100" s="1"/>
  <c r="J190" i="100" a="1"/>
  <c r="J190" i="100" s="1"/>
  <c r="I190" i="100" a="1"/>
  <c r="I190" i="100"/>
  <c r="H190" i="100" a="1"/>
  <c r="H190" i="100" s="1"/>
  <c r="G190" i="100" a="1"/>
  <c r="G190" i="100" s="1"/>
  <c r="F190" i="100" a="1"/>
  <c r="F190" i="100" s="1"/>
  <c r="E190" i="100" a="1"/>
  <c r="E190" i="100" s="1"/>
  <c r="D190" i="100" a="1"/>
  <c r="D190" i="100" s="1"/>
  <c r="T189" i="100" a="1"/>
  <c r="T189" i="100" s="1"/>
  <c r="S189" i="100" a="1"/>
  <c r="S189" i="100" s="1"/>
  <c r="R189" i="100" a="1"/>
  <c r="R189" i="100" s="1"/>
  <c r="Q189" i="100" a="1"/>
  <c r="Q189" i="100"/>
  <c r="P189" i="100" a="1"/>
  <c r="P189" i="100" s="1"/>
  <c r="O189" i="100" a="1"/>
  <c r="O189" i="100" s="1"/>
  <c r="N189" i="100" a="1"/>
  <c r="N189" i="100"/>
  <c r="M189" i="100" a="1"/>
  <c r="M189" i="100" s="1"/>
  <c r="L189" i="100" a="1"/>
  <c r="L189" i="100" s="1"/>
  <c r="AG189" i="100" s="1"/>
  <c r="K189" i="100" a="1"/>
  <c r="K189" i="100" s="1"/>
  <c r="J189" i="100" a="1"/>
  <c r="J189" i="100" s="1"/>
  <c r="I189" i="100" a="1"/>
  <c r="I189" i="100"/>
  <c r="H189" i="100" a="1"/>
  <c r="H189" i="100" s="1"/>
  <c r="G189" i="100" a="1"/>
  <c r="G189" i="100" s="1"/>
  <c r="F189" i="100" a="1"/>
  <c r="F189" i="100" s="1"/>
  <c r="E189" i="100" a="1"/>
  <c r="E189" i="100" s="1"/>
  <c r="D189" i="100" a="1"/>
  <c r="D189" i="100" s="1"/>
  <c r="T188" i="100" a="1"/>
  <c r="T188" i="100"/>
  <c r="S188" i="100" a="1"/>
  <c r="S188" i="100"/>
  <c r="R188" i="100" a="1"/>
  <c r="R188" i="100" s="1"/>
  <c r="Q188" i="100" a="1"/>
  <c r="Q188" i="100" s="1"/>
  <c r="P188" i="100" a="1"/>
  <c r="P188" i="100"/>
  <c r="AK188" i="100" s="1"/>
  <c r="O188" i="100" a="1"/>
  <c r="O188" i="100" s="1"/>
  <c r="N188" i="100" a="1"/>
  <c r="N188" i="100" s="1"/>
  <c r="M188" i="100" a="1"/>
  <c r="M188" i="100" s="1"/>
  <c r="L188" i="100" a="1"/>
  <c r="L188" i="100"/>
  <c r="K188" i="100" a="1"/>
  <c r="K188" i="100"/>
  <c r="J188" i="100" a="1"/>
  <c r="J188" i="100" s="1"/>
  <c r="I188" i="100" a="1"/>
  <c r="I188" i="100"/>
  <c r="H188" i="100" a="1"/>
  <c r="H188" i="100"/>
  <c r="G188" i="100" a="1"/>
  <c r="G188" i="100" s="1"/>
  <c r="F188" i="100" a="1"/>
  <c r="F188" i="100" s="1"/>
  <c r="E188" i="100" a="1"/>
  <c r="E188" i="100" s="1"/>
  <c r="D188" i="100" a="1"/>
  <c r="D188" i="100"/>
  <c r="Y189" i="100" s="1"/>
  <c r="T187" i="100" a="1"/>
  <c r="T187" i="100" s="1"/>
  <c r="S187" i="100" a="1"/>
  <c r="S187" i="100"/>
  <c r="R187" i="100" a="1"/>
  <c r="R187" i="100" s="1"/>
  <c r="Q187" i="100" a="1"/>
  <c r="Q187" i="100"/>
  <c r="P187" i="100" a="1"/>
  <c r="P187" i="100"/>
  <c r="O187" i="100" a="1"/>
  <c r="O187" i="100"/>
  <c r="N187" i="100" a="1"/>
  <c r="N187" i="100" s="1"/>
  <c r="M187" i="100" a="1"/>
  <c r="M187" i="100"/>
  <c r="L187" i="100" a="1"/>
  <c r="L187" i="100" s="1"/>
  <c r="K187" i="100" a="1"/>
  <c r="K187" i="100" s="1"/>
  <c r="J187" i="100" a="1"/>
  <c r="J187" i="100" s="1"/>
  <c r="I187" i="100" a="1"/>
  <c r="I187" i="100"/>
  <c r="H187" i="100" a="1"/>
  <c r="H187" i="100"/>
  <c r="G187" i="100" a="1"/>
  <c r="G187" i="100"/>
  <c r="F187" i="100" a="1"/>
  <c r="F187" i="100" s="1"/>
  <c r="E187" i="100" a="1"/>
  <c r="E187" i="100"/>
  <c r="D187" i="100" a="1"/>
  <c r="D187" i="100"/>
  <c r="AK186" i="100"/>
  <c r="T186" i="100" a="1"/>
  <c r="T186" i="100"/>
  <c r="S186" i="100" a="1"/>
  <c r="S186" i="100" s="1"/>
  <c r="R186" i="100" a="1"/>
  <c r="R186" i="100"/>
  <c r="Q186" i="100" a="1"/>
  <c r="Q186" i="100"/>
  <c r="P186" i="100" a="1"/>
  <c r="P186" i="100"/>
  <c r="O186" i="100" a="1"/>
  <c r="O186" i="100"/>
  <c r="N186" i="100" a="1"/>
  <c r="N186" i="100" s="1"/>
  <c r="M186" i="100" a="1"/>
  <c r="M186" i="100"/>
  <c r="L186" i="100" a="1"/>
  <c r="L186" i="100"/>
  <c r="K186" i="100" a="1"/>
  <c r="K186" i="100" s="1"/>
  <c r="J186" i="100" a="1"/>
  <c r="J186" i="100"/>
  <c r="I186" i="100" a="1"/>
  <c r="I186" i="100"/>
  <c r="H186" i="100" a="1"/>
  <c r="H186" i="100"/>
  <c r="G186" i="100" a="1"/>
  <c r="G186" i="100"/>
  <c r="F186" i="100" a="1"/>
  <c r="F186" i="100" s="1"/>
  <c r="E186" i="100" a="1"/>
  <c r="E186" i="100"/>
  <c r="D186" i="100" a="1"/>
  <c r="D186" i="100"/>
  <c r="T185" i="100" a="1"/>
  <c r="T185" i="100" s="1"/>
  <c r="S185" i="100" a="1"/>
  <c r="S185" i="100" s="1"/>
  <c r="R185" i="100" a="1"/>
  <c r="R185" i="100" s="1"/>
  <c r="Q185" i="100" a="1"/>
  <c r="Q185" i="100"/>
  <c r="P185" i="100" a="1"/>
  <c r="P185" i="100" s="1"/>
  <c r="O185" i="100" a="1"/>
  <c r="O185" i="100" s="1"/>
  <c r="N185" i="100" a="1"/>
  <c r="N185" i="100" s="1"/>
  <c r="AI185" i="100" s="1"/>
  <c r="M185" i="100" a="1"/>
  <c r="M185" i="100"/>
  <c r="L185" i="100" a="1"/>
  <c r="L185" i="100" s="1"/>
  <c r="K185" i="100" a="1"/>
  <c r="K185" i="100"/>
  <c r="J185" i="100" a="1"/>
  <c r="J185" i="100" s="1"/>
  <c r="I185" i="100" a="1"/>
  <c r="I185" i="100" s="1"/>
  <c r="H185" i="100" a="1"/>
  <c r="H185" i="100" s="1"/>
  <c r="G185" i="100" a="1"/>
  <c r="G185" i="100" s="1"/>
  <c r="F185" i="100" a="1"/>
  <c r="F185" i="100" s="1"/>
  <c r="E185" i="100" a="1"/>
  <c r="E185" i="100" s="1"/>
  <c r="D185" i="100" a="1"/>
  <c r="D185" i="100" s="1"/>
  <c r="T184" i="100" a="1"/>
  <c r="T184" i="100" s="1"/>
  <c r="S184" i="100" a="1"/>
  <c r="S184" i="100"/>
  <c r="R184" i="100" a="1"/>
  <c r="R184" i="100" s="1"/>
  <c r="Q184" i="100" a="1"/>
  <c r="Q184" i="100" s="1"/>
  <c r="P184" i="100" a="1"/>
  <c r="P184" i="100" s="1"/>
  <c r="AK184" i="100" s="1"/>
  <c r="O184" i="100" a="1"/>
  <c r="O184" i="100"/>
  <c r="N184" i="100" a="1"/>
  <c r="N184" i="100" s="1"/>
  <c r="M184" i="100" a="1"/>
  <c r="M184" i="100"/>
  <c r="L184" i="100" a="1"/>
  <c r="L184" i="100" s="1"/>
  <c r="K184" i="100" a="1"/>
  <c r="K184" i="100" s="1"/>
  <c r="J184" i="100" a="1"/>
  <c r="J184" i="100" s="1"/>
  <c r="I184" i="100" a="1"/>
  <c r="I184" i="100" s="1"/>
  <c r="H184" i="100" a="1"/>
  <c r="H184" i="100"/>
  <c r="AC184" i="100" s="1"/>
  <c r="G184" i="100" a="1"/>
  <c r="G184" i="100"/>
  <c r="F184" i="100" a="1"/>
  <c r="F184" i="100" s="1"/>
  <c r="E184" i="100" a="1"/>
  <c r="E184" i="100"/>
  <c r="D184" i="100" a="1"/>
  <c r="D184" i="100" s="1"/>
  <c r="T183" i="100" a="1"/>
  <c r="T183" i="100" s="1"/>
  <c r="S183" i="100" a="1"/>
  <c r="S183" i="100"/>
  <c r="R183" i="100" a="1"/>
  <c r="R183" i="100" s="1"/>
  <c r="Q183" i="100" a="1"/>
  <c r="Q183" i="100" s="1"/>
  <c r="P183" i="100" a="1"/>
  <c r="P183" i="100" s="1"/>
  <c r="O183" i="100" a="1"/>
  <c r="O183" i="100" s="1"/>
  <c r="N183" i="100" a="1"/>
  <c r="N183" i="100"/>
  <c r="M183" i="100" a="1"/>
  <c r="M183" i="100"/>
  <c r="L183" i="100" a="1"/>
  <c r="L183" i="100" s="1"/>
  <c r="K183" i="100" a="1"/>
  <c r="K183" i="100"/>
  <c r="J183" i="100" a="1"/>
  <c r="J183" i="100" s="1"/>
  <c r="I183" i="100" a="1"/>
  <c r="I183" i="100"/>
  <c r="H183" i="100" a="1"/>
  <c r="H183" i="100" s="1"/>
  <c r="G183" i="100" a="1"/>
  <c r="G183" i="100" s="1"/>
  <c r="F183" i="100" a="1"/>
  <c r="F183" i="100" s="1"/>
  <c r="E183" i="100" a="1"/>
  <c r="E183" i="100"/>
  <c r="D183" i="100" a="1"/>
  <c r="D183" i="100" s="1"/>
  <c r="T182" i="100" a="1"/>
  <c r="T182" i="100" s="1"/>
  <c r="S182" i="100" a="1"/>
  <c r="S182" i="100"/>
  <c r="R182" i="100" a="1"/>
  <c r="R182" i="100"/>
  <c r="Q182" i="100" a="1"/>
  <c r="Q182" i="100" s="1"/>
  <c r="P182" i="100" a="1"/>
  <c r="P182" i="100"/>
  <c r="O182" i="100" a="1"/>
  <c r="O182" i="100"/>
  <c r="N182" i="100" a="1"/>
  <c r="N182" i="100" s="1"/>
  <c r="M182" i="100" a="1"/>
  <c r="M182" i="100" s="1"/>
  <c r="L182" i="100" a="1"/>
  <c r="L182" i="100" s="1"/>
  <c r="K182" i="100" a="1"/>
  <c r="K182" i="100"/>
  <c r="AF182" i="100" s="1"/>
  <c r="J182" i="100" a="1"/>
  <c r="J182" i="100"/>
  <c r="I182" i="100" a="1"/>
  <c r="I182" i="100" s="1"/>
  <c r="H182" i="100" a="1"/>
  <c r="H182" i="100" s="1"/>
  <c r="G182" i="100" a="1"/>
  <c r="G182" i="100"/>
  <c r="F182" i="100" a="1"/>
  <c r="F182" i="100" s="1"/>
  <c r="E182" i="100" a="1"/>
  <c r="E182" i="100" s="1"/>
  <c r="D182" i="100" a="1"/>
  <c r="D182" i="100"/>
  <c r="T181" i="100" a="1"/>
  <c r="T181" i="100" s="1"/>
  <c r="S181" i="100" a="1"/>
  <c r="S181" i="100" s="1"/>
  <c r="R181" i="100" a="1"/>
  <c r="R181" i="100" s="1"/>
  <c r="Q181" i="100" a="1"/>
  <c r="Q181" i="100" s="1"/>
  <c r="P181" i="100" a="1"/>
  <c r="P181" i="100" s="1"/>
  <c r="O181" i="100" a="1"/>
  <c r="O181" i="100" s="1"/>
  <c r="N181" i="100" a="1"/>
  <c r="N181" i="100" s="1"/>
  <c r="M181" i="100" a="1"/>
  <c r="M181" i="100" s="1"/>
  <c r="L181" i="100" a="1"/>
  <c r="L181" i="100" s="1"/>
  <c r="K181" i="100" a="1"/>
  <c r="K181" i="100" s="1"/>
  <c r="J181" i="100" a="1"/>
  <c r="J181" i="100" s="1"/>
  <c r="I181" i="100" a="1"/>
  <c r="I181" i="100" s="1"/>
  <c r="H181" i="100" a="1"/>
  <c r="H181" i="100" s="1"/>
  <c r="G181" i="100" a="1"/>
  <c r="G181" i="100" s="1"/>
  <c r="F181" i="100" a="1"/>
  <c r="F181" i="100" s="1"/>
  <c r="E181" i="100" a="1"/>
  <c r="E181" i="100" s="1"/>
  <c r="D181" i="100" a="1"/>
  <c r="D181" i="100"/>
  <c r="T180" i="100" a="1"/>
  <c r="T180" i="100"/>
  <c r="S180" i="100" a="1"/>
  <c r="S180" i="100" s="1"/>
  <c r="R180" i="100" a="1"/>
  <c r="R180" i="100"/>
  <c r="Q180" i="100" a="1"/>
  <c r="Q180" i="100" s="1"/>
  <c r="P180" i="100" a="1"/>
  <c r="P180" i="100"/>
  <c r="AK183" i="100" s="1"/>
  <c r="O180" i="100" a="1"/>
  <c r="O180" i="100"/>
  <c r="N180" i="100" a="1"/>
  <c r="N180" i="100"/>
  <c r="M180" i="100" a="1"/>
  <c r="M180" i="100" s="1"/>
  <c r="L180" i="100" a="1"/>
  <c r="L180" i="100" s="1"/>
  <c r="K180" i="100" a="1"/>
  <c r="K180" i="100" s="1"/>
  <c r="J180" i="100" a="1"/>
  <c r="J180" i="100" s="1"/>
  <c r="I180" i="100" a="1"/>
  <c r="I180" i="100" s="1"/>
  <c r="H180" i="100" a="1"/>
  <c r="H180" i="100" s="1"/>
  <c r="G180" i="100" a="1"/>
  <c r="G180" i="100"/>
  <c r="F180" i="100" a="1"/>
  <c r="F180" i="100" s="1"/>
  <c r="E180" i="100" a="1"/>
  <c r="E180" i="100" s="1"/>
  <c r="D180" i="100" a="1"/>
  <c r="D180" i="100"/>
  <c r="T179" i="100" a="1"/>
  <c r="T179" i="100"/>
  <c r="S179" i="100" a="1"/>
  <c r="S179" i="100" s="1"/>
  <c r="R179" i="100" a="1"/>
  <c r="R179" i="100"/>
  <c r="Q179" i="100" a="1"/>
  <c r="Q179" i="100" s="1"/>
  <c r="P179" i="100" a="1"/>
  <c r="P179" i="100"/>
  <c r="O179" i="100" a="1"/>
  <c r="O179" i="100" s="1"/>
  <c r="N179" i="100" a="1"/>
  <c r="N179" i="100"/>
  <c r="M179" i="100" a="1"/>
  <c r="M179" i="100"/>
  <c r="L179" i="100" a="1"/>
  <c r="L179" i="100"/>
  <c r="K179" i="100" a="1"/>
  <c r="K179" i="100" s="1"/>
  <c r="J179" i="100" a="1"/>
  <c r="J179" i="100"/>
  <c r="I179" i="100" a="1"/>
  <c r="I179" i="100"/>
  <c r="H179" i="100" a="1"/>
  <c r="H179" i="100" s="1"/>
  <c r="G179" i="100" a="1"/>
  <c r="G179" i="100" s="1"/>
  <c r="F179" i="100" a="1"/>
  <c r="F179" i="100" s="1"/>
  <c r="E179" i="100" a="1"/>
  <c r="E179" i="100"/>
  <c r="D179" i="100" a="1"/>
  <c r="D179" i="100"/>
  <c r="Y178" i="100" s="1"/>
  <c r="T178" i="100" a="1"/>
  <c r="T178" i="100"/>
  <c r="S178" i="100" a="1"/>
  <c r="S178" i="100" s="1"/>
  <c r="R178" i="100" a="1"/>
  <c r="R178" i="100" s="1"/>
  <c r="Q178" i="100" a="1"/>
  <c r="Q178" i="100" s="1"/>
  <c r="P178" i="100" a="1"/>
  <c r="P178" i="100" s="1"/>
  <c r="O178" i="100" a="1"/>
  <c r="O178" i="100" s="1"/>
  <c r="N178" i="100" a="1"/>
  <c r="N178" i="100" s="1"/>
  <c r="M178" i="100" a="1"/>
  <c r="M178" i="100" s="1"/>
  <c r="L178" i="100" a="1"/>
  <c r="L178" i="100" s="1"/>
  <c r="K178" i="100" a="1"/>
  <c r="K178" i="100" s="1"/>
  <c r="J178" i="100" a="1"/>
  <c r="J178" i="100"/>
  <c r="I178" i="100" a="1"/>
  <c r="I178" i="100" s="1"/>
  <c r="H178" i="100" a="1"/>
  <c r="H178" i="100" s="1"/>
  <c r="G178" i="100" a="1"/>
  <c r="G178" i="100" s="1"/>
  <c r="F178" i="100" a="1"/>
  <c r="F178" i="100"/>
  <c r="E178" i="100" a="1"/>
  <c r="E178" i="100" s="1"/>
  <c r="D178" i="100" a="1"/>
  <c r="D178" i="100" s="1"/>
  <c r="T177" i="100" a="1"/>
  <c r="T177" i="100"/>
  <c r="S177" i="100" a="1"/>
  <c r="S177" i="100" s="1"/>
  <c r="R177" i="100" a="1"/>
  <c r="R177" i="100"/>
  <c r="Q177" i="100" a="1"/>
  <c r="Q177" i="100"/>
  <c r="P177" i="100" a="1"/>
  <c r="P177" i="100" s="1"/>
  <c r="O177" i="100" a="1"/>
  <c r="O177" i="100" s="1"/>
  <c r="N177" i="100" a="1"/>
  <c r="N177" i="100"/>
  <c r="M177" i="100" a="1"/>
  <c r="M177" i="100"/>
  <c r="L177" i="100" a="1"/>
  <c r="L177" i="100" s="1"/>
  <c r="AG177" i="100" s="1"/>
  <c r="K177" i="100" a="1"/>
  <c r="K177" i="100" s="1"/>
  <c r="J177" i="100" a="1"/>
  <c r="J177" i="100" s="1"/>
  <c r="I177" i="100" a="1"/>
  <c r="I177" i="100"/>
  <c r="H177" i="100" a="1"/>
  <c r="H177" i="100"/>
  <c r="G177" i="100" a="1"/>
  <c r="G177" i="100" s="1"/>
  <c r="F177" i="100" a="1"/>
  <c r="F177" i="100"/>
  <c r="E177" i="100" a="1"/>
  <c r="E177" i="100"/>
  <c r="D177" i="100" a="1"/>
  <c r="D177" i="100"/>
  <c r="T176" i="100" a="1"/>
  <c r="T176" i="100" s="1"/>
  <c r="S176" i="100" a="1"/>
  <c r="S176" i="100"/>
  <c r="R176" i="100" a="1"/>
  <c r="R176" i="100" s="1"/>
  <c r="Q176" i="100" a="1"/>
  <c r="Q176" i="100" s="1"/>
  <c r="P176" i="100" a="1"/>
  <c r="P176" i="100" s="1"/>
  <c r="O176" i="100" a="1"/>
  <c r="O176" i="100"/>
  <c r="N176" i="100" a="1"/>
  <c r="N176" i="100" s="1"/>
  <c r="M176" i="100" a="1"/>
  <c r="M176" i="100"/>
  <c r="L176" i="100" a="1"/>
  <c r="L176" i="100" s="1"/>
  <c r="K176" i="100" a="1"/>
  <c r="K176" i="100" s="1"/>
  <c r="J176" i="100" a="1"/>
  <c r="J176" i="100" s="1"/>
  <c r="I176" i="100" a="1"/>
  <c r="I176" i="100" s="1"/>
  <c r="H176" i="100" a="1"/>
  <c r="H176" i="100" s="1"/>
  <c r="G176" i="100" a="1"/>
  <c r="G176" i="100" s="1"/>
  <c r="F176" i="100" a="1"/>
  <c r="F176" i="100" s="1"/>
  <c r="E176" i="100" a="1"/>
  <c r="E176" i="100"/>
  <c r="D176" i="100" a="1"/>
  <c r="D176" i="100"/>
  <c r="T175" i="100" a="1"/>
  <c r="T175" i="100" s="1"/>
  <c r="S175" i="100" a="1"/>
  <c r="S175" i="100"/>
  <c r="R175" i="100" a="1"/>
  <c r="R175" i="100" s="1"/>
  <c r="Q175" i="100" a="1"/>
  <c r="Q175" i="100"/>
  <c r="P175" i="100" a="1"/>
  <c r="P175" i="100" s="1"/>
  <c r="O175" i="100" a="1"/>
  <c r="O175" i="100" s="1"/>
  <c r="N175" i="100" a="1"/>
  <c r="N175" i="100"/>
  <c r="M175" i="100" a="1"/>
  <c r="M175" i="100" s="1"/>
  <c r="L175" i="100" a="1"/>
  <c r="L175" i="100" s="1"/>
  <c r="K175" i="100" a="1"/>
  <c r="K175" i="100" s="1"/>
  <c r="J175" i="100" a="1"/>
  <c r="J175" i="100"/>
  <c r="I175" i="100" a="1"/>
  <c r="I175" i="100" s="1"/>
  <c r="H175" i="100" a="1"/>
  <c r="H175" i="100" s="1"/>
  <c r="G175" i="100" a="1"/>
  <c r="G175" i="100" s="1"/>
  <c r="F175" i="100" a="1"/>
  <c r="F175" i="100" s="1"/>
  <c r="E175" i="100" a="1"/>
  <c r="E175" i="100"/>
  <c r="D175" i="100" a="1"/>
  <c r="D175" i="100" s="1"/>
  <c r="T174" i="100" a="1"/>
  <c r="T174" i="100" s="1"/>
  <c r="S174" i="100" a="1"/>
  <c r="S174" i="100" s="1"/>
  <c r="R174" i="100" a="1"/>
  <c r="R174" i="100" s="1"/>
  <c r="Q174" i="100" a="1"/>
  <c r="Q174" i="100" s="1"/>
  <c r="P174" i="100" a="1"/>
  <c r="P174" i="100" s="1"/>
  <c r="O174" i="100" a="1"/>
  <c r="O174" i="100" s="1"/>
  <c r="N174" i="100" a="1"/>
  <c r="N174" i="100" s="1"/>
  <c r="M174" i="100" a="1"/>
  <c r="M174" i="100"/>
  <c r="AH174" i="100" s="1"/>
  <c r="L174" i="100" a="1"/>
  <c r="L174" i="100" s="1"/>
  <c r="K174" i="100" a="1"/>
  <c r="K174" i="100" s="1"/>
  <c r="J174" i="100" a="1"/>
  <c r="J174" i="100"/>
  <c r="I174" i="100" a="1"/>
  <c r="I174" i="100" s="1"/>
  <c r="H174" i="100" a="1"/>
  <c r="H174" i="100"/>
  <c r="G174" i="100" a="1"/>
  <c r="G174" i="100" s="1"/>
  <c r="F174" i="100" a="1"/>
  <c r="F174" i="100" s="1"/>
  <c r="E174" i="100" a="1"/>
  <c r="E174" i="100"/>
  <c r="D174" i="100" a="1"/>
  <c r="D174" i="100"/>
  <c r="T173" i="100" a="1"/>
  <c r="T173" i="100" s="1"/>
  <c r="S173" i="100" a="1"/>
  <c r="S173" i="100" s="1"/>
  <c r="R173" i="100" a="1"/>
  <c r="R173" i="100" s="1"/>
  <c r="Q173" i="100" a="1"/>
  <c r="Q173" i="100" s="1"/>
  <c r="AL173" i="100" s="1"/>
  <c r="P173" i="100" a="1"/>
  <c r="P173" i="100" s="1"/>
  <c r="O173" i="100" a="1"/>
  <c r="O173" i="100" s="1"/>
  <c r="N173" i="100" a="1"/>
  <c r="N173" i="100"/>
  <c r="M173" i="100" a="1"/>
  <c r="M173" i="100" s="1"/>
  <c r="L173" i="100" a="1"/>
  <c r="L173" i="100" s="1"/>
  <c r="K173" i="100" a="1"/>
  <c r="K173" i="100" s="1"/>
  <c r="J173" i="100" a="1"/>
  <c r="J173" i="100" s="1"/>
  <c r="I173" i="100" a="1"/>
  <c r="I173" i="100"/>
  <c r="H173" i="100" a="1"/>
  <c r="H173" i="100"/>
  <c r="AC173" i="100" s="1"/>
  <c r="G173" i="100" a="1"/>
  <c r="G173" i="100" s="1"/>
  <c r="F173" i="100" a="1"/>
  <c r="F173" i="100" s="1"/>
  <c r="E173" i="100" a="1"/>
  <c r="E173" i="100" s="1"/>
  <c r="D173" i="100" a="1"/>
  <c r="D173" i="100" s="1"/>
  <c r="AG172" i="100"/>
  <c r="T172" i="100" a="1"/>
  <c r="T172" i="100"/>
  <c r="S172" i="100" a="1"/>
  <c r="S172" i="100" s="1"/>
  <c r="R172" i="100" a="1"/>
  <c r="R172" i="100" s="1"/>
  <c r="Q172" i="100" a="1"/>
  <c r="Q172" i="100" s="1"/>
  <c r="P172" i="100" a="1"/>
  <c r="P172" i="100" s="1"/>
  <c r="O172" i="100" a="1"/>
  <c r="O172" i="100" s="1"/>
  <c r="N172" i="100" a="1"/>
  <c r="N172" i="100" s="1"/>
  <c r="AI172" i="100" s="1"/>
  <c r="M172" i="100" a="1"/>
  <c r="M172" i="100" s="1"/>
  <c r="L172" i="100" a="1"/>
  <c r="L172" i="100"/>
  <c r="K172" i="100" a="1"/>
  <c r="K172" i="100" s="1"/>
  <c r="J172" i="100" a="1"/>
  <c r="J172" i="100" s="1"/>
  <c r="AE174" i="100" s="1"/>
  <c r="I172" i="100" a="1"/>
  <c r="I172" i="100" s="1"/>
  <c r="H172" i="100" a="1"/>
  <c r="H172" i="100" s="1"/>
  <c r="G172" i="100" a="1"/>
  <c r="G172" i="100" s="1"/>
  <c r="F172" i="100" a="1"/>
  <c r="F172" i="100" s="1"/>
  <c r="E172" i="100" a="1"/>
  <c r="E172" i="100"/>
  <c r="D172" i="100" a="1"/>
  <c r="D172" i="100"/>
  <c r="Y172" i="100" s="1"/>
  <c r="T171" i="100" a="1"/>
  <c r="T171" i="100" s="1"/>
  <c r="S171" i="100" a="1"/>
  <c r="S171" i="100" s="1"/>
  <c r="R171" i="100" a="1"/>
  <c r="R171" i="100"/>
  <c r="Q171" i="100" a="1"/>
  <c r="Q171" i="100"/>
  <c r="P171" i="100" a="1"/>
  <c r="P171" i="100" s="1"/>
  <c r="O171" i="100" a="1"/>
  <c r="O171" i="100"/>
  <c r="N171" i="100" a="1"/>
  <c r="N171" i="100" s="1"/>
  <c r="M171" i="100" a="1"/>
  <c r="M171" i="100"/>
  <c r="L171" i="100" a="1"/>
  <c r="L171" i="100" s="1"/>
  <c r="K171" i="100" a="1"/>
  <c r="K171" i="100" s="1"/>
  <c r="J171" i="100" a="1"/>
  <c r="J171" i="100" s="1"/>
  <c r="AE171" i="100" s="1"/>
  <c r="I171" i="100" a="1"/>
  <c r="I171" i="100"/>
  <c r="H171" i="100" a="1"/>
  <c r="H171" i="100" s="1"/>
  <c r="G171" i="100" a="1"/>
  <c r="G171" i="100" s="1"/>
  <c r="F171" i="100" a="1"/>
  <c r="F171" i="100"/>
  <c r="E171" i="100" a="1"/>
  <c r="E171" i="100" s="1"/>
  <c r="D171" i="100" a="1"/>
  <c r="D171" i="100" s="1"/>
  <c r="AH170" i="100"/>
  <c r="T170" i="100" a="1"/>
  <c r="T170" i="100" s="1"/>
  <c r="S170" i="100" a="1"/>
  <c r="S170" i="100" s="1"/>
  <c r="R170" i="100" a="1"/>
  <c r="R170" i="100" s="1"/>
  <c r="Q170" i="100" a="1"/>
  <c r="Q170" i="100" s="1"/>
  <c r="P170" i="100" a="1"/>
  <c r="P170" i="100" s="1"/>
  <c r="O170" i="100" a="1"/>
  <c r="O170" i="100" s="1"/>
  <c r="N170" i="100" a="1"/>
  <c r="N170" i="100"/>
  <c r="M170" i="100" a="1"/>
  <c r="M170" i="100" s="1"/>
  <c r="L170" i="100" a="1"/>
  <c r="L170" i="100" s="1"/>
  <c r="K170" i="100" a="1"/>
  <c r="K170" i="100" s="1"/>
  <c r="J170" i="100" a="1"/>
  <c r="J170" i="100" s="1"/>
  <c r="I170" i="100" a="1"/>
  <c r="I170" i="100"/>
  <c r="H170" i="100" a="1"/>
  <c r="H170" i="100" s="1"/>
  <c r="G170" i="100" a="1"/>
  <c r="G170" i="100" s="1"/>
  <c r="F170" i="100" a="1"/>
  <c r="F170" i="100" s="1"/>
  <c r="E170" i="100" a="1"/>
  <c r="E170" i="100" s="1"/>
  <c r="D170" i="100" a="1"/>
  <c r="D170" i="100" s="1"/>
  <c r="T169" i="100" a="1"/>
  <c r="T169" i="100" s="1"/>
  <c r="S169" i="100" a="1"/>
  <c r="S169" i="100" s="1"/>
  <c r="R169" i="100" a="1"/>
  <c r="R169" i="100"/>
  <c r="Q169" i="100" a="1"/>
  <c r="Q169" i="100" s="1"/>
  <c r="P169" i="100" a="1"/>
  <c r="P169" i="100"/>
  <c r="O169" i="100" a="1"/>
  <c r="O169" i="100" s="1"/>
  <c r="N169" i="100" a="1"/>
  <c r="N169" i="100" s="1"/>
  <c r="M169" i="100" a="1"/>
  <c r="M169" i="100" s="1"/>
  <c r="L169" i="100" a="1"/>
  <c r="L169" i="100" s="1"/>
  <c r="K169" i="100" a="1"/>
  <c r="K169" i="100"/>
  <c r="J169" i="100" a="1"/>
  <c r="J169" i="100"/>
  <c r="I169" i="100" a="1"/>
  <c r="I169" i="100" s="1"/>
  <c r="H169" i="100" a="1"/>
  <c r="H169" i="100" s="1"/>
  <c r="G169" i="100" a="1"/>
  <c r="G169" i="100"/>
  <c r="F169" i="100" a="1"/>
  <c r="F169" i="100"/>
  <c r="E169" i="100" a="1"/>
  <c r="E169" i="100" s="1"/>
  <c r="D169" i="100" a="1"/>
  <c r="D169" i="100"/>
  <c r="T168" i="100" a="1"/>
  <c r="T168" i="100"/>
  <c r="S168" i="100" a="1"/>
  <c r="S168" i="100" s="1"/>
  <c r="R168" i="100" a="1"/>
  <c r="R168" i="100" s="1"/>
  <c r="Q168" i="100" a="1"/>
  <c r="Q168" i="100" s="1"/>
  <c r="P168" i="100" a="1"/>
  <c r="P168" i="100"/>
  <c r="O168" i="100" a="1"/>
  <c r="O168" i="100" s="1"/>
  <c r="N168" i="100" a="1"/>
  <c r="N168" i="100" s="1"/>
  <c r="M168" i="100" a="1"/>
  <c r="M168" i="100"/>
  <c r="L168" i="100" a="1"/>
  <c r="L168" i="100"/>
  <c r="K168" i="100" a="1"/>
  <c r="K168" i="100" s="1"/>
  <c r="J168" i="100" a="1"/>
  <c r="J168" i="100" s="1"/>
  <c r="I168" i="100" a="1"/>
  <c r="I168" i="100" s="1"/>
  <c r="H168" i="100" a="1"/>
  <c r="H168" i="100" s="1"/>
  <c r="G168" i="100" a="1"/>
  <c r="G168" i="100" s="1"/>
  <c r="F168" i="100" a="1"/>
  <c r="F168" i="100" s="1"/>
  <c r="E168" i="100" a="1"/>
  <c r="E168" i="100" s="1"/>
  <c r="D168" i="100" a="1"/>
  <c r="D168" i="100"/>
  <c r="T167" i="100" a="1"/>
  <c r="T167" i="100" s="1"/>
  <c r="S167" i="100" a="1"/>
  <c r="S167" i="100" s="1"/>
  <c r="R167" i="100" a="1"/>
  <c r="R167" i="100" s="1"/>
  <c r="Q167" i="100" a="1"/>
  <c r="Q167" i="100" s="1"/>
  <c r="P167" i="100" a="1"/>
  <c r="P167" i="100" s="1"/>
  <c r="O167" i="100" a="1"/>
  <c r="O167" i="100" s="1"/>
  <c r="N167" i="100" a="1"/>
  <c r="N167" i="100" s="1"/>
  <c r="M167" i="100" a="1"/>
  <c r="M167" i="100" s="1"/>
  <c r="L167" i="100" a="1"/>
  <c r="L167" i="100" s="1"/>
  <c r="K167" i="100" a="1"/>
  <c r="K167" i="100" s="1"/>
  <c r="J167" i="100" a="1"/>
  <c r="J167" i="100" s="1"/>
  <c r="I167" i="100" a="1"/>
  <c r="I167" i="100"/>
  <c r="H167" i="100" a="1"/>
  <c r="H167" i="100" s="1"/>
  <c r="G167" i="100" a="1"/>
  <c r="G167" i="100" s="1"/>
  <c r="F167" i="100" a="1"/>
  <c r="F167" i="100" s="1"/>
  <c r="E167" i="100" a="1"/>
  <c r="E167" i="100" s="1"/>
  <c r="D167" i="100" a="1"/>
  <c r="D167" i="100" s="1"/>
  <c r="AE166" i="100"/>
  <c r="T166" i="100" a="1"/>
  <c r="T166" i="100" s="1"/>
  <c r="S166" i="100" a="1"/>
  <c r="S166" i="100" s="1"/>
  <c r="R166" i="100" a="1"/>
  <c r="R166" i="100"/>
  <c r="Q166" i="100" a="1"/>
  <c r="Q166" i="100" s="1"/>
  <c r="P166" i="100" a="1"/>
  <c r="P166" i="100"/>
  <c r="O166" i="100" a="1"/>
  <c r="O166" i="100" s="1"/>
  <c r="N166" i="100" a="1"/>
  <c r="N166" i="100" s="1"/>
  <c r="AI167" i="100" s="1"/>
  <c r="M166" i="100" a="1"/>
  <c r="M166" i="100" s="1"/>
  <c r="L166" i="100" a="1"/>
  <c r="L166" i="100" s="1"/>
  <c r="K166" i="100" a="1"/>
  <c r="K166" i="100"/>
  <c r="J166" i="100" a="1"/>
  <c r="J166" i="100" s="1"/>
  <c r="I166" i="100" a="1"/>
  <c r="I166" i="100" s="1"/>
  <c r="H166" i="100" a="1"/>
  <c r="H166" i="100" s="1"/>
  <c r="G166" i="100" a="1"/>
  <c r="G166" i="100" s="1"/>
  <c r="F166" i="100" a="1"/>
  <c r="F166" i="100"/>
  <c r="E166" i="100" a="1"/>
  <c r="E166" i="100" s="1"/>
  <c r="D166" i="100" a="1"/>
  <c r="D166" i="100" s="1"/>
  <c r="T165" i="100" a="1"/>
  <c r="T165" i="100" s="1"/>
  <c r="S165" i="100" a="1"/>
  <c r="S165" i="100" s="1"/>
  <c r="R165" i="100" a="1"/>
  <c r="R165" i="100"/>
  <c r="Q165" i="100" a="1"/>
  <c r="Q165" i="100"/>
  <c r="P165" i="100" a="1"/>
  <c r="P165" i="100" s="1"/>
  <c r="O165" i="100" a="1"/>
  <c r="O165" i="100" s="1"/>
  <c r="N165" i="100" a="1"/>
  <c r="N165" i="100" s="1"/>
  <c r="M165" i="100" a="1"/>
  <c r="M165" i="100" s="1"/>
  <c r="L165" i="100" a="1"/>
  <c r="L165" i="100"/>
  <c r="K165" i="100" a="1"/>
  <c r="K165" i="100" s="1"/>
  <c r="J165" i="100" a="1"/>
  <c r="J165" i="100" s="1"/>
  <c r="AE165" i="100" s="1"/>
  <c r="I165" i="100" a="1"/>
  <c r="I165" i="100" s="1"/>
  <c r="H165" i="100" a="1"/>
  <c r="H165" i="100" s="1"/>
  <c r="G165" i="100" a="1"/>
  <c r="G165" i="100" s="1"/>
  <c r="F165" i="100" a="1"/>
  <c r="F165" i="100" s="1"/>
  <c r="E165" i="100" a="1"/>
  <c r="E165" i="100" s="1"/>
  <c r="D165" i="100" a="1"/>
  <c r="D165" i="100" s="1"/>
  <c r="T164" i="100" a="1"/>
  <c r="T164" i="100"/>
  <c r="S164" i="100" a="1"/>
  <c r="S164" i="100" s="1"/>
  <c r="R164" i="100" a="1"/>
  <c r="R164" i="100" s="1"/>
  <c r="Q164" i="100" a="1"/>
  <c r="Q164" i="100" s="1"/>
  <c r="P164" i="100" a="1"/>
  <c r="P164" i="100" s="1"/>
  <c r="AK164" i="100" s="1"/>
  <c r="O164" i="100" a="1"/>
  <c r="O164" i="100" s="1"/>
  <c r="N164" i="100" a="1"/>
  <c r="N164" i="100"/>
  <c r="M164" i="100" a="1"/>
  <c r="M164" i="100" s="1"/>
  <c r="L164" i="100" a="1"/>
  <c r="L164" i="100"/>
  <c r="K164" i="100" a="1"/>
  <c r="K164" i="100"/>
  <c r="J164" i="100" a="1"/>
  <c r="J164" i="100"/>
  <c r="I164" i="100" a="1"/>
  <c r="I164" i="100" s="1"/>
  <c r="H164" i="100" a="1"/>
  <c r="H164" i="100" s="1"/>
  <c r="G164" i="100" a="1"/>
  <c r="G164" i="100" s="1"/>
  <c r="F164" i="100" a="1"/>
  <c r="F164" i="100"/>
  <c r="E164" i="100" a="1"/>
  <c r="E164" i="100" s="1"/>
  <c r="D164" i="100" a="1"/>
  <c r="D164" i="100" s="1"/>
  <c r="T163" i="100" a="1"/>
  <c r="T163" i="100"/>
  <c r="S163" i="100" a="1"/>
  <c r="S163" i="100" s="1"/>
  <c r="R163" i="100" a="1"/>
  <c r="R163" i="100" s="1"/>
  <c r="Q163" i="100" a="1"/>
  <c r="Q163" i="100" s="1"/>
  <c r="P163" i="100" a="1"/>
  <c r="P163" i="100" s="1"/>
  <c r="O163" i="100" a="1"/>
  <c r="O163" i="100" s="1"/>
  <c r="N163" i="100" a="1"/>
  <c r="N163" i="100"/>
  <c r="M163" i="100" a="1"/>
  <c r="M163" i="100" s="1"/>
  <c r="L163" i="100" a="1"/>
  <c r="L163" i="100" s="1"/>
  <c r="K163" i="100" a="1"/>
  <c r="K163" i="100" s="1"/>
  <c r="J163" i="100" a="1"/>
  <c r="J163" i="100" s="1"/>
  <c r="I163" i="100" a="1"/>
  <c r="I163" i="100" s="1"/>
  <c r="H163" i="100" a="1"/>
  <c r="H163" i="100" s="1"/>
  <c r="G163" i="100" a="1"/>
  <c r="G163" i="100" s="1"/>
  <c r="F163" i="100" a="1"/>
  <c r="F163" i="100" s="1"/>
  <c r="E163" i="100" a="1"/>
  <c r="E163" i="100" s="1"/>
  <c r="D163" i="100" a="1"/>
  <c r="D163" i="100" s="1"/>
  <c r="T162" i="100" a="1"/>
  <c r="T162" i="100"/>
  <c r="S162" i="100" a="1"/>
  <c r="S162" i="100" s="1"/>
  <c r="R162" i="100" a="1"/>
  <c r="R162" i="100" s="1"/>
  <c r="AM162" i="100" s="1"/>
  <c r="Q162" i="100" a="1"/>
  <c r="Q162" i="100" s="1"/>
  <c r="P162" i="100" a="1"/>
  <c r="P162" i="100" s="1"/>
  <c r="O162" i="100" a="1"/>
  <c r="O162" i="100" s="1"/>
  <c r="N162" i="100" a="1"/>
  <c r="N162" i="100"/>
  <c r="M162" i="100" a="1"/>
  <c r="M162" i="100" s="1"/>
  <c r="L162" i="100" a="1"/>
  <c r="L162" i="100" s="1"/>
  <c r="K162" i="100" a="1"/>
  <c r="K162" i="100" s="1"/>
  <c r="J162" i="100" a="1"/>
  <c r="J162" i="100" s="1"/>
  <c r="I162" i="100" a="1"/>
  <c r="I162" i="100" s="1"/>
  <c r="H162" i="100" a="1"/>
  <c r="H162" i="100"/>
  <c r="G162" i="100" a="1"/>
  <c r="G162" i="100"/>
  <c r="F162" i="100" a="1"/>
  <c r="F162" i="100"/>
  <c r="E162" i="100" a="1"/>
  <c r="E162" i="100" s="1"/>
  <c r="D162" i="100" a="1"/>
  <c r="D162" i="100" s="1"/>
  <c r="Y161" i="100"/>
  <c r="T161" i="100" a="1"/>
  <c r="T161" i="100" s="1"/>
  <c r="S161" i="100" a="1"/>
  <c r="S161" i="100"/>
  <c r="R161" i="100" a="1"/>
  <c r="R161" i="100"/>
  <c r="Q161" i="100" a="1"/>
  <c r="Q161" i="100" s="1"/>
  <c r="AL161" i="100" s="1"/>
  <c r="P161" i="100" a="1"/>
  <c r="P161" i="100" s="1"/>
  <c r="O161" i="100" a="1"/>
  <c r="O161" i="100" s="1"/>
  <c r="N161" i="100" a="1"/>
  <c r="N161" i="100" s="1"/>
  <c r="M161" i="100" a="1"/>
  <c r="M161" i="100"/>
  <c r="L161" i="100" a="1"/>
  <c r="L161" i="100" s="1"/>
  <c r="K161" i="100" a="1"/>
  <c r="K161" i="100"/>
  <c r="J161" i="100" a="1"/>
  <c r="J161" i="100"/>
  <c r="I161" i="100" a="1"/>
  <c r="I161" i="100" s="1"/>
  <c r="H161" i="100" a="1"/>
  <c r="H161" i="100" s="1"/>
  <c r="G161" i="100" a="1"/>
  <c r="G161" i="100" s="1"/>
  <c r="F161" i="100" a="1"/>
  <c r="F161" i="100" s="1"/>
  <c r="E161" i="100" a="1"/>
  <c r="E161" i="100"/>
  <c r="D161" i="100" a="1"/>
  <c r="D161" i="100" s="1"/>
  <c r="T160" i="100" a="1"/>
  <c r="T160" i="100" s="1"/>
  <c r="S160" i="100" a="1"/>
  <c r="S160" i="100" s="1"/>
  <c r="R160" i="100" a="1"/>
  <c r="R160" i="100" s="1"/>
  <c r="Q160" i="100" a="1"/>
  <c r="Q160" i="100"/>
  <c r="P160" i="100" a="1"/>
  <c r="P160" i="100" s="1"/>
  <c r="O160" i="100" a="1"/>
  <c r="O160" i="100" s="1"/>
  <c r="N160" i="100" a="1"/>
  <c r="N160" i="100"/>
  <c r="M160" i="100" a="1"/>
  <c r="M160" i="100"/>
  <c r="L160" i="100" a="1"/>
  <c r="L160" i="100" s="1"/>
  <c r="K160" i="100" a="1"/>
  <c r="K160" i="100" s="1"/>
  <c r="J160" i="100" a="1"/>
  <c r="J160" i="100" s="1"/>
  <c r="I160" i="100" a="1"/>
  <c r="I160" i="100" s="1"/>
  <c r="H160" i="100" a="1"/>
  <c r="H160" i="100"/>
  <c r="G160" i="100" a="1"/>
  <c r="G160" i="100" s="1"/>
  <c r="F160" i="100" a="1"/>
  <c r="F160" i="100" s="1"/>
  <c r="E160" i="100" a="1"/>
  <c r="E160" i="100" s="1"/>
  <c r="D160" i="100" a="1"/>
  <c r="D160" i="100" s="1"/>
  <c r="T159" i="100" a="1"/>
  <c r="T159" i="100"/>
  <c r="S159" i="100" a="1"/>
  <c r="S159" i="100" s="1"/>
  <c r="R159" i="100" a="1"/>
  <c r="R159" i="100" s="1"/>
  <c r="Q159" i="100" a="1"/>
  <c r="Q159" i="100"/>
  <c r="P159" i="100" a="1"/>
  <c r="P159" i="100" s="1"/>
  <c r="O159" i="100" a="1"/>
  <c r="O159" i="100" s="1"/>
  <c r="N159" i="100" a="1"/>
  <c r="N159" i="100" s="1"/>
  <c r="M159" i="100" a="1"/>
  <c r="M159" i="100" s="1"/>
  <c r="L159" i="100" a="1"/>
  <c r="L159" i="100" s="1"/>
  <c r="K159" i="100" a="1"/>
  <c r="K159" i="100" s="1"/>
  <c r="J159" i="100" a="1"/>
  <c r="J159" i="100" s="1"/>
  <c r="I159" i="100" a="1"/>
  <c r="I159" i="100" s="1"/>
  <c r="H159" i="100" a="1"/>
  <c r="H159" i="100"/>
  <c r="G159" i="100" a="1"/>
  <c r="G159" i="100" s="1"/>
  <c r="F159" i="100" a="1"/>
  <c r="F159" i="100" s="1"/>
  <c r="E159" i="100" a="1"/>
  <c r="E159" i="100" s="1"/>
  <c r="D159" i="100" a="1"/>
  <c r="D159" i="100"/>
  <c r="T158" i="100" a="1"/>
  <c r="T158" i="100" s="1"/>
  <c r="S158" i="100" a="1"/>
  <c r="S158" i="100" s="1"/>
  <c r="R158" i="100" a="1"/>
  <c r="R158" i="100" s="1"/>
  <c r="Q158" i="100" a="1"/>
  <c r="Q158" i="100" s="1"/>
  <c r="P158" i="100" a="1"/>
  <c r="P158" i="100"/>
  <c r="O158" i="100" a="1"/>
  <c r="O158" i="100" s="1"/>
  <c r="N158" i="100" a="1"/>
  <c r="N158" i="100" s="1"/>
  <c r="M158" i="100" a="1"/>
  <c r="M158" i="100" s="1"/>
  <c r="L158" i="100" a="1"/>
  <c r="L158" i="100" s="1"/>
  <c r="K158" i="100" a="1"/>
  <c r="K158" i="100" s="1"/>
  <c r="J158" i="100" a="1"/>
  <c r="J158" i="100" s="1"/>
  <c r="AE157" i="100" s="1"/>
  <c r="I158" i="100" a="1"/>
  <c r="I158" i="100" s="1"/>
  <c r="H158" i="100" a="1"/>
  <c r="H158" i="100" s="1"/>
  <c r="AC158" i="100" s="1"/>
  <c r="G158" i="100" a="1"/>
  <c r="G158" i="100" s="1"/>
  <c r="F158" i="100" a="1"/>
  <c r="F158" i="100" s="1"/>
  <c r="E158" i="100" a="1"/>
  <c r="E158" i="100" s="1"/>
  <c r="D158" i="100" a="1"/>
  <c r="D158" i="100"/>
  <c r="T157" i="100" a="1"/>
  <c r="T157" i="100" s="1"/>
  <c r="S157" i="100" a="1"/>
  <c r="S157" i="100" s="1"/>
  <c r="R157" i="100" a="1"/>
  <c r="R157" i="100" s="1"/>
  <c r="Q157" i="100" a="1"/>
  <c r="Q157" i="100" s="1"/>
  <c r="P157" i="100" a="1"/>
  <c r="P157" i="100" s="1"/>
  <c r="O157" i="100" a="1"/>
  <c r="O157" i="100" s="1"/>
  <c r="N157" i="100" a="1"/>
  <c r="N157" i="100" s="1"/>
  <c r="M157" i="100" a="1"/>
  <c r="M157" i="100"/>
  <c r="L157" i="100" a="1"/>
  <c r="L157" i="100" s="1"/>
  <c r="K157" i="100" a="1"/>
  <c r="K157" i="100" s="1"/>
  <c r="J157" i="100" a="1"/>
  <c r="J157" i="100"/>
  <c r="I157" i="100" a="1"/>
  <c r="I157" i="100" s="1"/>
  <c r="H157" i="100" a="1"/>
  <c r="H157" i="100" s="1"/>
  <c r="G157" i="100" a="1"/>
  <c r="G157" i="100" s="1"/>
  <c r="F157" i="100" a="1"/>
  <c r="F157" i="100" s="1"/>
  <c r="E157" i="100" a="1"/>
  <c r="E157" i="100" s="1"/>
  <c r="D157" i="100" a="1"/>
  <c r="D157" i="100"/>
  <c r="T156" i="100" a="1"/>
  <c r="T156" i="100"/>
  <c r="S156" i="100" a="1"/>
  <c r="S156" i="100" s="1"/>
  <c r="R156" i="100" a="1"/>
  <c r="R156" i="100" s="1"/>
  <c r="Q156" i="100" a="1"/>
  <c r="Q156" i="100" s="1"/>
  <c r="P156" i="100" a="1"/>
  <c r="P156" i="100" s="1"/>
  <c r="O156" i="100" a="1"/>
  <c r="O156" i="100" s="1"/>
  <c r="N156" i="100" a="1"/>
  <c r="N156" i="100" s="1"/>
  <c r="AI156" i="100" s="1"/>
  <c r="M156" i="100" a="1"/>
  <c r="M156" i="100" s="1"/>
  <c r="L156" i="100" a="1"/>
  <c r="L156" i="100"/>
  <c r="K156" i="100" a="1"/>
  <c r="K156" i="100" s="1"/>
  <c r="J156" i="100" a="1"/>
  <c r="J156" i="100" s="1"/>
  <c r="I156" i="100" a="1"/>
  <c r="I156" i="100" s="1"/>
  <c r="H156" i="100" a="1"/>
  <c r="H156" i="100" s="1"/>
  <c r="G156" i="100" a="1"/>
  <c r="G156" i="100" s="1"/>
  <c r="F156" i="100" a="1"/>
  <c r="F156" i="100" s="1"/>
  <c r="E156" i="100" a="1"/>
  <c r="E156" i="100"/>
  <c r="Z156" i="100" s="1"/>
  <c r="D156" i="100" a="1"/>
  <c r="D156" i="100"/>
  <c r="T155" i="100"/>
  <c r="S155" i="100"/>
  <c r="R155" i="100"/>
  <c r="Q155" i="100"/>
  <c r="P155" i="100"/>
  <c r="O155" i="100"/>
  <c r="N155" i="100"/>
  <c r="M155" i="100"/>
  <c r="L155" i="100"/>
  <c r="K155" i="100"/>
  <c r="J155" i="100"/>
  <c r="I155" i="100"/>
  <c r="H155" i="100"/>
  <c r="G155" i="100"/>
  <c r="F155" i="100"/>
  <c r="E155" i="100"/>
  <c r="D155" i="100"/>
  <c r="T154" i="100"/>
  <c r="S154" i="100" a="1"/>
  <c r="S154" i="100"/>
  <c r="R154" i="100" a="1"/>
  <c r="R154" i="100" s="1"/>
  <c r="Q154" i="100" a="1"/>
  <c r="Q154" i="100"/>
  <c r="P154" i="100" a="1"/>
  <c r="P154" i="100" s="1"/>
  <c r="O154" i="100" a="1"/>
  <c r="O154" i="100" s="1"/>
  <c r="N154" i="100" a="1"/>
  <c r="N154" i="100" s="1"/>
  <c r="M154" i="100" a="1"/>
  <c r="M154" i="100"/>
  <c r="L154" i="100" a="1"/>
  <c r="L154" i="100"/>
  <c r="K154" i="100" a="1"/>
  <c r="K154" i="100" s="1"/>
  <c r="J154" i="100" a="1"/>
  <c r="J154" i="100" s="1"/>
  <c r="I154" i="100" a="1"/>
  <c r="I154" i="100" s="1"/>
  <c r="H154" i="100" a="1"/>
  <c r="H154" i="100"/>
  <c r="G154" i="100" a="1"/>
  <c r="G154" i="100" s="1"/>
  <c r="F154" i="100" a="1"/>
  <c r="F154" i="100" s="1"/>
  <c r="E154" i="100" a="1"/>
  <c r="E154" i="100"/>
  <c r="D154" i="100" a="1"/>
  <c r="D154" i="100"/>
  <c r="T153" i="100"/>
  <c r="S153" i="100"/>
  <c r="AN153" i="100" s="1"/>
  <c r="R153" i="100"/>
  <c r="Q153" i="100"/>
  <c r="P153" i="100"/>
  <c r="O153" i="100"/>
  <c r="N153" i="100"/>
  <c r="M153" i="100"/>
  <c r="L153" i="100"/>
  <c r="K153" i="100"/>
  <c r="J153" i="100"/>
  <c r="I153" i="100"/>
  <c r="H153" i="100"/>
  <c r="G153" i="100"/>
  <c r="F153" i="100"/>
  <c r="E153" i="100"/>
  <c r="D153" i="100"/>
  <c r="AN152" i="100"/>
  <c r="T152" i="100"/>
  <c r="S152" i="100" a="1"/>
  <c r="S152" i="100" s="1"/>
  <c r="R152" i="100" a="1"/>
  <c r="R152" i="100" s="1"/>
  <c r="Q152" i="100" a="1"/>
  <c r="Q152" i="100" s="1"/>
  <c r="P152" i="100" a="1"/>
  <c r="P152" i="100" s="1"/>
  <c r="O152" i="100" a="1"/>
  <c r="O152" i="100" s="1"/>
  <c r="N152" i="100" a="1"/>
  <c r="N152" i="100" s="1"/>
  <c r="M152" i="100" a="1"/>
  <c r="M152" i="100" s="1"/>
  <c r="L152" i="100" a="1"/>
  <c r="L152" i="100" s="1"/>
  <c r="K152" i="100" a="1"/>
  <c r="K152" i="100" s="1"/>
  <c r="J152" i="100" a="1"/>
  <c r="J152" i="100" s="1"/>
  <c r="I152" i="100" a="1"/>
  <c r="I152" i="100"/>
  <c r="H152" i="100" a="1"/>
  <c r="H152" i="100" s="1"/>
  <c r="G152" i="100" a="1"/>
  <c r="G152" i="100"/>
  <c r="F152" i="100" a="1"/>
  <c r="F152" i="100" s="1"/>
  <c r="E152" i="100" a="1"/>
  <c r="E152" i="100"/>
  <c r="D152" i="100" a="1"/>
  <c r="D152" i="100" s="1"/>
  <c r="T151" i="100"/>
  <c r="S151" i="100"/>
  <c r="R151" i="100"/>
  <c r="AM151" i="100" s="1"/>
  <c r="Q151" i="100"/>
  <c r="P151" i="100"/>
  <c r="O151" i="100"/>
  <c r="N151" i="100"/>
  <c r="M151" i="100"/>
  <c r="L151" i="100"/>
  <c r="K151" i="100"/>
  <c r="J151" i="100"/>
  <c r="I151" i="100"/>
  <c r="H151" i="100"/>
  <c r="G151" i="100"/>
  <c r="F151" i="100"/>
  <c r="E151" i="100"/>
  <c r="D151" i="100"/>
  <c r="T150" i="100"/>
  <c r="S150" i="100" a="1"/>
  <c r="S150" i="100" s="1"/>
  <c r="R150" i="100" a="1"/>
  <c r="R150" i="100" s="1"/>
  <c r="Q150" i="100" a="1"/>
  <c r="Q150" i="100" s="1"/>
  <c r="P150" i="100" a="1"/>
  <c r="P150" i="100" s="1"/>
  <c r="O150" i="100" a="1"/>
  <c r="O150" i="100" s="1"/>
  <c r="AJ150" i="100" s="1"/>
  <c r="N150" i="100" a="1"/>
  <c r="N150" i="100"/>
  <c r="M150" i="100" a="1"/>
  <c r="M150" i="100" s="1"/>
  <c r="L150" i="100" a="1"/>
  <c r="L150" i="100" s="1"/>
  <c r="K150" i="100" a="1"/>
  <c r="K150" i="100" s="1"/>
  <c r="J150" i="100" a="1"/>
  <c r="J150" i="100" s="1"/>
  <c r="I150" i="100" a="1"/>
  <c r="I150" i="100" s="1"/>
  <c r="H150" i="100" a="1"/>
  <c r="H150" i="100" s="1"/>
  <c r="G150" i="100" a="1"/>
  <c r="G150" i="100"/>
  <c r="F150" i="100" a="1"/>
  <c r="F150" i="100" s="1"/>
  <c r="E150" i="100" a="1"/>
  <c r="E150" i="100"/>
  <c r="D150" i="100" a="1"/>
  <c r="D150" i="100" s="1"/>
  <c r="T149" i="100"/>
  <c r="S149" i="100"/>
  <c r="R149" i="100"/>
  <c r="Q149" i="100"/>
  <c r="P149" i="100"/>
  <c r="O149" i="100"/>
  <c r="N149" i="100"/>
  <c r="M149" i="100"/>
  <c r="L149" i="100"/>
  <c r="K149" i="100"/>
  <c r="J149" i="100"/>
  <c r="I149" i="100"/>
  <c r="H149" i="100"/>
  <c r="G149" i="100"/>
  <c r="F149" i="100"/>
  <c r="E149" i="100"/>
  <c r="D149" i="100"/>
  <c r="T148" i="100"/>
  <c r="S148" i="100" a="1"/>
  <c r="S148" i="100" s="1"/>
  <c r="R148" i="100" a="1"/>
  <c r="R148" i="100" s="1"/>
  <c r="Q148" i="100" a="1"/>
  <c r="Q148" i="100" s="1"/>
  <c r="AL148" i="100" s="1"/>
  <c r="P148" i="100" a="1"/>
  <c r="P148" i="100" s="1"/>
  <c r="O148" i="100" a="1"/>
  <c r="O148" i="100"/>
  <c r="N148" i="100" a="1"/>
  <c r="N148" i="100" s="1"/>
  <c r="M148" i="100" a="1"/>
  <c r="M148" i="100"/>
  <c r="L148" i="100" a="1"/>
  <c r="L148" i="100" s="1"/>
  <c r="K148" i="100" a="1"/>
  <c r="K148" i="100" s="1"/>
  <c r="J148" i="100" a="1"/>
  <c r="J148" i="100" s="1"/>
  <c r="I148" i="100" a="1"/>
  <c r="I148" i="100" s="1"/>
  <c r="H148" i="100" a="1"/>
  <c r="H148" i="100"/>
  <c r="G148" i="100" a="1"/>
  <c r="G148" i="100" s="1"/>
  <c r="F148" i="100" a="1"/>
  <c r="F148" i="100" s="1"/>
  <c r="E148" i="100" a="1"/>
  <c r="E148" i="100" s="1"/>
  <c r="Z149" i="100" s="1"/>
  <c r="D148" i="100" a="1"/>
  <c r="D148" i="100"/>
  <c r="Y148" i="100" s="1"/>
  <c r="T147" i="100" a="1"/>
  <c r="T147" i="100" s="1"/>
  <c r="S147" i="100" a="1"/>
  <c r="S147" i="100" s="1"/>
  <c r="R147" i="100" a="1"/>
  <c r="R147" i="100" s="1"/>
  <c r="Q147" i="100" a="1"/>
  <c r="Q147" i="100" s="1"/>
  <c r="P147" i="100" a="1"/>
  <c r="P147" i="100" s="1"/>
  <c r="O147" i="100" a="1"/>
  <c r="O147" i="100"/>
  <c r="N147" i="100" a="1"/>
  <c r="N147" i="100"/>
  <c r="M147" i="100" a="1"/>
  <c r="M147" i="100"/>
  <c r="L147" i="100" a="1"/>
  <c r="L147" i="100" s="1"/>
  <c r="K147" i="100" a="1"/>
  <c r="K147" i="100" s="1"/>
  <c r="J147" i="100" a="1"/>
  <c r="J147" i="100" s="1"/>
  <c r="AE147" i="100" s="1"/>
  <c r="I147" i="100" a="1"/>
  <c r="I147" i="100" s="1"/>
  <c r="AD147" i="100" s="1"/>
  <c r="H147" i="100" a="1"/>
  <c r="H147" i="100" s="1"/>
  <c r="G147" i="100" a="1"/>
  <c r="G147" i="100" s="1"/>
  <c r="F147" i="100" a="1"/>
  <c r="F147" i="100"/>
  <c r="E147" i="100" a="1"/>
  <c r="E147" i="100"/>
  <c r="D147" i="100" a="1"/>
  <c r="D147" i="100" s="1"/>
  <c r="T146" i="100" a="1"/>
  <c r="T146" i="100" s="1"/>
  <c r="S146" i="100" a="1"/>
  <c r="S146" i="100"/>
  <c r="R146" i="100" a="1"/>
  <c r="R146" i="100" s="1"/>
  <c r="Q146" i="100" a="1"/>
  <c r="Q146" i="100" s="1"/>
  <c r="P146" i="100" a="1"/>
  <c r="P146" i="100" s="1"/>
  <c r="O146" i="100" a="1"/>
  <c r="O146" i="100"/>
  <c r="N146" i="100" a="1"/>
  <c r="N146" i="100" s="1"/>
  <c r="M146" i="100" a="1"/>
  <c r="M146" i="100" s="1"/>
  <c r="L146" i="100" a="1"/>
  <c r="L146" i="100" s="1"/>
  <c r="K146" i="100" a="1"/>
  <c r="K146" i="100" s="1"/>
  <c r="J146" i="100" a="1"/>
  <c r="J146" i="100"/>
  <c r="I146" i="100" a="1"/>
  <c r="I146" i="100" s="1"/>
  <c r="H146" i="100" a="1"/>
  <c r="H146" i="100" s="1"/>
  <c r="G146" i="100" a="1"/>
  <c r="G146" i="100"/>
  <c r="F146" i="100" a="1"/>
  <c r="F146" i="100" s="1"/>
  <c r="E146" i="100" a="1"/>
  <c r="E146" i="100" s="1"/>
  <c r="D146" i="100" a="1"/>
  <c r="D146" i="100"/>
  <c r="T145" i="100" a="1"/>
  <c r="T145" i="100" s="1"/>
  <c r="S145" i="100" a="1"/>
  <c r="S145" i="100" s="1"/>
  <c r="R145" i="100" a="1"/>
  <c r="R145" i="100" s="1"/>
  <c r="Q145" i="100" a="1"/>
  <c r="Q145" i="100" s="1"/>
  <c r="P145" i="100" a="1"/>
  <c r="P145" i="100" s="1"/>
  <c r="O145" i="100" a="1"/>
  <c r="O145" i="100" s="1"/>
  <c r="N145" i="100" a="1"/>
  <c r="N145" i="100" s="1"/>
  <c r="M145" i="100" a="1"/>
  <c r="M145" i="100" s="1"/>
  <c r="L145" i="100" a="1"/>
  <c r="L145" i="100" s="1"/>
  <c r="AG145" i="100" s="1"/>
  <c r="K145" i="100" a="1"/>
  <c r="K145" i="100" s="1"/>
  <c r="J145" i="100" a="1"/>
  <c r="J145" i="100"/>
  <c r="I145" i="100" a="1"/>
  <c r="I145" i="100" s="1"/>
  <c r="H145" i="100" a="1"/>
  <c r="H145" i="100" s="1"/>
  <c r="G145" i="100" a="1"/>
  <c r="G145" i="100" s="1"/>
  <c r="F145" i="100" a="1"/>
  <c r="F145" i="100" s="1"/>
  <c r="E145" i="100" a="1"/>
  <c r="E145" i="100" s="1"/>
  <c r="D145" i="100" a="1"/>
  <c r="D145" i="100" s="1"/>
  <c r="T144" i="100" a="1"/>
  <c r="T144" i="100" s="1"/>
  <c r="S144" i="100" a="1"/>
  <c r="S144" i="100" s="1"/>
  <c r="R144" i="100" a="1"/>
  <c r="R144" i="100" s="1"/>
  <c r="Q144" i="100" a="1"/>
  <c r="Q144" i="100" s="1"/>
  <c r="P144" i="100" a="1"/>
  <c r="P144" i="100" s="1"/>
  <c r="O144" i="100" a="1"/>
  <c r="O144" i="100" s="1"/>
  <c r="N144" i="100" a="1"/>
  <c r="N144" i="100" s="1"/>
  <c r="M144" i="100" a="1"/>
  <c r="M144" i="100"/>
  <c r="L144" i="100" a="1"/>
  <c r="L144" i="100" s="1"/>
  <c r="K144" i="100" a="1"/>
  <c r="K144" i="100"/>
  <c r="J144" i="100" a="1"/>
  <c r="J144" i="100" s="1"/>
  <c r="I144" i="100" a="1"/>
  <c r="I144" i="100" s="1"/>
  <c r="H144" i="100" a="1"/>
  <c r="H144" i="100" s="1"/>
  <c r="G144" i="100" a="1"/>
  <c r="G144" i="100"/>
  <c r="F144" i="100" a="1"/>
  <c r="F144" i="100" s="1"/>
  <c r="E144" i="100" a="1"/>
  <c r="E144" i="100" s="1"/>
  <c r="Z145" i="100" s="1"/>
  <c r="D144" i="100" a="1"/>
  <c r="D144" i="100" s="1"/>
  <c r="T143" i="100" a="1"/>
  <c r="T143" i="100"/>
  <c r="S143" i="100" a="1"/>
  <c r="S143" i="100" s="1"/>
  <c r="R143" i="100" a="1"/>
  <c r="R143" i="100" s="1"/>
  <c r="Q143" i="100" a="1"/>
  <c r="Q143" i="100" s="1"/>
  <c r="P143" i="100" a="1"/>
  <c r="P143" i="100" s="1"/>
  <c r="O143" i="100" a="1"/>
  <c r="O143" i="100" s="1"/>
  <c r="N143" i="100" a="1"/>
  <c r="N143" i="100" s="1"/>
  <c r="M143" i="100" a="1"/>
  <c r="M143" i="100" s="1"/>
  <c r="L143" i="100" a="1"/>
  <c r="L143" i="100"/>
  <c r="K143" i="100" a="1"/>
  <c r="K143" i="100" s="1"/>
  <c r="J143" i="100" a="1"/>
  <c r="J143" i="100" s="1"/>
  <c r="I143" i="100" a="1"/>
  <c r="I143" i="100" s="1"/>
  <c r="H143" i="100" a="1"/>
  <c r="H143" i="100"/>
  <c r="G143" i="100" a="1"/>
  <c r="G143" i="100" s="1"/>
  <c r="F143" i="100" a="1"/>
  <c r="F143" i="100" s="1"/>
  <c r="E143" i="100" a="1"/>
  <c r="E143" i="100" s="1"/>
  <c r="D143" i="100" a="1"/>
  <c r="D143" i="100" s="1"/>
  <c r="T142" i="100" a="1"/>
  <c r="T142" i="100"/>
  <c r="S142" i="100" a="1"/>
  <c r="S142" i="100" s="1"/>
  <c r="R142" i="100" a="1"/>
  <c r="R142" i="100" s="1"/>
  <c r="Q142" i="100" a="1"/>
  <c r="Q142" i="100" s="1"/>
  <c r="P142" i="100" a="1"/>
  <c r="P142" i="100" s="1"/>
  <c r="O142" i="100" a="1"/>
  <c r="O142" i="100" s="1"/>
  <c r="N142" i="100" a="1"/>
  <c r="N142" i="100"/>
  <c r="M142" i="100" a="1"/>
  <c r="M142" i="100" s="1"/>
  <c r="L142" i="100" a="1"/>
  <c r="L142" i="100"/>
  <c r="AG142" i="100" s="1"/>
  <c r="K142" i="100" a="1"/>
  <c r="K142" i="100" s="1"/>
  <c r="J142" i="100" a="1"/>
  <c r="J142" i="100" s="1"/>
  <c r="I142" i="100" a="1"/>
  <c r="I142" i="100" s="1"/>
  <c r="H142" i="100" a="1"/>
  <c r="H142" i="100" s="1"/>
  <c r="G142" i="100" a="1"/>
  <c r="G142" i="100" s="1"/>
  <c r="F142" i="100" a="1"/>
  <c r="F142" i="100" s="1"/>
  <c r="E142" i="100" a="1"/>
  <c r="E142" i="100" s="1"/>
  <c r="D142" i="100" a="1"/>
  <c r="D142" i="100" s="1"/>
  <c r="T141" i="100" a="1"/>
  <c r="T141" i="100" s="1"/>
  <c r="S141" i="100" a="1"/>
  <c r="S141" i="100" s="1"/>
  <c r="R141" i="100" a="1"/>
  <c r="R141" i="100" s="1"/>
  <c r="Q141" i="100" a="1"/>
  <c r="Q141" i="100" s="1"/>
  <c r="P141" i="100" a="1"/>
  <c r="P141" i="100" s="1"/>
  <c r="O141" i="100" a="1"/>
  <c r="O141" i="100" s="1"/>
  <c r="N141" i="100" a="1"/>
  <c r="N141" i="100"/>
  <c r="M141" i="100" a="1"/>
  <c r="M141" i="100" s="1"/>
  <c r="L141" i="100" a="1"/>
  <c r="L141" i="100"/>
  <c r="K141" i="100" a="1"/>
  <c r="K141" i="100"/>
  <c r="J141" i="100" a="1"/>
  <c r="J141" i="100" s="1"/>
  <c r="I141" i="100" a="1"/>
  <c r="I141" i="100" s="1"/>
  <c r="H141" i="100" a="1"/>
  <c r="H141" i="100"/>
  <c r="G141" i="100" a="1"/>
  <c r="G141" i="100" s="1"/>
  <c r="F141" i="100" a="1"/>
  <c r="F141" i="100" s="1"/>
  <c r="E141" i="100" a="1"/>
  <c r="E141" i="100" s="1"/>
  <c r="D141" i="100" a="1"/>
  <c r="D141" i="100" s="1"/>
  <c r="T140" i="100"/>
  <c r="S140" i="100" a="1"/>
  <c r="S140" i="100" s="1"/>
  <c r="R140" i="100" a="1"/>
  <c r="R140" i="100"/>
  <c r="Q140" i="100" a="1"/>
  <c r="Q140" i="100" s="1"/>
  <c r="P140" i="100" a="1"/>
  <c r="P140" i="100"/>
  <c r="O140" i="100" a="1"/>
  <c r="O140" i="100" s="1"/>
  <c r="N140" i="100" a="1"/>
  <c r="N140" i="100" s="1"/>
  <c r="M140" i="100" a="1"/>
  <c r="M140" i="100" s="1"/>
  <c r="L140" i="100" a="1"/>
  <c r="L140" i="100"/>
  <c r="K140" i="100" a="1"/>
  <c r="K140" i="100" s="1"/>
  <c r="J140" i="100" a="1"/>
  <c r="J140" i="100"/>
  <c r="I140" i="100" a="1"/>
  <c r="I140" i="100" s="1"/>
  <c r="H140" i="100" a="1"/>
  <c r="H140" i="100"/>
  <c r="G140" i="100" a="1"/>
  <c r="G140" i="100" s="1"/>
  <c r="F140" i="100" a="1"/>
  <c r="F140" i="100"/>
  <c r="E140" i="100" a="1"/>
  <c r="E140" i="100" s="1"/>
  <c r="D140" i="100" a="1"/>
  <c r="D140" i="100" s="1"/>
  <c r="T139" i="100" a="1"/>
  <c r="T139" i="100" s="1"/>
  <c r="S139" i="100" a="1"/>
  <c r="S139" i="100" s="1"/>
  <c r="R139" i="100" a="1"/>
  <c r="R139" i="100" s="1"/>
  <c r="Q139" i="100" a="1"/>
  <c r="Q139" i="100" s="1"/>
  <c r="P139" i="100" a="1"/>
  <c r="P139" i="100" s="1"/>
  <c r="O139" i="100" a="1"/>
  <c r="O139" i="100" s="1"/>
  <c r="N139" i="100" a="1"/>
  <c r="N139" i="100" s="1"/>
  <c r="M139" i="100" a="1"/>
  <c r="M139" i="100" s="1"/>
  <c r="L139" i="100" a="1"/>
  <c r="L139" i="100" s="1"/>
  <c r="K139" i="100" a="1"/>
  <c r="K139" i="100" s="1"/>
  <c r="J139" i="100" a="1"/>
  <c r="J139" i="100"/>
  <c r="I139" i="100" a="1"/>
  <c r="I139" i="100"/>
  <c r="H139" i="100" a="1"/>
  <c r="H139" i="100" s="1"/>
  <c r="G139" i="100" a="1"/>
  <c r="G139" i="100" s="1"/>
  <c r="F139" i="100" a="1"/>
  <c r="F139" i="100" s="1"/>
  <c r="E139" i="100" a="1"/>
  <c r="E139" i="100" s="1"/>
  <c r="D139" i="100" a="1"/>
  <c r="D139" i="100" s="1"/>
  <c r="T138" i="100" a="1"/>
  <c r="T138" i="100"/>
  <c r="S138" i="100" a="1"/>
  <c r="S138" i="100" s="1"/>
  <c r="R138" i="100" a="1"/>
  <c r="R138" i="100"/>
  <c r="Q138" i="100" a="1"/>
  <c r="Q138" i="100" s="1"/>
  <c r="P138" i="100" a="1"/>
  <c r="P138" i="100" s="1"/>
  <c r="O138" i="100" a="1"/>
  <c r="O138" i="100" s="1"/>
  <c r="N138" i="100" a="1"/>
  <c r="N138" i="100"/>
  <c r="M138" i="100" a="1"/>
  <c r="M138" i="100" s="1"/>
  <c r="L138" i="100" a="1"/>
  <c r="L138" i="100"/>
  <c r="K138" i="100" a="1"/>
  <c r="K138" i="100" s="1"/>
  <c r="J138" i="100" a="1"/>
  <c r="J138" i="100"/>
  <c r="I138" i="100" a="1"/>
  <c r="I138" i="100" s="1"/>
  <c r="H138" i="100" a="1"/>
  <c r="H138" i="100" s="1"/>
  <c r="G138" i="100" a="1"/>
  <c r="G138" i="100" s="1"/>
  <c r="F138" i="100" a="1"/>
  <c r="F138" i="100"/>
  <c r="E138" i="100" a="1"/>
  <c r="E138" i="100" s="1"/>
  <c r="D138" i="100" a="1"/>
  <c r="D138" i="100"/>
  <c r="T137" i="100" a="1"/>
  <c r="T137" i="100" s="1"/>
  <c r="S137" i="100" a="1"/>
  <c r="S137" i="100" s="1"/>
  <c r="R137" i="100" a="1"/>
  <c r="R137" i="100" s="1"/>
  <c r="Q137" i="100" a="1"/>
  <c r="Q137" i="100" s="1"/>
  <c r="P137" i="100" a="1"/>
  <c r="P137" i="100" s="1"/>
  <c r="O137" i="100" a="1"/>
  <c r="O137" i="100"/>
  <c r="N137" i="100" a="1"/>
  <c r="N137" i="100" s="1"/>
  <c r="M137" i="100" a="1"/>
  <c r="M137" i="100" s="1"/>
  <c r="L137" i="100" a="1"/>
  <c r="L137" i="100" s="1"/>
  <c r="K137" i="100" a="1"/>
  <c r="K137" i="100" s="1"/>
  <c r="J137" i="100" a="1"/>
  <c r="J137" i="100" s="1"/>
  <c r="I137" i="100" a="1"/>
  <c r="I137" i="100" s="1"/>
  <c r="H137" i="100" a="1"/>
  <c r="H137" i="100" s="1"/>
  <c r="G137" i="100" a="1"/>
  <c r="G137" i="100"/>
  <c r="F137" i="100" a="1"/>
  <c r="F137" i="100" s="1"/>
  <c r="E137" i="100" a="1"/>
  <c r="E137" i="100" s="1"/>
  <c r="D137" i="100" a="1"/>
  <c r="D137" i="100" s="1"/>
  <c r="Y138" i="100" s="1"/>
  <c r="T136" i="100"/>
  <c r="S136" i="100" a="1"/>
  <c r="S136" i="100" s="1"/>
  <c r="R136" i="100" a="1"/>
  <c r="R136" i="100" s="1"/>
  <c r="Q136" i="100" a="1"/>
  <c r="Q136" i="100" s="1"/>
  <c r="P136" i="100" a="1"/>
  <c r="P136" i="100" s="1"/>
  <c r="O136" i="100" a="1"/>
  <c r="O136" i="100" s="1"/>
  <c r="N136" i="100" a="1"/>
  <c r="N136" i="100" s="1"/>
  <c r="M136" i="100" a="1"/>
  <c r="M136" i="100" s="1"/>
  <c r="L136" i="100" a="1"/>
  <c r="L136" i="100" s="1"/>
  <c r="K136" i="100" a="1"/>
  <c r="K136" i="100" s="1"/>
  <c r="J136" i="100" a="1"/>
  <c r="J136" i="100"/>
  <c r="I136" i="100" a="1"/>
  <c r="I136" i="100" s="1"/>
  <c r="H136" i="100" a="1"/>
  <c r="H136" i="100"/>
  <c r="G136" i="100" a="1"/>
  <c r="G136" i="100" s="1"/>
  <c r="F136" i="100" a="1"/>
  <c r="F136" i="100"/>
  <c r="E136" i="100" a="1"/>
  <c r="E136" i="100"/>
  <c r="D136" i="100" a="1"/>
  <c r="D136" i="100" s="1"/>
  <c r="T135" i="100"/>
  <c r="S135" i="100"/>
  <c r="R135" i="100"/>
  <c r="Q135" i="100"/>
  <c r="P135" i="100"/>
  <c r="O135" i="100"/>
  <c r="N135" i="100"/>
  <c r="M135" i="100"/>
  <c r="L135" i="100"/>
  <c r="K135" i="100"/>
  <c r="J135" i="100"/>
  <c r="I135" i="100"/>
  <c r="H135" i="100"/>
  <c r="G135" i="100"/>
  <c r="F135" i="100"/>
  <c r="E135" i="100"/>
  <c r="D135" i="100"/>
  <c r="T134" i="100"/>
  <c r="S134" i="100" a="1"/>
  <c r="S134" i="100" s="1"/>
  <c r="R134" i="100" a="1"/>
  <c r="R134" i="100" s="1"/>
  <c r="AM134" i="100" s="1"/>
  <c r="Q134" i="100" a="1"/>
  <c r="Q134" i="100" s="1"/>
  <c r="P134" i="100" a="1"/>
  <c r="P134" i="100" s="1"/>
  <c r="AK135" i="100" s="1"/>
  <c r="O134" i="100" a="1"/>
  <c r="O134" i="100" s="1"/>
  <c r="N134" i="100" a="1"/>
  <c r="N134" i="100" s="1"/>
  <c r="M134" i="100" a="1"/>
  <c r="M134" i="100" s="1"/>
  <c r="L134" i="100" a="1"/>
  <c r="L134" i="100"/>
  <c r="K134" i="100" a="1"/>
  <c r="K134" i="100" s="1"/>
  <c r="J134" i="100" a="1"/>
  <c r="J134" i="100" s="1"/>
  <c r="I134" i="100" a="1"/>
  <c r="I134" i="100" s="1"/>
  <c r="H134" i="100" a="1"/>
  <c r="H134" i="100"/>
  <c r="G134" i="100" a="1"/>
  <c r="G134" i="100" s="1"/>
  <c r="F134" i="100" a="1"/>
  <c r="F134" i="100" s="1"/>
  <c r="E134" i="100" a="1"/>
  <c r="E134" i="100" s="1"/>
  <c r="D134" i="100" a="1"/>
  <c r="D134" i="100"/>
  <c r="T133" i="100"/>
  <c r="S133" i="100" a="1"/>
  <c r="S133" i="100"/>
  <c r="R133" i="100" a="1"/>
  <c r="R133" i="100" s="1"/>
  <c r="Q133" i="100" a="1"/>
  <c r="Q133" i="100" s="1"/>
  <c r="P133" i="100" a="1"/>
  <c r="P133" i="100" s="1"/>
  <c r="O133" i="100" a="1"/>
  <c r="O133" i="100"/>
  <c r="N133" i="100" a="1"/>
  <c r="N133" i="100" s="1"/>
  <c r="M133" i="100" a="1"/>
  <c r="M133" i="100" s="1"/>
  <c r="L133" i="100" a="1"/>
  <c r="L133" i="100" s="1"/>
  <c r="K133" i="100" a="1"/>
  <c r="K133" i="100" s="1"/>
  <c r="J133" i="100" a="1"/>
  <c r="J133" i="100" s="1"/>
  <c r="I133" i="100" a="1"/>
  <c r="I133" i="100" s="1"/>
  <c r="H133" i="100" a="1"/>
  <c r="H133" i="100" s="1"/>
  <c r="G133" i="100" a="1"/>
  <c r="G133" i="100" s="1"/>
  <c r="F133" i="100" a="1"/>
  <c r="F133" i="100"/>
  <c r="E133" i="100" a="1"/>
  <c r="E133" i="100"/>
  <c r="D133" i="100" a="1"/>
  <c r="D133" i="100" s="1"/>
  <c r="AM132" i="100"/>
  <c r="T132" i="100"/>
  <c r="S132" i="100" a="1"/>
  <c r="S132" i="100" s="1"/>
  <c r="R132" i="100" a="1"/>
  <c r="R132" i="100"/>
  <c r="Q132" i="100" a="1"/>
  <c r="Q132" i="100"/>
  <c r="P132" i="100" a="1"/>
  <c r="P132" i="100" s="1"/>
  <c r="O132" i="100" a="1"/>
  <c r="O132" i="100" s="1"/>
  <c r="N132" i="100" a="1"/>
  <c r="N132" i="100" s="1"/>
  <c r="M132" i="100" a="1"/>
  <c r="M132" i="100" s="1"/>
  <c r="L132" i="100" a="1"/>
  <c r="L132" i="100" s="1"/>
  <c r="K132" i="100" a="1"/>
  <c r="K132" i="100" s="1"/>
  <c r="J132" i="100" a="1"/>
  <c r="J132" i="100"/>
  <c r="I132" i="100" a="1"/>
  <c r="I132" i="100" s="1"/>
  <c r="H132" i="100" a="1"/>
  <c r="H132" i="100"/>
  <c r="G132" i="100" a="1"/>
  <c r="G132" i="100" s="1"/>
  <c r="F132" i="100" a="1"/>
  <c r="F132" i="100" s="1"/>
  <c r="E132" i="100" a="1"/>
  <c r="E132" i="100" s="1"/>
  <c r="D132" i="100" a="1"/>
  <c r="D132" i="100" s="1"/>
  <c r="T131" i="100" a="1"/>
  <c r="T131" i="100" s="1"/>
  <c r="S131" i="100" a="1"/>
  <c r="S131" i="100" s="1"/>
  <c r="R131" i="100" a="1"/>
  <c r="R131" i="100" s="1"/>
  <c r="Q131" i="100" a="1"/>
  <c r="Q131" i="100" s="1"/>
  <c r="P131" i="100" a="1"/>
  <c r="P131" i="100" s="1"/>
  <c r="O131" i="100" a="1"/>
  <c r="O131" i="100" s="1"/>
  <c r="N131" i="100" a="1"/>
  <c r="N131" i="100"/>
  <c r="M131" i="100" a="1"/>
  <c r="M131" i="100" s="1"/>
  <c r="L131" i="100" a="1"/>
  <c r="L131" i="100" s="1"/>
  <c r="K131" i="100" a="1"/>
  <c r="K131" i="100" s="1"/>
  <c r="J131" i="100" a="1"/>
  <c r="J131" i="100" s="1"/>
  <c r="I131" i="100" a="1"/>
  <c r="I131" i="100" s="1"/>
  <c r="H131" i="100" a="1"/>
  <c r="H131" i="100"/>
  <c r="G131" i="100" a="1"/>
  <c r="G131" i="100" s="1"/>
  <c r="F131" i="100" a="1"/>
  <c r="F131" i="100" s="1"/>
  <c r="E131" i="100" a="1"/>
  <c r="E131" i="100" s="1"/>
  <c r="D131" i="100" a="1"/>
  <c r="D131" i="100" s="1"/>
  <c r="T130" i="100" a="1"/>
  <c r="T130" i="100"/>
  <c r="S130" i="100" a="1"/>
  <c r="S130" i="100"/>
  <c r="R130" i="100" a="1"/>
  <c r="R130" i="100" s="1"/>
  <c r="Q130" i="100" a="1"/>
  <c r="Q130" i="100"/>
  <c r="P130" i="100" a="1"/>
  <c r="P130" i="100" s="1"/>
  <c r="O130" i="100" a="1"/>
  <c r="O130" i="100" s="1"/>
  <c r="N130" i="100" a="1"/>
  <c r="N130" i="100" s="1"/>
  <c r="M130" i="100" a="1"/>
  <c r="M130" i="100"/>
  <c r="L130" i="100" a="1"/>
  <c r="L130" i="100" s="1"/>
  <c r="K130" i="100" a="1"/>
  <c r="K130" i="100"/>
  <c r="J130" i="100" a="1"/>
  <c r="J130" i="100" s="1"/>
  <c r="I130" i="100" a="1"/>
  <c r="I130" i="100" s="1"/>
  <c r="H130" i="100" a="1"/>
  <c r="H130" i="100"/>
  <c r="G130" i="100" a="1"/>
  <c r="G130" i="100" s="1"/>
  <c r="F130" i="100" a="1"/>
  <c r="F130" i="100" s="1"/>
  <c r="E130" i="100" a="1"/>
  <c r="E130" i="100"/>
  <c r="D130" i="100" a="1"/>
  <c r="D130" i="100"/>
  <c r="T129" i="100" a="1"/>
  <c r="T129" i="100" s="1"/>
  <c r="S129" i="100" a="1"/>
  <c r="S129" i="100" s="1"/>
  <c r="R129" i="100" a="1"/>
  <c r="R129" i="100" s="1"/>
  <c r="Q129" i="100" a="1"/>
  <c r="Q129" i="100" s="1"/>
  <c r="P129" i="100" a="1"/>
  <c r="P129" i="100" s="1"/>
  <c r="O129" i="100" a="1"/>
  <c r="O129" i="100" s="1"/>
  <c r="N129" i="100" a="1"/>
  <c r="N129" i="100" s="1"/>
  <c r="M129" i="100" a="1"/>
  <c r="M129" i="100"/>
  <c r="L129" i="100" a="1"/>
  <c r="L129" i="100"/>
  <c r="K129" i="100" a="1"/>
  <c r="K129" i="100" s="1"/>
  <c r="J129" i="100" a="1"/>
  <c r="J129" i="100" s="1"/>
  <c r="I129" i="100" a="1"/>
  <c r="I129" i="100" s="1"/>
  <c r="H129" i="100" a="1"/>
  <c r="H129" i="100" s="1"/>
  <c r="G129" i="100" a="1"/>
  <c r="G129" i="100" s="1"/>
  <c r="F129" i="100" a="1"/>
  <c r="F129" i="100" s="1"/>
  <c r="E129" i="100" a="1"/>
  <c r="E129" i="100" s="1"/>
  <c r="Z129" i="100" s="1"/>
  <c r="D129" i="100" a="1"/>
  <c r="D129" i="100" s="1"/>
  <c r="T128" i="100"/>
  <c r="S128" i="100" a="1"/>
  <c r="S128" i="100"/>
  <c r="R128" i="100" a="1"/>
  <c r="R128" i="100" s="1"/>
  <c r="Q128" i="100" a="1"/>
  <c r="Q128" i="100" s="1"/>
  <c r="P128" i="100" a="1"/>
  <c r="P128" i="100" s="1"/>
  <c r="O128" i="100" a="1"/>
  <c r="O128" i="100" s="1"/>
  <c r="AJ128" i="100" s="1"/>
  <c r="N128" i="100" a="1"/>
  <c r="N128" i="100" s="1"/>
  <c r="M128" i="100" a="1"/>
  <c r="M128" i="100" s="1"/>
  <c r="L128" i="100" a="1"/>
  <c r="L128" i="100" s="1"/>
  <c r="K128" i="100" a="1"/>
  <c r="K128" i="100" s="1"/>
  <c r="J128" i="100" a="1"/>
  <c r="J128" i="100" s="1"/>
  <c r="I128" i="100" a="1"/>
  <c r="I128" i="100"/>
  <c r="H128" i="100" a="1"/>
  <c r="H128" i="100" s="1"/>
  <c r="G128" i="100" a="1"/>
  <c r="G128" i="100"/>
  <c r="F128" i="100" a="1"/>
  <c r="F128" i="100" s="1"/>
  <c r="E128" i="100" a="1"/>
  <c r="E128" i="100" s="1"/>
  <c r="D128" i="100" a="1"/>
  <c r="D128" i="100" s="1"/>
  <c r="T127" i="100" a="1"/>
  <c r="T127" i="100" s="1"/>
  <c r="S127" i="100" a="1"/>
  <c r="S127" i="100" s="1"/>
  <c r="R127" i="100" a="1"/>
  <c r="R127" i="100" s="1"/>
  <c r="Q127" i="100" a="1"/>
  <c r="Q127" i="100"/>
  <c r="P127" i="100" a="1"/>
  <c r="P127" i="100" s="1"/>
  <c r="O127" i="100" a="1"/>
  <c r="O127" i="100" s="1"/>
  <c r="N127" i="100" a="1"/>
  <c r="N127" i="100" s="1"/>
  <c r="M127" i="100" a="1"/>
  <c r="M127" i="100"/>
  <c r="L127" i="100" a="1"/>
  <c r="L127" i="100" s="1"/>
  <c r="K127" i="100" a="1"/>
  <c r="K127" i="100" s="1"/>
  <c r="J127" i="100" a="1"/>
  <c r="J127" i="100" s="1"/>
  <c r="I127" i="100" a="1"/>
  <c r="I127" i="100"/>
  <c r="H127" i="100" a="1"/>
  <c r="H127" i="100" s="1"/>
  <c r="G127" i="100" a="1"/>
  <c r="G127" i="100" s="1"/>
  <c r="F127" i="100" a="1"/>
  <c r="F127" i="100" s="1"/>
  <c r="E127" i="100" a="1"/>
  <c r="E127" i="100" s="1"/>
  <c r="D127" i="100" a="1"/>
  <c r="D127" i="100" s="1"/>
  <c r="T126" i="100" a="1"/>
  <c r="T126" i="100" s="1"/>
  <c r="S126" i="100" a="1"/>
  <c r="S126" i="100" s="1"/>
  <c r="R126" i="100" a="1"/>
  <c r="R126" i="100"/>
  <c r="Q126" i="100" a="1"/>
  <c r="Q126" i="100" s="1"/>
  <c r="P126" i="100" a="1"/>
  <c r="P126" i="100" s="1"/>
  <c r="O126" i="100" a="1"/>
  <c r="O126" i="100" s="1"/>
  <c r="N126" i="100" a="1"/>
  <c r="N126" i="100" s="1"/>
  <c r="M126" i="100" a="1"/>
  <c r="M126" i="100" s="1"/>
  <c r="L126" i="100" a="1"/>
  <c r="L126" i="100" s="1"/>
  <c r="K126" i="100" a="1"/>
  <c r="K126" i="100" s="1"/>
  <c r="J126" i="100" a="1"/>
  <c r="J126" i="100" s="1"/>
  <c r="I126" i="100" a="1"/>
  <c r="I126" i="100" s="1"/>
  <c r="H126" i="100" a="1"/>
  <c r="H126" i="100" s="1"/>
  <c r="G126" i="100" a="1"/>
  <c r="G126" i="100" s="1"/>
  <c r="F126" i="100" a="1"/>
  <c r="F126" i="100" s="1"/>
  <c r="E126" i="100" a="1"/>
  <c r="E126" i="100" s="1"/>
  <c r="D126" i="100" a="1"/>
  <c r="D126" i="100" s="1"/>
  <c r="T125" i="100" a="1"/>
  <c r="T125" i="100" s="1"/>
  <c r="S125" i="100" a="1"/>
  <c r="S125" i="100" s="1"/>
  <c r="R125" i="100" a="1"/>
  <c r="R125" i="100" s="1"/>
  <c r="Q125" i="100" a="1"/>
  <c r="Q125" i="100" s="1"/>
  <c r="P125" i="100" a="1"/>
  <c r="P125" i="100" s="1"/>
  <c r="O125" i="100" a="1"/>
  <c r="O125" i="100" s="1"/>
  <c r="N125" i="100" a="1"/>
  <c r="N125" i="100" s="1"/>
  <c r="M125" i="100" a="1"/>
  <c r="M125" i="100" s="1"/>
  <c r="L125" i="100" a="1"/>
  <c r="L125" i="100" s="1"/>
  <c r="K125" i="100" a="1"/>
  <c r="K125" i="100" s="1"/>
  <c r="J125" i="100" a="1"/>
  <c r="J125" i="100" s="1"/>
  <c r="I125" i="100" a="1"/>
  <c r="I125" i="100" s="1"/>
  <c r="H125" i="100" a="1"/>
  <c r="H125" i="100" s="1"/>
  <c r="G125" i="100" a="1"/>
  <c r="G125" i="100" s="1"/>
  <c r="F125" i="100" a="1"/>
  <c r="F125" i="100" s="1"/>
  <c r="E125" i="100" a="1"/>
  <c r="E125" i="100" s="1"/>
  <c r="D125" i="100" a="1"/>
  <c r="D125" i="100"/>
  <c r="T124" i="100"/>
  <c r="S124" i="100" a="1"/>
  <c r="S124" i="100" s="1"/>
  <c r="R124" i="100" a="1"/>
  <c r="R124" i="100" s="1"/>
  <c r="Q124" i="100" a="1"/>
  <c r="Q124" i="100"/>
  <c r="P124" i="100" a="1"/>
  <c r="P124" i="100" s="1"/>
  <c r="O124" i="100" a="1"/>
  <c r="O124" i="100" s="1"/>
  <c r="N124" i="100" a="1"/>
  <c r="N124" i="100" s="1"/>
  <c r="M124" i="100" a="1"/>
  <c r="M124" i="100" s="1"/>
  <c r="L124" i="100" a="1"/>
  <c r="L124" i="100"/>
  <c r="K124" i="100" a="1"/>
  <c r="K124" i="100" s="1"/>
  <c r="J124" i="100" a="1"/>
  <c r="J124" i="100" s="1"/>
  <c r="I124" i="100" a="1"/>
  <c r="I124" i="100" s="1"/>
  <c r="H124" i="100" a="1"/>
  <c r="H124" i="100" s="1"/>
  <c r="G124" i="100" a="1"/>
  <c r="G124" i="100"/>
  <c r="F124" i="100" a="1"/>
  <c r="F124" i="100" s="1"/>
  <c r="E124" i="100" a="1"/>
  <c r="E124" i="100" s="1"/>
  <c r="D124" i="100" a="1"/>
  <c r="D124" i="100" s="1"/>
  <c r="T123" i="100"/>
  <c r="S123" i="100"/>
  <c r="R123" i="100"/>
  <c r="Q123" i="100"/>
  <c r="P123" i="100"/>
  <c r="O123" i="100"/>
  <c r="N123" i="100"/>
  <c r="M123" i="100"/>
  <c r="L123" i="100"/>
  <c r="K123" i="100"/>
  <c r="J123" i="100"/>
  <c r="I123" i="100"/>
  <c r="H123" i="100"/>
  <c r="G123" i="100"/>
  <c r="F123" i="100"/>
  <c r="E123" i="100"/>
  <c r="D123" i="100"/>
  <c r="T122" i="100"/>
  <c r="S122" i="100" a="1"/>
  <c r="S122" i="100" s="1"/>
  <c r="R122" i="100" a="1"/>
  <c r="R122" i="100" s="1"/>
  <c r="Q122" i="100" a="1"/>
  <c r="Q122" i="100"/>
  <c r="P122" i="100" a="1"/>
  <c r="P122" i="100" s="1"/>
  <c r="O122" i="100" a="1"/>
  <c r="O122" i="100"/>
  <c r="N122" i="100" a="1"/>
  <c r="N122" i="100" s="1"/>
  <c r="M122" i="100" a="1"/>
  <c r="M122" i="100"/>
  <c r="L122" i="100" a="1"/>
  <c r="L122" i="100"/>
  <c r="K122" i="100" a="1"/>
  <c r="K122" i="100"/>
  <c r="J122" i="100" a="1"/>
  <c r="J122" i="100" s="1"/>
  <c r="I122" i="100" a="1"/>
  <c r="I122" i="100" s="1"/>
  <c r="H122" i="100" a="1"/>
  <c r="H122" i="100" s="1"/>
  <c r="G122" i="100" a="1"/>
  <c r="G122" i="100"/>
  <c r="F122" i="100" a="1"/>
  <c r="F122" i="100" s="1"/>
  <c r="E122" i="100" a="1"/>
  <c r="E122" i="100"/>
  <c r="D122" i="100" a="1"/>
  <c r="D122" i="100" s="1"/>
  <c r="T121" i="100"/>
  <c r="S121" i="100" a="1"/>
  <c r="S121" i="100"/>
  <c r="R121" i="100" a="1"/>
  <c r="R121" i="100" s="1"/>
  <c r="Q121" i="100" a="1"/>
  <c r="Q121" i="100" s="1"/>
  <c r="P121" i="100" a="1"/>
  <c r="P121" i="100" s="1"/>
  <c r="O121" i="100" a="1"/>
  <c r="O121" i="100" s="1"/>
  <c r="N121" i="100" a="1"/>
  <c r="N121" i="100" s="1"/>
  <c r="M121" i="100" a="1"/>
  <c r="M121" i="100"/>
  <c r="L121" i="100" a="1"/>
  <c r="L121" i="100" s="1"/>
  <c r="K121" i="100" a="1"/>
  <c r="K121" i="100" s="1"/>
  <c r="J121" i="100" a="1"/>
  <c r="J121" i="100" s="1"/>
  <c r="I121" i="100" a="1"/>
  <c r="I121" i="100" s="1"/>
  <c r="H121" i="100" a="1"/>
  <c r="H121" i="100" s="1"/>
  <c r="G121" i="100" a="1"/>
  <c r="G121" i="100" s="1"/>
  <c r="F121" i="100" a="1"/>
  <c r="F121" i="100" s="1"/>
  <c r="E121" i="100" a="1"/>
  <c r="E121" i="100" s="1"/>
  <c r="D121" i="100" a="1"/>
  <c r="D121" i="100" s="1"/>
  <c r="T120" i="100"/>
  <c r="S120" i="100" a="1"/>
  <c r="S120" i="100" s="1"/>
  <c r="R120" i="100" a="1"/>
  <c r="R120" i="100" s="1"/>
  <c r="Q120" i="100" a="1"/>
  <c r="Q120" i="100" s="1"/>
  <c r="P120" i="100" a="1"/>
  <c r="P120" i="100" s="1"/>
  <c r="O120" i="100" a="1"/>
  <c r="O120" i="100" s="1"/>
  <c r="N120" i="100" a="1"/>
  <c r="N120" i="100" s="1"/>
  <c r="M120" i="100" a="1"/>
  <c r="M120" i="100" s="1"/>
  <c r="L120" i="100" a="1"/>
  <c r="L120" i="100"/>
  <c r="K120" i="100" a="1"/>
  <c r="K120" i="100" s="1"/>
  <c r="J120" i="100" a="1"/>
  <c r="J120" i="100" s="1"/>
  <c r="I120" i="100" a="1"/>
  <c r="I120" i="100" s="1"/>
  <c r="H120" i="100" a="1"/>
  <c r="H120" i="100" s="1"/>
  <c r="G120" i="100" a="1"/>
  <c r="G120" i="100" s="1"/>
  <c r="F120" i="100" a="1"/>
  <c r="F120" i="100"/>
  <c r="E120" i="100" a="1"/>
  <c r="E120" i="100" s="1"/>
  <c r="D120" i="100" a="1"/>
  <c r="D120" i="100" s="1"/>
  <c r="T119" i="100"/>
  <c r="S119" i="100"/>
  <c r="R119" i="100"/>
  <c r="Q119" i="100"/>
  <c r="P119" i="100"/>
  <c r="O119" i="100"/>
  <c r="N119" i="100"/>
  <c r="M119" i="100"/>
  <c r="L119" i="100"/>
  <c r="K119" i="100"/>
  <c r="J119" i="100"/>
  <c r="I119" i="100"/>
  <c r="H119" i="100"/>
  <c r="G119" i="100"/>
  <c r="F119" i="100"/>
  <c r="E119" i="100"/>
  <c r="D119" i="100"/>
  <c r="T118" i="100"/>
  <c r="S118" i="100" a="1"/>
  <c r="S118" i="100" s="1"/>
  <c r="R118" i="100" a="1"/>
  <c r="R118" i="100" s="1"/>
  <c r="Q118" i="100" a="1"/>
  <c r="Q118" i="100"/>
  <c r="P118" i="100" a="1"/>
  <c r="P118" i="100" s="1"/>
  <c r="O118" i="100" a="1"/>
  <c r="O118" i="100"/>
  <c r="N118" i="100" a="1"/>
  <c r="N118" i="100" s="1"/>
  <c r="M118" i="100" a="1"/>
  <c r="M118" i="100"/>
  <c r="L118" i="100" a="1"/>
  <c r="L118" i="100" s="1"/>
  <c r="K118" i="100" a="1"/>
  <c r="K118" i="100"/>
  <c r="J118" i="100" a="1"/>
  <c r="J118" i="100" s="1"/>
  <c r="I118" i="100" a="1"/>
  <c r="I118" i="100" s="1"/>
  <c r="H118" i="100" a="1"/>
  <c r="H118" i="100" s="1"/>
  <c r="G118" i="100" a="1"/>
  <c r="G118" i="100" s="1"/>
  <c r="F118" i="100" a="1"/>
  <c r="F118" i="100" s="1"/>
  <c r="E118" i="100" a="1"/>
  <c r="E118" i="100" s="1"/>
  <c r="D118" i="100" a="1"/>
  <c r="D118" i="100" s="1"/>
  <c r="T117" i="100"/>
  <c r="S117" i="100" a="1"/>
  <c r="S117" i="100" s="1"/>
  <c r="R117" i="100" a="1"/>
  <c r="R117" i="100" s="1"/>
  <c r="Q117" i="100" a="1"/>
  <c r="Q117" i="100" s="1"/>
  <c r="P117" i="100" a="1"/>
  <c r="P117" i="100" s="1"/>
  <c r="O117" i="100" a="1"/>
  <c r="O117" i="100" s="1"/>
  <c r="N117" i="100" a="1"/>
  <c r="N117" i="100" s="1"/>
  <c r="M117" i="100" a="1"/>
  <c r="M117" i="100" s="1"/>
  <c r="L117" i="100" a="1"/>
  <c r="L117" i="100" s="1"/>
  <c r="K117" i="100" a="1"/>
  <c r="K117" i="100" s="1"/>
  <c r="J117" i="100" a="1"/>
  <c r="J117" i="100" s="1"/>
  <c r="I117" i="100" a="1"/>
  <c r="I117" i="100" s="1"/>
  <c r="H117" i="100" a="1"/>
  <c r="H117" i="100" s="1"/>
  <c r="G117" i="100" a="1"/>
  <c r="G117" i="100" s="1"/>
  <c r="F117" i="100" a="1"/>
  <c r="F117" i="100" s="1"/>
  <c r="E117" i="100" a="1"/>
  <c r="E117" i="100" s="1"/>
  <c r="D117" i="100" a="1"/>
  <c r="D117" i="100" s="1"/>
  <c r="T116" i="100"/>
  <c r="S116" i="100" a="1"/>
  <c r="S116" i="100" s="1"/>
  <c r="R116" i="100" a="1"/>
  <c r="R116" i="100"/>
  <c r="Q116" i="100" a="1"/>
  <c r="Q116" i="100"/>
  <c r="P116" i="100" a="1"/>
  <c r="P116" i="100"/>
  <c r="O116" i="100" a="1"/>
  <c r="O116" i="100" s="1"/>
  <c r="N116" i="100" a="1"/>
  <c r="N116" i="100" s="1"/>
  <c r="M116" i="100" a="1"/>
  <c r="M116" i="100"/>
  <c r="L116" i="100" a="1"/>
  <c r="L116" i="100" s="1"/>
  <c r="K116" i="100" a="1"/>
  <c r="K116" i="100" s="1"/>
  <c r="J116" i="100" a="1"/>
  <c r="J116" i="100" s="1"/>
  <c r="I116" i="100" a="1"/>
  <c r="I116" i="100" s="1"/>
  <c r="H116" i="100" a="1"/>
  <c r="H116" i="100"/>
  <c r="G116" i="100" a="1"/>
  <c r="G116" i="100" s="1"/>
  <c r="F116" i="100" a="1"/>
  <c r="F116" i="100" s="1"/>
  <c r="E116" i="100" a="1"/>
  <c r="E116" i="100"/>
  <c r="D116" i="100" a="1"/>
  <c r="D116" i="100" s="1"/>
  <c r="T115" i="100" a="1"/>
  <c r="T115" i="100" s="1"/>
  <c r="S115" i="100" a="1"/>
  <c r="S115" i="100"/>
  <c r="R115" i="100" a="1"/>
  <c r="R115" i="100" s="1"/>
  <c r="Q115" i="100" a="1"/>
  <c r="Q115" i="100" s="1"/>
  <c r="P115" i="100" a="1"/>
  <c r="P115" i="100" s="1"/>
  <c r="O115" i="100" a="1"/>
  <c r="O115" i="100"/>
  <c r="N115" i="100" a="1"/>
  <c r="N115" i="100" s="1"/>
  <c r="M115" i="100" a="1"/>
  <c r="M115" i="100" s="1"/>
  <c r="L115" i="100" a="1"/>
  <c r="L115" i="100" s="1"/>
  <c r="K115" i="100" a="1"/>
  <c r="K115" i="100"/>
  <c r="J115" i="100" a="1"/>
  <c r="J115" i="100" s="1"/>
  <c r="I115" i="100" a="1"/>
  <c r="I115" i="100" s="1"/>
  <c r="H115" i="100" a="1"/>
  <c r="H115" i="100" s="1"/>
  <c r="G115" i="100" a="1"/>
  <c r="G115" i="100" s="1"/>
  <c r="F115" i="100" a="1"/>
  <c r="F115" i="100" s="1"/>
  <c r="E115" i="100" a="1"/>
  <c r="E115" i="100" s="1"/>
  <c r="D115" i="100" a="1"/>
  <c r="D115" i="100" s="1"/>
  <c r="T114" i="100" a="1"/>
  <c r="T114" i="100" s="1"/>
  <c r="S114" i="100" a="1"/>
  <c r="S114" i="100" s="1"/>
  <c r="R114" i="100" a="1"/>
  <c r="R114" i="100" s="1"/>
  <c r="Q114" i="100" a="1"/>
  <c r="Q114" i="100" s="1"/>
  <c r="P114" i="100" a="1"/>
  <c r="P114" i="100" s="1"/>
  <c r="O114" i="100" a="1"/>
  <c r="O114" i="100"/>
  <c r="N114" i="100" a="1"/>
  <c r="N114" i="100" s="1"/>
  <c r="M114" i="100" a="1"/>
  <c r="M114" i="100"/>
  <c r="L114" i="100" a="1"/>
  <c r="L114" i="100" s="1"/>
  <c r="K114" i="100" a="1"/>
  <c r="K114" i="100"/>
  <c r="J114" i="100" a="1"/>
  <c r="J114" i="100"/>
  <c r="I114" i="100" a="1"/>
  <c r="I114" i="100" s="1"/>
  <c r="H114" i="100" a="1"/>
  <c r="H114" i="100" s="1"/>
  <c r="G114" i="100" a="1"/>
  <c r="G114" i="100"/>
  <c r="F114" i="100" a="1"/>
  <c r="F114" i="100"/>
  <c r="E114" i="100" a="1"/>
  <c r="E114" i="100" s="1"/>
  <c r="D114" i="100" a="1"/>
  <c r="D114" i="100" s="1"/>
  <c r="T113" i="100" a="1"/>
  <c r="T113" i="100" s="1"/>
  <c r="S113" i="100" a="1"/>
  <c r="S113" i="100" s="1"/>
  <c r="R113" i="100" a="1"/>
  <c r="R113" i="100" s="1"/>
  <c r="Q113" i="100" a="1"/>
  <c r="Q113" i="100" s="1"/>
  <c r="P113" i="100" a="1"/>
  <c r="P113" i="100"/>
  <c r="O113" i="100" a="1"/>
  <c r="O113" i="100" s="1"/>
  <c r="N113" i="100" a="1"/>
  <c r="N113" i="100" s="1"/>
  <c r="M113" i="100" a="1"/>
  <c r="M113" i="100"/>
  <c r="L113" i="100" a="1"/>
  <c r="L113" i="100" s="1"/>
  <c r="K113" i="100" a="1"/>
  <c r="K113" i="100" s="1"/>
  <c r="J113" i="100" a="1"/>
  <c r="J113" i="100" s="1"/>
  <c r="I113" i="100" a="1"/>
  <c r="I113" i="100" s="1"/>
  <c r="H113" i="100" a="1"/>
  <c r="H113" i="100"/>
  <c r="G113" i="100" a="1"/>
  <c r="G113" i="100" s="1"/>
  <c r="F113" i="100" a="1"/>
  <c r="F113" i="100" s="1"/>
  <c r="E113" i="100" a="1"/>
  <c r="E113" i="100" s="1"/>
  <c r="D113" i="100" a="1"/>
  <c r="D113" i="100" s="1"/>
  <c r="T112" i="100"/>
  <c r="S112" i="100" a="1"/>
  <c r="S112" i="100" s="1"/>
  <c r="R112" i="100" a="1"/>
  <c r="R112" i="100" s="1"/>
  <c r="Q112" i="100" a="1"/>
  <c r="Q112" i="100"/>
  <c r="P112" i="100" a="1"/>
  <c r="P112" i="100"/>
  <c r="O112" i="100" a="1"/>
  <c r="O112" i="100" s="1"/>
  <c r="N112" i="100" a="1"/>
  <c r="N112" i="100" s="1"/>
  <c r="M112" i="100" a="1"/>
  <c r="M112" i="100"/>
  <c r="L112" i="100" a="1"/>
  <c r="L112" i="100"/>
  <c r="K112" i="100" a="1"/>
  <c r="K112" i="100" s="1"/>
  <c r="J112" i="100" a="1"/>
  <c r="J112" i="100" s="1"/>
  <c r="I112" i="100" a="1"/>
  <c r="I112" i="100" s="1"/>
  <c r="H112" i="100" a="1"/>
  <c r="H112" i="100" s="1"/>
  <c r="G112" i="100" a="1"/>
  <c r="G112" i="100" s="1"/>
  <c r="F112" i="100" a="1"/>
  <c r="F112" i="100" s="1"/>
  <c r="E112" i="100" a="1"/>
  <c r="E112" i="100"/>
  <c r="D112" i="100" a="1"/>
  <c r="D112" i="100"/>
  <c r="T111" i="100"/>
  <c r="S111" i="100"/>
  <c r="R111" i="100"/>
  <c r="Q111" i="100"/>
  <c r="P111" i="100"/>
  <c r="O111" i="100"/>
  <c r="N111" i="100"/>
  <c r="M111" i="100"/>
  <c r="L111" i="100"/>
  <c r="K111" i="100"/>
  <c r="J111" i="100"/>
  <c r="I111" i="100"/>
  <c r="H111" i="100"/>
  <c r="G111" i="100"/>
  <c r="F111" i="100"/>
  <c r="E111" i="100"/>
  <c r="D111" i="100"/>
  <c r="T110" i="100"/>
  <c r="S110" i="100" a="1"/>
  <c r="S110" i="100" s="1"/>
  <c r="AN110" i="100" s="1"/>
  <c r="R110" i="100" a="1"/>
  <c r="R110" i="100"/>
  <c r="Q110" i="100" a="1"/>
  <c r="Q110" i="100"/>
  <c r="P110" i="100" a="1"/>
  <c r="P110" i="100"/>
  <c r="O110" i="100" a="1"/>
  <c r="O110" i="100"/>
  <c r="N110" i="100" a="1"/>
  <c r="N110" i="100"/>
  <c r="M110" i="100" a="1"/>
  <c r="M110" i="100" s="1"/>
  <c r="L110" i="100" a="1"/>
  <c r="L110" i="100"/>
  <c r="K110" i="100" a="1"/>
  <c r="K110" i="100"/>
  <c r="J110" i="100" a="1"/>
  <c r="J110" i="100"/>
  <c r="I110" i="100" a="1"/>
  <c r="I110" i="100"/>
  <c r="H110" i="100" a="1"/>
  <c r="H110" i="100"/>
  <c r="G110" i="100" a="1"/>
  <c r="G110" i="100" s="1"/>
  <c r="F110" i="100" a="1"/>
  <c r="F110" i="100" s="1"/>
  <c r="E110" i="100" a="1"/>
  <c r="E110" i="100" s="1"/>
  <c r="D110" i="100" a="1"/>
  <c r="D110" i="100"/>
  <c r="T109" i="100"/>
  <c r="S109" i="100" a="1"/>
  <c r="S109" i="100"/>
  <c r="R109" i="100" a="1"/>
  <c r="R109" i="100" s="1"/>
  <c r="Q109" i="100" a="1"/>
  <c r="Q109" i="100" s="1"/>
  <c r="P109" i="100" a="1"/>
  <c r="P109" i="100" s="1"/>
  <c r="O109" i="100" a="1"/>
  <c r="O109" i="100"/>
  <c r="N109" i="100" a="1"/>
  <c r="N109" i="100"/>
  <c r="M109" i="100" a="1"/>
  <c r="M109" i="100"/>
  <c r="L109" i="100" a="1"/>
  <c r="L109" i="100"/>
  <c r="K109" i="100" a="1"/>
  <c r="K109" i="100" s="1"/>
  <c r="J109" i="100" a="1"/>
  <c r="J109" i="100" s="1"/>
  <c r="I109" i="100" a="1"/>
  <c r="I109" i="100"/>
  <c r="H109" i="100" a="1"/>
  <c r="H109" i="100" s="1"/>
  <c r="G109" i="100" a="1"/>
  <c r="G109" i="100"/>
  <c r="F109" i="100" a="1"/>
  <c r="F109" i="100" s="1"/>
  <c r="AA109" i="100" s="1"/>
  <c r="E109" i="100" a="1"/>
  <c r="E109" i="100"/>
  <c r="D109" i="100" a="1"/>
  <c r="D109" i="100" s="1"/>
  <c r="T108" i="100"/>
  <c r="S108" i="100" a="1"/>
  <c r="S108" i="100" s="1"/>
  <c r="R108" i="100" a="1"/>
  <c r="R108" i="100" s="1"/>
  <c r="Q108" i="100" a="1"/>
  <c r="Q108" i="100" s="1"/>
  <c r="P108" i="100" a="1"/>
  <c r="P108" i="100"/>
  <c r="O108" i="100" a="1"/>
  <c r="O108" i="100" s="1"/>
  <c r="N108" i="100" a="1"/>
  <c r="N108" i="100" s="1"/>
  <c r="M108" i="100" a="1"/>
  <c r="M108" i="100" s="1"/>
  <c r="L108" i="100" a="1"/>
  <c r="L108" i="100"/>
  <c r="K108" i="100" a="1"/>
  <c r="K108" i="100" s="1"/>
  <c r="J108" i="100" a="1"/>
  <c r="J108" i="100" s="1"/>
  <c r="I108" i="100" a="1"/>
  <c r="I108" i="100" s="1"/>
  <c r="H108" i="100" a="1"/>
  <c r="H108" i="100" s="1"/>
  <c r="G108" i="100" a="1"/>
  <c r="G108" i="100" s="1"/>
  <c r="F108" i="100" a="1"/>
  <c r="F108" i="100" s="1"/>
  <c r="E108" i="100" a="1"/>
  <c r="E108" i="100" s="1"/>
  <c r="D108" i="100" a="1"/>
  <c r="D108" i="100"/>
  <c r="T103" i="100"/>
  <c r="S103" i="100"/>
  <c r="R103" i="100"/>
  <c r="Q103" i="100"/>
  <c r="P103" i="100"/>
  <c r="O103" i="100"/>
  <c r="N103" i="100"/>
  <c r="M103" i="100"/>
  <c r="L103" i="100"/>
  <c r="K103" i="100"/>
  <c r="J103" i="100"/>
  <c r="I103" i="100"/>
  <c r="H103" i="100"/>
  <c r="G103" i="100"/>
  <c r="F103" i="100"/>
  <c r="E103" i="100"/>
  <c r="D103" i="100"/>
  <c r="T102" i="100"/>
  <c r="S102" i="100"/>
  <c r="R102" i="100"/>
  <c r="Q102" i="100"/>
  <c r="P102" i="100"/>
  <c r="O102" i="100"/>
  <c r="N102" i="100"/>
  <c r="M102" i="100"/>
  <c r="L102" i="100"/>
  <c r="K102" i="100"/>
  <c r="J102" i="100"/>
  <c r="I102" i="100"/>
  <c r="H102" i="100"/>
  <c r="G102" i="100"/>
  <c r="F102" i="100"/>
  <c r="E102" i="100"/>
  <c r="D102" i="100"/>
  <c r="T101" i="100"/>
  <c r="S101" i="100"/>
  <c r="R101" i="100"/>
  <c r="Q101" i="100"/>
  <c r="P101" i="100"/>
  <c r="O101" i="100"/>
  <c r="N101" i="100"/>
  <c r="M101" i="100"/>
  <c r="L101" i="100"/>
  <c r="K101" i="100"/>
  <c r="AF101" i="100" s="1"/>
  <c r="J101" i="100"/>
  <c r="I101" i="100"/>
  <c r="H101" i="100"/>
  <c r="G101" i="100"/>
  <c r="F101" i="100"/>
  <c r="E101" i="100"/>
  <c r="D101" i="100"/>
  <c r="T100" i="100"/>
  <c r="S100" i="100"/>
  <c r="AN101" i="100" s="1"/>
  <c r="R100" i="100"/>
  <c r="Q100" i="100"/>
  <c r="P100" i="100"/>
  <c r="O100" i="100"/>
  <c r="N100" i="100"/>
  <c r="M100" i="100"/>
  <c r="L100" i="100"/>
  <c r="K100" i="100"/>
  <c r="J100" i="100"/>
  <c r="I100" i="100"/>
  <c r="H100" i="100"/>
  <c r="G100" i="100"/>
  <c r="F100" i="100"/>
  <c r="E100" i="100"/>
  <c r="D100" i="100"/>
  <c r="T99" i="100"/>
  <c r="S99" i="100"/>
  <c r="R99" i="100"/>
  <c r="Q99" i="100"/>
  <c r="P99" i="100"/>
  <c r="O99" i="100"/>
  <c r="N99" i="100"/>
  <c r="M99" i="100"/>
  <c r="L99" i="100"/>
  <c r="K99" i="100"/>
  <c r="J99" i="100"/>
  <c r="I99" i="100"/>
  <c r="H99" i="100"/>
  <c r="G99" i="100"/>
  <c r="F99" i="100"/>
  <c r="E99" i="100"/>
  <c r="D99" i="100"/>
  <c r="T98" i="100"/>
  <c r="S98" i="100"/>
  <c r="R98" i="100"/>
  <c r="Q98" i="100"/>
  <c r="P98" i="100"/>
  <c r="O98" i="100"/>
  <c r="N98" i="100"/>
  <c r="M98" i="100"/>
  <c r="L98" i="100"/>
  <c r="K98" i="100"/>
  <c r="J98" i="100"/>
  <c r="I98" i="100"/>
  <c r="H98" i="100"/>
  <c r="G98" i="100"/>
  <c r="F98" i="100"/>
  <c r="E98" i="100"/>
  <c r="D98" i="100"/>
  <c r="T97" i="100"/>
  <c r="S97" i="100"/>
  <c r="R97" i="100"/>
  <c r="Q97" i="100"/>
  <c r="P97" i="100"/>
  <c r="O97" i="100"/>
  <c r="N97" i="100"/>
  <c r="M97" i="100"/>
  <c r="L97" i="100"/>
  <c r="K97" i="100"/>
  <c r="J97" i="100"/>
  <c r="I97" i="100"/>
  <c r="H97" i="100"/>
  <c r="G97" i="100"/>
  <c r="F97" i="100"/>
  <c r="E97" i="100"/>
  <c r="D97" i="100"/>
  <c r="T96" i="100"/>
  <c r="S96" i="100"/>
  <c r="R96" i="100"/>
  <c r="Q96" i="100"/>
  <c r="P96" i="100"/>
  <c r="O96" i="100"/>
  <c r="N96" i="100"/>
  <c r="M96" i="100"/>
  <c r="L96" i="100"/>
  <c r="K96" i="100"/>
  <c r="J96" i="100"/>
  <c r="I96" i="100"/>
  <c r="H96" i="100"/>
  <c r="G96" i="100"/>
  <c r="F96" i="100"/>
  <c r="E96" i="100"/>
  <c r="D96" i="100"/>
  <c r="T95" i="100"/>
  <c r="S95" i="100"/>
  <c r="R95" i="100"/>
  <c r="Q95" i="100"/>
  <c r="P95" i="100"/>
  <c r="O95" i="100"/>
  <c r="N95" i="100"/>
  <c r="M95" i="100"/>
  <c r="L95" i="100"/>
  <c r="K95" i="100"/>
  <c r="J95" i="100"/>
  <c r="I95" i="100"/>
  <c r="H95" i="100"/>
  <c r="G95" i="100"/>
  <c r="F95" i="100"/>
  <c r="E95" i="100"/>
  <c r="D95" i="100"/>
  <c r="T94" i="100"/>
  <c r="S94" i="100"/>
  <c r="R94" i="100"/>
  <c r="Q94" i="100"/>
  <c r="P94" i="100"/>
  <c r="O94" i="100"/>
  <c r="N94" i="100"/>
  <c r="M94" i="100"/>
  <c r="L94" i="100"/>
  <c r="K94" i="100"/>
  <c r="J94" i="100"/>
  <c r="I94" i="100"/>
  <c r="H94" i="100"/>
  <c r="G94" i="100"/>
  <c r="F94" i="100"/>
  <c r="E94" i="100"/>
  <c r="D94" i="100"/>
  <c r="T93" i="100"/>
  <c r="S93" i="100"/>
  <c r="R93" i="100"/>
  <c r="Q93" i="100"/>
  <c r="P93" i="100"/>
  <c r="O93" i="100"/>
  <c r="AJ93" i="100" s="1"/>
  <c r="N93" i="100"/>
  <c r="M93" i="100"/>
  <c r="L93" i="100"/>
  <c r="K93" i="100"/>
  <c r="J93" i="100"/>
  <c r="I93" i="100"/>
  <c r="H93" i="100"/>
  <c r="G93" i="100"/>
  <c r="F93" i="100"/>
  <c r="E93" i="100"/>
  <c r="D93" i="100"/>
  <c r="T92" i="100"/>
  <c r="S92" i="100"/>
  <c r="R92" i="100"/>
  <c r="Q92" i="100"/>
  <c r="P92" i="100"/>
  <c r="O92" i="100"/>
  <c r="N92" i="100"/>
  <c r="M92" i="100"/>
  <c r="L92" i="100"/>
  <c r="K92" i="100"/>
  <c r="J92" i="100"/>
  <c r="I92" i="100"/>
  <c r="H92" i="100"/>
  <c r="G92" i="100"/>
  <c r="F92" i="100"/>
  <c r="E92" i="100"/>
  <c r="D92" i="100"/>
  <c r="T91" i="100"/>
  <c r="S91" i="100"/>
  <c r="R91" i="100"/>
  <c r="Q91" i="100"/>
  <c r="P91" i="100"/>
  <c r="O91" i="100"/>
  <c r="N91" i="100"/>
  <c r="M91" i="100"/>
  <c r="L91" i="100"/>
  <c r="K91" i="100"/>
  <c r="J91" i="100"/>
  <c r="I91" i="100"/>
  <c r="H91" i="100"/>
  <c r="AC92" i="100" s="1"/>
  <c r="G91" i="100"/>
  <c r="F91" i="100"/>
  <c r="E91" i="100"/>
  <c r="D91" i="100"/>
  <c r="T90" i="100"/>
  <c r="S90" i="100"/>
  <c r="R90" i="100"/>
  <c r="Q90" i="100"/>
  <c r="P90" i="100"/>
  <c r="O90" i="100"/>
  <c r="N90" i="100"/>
  <c r="M90" i="100"/>
  <c r="L90" i="100"/>
  <c r="K90" i="100"/>
  <c r="J90" i="100"/>
  <c r="I90" i="100"/>
  <c r="H90" i="100"/>
  <c r="G90" i="100"/>
  <c r="F90" i="100"/>
  <c r="E90" i="100"/>
  <c r="D90" i="100"/>
  <c r="T89" i="100"/>
  <c r="S89" i="100"/>
  <c r="R89" i="100"/>
  <c r="Q89" i="100"/>
  <c r="P89" i="100"/>
  <c r="O89" i="100"/>
  <c r="AJ89" i="100" s="1"/>
  <c r="N89" i="100"/>
  <c r="M89" i="100"/>
  <c r="L89" i="100"/>
  <c r="K89" i="100"/>
  <c r="J89" i="100"/>
  <c r="I89" i="100"/>
  <c r="H89" i="100"/>
  <c r="G89" i="100"/>
  <c r="F89" i="100"/>
  <c r="E89" i="100"/>
  <c r="D89" i="100"/>
  <c r="T88" i="100"/>
  <c r="S88" i="100"/>
  <c r="R88" i="100"/>
  <c r="Q88" i="100"/>
  <c r="P88" i="100"/>
  <c r="O88" i="100"/>
  <c r="N88" i="100"/>
  <c r="M88" i="100"/>
  <c r="L88" i="100"/>
  <c r="K88" i="100"/>
  <c r="J88" i="100"/>
  <c r="I88" i="100"/>
  <c r="H88" i="100"/>
  <c r="G88" i="100"/>
  <c r="F88" i="100"/>
  <c r="E88" i="100"/>
  <c r="D88" i="100"/>
  <c r="T87" i="100"/>
  <c r="S87" i="100"/>
  <c r="R87" i="100"/>
  <c r="Q87" i="100"/>
  <c r="P87" i="100"/>
  <c r="O87" i="100"/>
  <c r="N87" i="100"/>
  <c r="M87" i="100"/>
  <c r="L87" i="100"/>
  <c r="K87" i="100"/>
  <c r="J87" i="100"/>
  <c r="I87" i="100"/>
  <c r="H87" i="100"/>
  <c r="G87" i="100"/>
  <c r="F87" i="100"/>
  <c r="E87" i="100"/>
  <c r="D87" i="100"/>
  <c r="T86" i="100"/>
  <c r="S86" i="100"/>
  <c r="R86" i="100"/>
  <c r="AM86" i="100" s="1"/>
  <c r="Q86" i="100"/>
  <c r="P86" i="100"/>
  <c r="O86" i="100"/>
  <c r="N86" i="100"/>
  <c r="M86" i="100"/>
  <c r="L86" i="100"/>
  <c r="K86" i="100"/>
  <c r="J86" i="100"/>
  <c r="I86" i="100"/>
  <c r="H86" i="100"/>
  <c r="G86" i="100"/>
  <c r="F86" i="100"/>
  <c r="E86" i="100"/>
  <c r="D86" i="100"/>
  <c r="T85" i="100"/>
  <c r="S85" i="100"/>
  <c r="R85" i="100"/>
  <c r="Q85" i="100"/>
  <c r="P85" i="100"/>
  <c r="O85" i="100"/>
  <c r="N85" i="100"/>
  <c r="M85" i="100"/>
  <c r="L85" i="100"/>
  <c r="K85" i="100"/>
  <c r="J85" i="100"/>
  <c r="I85" i="100"/>
  <c r="H85" i="100"/>
  <c r="G85" i="100"/>
  <c r="F85" i="100"/>
  <c r="E85" i="100"/>
  <c r="D85" i="100"/>
  <c r="T84" i="100"/>
  <c r="S84" i="100"/>
  <c r="R84" i="100"/>
  <c r="Q84" i="100"/>
  <c r="P84" i="100"/>
  <c r="O84" i="100"/>
  <c r="N84" i="100"/>
  <c r="M84" i="100"/>
  <c r="L84" i="100"/>
  <c r="K84" i="100"/>
  <c r="J84" i="100"/>
  <c r="I84" i="100"/>
  <c r="H84" i="100"/>
  <c r="G84" i="100"/>
  <c r="F84" i="100"/>
  <c r="E84" i="100"/>
  <c r="D84" i="100"/>
  <c r="T83" i="100"/>
  <c r="S83" i="100"/>
  <c r="R83" i="100"/>
  <c r="Q83" i="100"/>
  <c r="P83" i="100"/>
  <c r="O83" i="100"/>
  <c r="N83" i="100"/>
  <c r="M83" i="100"/>
  <c r="L83" i="100"/>
  <c r="K83" i="100"/>
  <c r="J83" i="100"/>
  <c r="I83" i="100"/>
  <c r="H83" i="100"/>
  <c r="G83" i="100"/>
  <c r="F83" i="100"/>
  <c r="E83" i="100"/>
  <c r="D83" i="100"/>
  <c r="T82" i="100"/>
  <c r="S82" i="100"/>
  <c r="R82" i="100"/>
  <c r="Q82" i="100"/>
  <c r="P82" i="100"/>
  <c r="O82" i="100"/>
  <c r="N82" i="100"/>
  <c r="M82" i="100"/>
  <c r="L82" i="100"/>
  <c r="K82" i="100"/>
  <c r="J82" i="100"/>
  <c r="I82" i="100"/>
  <c r="H82" i="100"/>
  <c r="G82" i="100"/>
  <c r="F82" i="100"/>
  <c r="E82" i="100"/>
  <c r="D82" i="100"/>
  <c r="T81" i="100"/>
  <c r="S81" i="100"/>
  <c r="R81" i="100"/>
  <c r="Q81" i="100"/>
  <c r="P81" i="100"/>
  <c r="O81" i="100"/>
  <c r="N81" i="100"/>
  <c r="M81" i="100"/>
  <c r="L81" i="100"/>
  <c r="K81" i="100"/>
  <c r="J81" i="100"/>
  <c r="I81" i="100"/>
  <c r="H81" i="100"/>
  <c r="G81" i="100"/>
  <c r="F81" i="100"/>
  <c r="E81" i="100"/>
  <c r="D81" i="100"/>
  <c r="T80" i="100"/>
  <c r="S80" i="100"/>
  <c r="R80" i="100"/>
  <c r="Q80" i="100"/>
  <c r="P80" i="100"/>
  <c r="O80" i="100"/>
  <c r="N80" i="100"/>
  <c r="M80" i="100"/>
  <c r="L80" i="100"/>
  <c r="K80" i="100"/>
  <c r="J80" i="100"/>
  <c r="I80" i="100"/>
  <c r="H80" i="100"/>
  <c r="G80" i="100"/>
  <c r="F80" i="100"/>
  <c r="E80" i="100"/>
  <c r="D80" i="100"/>
  <c r="T79" i="100"/>
  <c r="S79" i="100"/>
  <c r="R79" i="100"/>
  <c r="Q79" i="100"/>
  <c r="P79" i="100"/>
  <c r="O79" i="100"/>
  <c r="N79" i="100"/>
  <c r="M79" i="100"/>
  <c r="L79" i="100"/>
  <c r="K79" i="100"/>
  <c r="J79" i="100"/>
  <c r="I79" i="100"/>
  <c r="H79" i="100"/>
  <c r="G79" i="100"/>
  <c r="F79" i="100"/>
  <c r="E79" i="100"/>
  <c r="D79" i="100"/>
  <c r="T78" i="100"/>
  <c r="S78" i="100"/>
  <c r="R78" i="100"/>
  <c r="Q78" i="100"/>
  <c r="P78" i="100"/>
  <c r="O78" i="100"/>
  <c r="N78" i="100"/>
  <c r="M78" i="100"/>
  <c r="L78" i="100"/>
  <c r="K78" i="100"/>
  <c r="J78" i="100"/>
  <c r="I78" i="100"/>
  <c r="H78" i="100"/>
  <c r="G78" i="100"/>
  <c r="F78" i="100"/>
  <c r="E78" i="100"/>
  <c r="D78" i="100"/>
  <c r="T77" i="100"/>
  <c r="S77" i="100"/>
  <c r="R77" i="100"/>
  <c r="Q77" i="100"/>
  <c r="P77" i="100"/>
  <c r="O77" i="100"/>
  <c r="N77" i="100"/>
  <c r="M77" i="100"/>
  <c r="L77" i="100"/>
  <c r="K77" i="100"/>
  <c r="J77" i="100"/>
  <c r="I77" i="100"/>
  <c r="H77" i="100"/>
  <c r="G77" i="100"/>
  <c r="F77" i="100"/>
  <c r="E77" i="100"/>
  <c r="D77" i="100"/>
  <c r="T76" i="100"/>
  <c r="S76" i="100"/>
  <c r="R76" i="100"/>
  <c r="Q76" i="100"/>
  <c r="P76" i="100"/>
  <c r="O76" i="100"/>
  <c r="N76" i="100"/>
  <c r="M76" i="100"/>
  <c r="AH76" i="100" s="1"/>
  <c r="L76" i="100"/>
  <c r="K76" i="100"/>
  <c r="J76" i="100"/>
  <c r="I76" i="100"/>
  <c r="H76" i="100"/>
  <c r="G76" i="100"/>
  <c r="F76" i="100"/>
  <c r="E76" i="100"/>
  <c r="D76" i="100"/>
  <c r="T75" i="100"/>
  <c r="S75" i="100"/>
  <c r="R75" i="100"/>
  <c r="Q75" i="100"/>
  <c r="P75" i="100"/>
  <c r="O75" i="100"/>
  <c r="N75" i="100"/>
  <c r="AI75" i="100" s="1"/>
  <c r="M75" i="100"/>
  <c r="L75" i="100"/>
  <c r="K75" i="100"/>
  <c r="J75" i="100"/>
  <c r="I75" i="100"/>
  <c r="H75" i="100"/>
  <c r="AC75" i="100" s="1"/>
  <c r="G75" i="100"/>
  <c r="F75" i="100"/>
  <c r="E75" i="100"/>
  <c r="D75" i="100"/>
  <c r="Y75" i="100" s="1"/>
  <c r="T74" i="100"/>
  <c r="S74" i="100"/>
  <c r="R74" i="100"/>
  <c r="Q74" i="100"/>
  <c r="P74" i="100"/>
  <c r="O74" i="100"/>
  <c r="N74" i="100"/>
  <c r="M74" i="100"/>
  <c r="L74" i="100"/>
  <c r="K74" i="100"/>
  <c r="J74" i="100"/>
  <c r="I74" i="100"/>
  <c r="H74" i="100"/>
  <c r="G74" i="100"/>
  <c r="F74" i="100"/>
  <c r="E74" i="100"/>
  <c r="D74" i="100"/>
  <c r="T73" i="100"/>
  <c r="S73" i="100"/>
  <c r="R73" i="100"/>
  <c r="Q73" i="100"/>
  <c r="P73" i="100"/>
  <c r="O73" i="100"/>
  <c r="N73" i="100"/>
  <c r="M73" i="100"/>
  <c r="L73" i="100"/>
  <c r="K73" i="100"/>
  <c r="J73" i="100"/>
  <c r="I73" i="100"/>
  <c r="H73" i="100"/>
  <c r="G73" i="100"/>
  <c r="F73" i="100"/>
  <c r="E73" i="100"/>
  <c r="D73" i="100"/>
  <c r="T72" i="100"/>
  <c r="S72" i="100"/>
  <c r="R72" i="100"/>
  <c r="Q72" i="100"/>
  <c r="P72" i="100"/>
  <c r="O72" i="100"/>
  <c r="N72" i="100"/>
  <c r="M72" i="100"/>
  <c r="L72" i="100"/>
  <c r="K72" i="100"/>
  <c r="J72" i="100"/>
  <c r="I72" i="100"/>
  <c r="H72" i="100"/>
  <c r="G72" i="100"/>
  <c r="F72" i="100"/>
  <c r="E72" i="100"/>
  <c r="D72" i="100"/>
  <c r="Y71" i="100" s="1"/>
  <c r="T71" i="100"/>
  <c r="S71" i="100"/>
  <c r="AN72" i="100" s="1"/>
  <c r="R71" i="100"/>
  <c r="Q71" i="100"/>
  <c r="P71" i="100"/>
  <c r="O71" i="100"/>
  <c r="N71" i="100"/>
  <c r="M71" i="100"/>
  <c r="L71" i="100"/>
  <c r="K71" i="100"/>
  <c r="J71" i="100"/>
  <c r="I71" i="100"/>
  <c r="H71" i="100"/>
  <c r="G71" i="100"/>
  <c r="F71" i="100"/>
  <c r="E71" i="100"/>
  <c r="D71" i="100"/>
  <c r="AN70" i="100"/>
  <c r="T70" i="100"/>
  <c r="S70" i="100"/>
  <c r="R70" i="100"/>
  <c r="Q70" i="100"/>
  <c r="P70" i="100"/>
  <c r="O70" i="100"/>
  <c r="N70" i="100"/>
  <c r="M70" i="100"/>
  <c r="L70" i="100"/>
  <c r="K70" i="100"/>
  <c r="J70" i="100"/>
  <c r="I70" i="100"/>
  <c r="H70" i="100"/>
  <c r="G70" i="100"/>
  <c r="F70" i="100"/>
  <c r="E70" i="100"/>
  <c r="D70" i="100"/>
  <c r="T69" i="100"/>
  <c r="S69" i="100"/>
  <c r="R69" i="100"/>
  <c r="Q69" i="100"/>
  <c r="P69" i="100"/>
  <c r="O69" i="100"/>
  <c r="N69" i="100"/>
  <c r="M69" i="100"/>
  <c r="L69" i="100"/>
  <c r="K69" i="100"/>
  <c r="J69" i="100"/>
  <c r="I69" i="100"/>
  <c r="H69" i="100"/>
  <c r="G69" i="100"/>
  <c r="F69" i="100"/>
  <c r="E69" i="100"/>
  <c r="D69" i="100"/>
  <c r="T68" i="100"/>
  <c r="S68" i="100"/>
  <c r="R68" i="100"/>
  <c r="Q68" i="100"/>
  <c r="P68" i="100"/>
  <c r="O68" i="100"/>
  <c r="N68" i="100"/>
  <c r="M68" i="100"/>
  <c r="L68" i="100"/>
  <c r="K68" i="100"/>
  <c r="J68" i="100"/>
  <c r="I68" i="100"/>
  <c r="H68" i="100"/>
  <c r="G68" i="100"/>
  <c r="F68" i="100"/>
  <c r="E68" i="100"/>
  <c r="D68" i="100"/>
  <c r="T67" i="100"/>
  <c r="S67" i="100"/>
  <c r="R67" i="100"/>
  <c r="Q67" i="100"/>
  <c r="P67" i="100"/>
  <c r="O67" i="100"/>
  <c r="N67" i="100"/>
  <c r="M67" i="100"/>
  <c r="L67" i="100"/>
  <c r="K67" i="100"/>
  <c r="J67" i="100"/>
  <c r="I67" i="100"/>
  <c r="H67" i="100"/>
  <c r="G67" i="100"/>
  <c r="F67" i="100"/>
  <c r="E67" i="100"/>
  <c r="D67" i="100"/>
  <c r="T66" i="100"/>
  <c r="S66" i="100"/>
  <c r="R66" i="100"/>
  <c r="Q66" i="100"/>
  <c r="P66" i="100"/>
  <c r="O66" i="100"/>
  <c r="N66" i="100"/>
  <c r="M66" i="100"/>
  <c r="L66" i="100"/>
  <c r="K66" i="100"/>
  <c r="J66" i="100"/>
  <c r="I66" i="100"/>
  <c r="H66" i="100"/>
  <c r="G66" i="100"/>
  <c r="F66" i="100"/>
  <c r="E66" i="100"/>
  <c r="D66" i="100"/>
  <c r="T65" i="100"/>
  <c r="S65" i="100"/>
  <c r="R65" i="100"/>
  <c r="Q65" i="100"/>
  <c r="P65" i="100"/>
  <c r="O65" i="100"/>
  <c r="N65" i="100"/>
  <c r="M65" i="100"/>
  <c r="L65" i="100"/>
  <c r="K65" i="100"/>
  <c r="J65" i="100"/>
  <c r="AE65" i="100" s="1"/>
  <c r="I65" i="100"/>
  <c r="H65" i="100"/>
  <c r="G65" i="100"/>
  <c r="F65" i="100"/>
  <c r="E65" i="100"/>
  <c r="D65" i="100"/>
  <c r="T64" i="100"/>
  <c r="S64" i="100"/>
  <c r="R64" i="100"/>
  <c r="Q64" i="100"/>
  <c r="P64" i="100"/>
  <c r="O64" i="100"/>
  <c r="N64" i="100"/>
  <c r="M64" i="100"/>
  <c r="L64" i="100"/>
  <c r="K64" i="100"/>
  <c r="J64" i="100"/>
  <c r="I64" i="100"/>
  <c r="H64" i="100"/>
  <c r="G64" i="100"/>
  <c r="F64" i="100"/>
  <c r="E64" i="100"/>
  <c r="D64" i="100"/>
  <c r="T63" i="100"/>
  <c r="S63" i="100"/>
  <c r="R63" i="100"/>
  <c r="Q63" i="100"/>
  <c r="P63" i="100"/>
  <c r="O63" i="100"/>
  <c r="N63" i="100"/>
  <c r="M63" i="100"/>
  <c r="L63" i="100"/>
  <c r="K63" i="100"/>
  <c r="J63" i="100"/>
  <c r="I63" i="100"/>
  <c r="H63" i="100"/>
  <c r="G63" i="100"/>
  <c r="F63" i="100"/>
  <c r="E63" i="100"/>
  <c r="D63" i="100"/>
  <c r="T62" i="100"/>
  <c r="S62" i="100"/>
  <c r="R62" i="100"/>
  <c r="Q62" i="100"/>
  <c r="P62" i="100"/>
  <c r="O62" i="100"/>
  <c r="N62" i="100"/>
  <c r="M62" i="100"/>
  <c r="L62" i="100"/>
  <c r="K62" i="100"/>
  <c r="J62" i="100"/>
  <c r="I62" i="100"/>
  <c r="H62" i="100"/>
  <c r="G62" i="100"/>
  <c r="F62" i="100"/>
  <c r="E62" i="100"/>
  <c r="D62" i="100"/>
  <c r="T61" i="100"/>
  <c r="S61" i="100"/>
  <c r="R61" i="100"/>
  <c r="Q61" i="100"/>
  <c r="P61" i="100"/>
  <c r="O61" i="100"/>
  <c r="AJ61" i="100" s="1"/>
  <c r="N61" i="100"/>
  <c r="M61" i="100"/>
  <c r="L61" i="100"/>
  <c r="K61" i="100"/>
  <c r="J61" i="100"/>
  <c r="I61" i="100"/>
  <c r="H61" i="100"/>
  <c r="G61" i="100"/>
  <c r="F61" i="100"/>
  <c r="E61" i="100"/>
  <c r="D61" i="100"/>
  <c r="T60" i="100"/>
  <c r="S60" i="100"/>
  <c r="R60" i="100"/>
  <c r="Q60" i="100"/>
  <c r="P60" i="100"/>
  <c r="O60" i="100"/>
  <c r="N60" i="100"/>
  <c r="M60" i="100"/>
  <c r="AH60" i="100" s="1"/>
  <c r="L60" i="100"/>
  <c r="K60" i="100"/>
  <c r="J60" i="100"/>
  <c r="I60" i="100"/>
  <c r="H60" i="100"/>
  <c r="G60" i="100"/>
  <c r="F60" i="100"/>
  <c r="E60" i="100"/>
  <c r="D60" i="100"/>
  <c r="T59" i="100"/>
  <c r="S59" i="100"/>
  <c r="R59" i="100"/>
  <c r="Q59" i="100"/>
  <c r="P59" i="100"/>
  <c r="O59" i="100"/>
  <c r="N59" i="100"/>
  <c r="M59" i="100"/>
  <c r="L59" i="100"/>
  <c r="K59" i="100"/>
  <c r="J59" i="100"/>
  <c r="I59" i="100"/>
  <c r="H59" i="100"/>
  <c r="G59" i="100"/>
  <c r="F59" i="100"/>
  <c r="E59" i="100"/>
  <c r="D59" i="100"/>
  <c r="T58" i="100"/>
  <c r="S58" i="100"/>
  <c r="R58" i="100"/>
  <c r="Q58" i="100"/>
  <c r="P58" i="100"/>
  <c r="O58" i="100"/>
  <c r="N58" i="100"/>
  <c r="M58" i="100"/>
  <c r="L58" i="100"/>
  <c r="K58" i="100"/>
  <c r="J58" i="100"/>
  <c r="I58" i="100"/>
  <c r="H58" i="100"/>
  <c r="G58" i="100"/>
  <c r="F58" i="100"/>
  <c r="E58" i="100"/>
  <c r="D58" i="100"/>
  <c r="T57" i="100"/>
  <c r="S57" i="100"/>
  <c r="R57" i="100"/>
  <c r="Q57" i="100"/>
  <c r="P57" i="100"/>
  <c r="O57" i="100"/>
  <c r="N57" i="100"/>
  <c r="M57" i="100"/>
  <c r="L57" i="100"/>
  <c r="K57" i="100"/>
  <c r="J57" i="100"/>
  <c r="I57" i="100"/>
  <c r="H57" i="100"/>
  <c r="G57" i="100"/>
  <c r="F57" i="100"/>
  <c r="E57" i="100"/>
  <c r="D57" i="100"/>
  <c r="T56" i="100"/>
  <c r="S56" i="100"/>
  <c r="R56" i="100"/>
  <c r="Q56" i="100"/>
  <c r="P56" i="100"/>
  <c r="O56" i="100"/>
  <c r="N56" i="100"/>
  <c r="M56" i="100"/>
  <c r="L56" i="100"/>
  <c r="K56" i="100"/>
  <c r="J56" i="100"/>
  <c r="I56" i="100"/>
  <c r="H56" i="100"/>
  <c r="G56" i="100"/>
  <c r="F56" i="100"/>
  <c r="E56" i="100"/>
  <c r="D56" i="100"/>
  <c r="T55" i="100"/>
  <c r="S55" i="100"/>
  <c r="R55" i="100"/>
  <c r="Q55" i="100"/>
  <c r="P55" i="100"/>
  <c r="O55" i="100"/>
  <c r="N55" i="100"/>
  <c r="M55" i="100"/>
  <c r="L55" i="100"/>
  <c r="K55" i="100"/>
  <c r="J55" i="100"/>
  <c r="I55" i="100"/>
  <c r="H55" i="100"/>
  <c r="G55" i="100"/>
  <c r="F55" i="100"/>
  <c r="E55" i="100"/>
  <c r="D55" i="100"/>
  <c r="T54" i="100"/>
  <c r="S54" i="100"/>
  <c r="R54" i="100"/>
  <c r="Q54" i="100"/>
  <c r="P54" i="100"/>
  <c r="O54" i="100"/>
  <c r="N54" i="100"/>
  <c r="M54" i="100"/>
  <c r="L54" i="100"/>
  <c r="K54" i="100"/>
  <c r="J54" i="100"/>
  <c r="I54" i="100"/>
  <c r="H54" i="100"/>
  <c r="G54" i="100"/>
  <c r="F54" i="100"/>
  <c r="E54" i="100"/>
  <c r="D54" i="100"/>
  <c r="T53" i="100"/>
  <c r="S53" i="100"/>
  <c r="R53" i="100"/>
  <c r="Q53" i="100"/>
  <c r="P53" i="100"/>
  <c r="O53" i="100"/>
  <c r="AJ53" i="100" s="1"/>
  <c r="N53" i="100"/>
  <c r="M53" i="100"/>
  <c r="L53" i="100"/>
  <c r="K53" i="100"/>
  <c r="J53" i="100"/>
  <c r="I53" i="100"/>
  <c r="H53" i="100"/>
  <c r="G53" i="100"/>
  <c r="AB53" i="100" s="1"/>
  <c r="F53" i="100"/>
  <c r="E53" i="100"/>
  <c r="D53" i="100"/>
  <c r="T52" i="100"/>
  <c r="S52" i="100"/>
  <c r="R52" i="100"/>
  <c r="Q52" i="100"/>
  <c r="P52" i="100"/>
  <c r="AK51" i="100" s="1"/>
  <c r="O52" i="100"/>
  <c r="N52" i="100"/>
  <c r="M52" i="100"/>
  <c r="L52" i="100"/>
  <c r="K52" i="100"/>
  <c r="J52" i="100"/>
  <c r="I52" i="100"/>
  <c r="H52" i="100"/>
  <c r="G52" i="100"/>
  <c r="F52" i="100"/>
  <c r="E52" i="100"/>
  <c r="D52" i="100"/>
  <c r="T51" i="100"/>
  <c r="S51" i="100"/>
  <c r="R51" i="100"/>
  <c r="Q51" i="100"/>
  <c r="P51" i="100"/>
  <c r="O51" i="100"/>
  <c r="N51" i="100"/>
  <c r="M51" i="100"/>
  <c r="L51" i="100"/>
  <c r="K51" i="100"/>
  <c r="J51" i="100"/>
  <c r="I51" i="100"/>
  <c r="H51" i="100"/>
  <c r="G51" i="100"/>
  <c r="F51" i="100"/>
  <c r="E51" i="100"/>
  <c r="D51" i="100"/>
  <c r="T50" i="100"/>
  <c r="S50" i="100"/>
  <c r="AN48" i="100" s="1"/>
  <c r="R50" i="100"/>
  <c r="Q50" i="100"/>
  <c r="P50" i="100"/>
  <c r="O50" i="100"/>
  <c r="N50" i="100"/>
  <c r="M50" i="100"/>
  <c r="L50" i="100"/>
  <c r="K50" i="100"/>
  <c r="J50" i="100"/>
  <c r="I50" i="100"/>
  <c r="H50" i="100"/>
  <c r="G50" i="100"/>
  <c r="F50" i="100"/>
  <c r="E50" i="100"/>
  <c r="D50" i="100"/>
  <c r="T49" i="100"/>
  <c r="S49" i="100"/>
  <c r="R49" i="100"/>
  <c r="Q49" i="100"/>
  <c r="P49" i="100"/>
  <c r="O49" i="100"/>
  <c r="N49" i="100"/>
  <c r="M49" i="100"/>
  <c r="L49" i="100"/>
  <c r="K49" i="100"/>
  <c r="J49" i="100"/>
  <c r="I49" i="100"/>
  <c r="H49" i="100"/>
  <c r="G49" i="100"/>
  <c r="F49" i="100"/>
  <c r="E49" i="100"/>
  <c r="D49" i="100"/>
  <c r="T48" i="100"/>
  <c r="S48" i="100"/>
  <c r="R48" i="100"/>
  <c r="Q48" i="100"/>
  <c r="P48" i="100"/>
  <c r="O48" i="100"/>
  <c r="N48" i="100"/>
  <c r="M48" i="100"/>
  <c r="L48" i="100"/>
  <c r="K48" i="100"/>
  <c r="J48" i="100"/>
  <c r="I48" i="100"/>
  <c r="H48" i="100"/>
  <c r="G48" i="100"/>
  <c r="F48" i="100"/>
  <c r="E48" i="100"/>
  <c r="D48" i="100"/>
  <c r="T47" i="100"/>
  <c r="S47" i="100"/>
  <c r="R47" i="100"/>
  <c r="Q47" i="100"/>
  <c r="P47" i="100"/>
  <c r="O47" i="100"/>
  <c r="N47" i="100"/>
  <c r="M47" i="100"/>
  <c r="L47" i="100"/>
  <c r="K47" i="100"/>
  <c r="J47" i="100"/>
  <c r="I47" i="100"/>
  <c r="H47" i="100"/>
  <c r="G47" i="100"/>
  <c r="F47" i="100"/>
  <c r="E47" i="100"/>
  <c r="D47" i="100"/>
  <c r="Y47" i="100" s="1"/>
  <c r="T46" i="100"/>
  <c r="S46" i="100"/>
  <c r="R46" i="100"/>
  <c r="Q46" i="100"/>
  <c r="P46" i="100"/>
  <c r="O46" i="100"/>
  <c r="N46" i="100"/>
  <c r="M46" i="100"/>
  <c r="L46" i="100"/>
  <c r="K46" i="100"/>
  <c r="J46" i="100"/>
  <c r="I46" i="100"/>
  <c r="H46" i="100"/>
  <c r="G46" i="100"/>
  <c r="F46" i="100"/>
  <c r="E46" i="100"/>
  <c r="D46" i="100"/>
  <c r="T45" i="100"/>
  <c r="S45" i="100"/>
  <c r="R45" i="100"/>
  <c r="Q45" i="100"/>
  <c r="P45" i="100"/>
  <c r="O45" i="100"/>
  <c r="N45" i="100"/>
  <c r="M45" i="100"/>
  <c r="L45" i="100"/>
  <c r="K45" i="100"/>
  <c r="J45" i="100"/>
  <c r="I45" i="100"/>
  <c r="H45" i="100"/>
  <c r="G45" i="100"/>
  <c r="F45" i="100"/>
  <c r="E45" i="100"/>
  <c r="D45" i="100"/>
  <c r="T44" i="100"/>
  <c r="S44" i="100"/>
  <c r="R44" i="100"/>
  <c r="Q44" i="100"/>
  <c r="P44" i="100"/>
  <c r="O44" i="100"/>
  <c r="N44" i="100"/>
  <c r="M44" i="100"/>
  <c r="L44" i="100"/>
  <c r="K44" i="100"/>
  <c r="J44" i="100"/>
  <c r="I44" i="100"/>
  <c r="H44" i="100"/>
  <c r="G44" i="100"/>
  <c r="AB44" i="100" s="1"/>
  <c r="F44" i="100"/>
  <c r="E44" i="100"/>
  <c r="D44" i="100"/>
  <c r="T43" i="100"/>
  <c r="S43" i="100"/>
  <c r="R43" i="100"/>
  <c r="Q43" i="100"/>
  <c r="P43" i="100"/>
  <c r="O43" i="100"/>
  <c r="N43" i="100"/>
  <c r="M43" i="100"/>
  <c r="L43" i="100"/>
  <c r="K43" i="100"/>
  <c r="J43" i="100"/>
  <c r="I43" i="100"/>
  <c r="H43" i="100"/>
  <c r="G43" i="100"/>
  <c r="F43" i="100"/>
  <c r="E43" i="100"/>
  <c r="D43" i="100"/>
  <c r="T42" i="100"/>
  <c r="S42" i="100"/>
  <c r="R42" i="100"/>
  <c r="Q42" i="100"/>
  <c r="P42" i="100"/>
  <c r="O42" i="100"/>
  <c r="N42" i="100"/>
  <c r="M42" i="100"/>
  <c r="L42" i="100"/>
  <c r="K42" i="100"/>
  <c r="J42" i="100"/>
  <c r="I42" i="100"/>
  <c r="H42" i="100"/>
  <c r="G42" i="100"/>
  <c r="F42" i="100"/>
  <c r="E42" i="100"/>
  <c r="D42" i="100"/>
  <c r="T41" i="100"/>
  <c r="S41" i="100"/>
  <c r="R41" i="100"/>
  <c r="Q41" i="100"/>
  <c r="P41" i="100"/>
  <c r="O41" i="100"/>
  <c r="N41" i="100"/>
  <c r="M41" i="100"/>
  <c r="L41" i="100"/>
  <c r="K41" i="100"/>
  <c r="J41" i="100"/>
  <c r="I41" i="100"/>
  <c r="H41" i="100"/>
  <c r="G41" i="100"/>
  <c r="F41" i="100"/>
  <c r="E41" i="100"/>
  <c r="D41" i="100"/>
  <c r="T40" i="100"/>
  <c r="S40" i="100"/>
  <c r="R40" i="100"/>
  <c r="Q40" i="100"/>
  <c r="P40" i="100"/>
  <c r="O40" i="100"/>
  <c r="AJ42" i="100" s="1"/>
  <c r="N40" i="100"/>
  <c r="M40" i="100"/>
  <c r="L40" i="100"/>
  <c r="K40" i="100"/>
  <c r="J40" i="100"/>
  <c r="I40" i="100"/>
  <c r="H40" i="100"/>
  <c r="G40" i="100"/>
  <c r="AB40" i="100" s="1"/>
  <c r="F40" i="100"/>
  <c r="E40" i="100"/>
  <c r="D40" i="100"/>
  <c r="T39" i="100"/>
  <c r="S39" i="100"/>
  <c r="R39" i="100"/>
  <c r="Q39" i="100"/>
  <c r="P39" i="100"/>
  <c r="O39" i="100"/>
  <c r="N39" i="100"/>
  <c r="M39" i="100"/>
  <c r="L39" i="100"/>
  <c r="K39" i="100"/>
  <c r="J39" i="100"/>
  <c r="I39" i="100"/>
  <c r="H39" i="100"/>
  <c r="G39" i="100"/>
  <c r="F39" i="100"/>
  <c r="E39" i="100"/>
  <c r="D39" i="100"/>
  <c r="T38" i="100"/>
  <c r="S38" i="100"/>
  <c r="R38" i="100"/>
  <c r="Q38" i="100"/>
  <c r="P38" i="100"/>
  <c r="O38" i="100"/>
  <c r="N38" i="100"/>
  <c r="M38" i="100"/>
  <c r="L38" i="100"/>
  <c r="K38" i="100"/>
  <c r="J38" i="100"/>
  <c r="I38" i="100"/>
  <c r="H38" i="100"/>
  <c r="G38" i="100"/>
  <c r="F38" i="100"/>
  <c r="E38" i="100"/>
  <c r="D38" i="100"/>
  <c r="T37" i="100"/>
  <c r="S37" i="100"/>
  <c r="R37" i="100"/>
  <c r="Q37" i="100"/>
  <c r="P37" i="100"/>
  <c r="AK37" i="100" s="1"/>
  <c r="O37" i="100"/>
  <c r="N37" i="100"/>
  <c r="M37" i="100"/>
  <c r="L37" i="100"/>
  <c r="K37" i="100"/>
  <c r="J37" i="100"/>
  <c r="I37" i="100"/>
  <c r="H37" i="100"/>
  <c r="G37" i="100"/>
  <c r="F37" i="100"/>
  <c r="E37" i="100"/>
  <c r="D37" i="100"/>
  <c r="T36" i="100"/>
  <c r="S36" i="100"/>
  <c r="R36" i="100"/>
  <c r="Q36" i="100"/>
  <c r="P36" i="100"/>
  <c r="O36" i="100"/>
  <c r="N36" i="100"/>
  <c r="M36" i="100"/>
  <c r="L36" i="100"/>
  <c r="K36" i="100"/>
  <c r="J36" i="100"/>
  <c r="I36" i="100"/>
  <c r="H36" i="100"/>
  <c r="G36" i="100"/>
  <c r="F36" i="100"/>
  <c r="E36" i="100"/>
  <c r="D36" i="100"/>
  <c r="T35" i="100"/>
  <c r="S35" i="100"/>
  <c r="R35" i="100"/>
  <c r="Q35" i="100"/>
  <c r="P35" i="100"/>
  <c r="O35" i="100"/>
  <c r="N35" i="100"/>
  <c r="M35" i="100"/>
  <c r="L35" i="100"/>
  <c r="K35" i="100"/>
  <c r="J35" i="100"/>
  <c r="I35" i="100"/>
  <c r="H35" i="100"/>
  <c r="G35" i="100"/>
  <c r="F35" i="100"/>
  <c r="E35" i="100"/>
  <c r="D35" i="100"/>
  <c r="T34" i="100"/>
  <c r="S34" i="100"/>
  <c r="R34" i="100"/>
  <c r="Q34" i="100"/>
  <c r="P34" i="100"/>
  <c r="O34" i="100"/>
  <c r="N34" i="100"/>
  <c r="M34" i="100"/>
  <c r="L34" i="100"/>
  <c r="K34" i="100"/>
  <c r="J34" i="100"/>
  <c r="I34" i="100"/>
  <c r="H34" i="100"/>
  <c r="G34" i="100"/>
  <c r="F34" i="100"/>
  <c r="E34" i="100"/>
  <c r="D34" i="100"/>
  <c r="T33" i="100"/>
  <c r="S33" i="100"/>
  <c r="R33" i="100"/>
  <c r="Q33" i="100"/>
  <c r="P33" i="100"/>
  <c r="O33" i="100"/>
  <c r="N33" i="100"/>
  <c r="M33" i="100"/>
  <c r="L33" i="100"/>
  <c r="K33" i="100"/>
  <c r="J33" i="100"/>
  <c r="I33" i="100"/>
  <c r="H33" i="100"/>
  <c r="G33" i="100"/>
  <c r="F33" i="100"/>
  <c r="E33" i="100"/>
  <c r="D33" i="100"/>
  <c r="T32" i="100"/>
  <c r="S32" i="100"/>
  <c r="R32" i="100"/>
  <c r="Q32" i="100"/>
  <c r="P32" i="100"/>
  <c r="O32" i="100"/>
  <c r="N32" i="100"/>
  <c r="M32" i="100"/>
  <c r="L32" i="100"/>
  <c r="K32" i="100"/>
  <c r="J32" i="100"/>
  <c r="I32" i="100"/>
  <c r="H32" i="100"/>
  <c r="G32" i="100"/>
  <c r="F32" i="100"/>
  <c r="E32" i="100"/>
  <c r="D32" i="100"/>
  <c r="T31" i="100"/>
  <c r="S31" i="100"/>
  <c r="R31" i="100"/>
  <c r="Q31" i="100"/>
  <c r="P31" i="100"/>
  <c r="O31" i="100"/>
  <c r="N31" i="100"/>
  <c r="M31" i="100"/>
  <c r="L31" i="100"/>
  <c r="AG31" i="100" s="1"/>
  <c r="K31" i="100"/>
  <c r="J31" i="100"/>
  <c r="I31" i="100"/>
  <c r="H31" i="100"/>
  <c r="G31" i="100"/>
  <c r="F31" i="100"/>
  <c r="E31" i="100"/>
  <c r="D31" i="100"/>
  <c r="T30" i="100"/>
  <c r="S30" i="100"/>
  <c r="AN28" i="100" s="1"/>
  <c r="R30" i="100"/>
  <c r="Q30" i="100"/>
  <c r="P30" i="100"/>
  <c r="O30" i="100"/>
  <c r="N30" i="100"/>
  <c r="M30" i="100"/>
  <c r="L30" i="100"/>
  <c r="K30" i="100"/>
  <c r="J30" i="100"/>
  <c r="I30" i="100"/>
  <c r="H30" i="100"/>
  <c r="G30" i="100"/>
  <c r="F30" i="100"/>
  <c r="E30" i="100"/>
  <c r="D30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T27" i="100"/>
  <c r="S27" i="100"/>
  <c r="R27" i="100"/>
  <c r="Q27" i="100"/>
  <c r="P27" i="100"/>
  <c r="O27" i="100"/>
  <c r="N27" i="100"/>
  <c r="M27" i="100"/>
  <c r="L27" i="100"/>
  <c r="K27" i="100"/>
  <c r="J27" i="100"/>
  <c r="I27" i="100"/>
  <c r="H27" i="100"/>
  <c r="G27" i="100"/>
  <c r="F27" i="100"/>
  <c r="E27" i="100"/>
  <c r="D27" i="100"/>
  <c r="Y27" i="100" s="1"/>
  <c r="T26" i="100"/>
  <c r="S26" i="100"/>
  <c r="R26" i="100"/>
  <c r="Q26" i="100"/>
  <c r="P26" i="100"/>
  <c r="O26" i="100"/>
  <c r="AJ26" i="100" s="1"/>
  <c r="N26" i="100"/>
  <c r="M26" i="100"/>
  <c r="L26" i="100"/>
  <c r="K26" i="100"/>
  <c r="J26" i="100"/>
  <c r="AE26" i="100" s="1"/>
  <c r="I26" i="100"/>
  <c r="H26" i="100"/>
  <c r="G26" i="100"/>
  <c r="F26" i="100"/>
  <c r="E26" i="100"/>
  <c r="D26" i="100"/>
  <c r="T25" i="100"/>
  <c r="S25" i="100"/>
  <c r="AN25" i="100" s="1"/>
  <c r="R25" i="100"/>
  <c r="Q25" i="100"/>
  <c r="P25" i="100"/>
  <c r="O25" i="100"/>
  <c r="N25" i="100"/>
  <c r="M25" i="100"/>
  <c r="L25" i="100"/>
  <c r="K25" i="100"/>
  <c r="J25" i="100"/>
  <c r="I25" i="100"/>
  <c r="H25" i="100"/>
  <c r="G25" i="100"/>
  <c r="F25" i="100"/>
  <c r="E25" i="100"/>
  <c r="D25" i="100"/>
  <c r="AN24" i="100"/>
  <c r="T24" i="100"/>
  <c r="S24" i="100"/>
  <c r="R24" i="100"/>
  <c r="Q24" i="100"/>
  <c r="P24" i="100"/>
  <c r="O24" i="100"/>
  <c r="N24" i="100"/>
  <c r="M24" i="100"/>
  <c r="L24" i="100"/>
  <c r="K24" i="100"/>
  <c r="J24" i="100"/>
  <c r="I24" i="100"/>
  <c r="H24" i="100"/>
  <c r="G24" i="100"/>
  <c r="F24" i="100"/>
  <c r="E24" i="100"/>
  <c r="D24" i="100"/>
  <c r="T23" i="100"/>
  <c r="S23" i="100"/>
  <c r="R23" i="100"/>
  <c r="Q23" i="100"/>
  <c r="P23" i="100"/>
  <c r="O23" i="100"/>
  <c r="N23" i="100"/>
  <c r="M23" i="100"/>
  <c r="L23" i="100"/>
  <c r="K23" i="100"/>
  <c r="J23" i="100"/>
  <c r="I23" i="100"/>
  <c r="H23" i="100"/>
  <c r="G23" i="100"/>
  <c r="F23" i="100"/>
  <c r="E23" i="100"/>
  <c r="D23" i="100"/>
  <c r="T22" i="100"/>
  <c r="S22" i="100"/>
  <c r="R22" i="100"/>
  <c r="Q22" i="100"/>
  <c r="P22" i="100"/>
  <c r="O22" i="100"/>
  <c r="N22" i="100"/>
  <c r="M22" i="100"/>
  <c r="L22" i="100"/>
  <c r="K22" i="100"/>
  <c r="J22" i="100"/>
  <c r="I22" i="100"/>
  <c r="H22" i="100"/>
  <c r="G22" i="100"/>
  <c r="F22" i="100"/>
  <c r="E22" i="100"/>
  <c r="D22" i="100"/>
  <c r="AG21" i="100"/>
  <c r="T21" i="100"/>
  <c r="S21" i="100"/>
  <c r="R21" i="100"/>
  <c r="Q21" i="100"/>
  <c r="AL21" i="100" s="1"/>
  <c r="P21" i="100"/>
  <c r="O21" i="100"/>
  <c r="N21" i="100"/>
  <c r="M21" i="100"/>
  <c r="L21" i="100"/>
  <c r="K21" i="100"/>
  <c r="J21" i="100"/>
  <c r="I21" i="100"/>
  <c r="AD21" i="100" s="1"/>
  <c r="H21" i="100"/>
  <c r="G21" i="100"/>
  <c r="F21" i="100"/>
  <c r="E21" i="100"/>
  <c r="D21" i="100"/>
  <c r="T20" i="100"/>
  <c r="S20" i="100"/>
  <c r="R20" i="100"/>
  <c r="Q20" i="100"/>
  <c r="P20" i="100"/>
  <c r="O20" i="100"/>
  <c r="N20" i="100"/>
  <c r="M20" i="100"/>
  <c r="L20" i="100"/>
  <c r="K20" i="100"/>
  <c r="J20" i="100"/>
  <c r="I20" i="100"/>
  <c r="H20" i="100"/>
  <c r="G20" i="100"/>
  <c r="F20" i="100"/>
  <c r="E20" i="100"/>
  <c r="D20" i="100"/>
  <c r="T19" i="100"/>
  <c r="S19" i="100"/>
  <c r="R19" i="100"/>
  <c r="Q19" i="100"/>
  <c r="P19" i="100"/>
  <c r="O19" i="100"/>
  <c r="N19" i="100"/>
  <c r="M19" i="100"/>
  <c r="L19" i="100"/>
  <c r="K19" i="100"/>
  <c r="J19" i="100"/>
  <c r="I19" i="100"/>
  <c r="H19" i="100"/>
  <c r="G19" i="100"/>
  <c r="F19" i="100"/>
  <c r="E19" i="100"/>
  <c r="D19" i="100"/>
  <c r="T18" i="100"/>
  <c r="S18" i="100"/>
  <c r="R18" i="100"/>
  <c r="Q18" i="100"/>
  <c r="P18" i="100"/>
  <c r="O18" i="100"/>
  <c r="N18" i="100"/>
  <c r="M18" i="100"/>
  <c r="L18" i="100"/>
  <c r="K18" i="100"/>
  <c r="J18" i="100"/>
  <c r="I18" i="100"/>
  <c r="H18" i="100"/>
  <c r="G18" i="100"/>
  <c r="F18" i="100"/>
  <c r="E18" i="100"/>
  <c r="Z18" i="100" s="1"/>
  <c r="D18" i="100"/>
  <c r="AM17" i="100"/>
  <c r="T17" i="100"/>
  <c r="S17" i="100"/>
  <c r="R17" i="100"/>
  <c r="Q17" i="100"/>
  <c r="P17" i="100"/>
  <c r="O17" i="100"/>
  <c r="N17" i="100"/>
  <c r="M17" i="100"/>
  <c r="L17" i="100"/>
  <c r="K17" i="100"/>
  <c r="J17" i="100"/>
  <c r="I17" i="100"/>
  <c r="H17" i="100"/>
  <c r="G17" i="100"/>
  <c r="F17" i="100"/>
  <c r="AA17" i="100" s="1"/>
  <c r="E17" i="100"/>
  <c r="D17" i="100"/>
  <c r="T16" i="100"/>
  <c r="S16" i="100"/>
  <c r="R16" i="100"/>
  <c r="Q16" i="100"/>
  <c r="P16" i="100"/>
  <c r="O16" i="100"/>
  <c r="AJ16" i="100" s="1"/>
  <c r="N16" i="100"/>
  <c r="M16" i="100"/>
  <c r="L16" i="100"/>
  <c r="K16" i="100"/>
  <c r="J16" i="100"/>
  <c r="I16" i="100"/>
  <c r="AD16" i="100" s="1"/>
  <c r="H16" i="100"/>
  <c r="AC15" i="100" s="1"/>
  <c r="G16" i="100"/>
  <c r="F16" i="100"/>
  <c r="E16" i="100"/>
  <c r="D16" i="100"/>
  <c r="T15" i="100"/>
  <c r="S15" i="100"/>
  <c r="R15" i="100"/>
  <c r="AM16" i="100" s="1"/>
  <c r="Q15" i="100"/>
  <c r="P15" i="100"/>
  <c r="O15" i="100"/>
  <c r="N15" i="100"/>
  <c r="M15" i="100"/>
  <c r="L15" i="100"/>
  <c r="K15" i="100"/>
  <c r="J15" i="100"/>
  <c r="I15" i="100"/>
  <c r="H15" i="100"/>
  <c r="G15" i="100"/>
  <c r="F15" i="100"/>
  <c r="E15" i="100"/>
  <c r="D15" i="100"/>
  <c r="T14" i="100"/>
  <c r="S14" i="100"/>
  <c r="R14" i="100"/>
  <c r="Q14" i="100"/>
  <c r="P14" i="100"/>
  <c r="O14" i="100"/>
  <c r="N14" i="100"/>
  <c r="M14" i="100"/>
  <c r="L14" i="100"/>
  <c r="K14" i="100"/>
  <c r="J14" i="100"/>
  <c r="I14" i="100"/>
  <c r="H14" i="100"/>
  <c r="G14" i="100"/>
  <c r="F14" i="100"/>
  <c r="E14" i="100"/>
  <c r="D14" i="100"/>
  <c r="T13" i="100"/>
  <c r="S13" i="100"/>
  <c r="R13" i="100"/>
  <c r="Q13" i="100"/>
  <c r="P13" i="100"/>
  <c r="O13" i="100"/>
  <c r="N13" i="100"/>
  <c r="M13" i="100"/>
  <c r="L13" i="100"/>
  <c r="K13" i="100"/>
  <c r="J13" i="100"/>
  <c r="I13" i="100"/>
  <c r="H13" i="100"/>
  <c r="G13" i="100"/>
  <c r="F13" i="100"/>
  <c r="E13" i="100"/>
  <c r="D13" i="100"/>
  <c r="T12" i="100"/>
  <c r="S12" i="100"/>
  <c r="R12" i="100"/>
  <c r="Q12" i="100"/>
  <c r="P12" i="100"/>
  <c r="O12" i="100"/>
  <c r="N12" i="100"/>
  <c r="M12" i="100"/>
  <c r="L12" i="100"/>
  <c r="K12" i="100"/>
  <c r="J12" i="100"/>
  <c r="I12" i="100"/>
  <c r="H12" i="100"/>
  <c r="G12" i="100"/>
  <c r="F12" i="100"/>
  <c r="E12" i="100"/>
  <c r="D12" i="100"/>
  <c r="T11" i="100"/>
  <c r="S11" i="100"/>
  <c r="R11" i="100"/>
  <c r="AM11" i="100" s="1"/>
  <c r="Q11" i="100"/>
  <c r="P11" i="100"/>
  <c r="O11" i="100"/>
  <c r="N11" i="100"/>
  <c r="M11" i="100"/>
  <c r="L11" i="100"/>
  <c r="K11" i="100"/>
  <c r="J11" i="100"/>
  <c r="I11" i="100"/>
  <c r="H11" i="100"/>
  <c r="AC13" i="100" s="1"/>
  <c r="G11" i="100"/>
  <c r="F11" i="100"/>
  <c r="E11" i="100"/>
  <c r="D11" i="100"/>
  <c r="D75" i="114"/>
  <c r="C75" i="114"/>
  <c r="D74" i="114"/>
  <c r="C74" i="114"/>
  <c r="D73" i="114"/>
  <c r="C73" i="114"/>
  <c r="D72" i="114"/>
  <c r="C72" i="114"/>
  <c r="D71" i="114"/>
  <c r="C71" i="114"/>
  <c r="D70" i="114"/>
  <c r="C70" i="114"/>
  <c r="D69" i="114"/>
  <c r="C69" i="114"/>
  <c r="D68" i="114"/>
  <c r="C68" i="114"/>
  <c r="D67" i="114"/>
  <c r="C67" i="114"/>
  <c r="D66" i="114"/>
  <c r="C66" i="114"/>
  <c r="D65" i="114"/>
  <c r="C65" i="114"/>
  <c r="D64" i="114"/>
  <c r="C64" i="114"/>
  <c r="D63" i="114"/>
  <c r="C63" i="114"/>
  <c r="D62" i="114"/>
  <c r="C62" i="114"/>
  <c r="D61" i="114"/>
  <c r="C61" i="114"/>
  <c r="D60" i="114"/>
  <c r="C60" i="114"/>
  <c r="D59" i="114"/>
  <c r="C59" i="114"/>
  <c r="D58" i="114"/>
  <c r="C58" i="114"/>
  <c r="D57" i="114"/>
  <c r="C57" i="114"/>
  <c r="D56" i="114"/>
  <c r="C56" i="114"/>
  <c r="D55" i="114"/>
  <c r="C55" i="114"/>
  <c r="D54" i="114"/>
  <c r="C54" i="114"/>
  <c r="D53" i="114"/>
  <c r="C53" i="114"/>
  <c r="D52" i="114"/>
  <c r="C52" i="114"/>
  <c r="D51" i="114"/>
  <c r="C51" i="114"/>
  <c r="D50" i="114"/>
  <c r="C50" i="114"/>
  <c r="D49" i="114"/>
  <c r="C49" i="114"/>
  <c r="D48" i="114"/>
  <c r="C48" i="114"/>
  <c r="D47" i="114"/>
  <c r="C47" i="114"/>
  <c r="D46" i="114"/>
  <c r="C46" i="114"/>
  <c r="D45" i="114"/>
  <c r="C45" i="114"/>
  <c r="D44" i="114"/>
  <c r="C44" i="114"/>
  <c r="D43" i="114"/>
  <c r="C43" i="114"/>
  <c r="D42" i="114"/>
  <c r="C42" i="114"/>
  <c r="D41" i="114"/>
  <c r="C41" i="114"/>
  <c r="D40" i="114"/>
  <c r="C40" i="114"/>
  <c r="D39" i="114"/>
  <c r="C39" i="114"/>
  <c r="D38" i="114"/>
  <c r="C38" i="114"/>
  <c r="G37" i="114"/>
  <c r="D37" i="114"/>
  <c r="C37" i="114"/>
  <c r="D36" i="114"/>
  <c r="C36" i="114"/>
  <c r="D35" i="114"/>
  <c r="C35" i="114"/>
  <c r="G34" i="114"/>
  <c r="D34" i="114"/>
  <c r="C34" i="114"/>
  <c r="G33" i="114"/>
  <c r="J29" i="114"/>
  <c r="I29" i="114"/>
  <c r="G29" i="114"/>
  <c r="F29" i="114"/>
  <c r="D29" i="114"/>
  <c r="C29" i="114"/>
  <c r="J28" i="114"/>
  <c r="K28" i="114" s="1"/>
  <c r="I28" i="114"/>
  <c r="G28" i="114"/>
  <c r="H28" i="114" s="1"/>
  <c r="F28" i="114"/>
  <c r="D28" i="114"/>
  <c r="C28" i="114"/>
  <c r="B28" i="114"/>
  <c r="H22" i="114"/>
  <c r="F22" i="114"/>
  <c r="D22" i="114"/>
  <c r="C22" i="114"/>
  <c r="H21" i="114"/>
  <c r="F21" i="114"/>
  <c r="D21" i="114"/>
  <c r="C21" i="114"/>
  <c r="B21" i="114"/>
  <c r="L16" i="114"/>
  <c r="K16" i="114"/>
  <c r="I16" i="114"/>
  <c r="J16" i="114" s="1"/>
  <c r="G16" i="114"/>
  <c r="H16" i="114" s="1"/>
  <c r="F16" i="114"/>
  <c r="D16" i="114"/>
  <c r="C16" i="114"/>
  <c r="L15" i="114"/>
  <c r="K15" i="114"/>
  <c r="I15" i="114"/>
  <c r="G15" i="114"/>
  <c r="F15" i="114"/>
  <c r="D15" i="114"/>
  <c r="C15" i="114"/>
  <c r="E15" i="114" s="1"/>
  <c r="B15" i="114"/>
  <c r="L11" i="114"/>
  <c r="K11" i="114"/>
  <c r="I11" i="114"/>
  <c r="H11" i="114"/>
  <c r="F11" i="114"/>
  <c r="F12" i="114" s="1"/>
  <c r="E11" i="114"/>
  <c r="D11" i="114"/>
  <c r="C11" i="114"/>
  <c r="L10" i="114"/>
  <c r="K10" i="114"/>
  <c r="I10" i="114"/>
  <c r="I12" i="114" s="1"/>
  <c r="H10" i="114"/>
  <c r="H12" i="114" s="1"/>
  <c r="F10" i="114"/>
  <c r="E10" i="114"/>
  <c r="E12" i="114" s="1"/>
  <c r="D10" i="114"/>
  <c r="C10" i="114"/>
  <c r="B10" i="114"/>
  <c r="I122" i="98"/>
  <c r="P121" i="98"/>
  <c r="C120" i="98"/>
  <c r="K119" i="98"/>
  <c r="U117" i="98"/>
  <c r="B117" i="98"/>
  <c r="G115" i="98"/>
  <c r="C115" i="98"/>
  <c r="O114" i="98"/>
  <c r="M114" i="98"/>
  <c r="G112" i="98"/>
  <c r="C112" i="98"/>
  <c r="U110" i="98"/>
  <c r="B110" i="98"/>
  <c r="O108" i="98"/>
  <c r="D107" i="98"/>
  <c r="C107" i="98"/>
  <c r="L106" i="98"/>
  <c r="K106" i="98"/>
  <c r="Q105" i="98"/>
  <c r="U103" i="98"/>
  <c r="B103" i="98"/>
  <c r="C122" i="98" s="1"/>
  <c r="N101" i="98"/>
  <c r="M101" i="98"/>
  <c r="I99" i="98"/>
  <c r="F99" i="98"/>
  <c r="O98" i="98"/>
  <c r="U96" i="98"/>
  <c r="B96" i="98"/>
  <c r="G114" i="98" s="1"/>
  <c r="B88" i="98"/>
  <c r="S85" i="98"/>
  <c r="R85" i="98"/>
  <c r="Q85" i="98"/>
  <c r="M85" i="98"/>
  <c r="J85" i="98"/>
  <c r="I85" i="98"/>
  <c r="G85" i="98"/>
  <c r="E85" i="98"/>
  <c r="C85" i="98"/>
  <c r="R84" i="98"/>
  <c r="N84" i="98"/>
  <c r="L84" i="98"/>
  <c r="K84" i="98"/>
  <c r="J84" i="98"/>
  <c r="H84" i="98"/>
  <c r="D84" i="98"/>
  <c r="S83" i="98"/>
  <c r="Q83" i="98"/>
  <c r="O83" i="98"/>
  <c r="M83" i="98"/>
  <c r="L83" i="98"/>
  <c r="I83" i="98"/>
  <c r="E83" i="98"/>
  <c r="D83" i="98"/>
  <c r="C83" i="98"/>
  <c r="R82" i="98"/>
  <c r="P82" i="98"/>
  <c r="M82" i="98"/>
  <c r="J82" i="98"/>
  <c r="H82" i="98"/>
  <c r="F82" i="98"/>
  <c r="E82" i="98"/>
  <c r="D82" i="98"/>
  <c r="B81" i="98"/>
  <c r="K85" i="98" s="1"/>
  <c r="D75" i="98"/>
  <c r="C75" i="98"/>
  <c r="D74" i="98"/>
  <c r="C74" i="98"/>
  <c r="D73" i="98"/>
  <c r="C73" i="98"/>
  <c r="D72" i="98"/>
  <c r="C72" i="98"/>
  <c r="D71" i="98"/>
  <c r="C71" i="98"/>
  <c r="D70" i="98"/>
  <c r="C70" i="98"/>
  <c r="D69" i="98"/>
  <c r="C69" i="98"/>
  <c r="D68" i="98"/>
  <c r="C68" i="98"/>
  <c r="D67" i="98"/>
  <c r="C67" i="98"/>
  <c r="D66" i="98"/>
  <c r="C66" i="98"/>
  <c r="D65" i="98"/>
  <c r="C65" i="98"/>
  <c r="D64" i="98"/>
  <c r="C64" i="98"/>
  <c r="D63" i="98"/>
  <c r="C63" i="98"/>
  <c r="D62" i="98"/>
  <c r="C62" i="98"/>
  <c r="D61" i="98"/>
  <c r="C61" i="98"/>
  <c r="D60" i="98"/>
  <c r="C60" i="98"/>
  <c r="D59" i="98"/>
  <c r="C59" i="98"/>
  <c r="D58" i="98"/>
  <c r="C58" i="98"/>
  <c r="D57" i="98"/>
  <c r="C57" i="98"/>
  <c r="D56" i="98"/>
  <c r="C56" i="98"/>
  <c r="D55" i="98"/>
  <c r="C55" i="98"/>
  <c r="D54" i="98"/>
  <c r="C54" i="98"/>
  <c r="D53" i="98"/>
  <c r="C53" i="98"/>
  <c r="D52" i="98"/>
  <c r="C52" i="98"/>
  <c r="D51" i="98"/>
  <c r="C51" i="98"/>
  <c r="D50" i="98"/>
  <c r="C50" i="98"/>
  <c r="D49" i="98"/>
  <c r="C49" i="98"/>
  <c r="D48" i="98"/>
  <c r="C48" i="98"/>
  <c r="D47" i="98"/>
  <c r="C47" i="98"/>
  <c r="D46" i="98"/>
  <c r="C46" i="98"/>
  <c r="D45" i="98"/>
  <c r="C45" i="98"/>
  <c r="D44" i="98"/>
  <c r="C44" i="98"/>
  <c r="D43" i="98"/>
  <c r="C43" i="98"/>
  <c r="D42" i="98"/>
  <c r="C42" i="98"/>
  <c r="D41" i="98"/>
  <c r="C41" i="98"/>
  <c r="D40" i="98"/>
  <c r="C40" i="98"/>
  <c r="D39" i="98"/>
  <c r="C39" i="98"/>
  <c r="D38" i="98"/>
  <c r="C38" i="98"/>
  <c r="G37" i="98"/>
  <c r="D37" i="98"/>
  <c r="C37" i="98"/>
  <c r="D36" i="98"/>
  <c r="C36" i="98"/>
  <c r="D35" i="98"/>
  <c r="C35" i="98"/>
  <c r="G34" i="98"/>
  <c r="D34" i="98"/>
  <c r="C34" i="98"/>
  <c r="G33" i="98"/>
  <c r="J29" i="98"/>
  <c r="I29" i="98"/>
  <c r="G29" i="98"/>
  <c r="F29" i="98"/>
  <c r="D29" i="98"/>
  <c r="C29" i="98"/>
  <c r="J28" i="98"/>
  <c r="I28" i="98"/>
  <c r="G28" i="98"/>
  <c r="F28" i="98"/>
  <c r="H28" i="98" s="1"/>
  <c r="D28" i="98"/>
  <c r="C28" i="98"/>
  <c r="B28" i="98"/>
  <c r="H22" i="98"/>
  <c r="F22" i="98"/>
  <c r="E22" i="98"/>
  <c r="G22" i="98" s="1"/>
  <c r="D22" i="98"/>
  <c r="C22" i="98"/>
  <c r="H21" i="98"/>
  <c r="F21" i="98"/>
  <c r="D21" i="98"/>
  <c r="C21" i="98"/>
  <c r="E21" i="98" s="1"/>
  <c r="G21" i="98" s="1"/>
  <c r="B21" i="98"/>
  <c r="L16" i="98"/>
  <c r="K16" i="98"/>
  <c r="I16" i="98"/>
  <c r="G16" i="98"/>
  <c r="F16" i="98"/>
  <c r="D16" i="98"/>
  <c r="C16" i="98"/>
  <c r="L15" i="98"/>
  <c r="K15" i="98"/>
  <c r="M15" i="98" s="1"/>
  <c r="I15" i="98"/>
  <c r="G15" i="98"/>
  <c r="F15" i="98"/>
  <c r="D15" i="98"/>
  <c r="E15" i="98" s="1"/>
  <c r="C15" i="98"/>
  <c r="B15" i="98"/>
  <c r="L11" i="98"/>
  <c r="K11" i="98"/>
  <c r="I11" i="98"/>
  <c r="H11" i="98"/>
  <c r="F11" i="98"/>
  <c r="E11" i="98"/>
  <c r="D11" i="98"/>
  <c r="C11" i="98"/>
  <c r="L10" i="98"/>
  <c r="L12" i="98" s="1"/>
  <c r="K10" i="98"/>
  <c r="K12" i="98" s="1"/>
  <c r="I10" i="98"/>
  <c r="H10" i="98"/>
  <c r="F10" i="98"/>
  <c r="F12" i="98" s="1"/>
  <c r="E10" i="98"/>
  <c r="E12" i="98" s="1"/>
  <c r="D10" i="98"/>
  <c r="C10" i="98"/>
  <c r="C12" i="98" s="1"/>
  <c r="B10" i="98"/>
  <c r="R124" i="101"/>
  <c r="Q124" i="101"/>
  <c r="P124" i="101"/>
  <c r="AI124" i="101" s="1"/>
  <c r="M124" i="101"/>
  <c r="J124" i="101"/>
  <c r="I124" i="101"/>
  <c r="H124" i="101"/>
  <c r="E124" i="101"/>
  <c r="Q123" i="101"/>
  <c r="P123" i="101"/>
  <c r="I123" i="101"/>
  <c r="H123" i="101"/>
  <c r="Q122" i="101"/>
  <c r="P122" i="101"/>
  <c r="I122" i="101"/>
  <c r="H122" i="101"/>
  <c r="Q121" i="101"/>
  <c r="AJ121" i="101" s="1"/>
  <c r="P121" i="101"/>
  <c r="I121" i="101"/>
  <c r="H121" i="101"/>
  <c r="U119" i="101"/>
  <c r="B119" i="101"/>
  <c r="R117" i="101"/>
  <c r="O117" i="101"/>
  <c r="L117" i="101"/>
  <c r="K117" i="101"/>
  <c r="J117" i="101"/>
  <c r="G117" i="101"/>
  <c r="D117" i="101"/>
  <c r="C117" i="101"/>
  <c r="R116" i="101"/>
  <c r="O116" i="101"/>
  <c r="L116" i="101"/>
  <c r="K116" i="101"/>
  <c r="J116" i="101"/>
  <c r="G116" i="101"/>
  <c r="D116" i="101"/>
  <c r="C116" i="101"/>
  <c r="R115" i="101"/>
  <c r="O115" i="101"/>
  <c r="L115" i="101"/>
  <c r="K115" i="101"/>
  <c r="J115" i="101"/>
  <c r="G115" i="101"/>
  <c r="D115" i="101"/>
  <c r="C115" i="101"/>
  <c r="R114" i="101"/>
  <c r="AK114" i="101" s="1"/>
  <c r="O114" i="101"/>
  <c r="L114" i="101"/>
  <c r="AE114" i="101" s="1"/>
  <c r="K114" i="101"/>
  <c r="AD114" i="101" s="1"/>
  <c r="J114" i="101"/>
  <c r="AC114" i="101" s="1"/>
  <c r="G114" i="101"/>
  <c r="Z114" i="101" s="1"/>
  <c r="D114" i="101"/>
  <c r="C114" i="101"/>
  <c r="V114" i="101" s="1"/>
  <c r="U112" i="101"/>
  <c r="B112" i="101"/>
  <c r="Q110" i="101"/>
  <c r="N110" i="101"/>
  <c r="M110" i="101"/>
  <c r="L110" i="101"/>
  <c r="I110" i="101"/>
  <c r="F110" i="101"/>
  <c r="E110" i="101"/>
  <c r="D110" i="101"/>
  <c r="Q109" i="101"/>
  <c r="N109" i="101"/>
  <c r="M109" i="101"/>
  <c r="L109" i="101"/>
  <c r="I109" i="101"/>
  <c r="F109" i="101"/>
  <c r="E109" i="101"/>
  <c r="D109" i="101"/>
  <c r="Q108" i="101"/>
  <c r="N108" i="101"/>
  <c r="M108" i="101"/>
  <c r="L108" i="101"/>
  <c r="I108" i="101"/>
  <c r="F108" i="101"/>
  <c r="E108" i="101"/>
  <c r="D108" i="101"/>
  <c r="Q107" i="101"/>
  <c r="AJ107" i="101" s="1"/>
  <c r="N107" i="101"/>
  <c r="AG107" i="101" s="1"/>
  <c r="M107" i="101"/>
  <c r="AF107" i="101" s="1"/>
  <c r="L107" i="101"/>
  <c r="AE107" i="101" s="1"/>
  <c r="I107" i="101"/>
  <c r="AB107" i="101" s="1"/>
  <c r="F107" i="101"/>
  <c r="Y107" i="101" s="1"/>
  <c r="E107" i="101"/>
  <c r="D107" i="101"/>
  <c r="W107" i="101" s="1"/>
  <c r="U105" i="101"/>
  <c r="B105" i="101"/>
  <c r="K123" i="101" s="1"/>
  <c r="P103" i="101"/>
  <c r="O103" i="101"/>
  <c r="N103" i="101"/>
  <c r="K103" i="101"/>
  <c r="H103" i="101"/>
  <c r="G103" i="101"/>
  <c r="F103" i="101"/>
  <c r="C103" i="101"/>
  <c r="P102" i="101"/>
  <c r="O102" i="101"/>
  <c r="N102" i="101"/>
  <c r="K102" i="101"/>
  <c r="H102" i="101"/>
  <c r="G102" i="101"/>
  <c r="F102" i="101"/>
  <c r="C102" i="101"/>
  <c r="P101" i="101"/>
  <c r="O101" i="101"/>
  <c r="N101" i="101"/>
  <c r="K101" i="101"/>
  <c r="H101" i="101"/>
  <c r="G101" i="101"/>
  <c r="F101" i="101"/>
  <c r="C101" i="101"/>
  <c r="P100" i="101"/>
  <c r="AI100" i="101" s="1"/>
  <c r="O100" i="101"/>
  <c r="AH100" i="101" s="1"/>
  <c r="N100" i="101"/>
  <c r="AG100" i="101" s="1"/>
  <c r="K100" i="101"/>
  <c r="AD100" i="101" s="1"/>
  <c r="H100" i="101"/>
  <c r="G100" i="101"/>
  <c r="Z100" i="101" s="1"/>
  <c r="F100" i="101"/>
  <c r="C100" i="101"/>
  <c r="U98" i="101"/>
  <c r="B98" i="101"/>
  <c r="K124" i="101" s="1"/>
  <c r="B88" i="101"/>
  <c r="S85" i="101"/>
  <c r="R85" i="101"/>
  <c r="R92" i="101" s="1"/>
  <c r="K85" i="101"/>
  <c r="J85" i="101"/>
  <c r="J92" i="101" s="1"/>
  <c r="C85" i="101"/>
  <c r="S84" i="101"/>
  <c r="L84" i="101"/>
  <c r="K84" i="101"/>
  <c r="K91" i="101" s="1"/>
  <c r="D84" i="101"/>
  <c r="C84" i="101"/>
  <c r="M83" i="101"/>
  <c r="L83" i="101"/>
  <c r="E83" i="101"/>
  <c r="D83" i="101"/>
  <c r="N82" i="101"/>
  <c r="M82" i="101"/>
  <c r="F82" i="101"/>
  <c r="E82" i="101"/>
  <c r="B81" i="101"/>
  <c r="M85" i="101" s="1"/>
  <c r="D75" i="101"/>
  <c r="C75" i="101"/>
  <c r="D74" i="101"/>
  <c r="C74" i="101"/>
  <c r="D73" i="101"/>
  <c r="C73" i="101"/>
  <c r="D72" i="101"/>
  <c r="C72" i="101"/>
  <c r="D71" i="101"/>
  <c r="C71" i="101"/>
  <c r="D70" i="101"/>
  <c r="C70" i="101"/>
  <c r="D69" i="101"/>
  <c r="C69" i="101"/>
  <c r="D68" i="101"/>
  <c r="C68" i="101"/>
  <c r="D67" i="101"/>
  <c r="C67" i="101"/>
  <c r="D66" i="101"/>
  <c r="C66" i="101"/>
  <c r="D65" i="101"/>
  <c r="C65" i="101"/>
  <c r="D64" i="101"/>
  <c r="C64" i="101"/>
  <c r="D63" i="101"/>
  <c r="C63" i="101"/>
  <c r="D62" i="101"/>
  <c r="C62" i="101"/>
  <c r="D61" i="101"/>
  <c r="C61" i="101"/>
  <c r="D60" i="101"/>
  <c r="C60" i="101"/>
  <c r="D59" i="101"/>
  <c r="C59" i="101"/>
  <c r="D58" i="101"/>
  <c r="C58" i="101"/>
  <c r="D57" i="101"/>
  <c r="C57" i="101"/>
  <c r="D56" i="101"/>
  <c r="C56" i="101"/>
  <c r="D55" i="101"/>
  <c r="C55" i="101"/>
  <c r="D54" i="101"/>
  <c r="C54" i="101"/>
  <c r="D53" i="101"/>
  <c r="C53" i="101"/>
  <c r="D52" i="101"/>
  <c r="C52" i="101"/>
  <c r="D51" i="101"/>
  <c r="C51" i="101"/>
  <c r="D50" i="101"/>
  <c r="C50" i="101"/>
  <c r="D49" i="101"/>
  <c r="C49" i="101"/>
  <c r="D48" i="101"/>
  <c r="C48" i="101"/>
  <c r="D47" i="101"/>
  <c r="C47" i="101"/>
  <c r="D46" i="101"/>
  <c r="C46" i="101"/>
  <c r="D45" i="101"/>
  <c r="C45" i="101"/>
  <c r="D44" i="101"/>
  <c r="C44" i="101"/>
  <c r="D43" i="101"/>
  <c r="C43" i="101"/>
  <c r="D42" i="101"/>
  <c r="C42" i="101"/>
  <c r="D41" i="101"/>
  <c r="C41" i="101"/>
  <c r="D40" i="101"/>
  <c r="C40" i="101"/>
  <c r="D39" i="101"/>
  <c r="C39" i="101"/>
  <c r="D38" i="101"/>
  <c r="C38" i="101"/>
  <c r="D37" i="101"/>
  <c r="C37" i="101"/>
  <c r="D36" i="101"/>
  <c r="C36" i="101"/>
  <c r="G35" i="101"/>
  <c r="D35" i="101"/>
  <c r="C35" i="101"/>
  <c r="G34" i="101"/>
  <c r="D34" i="101"/>
  <c r="C34" i="101"/>
  <c r="G33" i="101"/>
  <c r="J29" i="101"/>
  <c r="I29" i="101"/>
  <c r="G29" i="101"/>
  <c r="H29" i="101" s="1"/>
  <c r="F29" i="101"/>
  <c r="D29" i="101"/>
  <c r="C29" i="101"/>
  <c r="I28" i="101"/>
  <c r="G28" i="101"/>
  <c r="F28" i="101"/>
  <c r="D28" i="101"/>
  <c r="E28" i="101" s="1"/>
  <c r="C28" i="101"/>
  <c r="B28" i="101"/>
  <c r="J28" i="101" s="1"/>
  <c r="H22" i="101"/>
  <c r="F22" i="101"/>
  <c r="D22" i="101"/>
  <c r="C22" i="101"/>
  <c r="E22" i="101" s="1"/>
  <c r="G22" i="101" s="1"/>
  <c r="C21" i="101"/>
  <c r="B21" i="101"/>
  <c r="D21" i="101" s="1"/>
  <c r="L16" i="101"/>
  <c r="K16" i="101"/>
  <c r="M16" i="101" s="1"/>
  <c r="I16" i="101"/>
  <c r="G16" i="101"/>
  <c r="F16" i="101"/>
  <c r="D16" i="101"/>
  <c r="C16" i="101"/>
  <c r="E16" i="101" s="1"/>
  <c r="M15" i="101"/>
  <c r="L15" i="101"/>
  <c r="K15" i="101"/>
  <c r="I15" i="101"/>
  <c r="G15" i="101"/>
  <c r="F15" i="101"/>
  <c r="H15" i="101" s="1"/>
  <c r="D15" i="101"/>
  <c r="E15" i="101" s="1"/>
  <c r="C15" i="101"/>
  <c r="B15" i="101"/>
  <c r="L10" i="101"/>
  <c r="K10" i="101"/>
  <c r="I10" i="101"/>
  <c r="H10" i="101"/>
  <c r="F10" i="101"/>
  <c r="E10" i="101"/>
  <c r="D10" i="101"/>
  <c r="C10" i="101"/>
  <c r="L9" i="101"/>
  <c r="K9" i="101"/>
  <c r="I9" i="101"/>
  <c r="I11" i="101" s="1"/>
  <c r="H9" i="101"/>
  <c r="F9" i="101"/>
  <c r="F11" i="101" s="1"/>
  <c r="E9" i="101"/>
  <c r="E11" i="101" s="1"/>
  <c r="D9" i="101"/>
  <c r="C9" i="101"/>
  <c r="B9" i="101"/>
  <c r="H49" i="106"/>
  <c r="D49" i="106"/>
  <c r="E49" i="106" s="1"/>
  <c r="H48" i="106"/>
  <c r="D48" i="106"/>
  <c r="E48" i="106" s="1"/>
  <c r="H47" i="106"/>
  <c r="D47" i="106"/>
  <c r="E47" i="106" s="1"/>
  <c r="H46" i="106"/>
  <c r="D46" i="106"/>
  <c r="E46" i="106" s="1"/>
  <c r="H45" i="106"/>
  <c r="D45" i="106"/>
  <c r="E45" i="106" s="1"/>
  <c r="H44" i="106"/>
  <c r="D44" i="106"/>
  <c r="E44" i="106" s="1"/>
  <c r="H43" i="106"/>
  <c r="D43" i="106"/>
  <c r="E43" i="106" s="1"/>
  <c r="H42" i="106"/>
  <c r="D42" i="106"/>
  <c r="E42" i="106" s="1"/>
  <c r="H41" i="106"/>
  <c r="D41" i="106"/>
  <c r="E41" i="106" s="1"/>
  <c r="H40" i="106"/>
  <c r="D40" i="106"/>
  <c r="E40" i="106" s="1"/>
  <c r="H39" i="106"/>
  <c r="D39" i="106"/>
  <c r="E39" i="106" s="1"/>
  <c r="H38" i="106"/>
  <c r="D38" i="106"/>
  <c r="E38" i="106" s="1"/>
  <c r="H37" i="106"/>
  <c r="D37" i="106"/>
  <c r="E37" i="106" s="1"/>
  <c r="H36" i="106"/>
  <c r="D36" i="106"/>
  <c r="E36" i="106" s="1"/>
  <c r="H35" i="106"/>
  <c r="D35" i="106"/>
  <c r="E35" i="106" s="1"/>
  <c r="H34" i="106"/>
  <c r="D34" i="106"/>
  <c r="E34" i="106" s="1"/>
  <c r="H33" i="106"/>
  <c r="D33" i="106"/>
  <c r="E33" i="106" s="1"/>
  <c r="H31" i="106"/>
  <c r="D31" i="106"/>
  <c r="E31" i="106" s="1"/>
  <c r="H30" i="106"/>
  <c r="D30" i="106"/>
  <c r="E30" i="106" s="1"/>
  <c r="H29" i="106"/>
  <c r="D29" i="106"/>
  <c r="E29" i="106" s="1"/>
  <c r="H28" i="106"/>
  <c r="D28" i="106"/>
  <c r="E28" i="106" s="1"/>
  <c r="H27" i="106"/>
  <c r="D27" i="106"/>
  <c r="E27" i="106" s="1"/>
  <c r="H26" i="106"/>
  <c r="D26" i="106"/>
  <c r="E26" i="106" s="1"/>
  <c r="H25" i="106"/>
  <c r="D25" i="106"/>
  <c r="E25" i="106" s="1"/>
  <c r="H24" i="106"/>
  <c r="D24" i="106"/>
  <c r="E24" i="106" s="1"/>
  <c r="H23" i="106"/>
  <c r="D23" i="106"/>
  <c r="E23" i="106" s="1"/>
  <c r="H22" i="106"/>
  <c r="D22" i="106"/>
  <c r="E22" i="106" s="1"/>
  <c r="H21" i="106"/>
  <c r="D21" i="106"/>
  <c r="E21" i="106" s="1"/>
  <c r="H20" i="106"/>
  <c r="D20" i="106"/>
  <c r="E20" i="106" s="1"/>
  <c r="H19" i="106"/>
  <c r="D19" i="106"/>
  <c r="E19" i="106" s="1"/>
  <c r="H18" i="106"/>
  <c r="D18" i="106"/>
  <c r="E18" i="106" s="1"/>
  <c r="H16" i="106"/>
  <c r="D16" i="106"/>
  <c r="E16" i="106" s="1"/>
  <c r="H15" i="106"/>
  <c r="D15" i="106"/>
  <c r="E15" i="106" s="1"/>
  <c r="H14" i="106"/>
  <c r="D14" i="106"/>
  <c r="E14" i="106" s="1"/>
  <c r="H13" i="106"/>
  <c r="D13" i="106"/>
  <c r="E13" i="106" s="1"/>
  <c r="H12" i="106"/>
  <c r="D12" i="106"/>
  <c r="E12" i="106" s="1"/>
  <c r="H11" i="106"/>
  <c r="D11" i="106"/>
  <c r="E11" i="106" s="1"/>
  <c r="H10" i="106"/>
  <c r="D10" i="106"/>
  <c r="E10" i="106" s="1"/>
  <c r="H9" i="106"/>
  <c r="D9" i="106"/>
  <c r="E9" i="106" s="1"/>
  <c r="H8" i="106"/>
  <c r="D8" i="106"/>
  <c r="E8" i="106" s="1"/>
  <c r="H7" i="106"/>
  <c r="D7" i="106"/>
  <c r="E7" i="106" s="1"/>
  <c r="H6" i="106"/>
  <c r="D6" i="106"/>
  <c r="E6" i="106" s="1"/>
  <c r="U180" i="79"/>
  <c r="T180" i="79"/>
  <c r="R180" i="79"/>
  <c r="Q180" i="79"/>
  <c r="U179" i="79"/>
  <c r="T179" i="79"/>
  <c r="R179" i="79"/>
  <c r="Q179" i="79"/>
  <c r="S179" i="79" s="1"/>
  <c r="U178" i="79"/>
  <c r="T178" i="79"/>
  <c r="R178" i="79"/>
  <c r="Q178" i="79"/>
  <c r="S178" i="79" s="1"/>
  <c r="U177" i="79"/>
  <c r="T177" i="79"/>
  <c r="R177" i="79"/>
  <c r="S177" i="79" s="1"/>
  <c r="Q177" i="79"/>
  <c r="U176" i="79"/>
  <c r="T176" i="79"/>
  <c r="R176" i="79"/>
  <c r="Q176" i="79"/>
  <c r="U175" i="79"/>
  <c r="T175" i="79"/>
  <c r="R175" i="79"/>
  <c r="Q175" i="79"/>
  <c r="U174" i="79"/>
  <c r="T174" i="79"/>
  <c r="R174" i="79"/>
  <c r="Q174" i="79"/>
  <c r="S174" i="79" s="1"/>
  <c r="U173" i="79"/>
  <c r="T173" i="79"/>
  <c r="R173" i="79"/>
  <c r="Q173" i="79"/>
  <c r="U172" i="79"/>
  <c r="T172" i="79"/>
  <c r="R172" i="79"/>
  <c r="Q172" i="79"/>
  <c r="U171" i="79"/>
  <c r="T171" i="79"/>
  <c r="R171" i="79"/>
  <c r="Q171" i="79"/>
  <c r="U170" i="79"/>
  <c r="T170" i="79"/>
  <c r="R170" i="79"/>
  <c r="Q170" i="79"/>
  <c r="S170" i="79" s="1"/>
  <c r="U169" i="79"/>
  <c r="T169" i="79"/>
  <c r="R169" i="79"/>
  <c r="Q169" i="79"/>
  <c r="U168" i="79"/>
  <c r="T168" i="79"/>
  <c r="R168" i="79"/>
  <c r="Q168" i="79"/>
  <c r="S168" i="79" s="1"/>
  <c r="U167" i="79"/>
  <c r="T167" i="79"/>
  <c r="R167" i="79"/>
  <c r="Q167" i="79"/>
  <c r="U166" i="79"/>
  <c r="T166" i="79"/>
  <c r="R166" i="79"/>
  <c r="Q166" i="79"/>
  <c r="U165" i="79"/>
  <c r="T165" i="79"/>
  <c r="R165" i="79"/>
  <c r="Q165" i="79"/>
  <c r="U164" i="79"/>
  <c r="T164" i="79"/>
  <c r="R164" i="79"/>
  <c r="Q164" i="79"/>
  <c r="U163" i="79"/>
  <c r="T163" i="79"/>
  <c r="R163" i="79"/>
  <c r="Q163" i="79"/>
  <c r="U162" i="79"/>
  <c r="T162" i="79"/>
  <c r="R162" i="79"/>
  <c r="S162" i="79" s="1"/>
  <c r="Q162" i="79"/>
  <c r="U161" i="79"/>
  <c r="T161" i="79"/>
  <c r="R161" i="79"/>
  <c r="Q161" i="79"/>
  <c r="S161" i="79" s="1"/>
  <c r="U160" i="79"/>
  <c r="T160" i="79"/>
  <c r="R160" i="79"/>
  <c r="Q160" i="79"/>
  <c r="U159" i="79"/>
  <c r="T159" i="79"/>
  <c r="R159" i="79"/>
  <c r="Q159" i="79"/>
  <c r="U158" i="79"/>
  <c r="T158" i="79"/>
  <c r="R158" i="79"/>
  <c r="Q158" i="79"/>
  <c r="U157" i="79"/>
  <c r="T157" i="79"/>
  <c r="R157" i="79"/>
  <c r="Q157" i="79"/>
  <c r="S157" i="79" s="1"/>
  <c r="U156" i="79"/>
  <c r="T156" i="79"/>
  <c r="R156" i="79"/>
  <c r="Q156" i="79"/>
  <c r="S156" i="79" s="1"/>
  <c r="U155" i="79"/>
  <c r="T155" i="79"/>
  <c r="R155" i="79"/>
  <c r="Q155" i="79"/>
  <c r="U154" i="79"/>
  <c r="T154" i="79"/>
  <c r="R154" i="79"/>
  <c r="Q154" i="79"/>
  <c r="U153" i="79"/>
  <c r="T153" i="79"/>
  <c r="R153" i="79"/>
  <c r="Q153" i="79"/>
  <c r="S153" i="79" s="1"/>
  <c r="U152" i="79"/>
  <c r="T152" i="79"/>
  <c r="R152" i="79"/>
  <c r="Q152" i="79"/>
  <c r="U151" i="79"/>
  <c r="T151" i="79"/>
  <c r="R151" i="79"/>
  <c r="Q151" i="79"/>
  <c r="U150" i="79"/>
  <c r="T150" i="79"/>
  <c r="R150" i="79"/>
  <c r="Q150" i="79"/>
  <c r="S150" i="79" s="1"/>
  <c r="U149" i="79"/>
  <c r="T149" i="79"/>
  <c r="R149" i="79"/>
  <c r="Q149" i="79"/>
  <c r="U148" i="79"/>
  <c r="T148" i="79"/>
  <c r="R148" i="79"/>
  <c r="Q148" i="79"/>
  <c r="U147" i="79"/>
  <c r="T147" i="79"/>
  <c r="R147" i="79"/>
  <c r="Q147" i="79"/>
  <c r="U146" i="79"/>
  <c r="T146" i="79"/>
  <c r="R146" i="79"/>
  <c r="Q146" i="79"/>
  <c r="S146" i="79" s="1"/>
  <c r="U145" i="79"/>
  <c r="T145" i="79"/>
  <c r="R145" i="79"/>
  <c r="Q145" i="79"/>
  <c r="S145" i="79" s="1"/>
  <c r="U144" i="79"/>
  <c r="T144" i="79"/>
  <c r="R144" i="79"/>
  <c r="Q144" i="79"/>
  <c r="U143" i="79"/>
  <c r="T143" i="79"/>
  <c r="R143" i="79"/>
  <c r="Q143" i="79"/>
  <c r="U142" i="79"/>
  <c r="T142" i="79"/>
  <c r="R142" i="79"/>
  <c r="Q142" i="79"/>
  <c r="S142" i="79" s="1"/>
  <c r="U141" i="79"/>
  <c r="T141" i="79"/>
  <c r="R141" i="79"/>
  <c r="Q141" i="79"/>
  <c r="U140" i="79"/>
  <c r="T140" i="79"/>
  <c r="R140" i="79"/>
  <c r="Q140" i="79"/>
  <c r="U139" i="79"/>
  <c r="T139" i="79"/>
  <c r="R139" i="79"/>
  <c r="Q139" i="79"/>
  <c r="U138" i="79"/>
  <c r="T138" i="79"/>
  <c r="S138" i="79"/>
  <c r="R138" i="79"/>
  <c r="Q138" i="79"/>
  <c r="U137" i="79"/>
  <c r="T137" i="79"/>
  <c r="R137" i="79"/>
  <c r="Q137" i="79"/>
  <c r="S137" i="79" s="1"/>
  <c r="U136" i="79"/>
  <c r="T136" i="79"/>
  <c r="R136" i="79"/>
  <c r="Q136" i="79"/>
  <c r="S136" i="79" s="1"/>
  <c r="U135" i="79"/>
  <c r="T135" i="79"/>
  <c r="R135" i="79"/>
  <c r="Q135" i="79"/>
  <c r="U134" i="79"/>
  <c r="T134" i="79"/>
  <c r="R134" i="79"/>
  <c r="Q134" i="79"/>
  <c r="U133" i="79"/>
  <c r="T133" i="79"/>
  <c r="R133" i="79"/>
  <c r="Q133" i="79"/>
  <c r="U132" i="79"/>
  <c r="T132" i="79"/>
  <c r="R132" i="79"/>
  <c r="Q132" i="79"/>
  <c r="U131" i="79"/>
  <c r="T131" i="79"/>
  <c r="R131" i="79"/>
  <c r="Q131" i="79"/>
  <c r="U130" i="79"/>
  <c r="T130" i="79"/>
  <c r="S130" i="79"/>
  <c r="R130" i="79"/>
  <c r="Q130" i="79"/>
  <c r="U129" i="79"/>
  <c r="T129" i="79"/>
  <c r="R129" i="79"/>
  <c r="Q129" i="79"/>
  <c r="S129" i="79" s="1"/>
  <c r="U128" i="79"/>
  <c r="T128" i="79"/>
  <c r="R128" i="79"/>
  <c r="Q128" i="79"/>
  <c r="S128" i="79" s="1"/>
  <c r="U127" i="79"/>
  <c r="T127" i="79"/>
  <c r="R127" i="79"/>
  <c r="Q127" i="79"/>
  <c r="U126" i="79"/>
  <c r="T126" i="79"/>
  <c r="R126" i="79"/>
  <c r="Q126" i="79"/>
  <c r="S126" i="79" s="1"/>
  <c r="U125" i="79"/>
  <c r="T125" i="79"/>
  <c r="R125" i="79"/>
  <c r="Q125" i="79"/>
  <c r="U124" i="79"/>
  <c r="T124" i="79"/>
  <c r="R124" i="79"/>
  <c r="Q124" i="79"/>
  <c r="S124" i="79" s="1"/>
  <c r="U123" i="79"/>
  <c r="T123" i="79"/>
  <c r="R123" i="79"/>
  <c r="Q123" i="79"/>
  <c r="S123" i="79" s="1"/>
  <c r="U122" i="79"/>
  <c r="T122" i="79"/>
  <c r="R122" i="79"/>
  <c r="Q122" i="79"/>
  <c r="U121" i="79"/>
  <c r="T121" i="79"/>
  <c r="S121" i="79"/>
  <c r="R121" i="79"/>
  <c r="Q121" i="79"/>
  <c r="U120" i="79"/>
  <c r="T120" i="79"/>
  <c r="R120" i="79"/>
  <c r="Q120" i="79"/>
  <c r="U119" i="79"/>
  <c r="T119" i="79"/>
  <c r="R119" i="79"/>
  <c r="S119" i="79" s="1"/>
  <c r="Q119" i="79"/>
  <c r="U118" i="79"/>
  <c r="T118" i="79"/>
  <c r="S118" i="79"/>
  <c r="R118" i="79"/>
  <c r="Q118" i="79"/>
  <c r="U117" i="79"/>
  <c r="T117" i="79"/>
  <c r="R117" i="79"/>
  <c r="Q117" i="79"/>
  <c r="S117" i="79" s="1"/>
  <c r="U116" i="79"/>
  <c r="T116" i="79"/>
  <c r="R116" i="79"/>
  <c r="Q116" i="79"/>
  <c r="U115" i="79"/>
  <c r="T115" i="79"/>
  <c r="R115" i="79"/>
  <c r="Q115" i="79"/>
  <c r="U114" i="79"/>
  <c r="T114" i="79"/>
  <c r="R114" i="79"/>
  <c r="Q114" i="79"/>
  <c r="S114" i="79" s="1"/>
  <c r="U113" i="79"/>
  <c r="T113" i="79"/>
  <c r="R113" i="79"/>
  <c r="Q113" i="79"/>
  <c r="U112" i="79"/>
  <c r="T112" i="79"/>
  <c r="R112" i="79"/>
  <c r="Q112" i="79"/>
  <c r="U111" i="79"/>
  <c r="T111" i="79"/>
  <c r="R111" i="79"/>
  <c r="S111" i="79" s="1"/>
  <c r="Q111" i="79"/>
  <c r="U110" i="79"/>
  <c r="T110" i="79"/>
  <c r="R110" i="79"/>
  <c r="Q110" i="79"/>
  <c r="S110" i="79" s="1"/>
  <c r="U109" i="79"/>
  <c r="T109" i="79"/>
  <c r="R109" i="79"/>
  <c r="Q109" i="79"/>
  <c r="U108" i="79"/>
  <c r="T108" i="79"/>
  <c r="R108" i="79"/>
  <c r="Q108" i="79"/>
  <c r="U107" i="79"/>
  <c r="T107" i="79"/>
  <c r="R107" i="79"/>
  <c r="Q107" i="79"/>
  <c r="U106" i="79"/>
  <c r="T106" i="79"/>
  <c r="R106" i="79"/>
  <c r="Q106" i="79"/>
  <c r="S106" i="79" s="1"/>
  <c r="U105" i="79"/>
  <c r="T105" i="79"/>
  <c r="R105" i="79"/>
  <c r="Q105" i="79"/>
  <c r="U104" i="79"/>
  <c r="T104" i="79"/>
  <c r="R104" i="79"/>
  <c r="Q104" i="79"/>
  <c r="U103" i="79"/>
  <c r="T103" i="79"/>
  <c r="R103" i="79"/>
  <c r="Q103" i="79"/>
  <c r="U102" i="79"/>
  <c r="T102" i="79"/>
  <c r="R102" i="79"/>
  <c r="Q102" i="79"/>
  <c r="U101" i="79"/>
  <c r="T101" i="79"/>
  <c r="R101" i="79"/>
  <c r="Q101" i="79"/>
  <c r="U100" i="79"/>
  <c r="T100" i="79"/>
  <c r="R100" i="79"/>
  <c r="Q100" i="79"/>
  <c r="U99" i="79"/>
  <c r="T99" i="79"/>
  <c r="R99" i="79"/>
  <c r="Q99" i="79"/>
  <c r="U98" i="79"/>
  <c r="T98" i="79"/>
  <c r="R98" i="79"/>
  <c r="Q98" i="79"/>
  <c r="S98" i="79" s="1"/>
  <c r="U97" i="79"/>
  <c r="T97" i="79"/>
  <c r="R97" i="79"/>
  <c r="Q97" i="79"/>
  <c r="S97" i="79" s="1"/>
  <c r="U96" i="79"/>
  <c r="T96" i="79"/>
  <c r="R96" i="79"/>
  <c r="Q96" i="79"/>
  <c r="S96" i="79" s="1"/>
  <c r="U95" i="79"/>
  <c r="T95" i="79"/>
  <c r="R95" i="79"/>
  <c r="Q95" i="79"/>
  <c r="U94" i="79"/>
  <c r="T94" i="79"/>
  <c r="R94" i="79"/>
  <c r="Q94" i="79"/>
  <c r="U93" i="79"/>
  <c r="T93" i="79"/>
  <c r="R93" i="79"/>
  <c r="Q93" i="79"/>
  <c r="S93" i="79" s="1"/>
  <c r="U92" i="79"/>
  <c r="T92" i="79"/>
  <c r="R92" i="79"/>
  <c r="Q92" i="79"/>
  <c r="S92" i="79" s="1"/>
  <c r="U91" i="79"/>
  <c r="T91" i="79"/>
  <c r="R91" i="79"/>
  <c r="Q91" i="79"/>
  <c r="S91" i="79" s="1"/>
  <c r="U90" i="79"/>
  <c r="T90" i="79"/>
  <c r="R90" i="79"/>
  <c r="Q90" i="79"/>
  <c r="U89" i="79"/>
  <c r="T89" i="79"/>
  <c r="R89" i="79"/>
  <c r="Q89" i="79"/>
  <c r="S89" i="79" s="1"/>
  <c r="U88" i="79"/>
  <c r="T88" i="79"/>
  <c r="R88" i="79"/>
  <c r="Q88" i="79"/>
  <c r="U87" i="79"/>
  <c r="T87" i="79"/>
  <c r="R87" i="79"/>
  <c r="S87" i="79" s="1"/>
  <c r="Q87" i="79"/>
  <c r="U86" i="79"/>
  <c r="T86" i="79"/>
  <c r="R86" i="79"/>
  <c r="Q86" i="79"/>
  <c r="S86" i="79" s="1"/>
  <c r="U85" i="79"/>
  <c r="T85" i="79"/>
  <c r="R85" i="79"/>
  <c r="Q85" i="79"/>
  <c r="S85" i="79" s="1"/>
  <c r="U84" i="79"/>
  <c r="T84" i="79"/>
  <c r="R84" i="79"/>
  <c r="Q84" i="79"/>
  <c r="U83" i="79"/>
  <c r="T83" i="79"/>
  <c r="R83" i="79"/>
  <c r="Q83" i="79"/>
  <c r="U82" i="79"/>
  <c r="T82" i="79"/>
  <c r="R82" i="79"/>
  <c r="Q82" i="79"/>
  <c r="S82" i="79" s="1"/>
  <c r="U81" i="79"/>
  <c r="T81" i="79"/>
  <c r="R81" i="79"/>
  <c r="Q81" i="79"/>
  <c r="S81" i="79" s="1"/>
  <c r="U80" i="79"/>
  <c r="T80" i="79"/>
  <c r="R80" i="79"/>
  <c r="Q80" i="79"/>
  <c r="U79" i="79"/>
  <c r="T79" i="79"/>
  <c r="R79" i="79"/>
  <c r="S79" i="79" s="1"/>
  <c r="Q79" i="79"/>
  <c r="U78" i="79"/>
  <c r="T78" i="79"/>
  <c r="R78" i="79"/>
  <c r="Q78" i="79"/>
  <c r="S78" i="79" s="1"/>
  <c r="U77" i="79"/>
  <c r="T77" i="79"/>
  <c r="R77" i="79"/>
  <c r="Q77" i="79"/>
  <c r="U76" i="79"/>
  <c r="T76" i="79"/>
  <c r="R76" i="79"/>
  <c r="Q76" i="79"/>
  <c r="U75" i="79"/>
  <c r="T75" i="79"/>
  <c r="R75" i="79"/>
  <c r="Q75" i="79"/>
  <c r="U74" i="79"/>
  <c r="T74" i="79"/>
  <c r="R74" i="79"/>
  <c r="S74" i="79" s="1"/>
  <c r="Q74" i="79"/>
  <c r="U73" i="79"/>
  <c r="T73" i="79"/>
  <c r="R73" i="79"/>
  <c r="Q73" i="79"/>
  <c r="U72" i="79"/>
  <c r="T72" i="79"/>
  <c r="R72" i="79"/>
  <c r="Q72" i="79"/>
  <c r="S72" i="79" s="1"/>
  <c r="U71" i="79"/>
  <c r="T71" i="79"/>
  <c r="R71" i="79"/>
  <c r="Q71" i="79"/>
  <c r="U70" i="79"/>
  <c r="T70" i="79"/>
  <c r="R70" i="79"/>
  <c r="Q70" i="79"/>
  <c r="U69" i="79"/>
  <c r="T69" i="79"/>
  <c r="R69" i="79"/>
  <c r="Q69" i="79"/>
  <c r="U68" i="79"/>
  <c r="T68" i="79"/>
  <c r="R68" i="79"/>
  <c r="Q68" i="79"/>
  <c r="U67" i="79"/>
  <c r="T67" i="79"/>
  <c r="R67" i="79"/>
  <c r="Q67" i="79"/>
  <c r="U66" i="79"/>
  <c r="T66" i="79"/>
  <c r="S66" i="79"/>
  <c r="R66" i="79"/>
  <c r="Q66" i="79"/>
  <c r="U65" i="79"/>
  <c r="T65" i="79"/>
  <c r="R65" i="79"/>
  <c r="Q65" i="79"/>
  <c r="S65" i="79" s="1"/>
  <c r="U64" i="79"/>
  <c r="T64" i="79"/>
  <c r="R64" i="79"/>
  <c r="Q64" i="79"/>
  <c r="U63" i="79"/>
  <c r="T63" i="79"/>
  <c r="R63" i="79"/>
  <c r="Q63" i="79"/>
  <c r="U62" i="79"/>
  <c r="T62" i="79"/>
  <c r="R62" i="79"/>
  <c r="Q62" i="79"/>
  <c r="S62" i="79" s="1"/>
  <c r="U61" i="79"/>
  <c r="T61" i="79"/>
  <c r="R61" i="79"/>
  <c r="Q61" i="79"/>
  <c r="U60" i="79"/>
  <c r="T60" i="79"/>
  <c r="R60" i="79"/>
  <c r="Q60" i="79"/>
  <c r="U59" i="79"/>
  <c r="T59" i="79"/>
  <c r="R59" i="79"/>
  <c r="Q59" i="79"/>
  <c r="S59" i="79" s="1"/>
  <c r="U58" i="79"/>
  <c r="T58" i="79"/>
  <c r="R58" i="79"/>
  <c r="Q58" i="79"/>
  <c r="U57" i="79"/>
  <c r="T57" i="79"/>
  <c r="S57" i="79"/>
  <c r="R57" i="79"/>
  <c r="Q57" i="79"/>
  <c r="U56" i="79"/>
  <c r="T56" i="79"/>
  <c r="R56" i="79"/>
  <c r="Q56" i="79"/>
  <c r="U55" i="79"/>
  <c r="T55" i="79"/>
  <c r="R55" i="79"/>
  <c r="Q55" i="79"/>
  <c r="U54" i="79"/>
  <c r="T54" i="79"/>
  <c r="R54" i="79"/>
  <c r="Q54" i="79"/>
  <c r="U53" i="79"/>
  <c r="T53" i="79"/>
  <c r="R53" i="79"/>
  <c r="Q53" i="79"/>
  <c r="U52" i="79"/>
  <c r="T52" i="79"/>
  <c r="R52" i="79"/>
  <c r="Q52" i="79"/>
  <c r="U51" i="79"/>
  <c r="T51" i="79"/>
  <c r="R51" i="79"/>
  <c r="Q51" i="79"/>
  <c r="S51" i="79" s="1"/>
  <c r="U50" i="79"/>
  <c r="T50" i="79"/>
  <c r="R50" i="79"/>
  <c r="Q50" i="79"/>
  <c r="S50" i="79" s="1"/>
  <c r="U49" i="79"/>
  <c r="T49" i="79"/>
  <c r="R49" i="79"/>
  <c r="S49" i="79" s="1"/>
  <c r="Q49" i="79"/>
  <c r="U48" i="79"/>
  <c r="T48" i="79"/>
  <c r="R48" i="79"/>
  <c r="Q48" i="79"/>
  <c r="U47" i="79"/>
  <c r="T47" i="79"/>
  <c r="R47" i="79"/>
  <c r="Q47" i="79"/>
  <c r="U46" i="79"/>
  <c r="T46" i="79"/>
  <c r="R46" i="79"/>
  <c r="S46" i="79" s="1"/>
  <c r="Q46" i="79"/>
  <c r="U45" i="79"/>
  <c r="T45" i="79"/>
  <c r="R45" i="79"/>
  <c r="Q45" i="79"/>
  <c r="U44" i="79"/>
  <c r="T44" i="79"/>
  <c r="R44" i="79"/>
  <c r="Q44" i="79"/>
  <c r="U43" i="79"/>
  <c r="T43" i="79"/>
  <c r="R43" i="79"/>
  <c r="Q43" i="79"/>
  <c r="U42" i="79"/>
  <c r="T42" i="79"/>
  <c r="R42" i="79"/>
  <c r="Q42" i="79"/>
  <c r="U41" i="79"/>
  <c r="T41" i="79"/>
  <c r="R41" i="79"/>
  <c r="Q41" i="79"/>
  <c r="S41" i="79" s="1"/>
  <c r="U40" i="79"/>
  <c r="T40" i="79"/>
  <c r="R40" i="79"/>
  <c r="Q40" i="79"/>
  <c r="S40" i="79" s="1"/>
  <c r="U39" i="79"/>
  <c r="T39" i="79"/>
  <c r="R39" i="79"/>
  <c r="Q39" i="79"/>
  <c r="U38" i="79"/>
  <c r="T38" i="79"/>
  <c r="R38" i="79"/>
  <c r="S38" i="79" s="1"/>
  <c r="Q38" i="79"/>
  <c r="U37" i="79"/>
  <c r="T37" i="79"/>
  <c r="R37" i="79"/>
  <c r="Q37" i="79"/>
  <c r="U36" i="79"/>
  <c r="T36" i="79"/>
  <c r="R36" i="79"/>
  <c r="Q36" i="79"/>
  <c r="U35" i="79"/>
  <c r="T35" i="79"/>
  <c r="R35" i="79"/>
  <c r="Q35" i="79"/>
  <c r="U34" i="79"/>
  <c r="T34" i="79"/>
  <c r="R34" i="79"/>
  <c r="Q34" i="79"/>
  <c r="S34" i="79" s="1"/>
  <c r="U33" i="79"/>
  <c r="T33" i="79"/>
  <c r="R33" i="79"/>
  <c r="Q33" i="79"/>
  <c r="S33" i="79" s="1"/>
  <c r="U32" i="79"/>
  <c r="T32" i="79"/>
  <c r="R32" i="79"/>
  <c r="Q32" i="79"/>
  <c r="U31" i="79"/>
  <c r="T31" i="79"/>
  <c r="R31" i="79"/>
  <c r="Q31" i="79"/>
  <c r="U30" i="79"/>
  <c r="T30" i="79"/>
  <c r="R30" i="79"/>
  <c r="Q30" i="79"/>
  <c r="S30" i="79" s="1"/>
  <c r="U29" i="79"/>
  <c r="T29" i="79"/>
  <c r="R29" i="79"/>
  <c r="Q29" i="79"/>
  <c r="S29" i="79" s="1"/>
  <c r="U28" i="79"/>
  <c r="T28" i="79"/>
  <c r="R28" i="79"/>
  <c r="Q28" i="79"/>
  <c r="U27" i="79"/>
  <c r="T27" i="79"/>
  <c r="R27" i="79"/>
  <c r="Q27" i="79"/>
  <c r="S27" i="79" s="1"/>
  <c r="U26" i="79"/>
  <c r="T26" i="79"/>
  <c r="R26" i="79"/>
  <c r="Q26" i="79"/>
  <c r="S26" i="79" s="1"/>
  <c r="U25" i="79"/>
  <c r="T25" i="79"/>
  <c r="R25" i="79"/>
  <c r="S25" i="79" s="1"/>
  <c r="Q25" i="79"/>
  <c r="U24" i="79"/>
  <c r="T24" i="79"/>
  <c r="R24" i="79"/>
  <c r="Q24" i="79"/>
  <c r="U23" i="79"/>
  <c r="T23" i="79"/>
  <c r="R23" i="79"/>
  <c r="Q23" i="79"/>
  <c r="U22" i="79"/>
  <c r="T22" i="79"/>
  <c r="R22" i="79"/>
  <c r="Q22" i="79"/>
  <c r="U21" i="79"/>
  <c r="T21" i="79"/>
  <c r="R21" i="79"/>
  <c r="Q21" i="79"/>
  <c r="U20" i="79"/>
  <c r="T20" i="79"/>
  <c r="R20" i="79"/>
  <c r="Q20" i="79"/>
  <c r="S20" i="79" s="1"/>
  <c r="U19" i="79"/>
  <c r="T19" i="79"/>
  <c r="R19" i="79"/>
  <c r="Q19" i="79"/>
  <c r="U18" i="79"/>
  <c r="T18" i="79"/>
  <c r="R18" i="79"/>
  <c r="Q18" i="79"/>
  <c r="U17" i="79"/>
  <c r="T17" i="79"/>
  <c r="R17" i="79"/>
  <c r="Q17" i="79"/>
  <c r="U16" i="79"/>
  <c r="T16" i="79"/>
  <c r="R16" i="79"/>
  <c r="Q16" i="79"/>
  <c r="U15" i="79"/>
  <c r="T15" i="79"/>
  <c r="R15" i="79"/>
  <c r="Q15" i="79"/>
  <c r="U14" i="79"/>
  <c r="T14" i="79"/>
  <c r="S14" i="79"/>
  <c r="R14" i="79"/>
  <c r="Q14" i="79"/>
  <c r="U13" i="79"/>
  <c r="T13" i="79"/>
  <c r="R13" i="79"/>
  <c r="Q13" i="79"/>
  <c r="U12" i="79"/>
  <c r="T12" i="79"/>
  <c r="R12" i="79"/>
  <c r="Q12" i="79"/>
  <c r="U11" i="79"/>
  <c r="T11" i="79"/>
  <c r="R11" i="79"/>
  <c r="Q11" i="79"/>
  <c r="U10" i="79"/>
  <c r="T10" i="79"/>
  <c r="S10" i="79"/>
  <c r="R10" i="79"/>
  <c r="Q10" i="79"/>
  <c r="U9" i="79"/>
  <c r="T9" i="79"/>
  <c r="R9" i="79"/>
  <c r="Q9" i="79"/>
  <c r="S9" i="79" s="1"/>
  <c r="U8" i="79"/>
  <c r="T8" i="79"/>
  <c r="R8" i="79"/>
  <c r="Q8" i="79"/>
  <c r="U7" i="79"/>
  <c r="T7" i="79"/>
  <c r="R7" i="79"/>
  <c r="Q7" i="79"/>
  <c r="U6" i="79"/>
  <c r="T6" i="79"/>
  <c r="R6" i="79"/>
  <c r="Q6" i="79"/>
  <c r="U5" i="79"/>
  <c r="T5" i="79"/>
  <c r="R5" i="79"/>
  <c r="Q5" i="79"/>
  <c r="S5" i="79" s="1"/>
  <c r="U4" i="79"/>
  <c r="T4" i="79"/>
  <c r="R4" i="79"/>
  <c r="Q4" i="79"/>
  <c r="U3" i="79"/>
  <c r="T3" i="79"/>
  <c r="R3" i="79"/>
  <c r="Q3" i="79"/>
  <c r="U2" i="79"/>
  <c r="T2" i="79"/>
  <c r="R2" i="79"/>
  <c r="Q2" i="79"/>
  <c r="S2" i="79" s="1"/>
  <c r="K38" i="95" l="1"/>
  <c r="E46" i="95"/>
  <c r="F28" i="84"/>
  <c r="I83" i="81"/>
  <c r="S122" i="79"/>
  <c r="M29" i="81"/>
  <c r="H65" i="81"/>
  <c r="S53" i="79"/>
  <c r="S115" i="79"/>
  <c r="S134" i="79"/>
  <c r="S169" i="79"/>
  <c r="K28" i="98"/>
  <c r="K30" i="98" s="1"/>
  <c r="C12" i="114"/>
  <c r="J30" i="81"/>
  <c r="E33" i="81"/>
  <c r="J42" i="81"/>
  <c r="F82" i="81"/>
  <c r="H92" i="81"/>
  <c r="E8" i="95"/>
  <c r="E53" i="95"/>
  <c r="O117" i="87"/>
  <c r="E14" i="88"/>
  <c r="K17" i="88"/>
  <c r="H19" i="88"/>
  <c r="E21" i="88"/>
  <c r="S18" i="79"/>
  <c r="S22" i="79"/>
  <c r="S61" i="79"/>
  <c r="S84" i="79"/>
  <c r="D12" i="114"/>
  <c r="K41" i="95"/>
  <c r="P117" i="87"/>
  <c r="E51" i="95"/>
  <c r="E19" i="84"/>
  <c r="F19" i="84" s="1"/>
  <c r="F24" i="84"/>
  <c r="Q117" i="87"/>
  <c r="S3" i="79"/>
  <c r="S42" i="79"/>
  <c r="S73" i="79"/>
  <c r="S104" i="79"/>
  <c r="S127" i="79"/>
  <c r="S154" i="79"/>
  <c r="S158" i="79"/>
  <c r="J16" i="101"/>
  <c r="D12" i="98"/>
  <c r="E29" i="98"/>
  <c r="H33" i="81"/>
  <c r="E53" i="81"/>
  <c r="K61" i="81"/>
  <c r="H63" i="81"/>
  <c r="K15" i="95"/>
  <c r="K22" i="95"/>
  <c r="K24" i="95"/>
  <c r="K36" i="95"/>
  <c r="K12" i="88"/>
  <c r="H14" i="88"/>
  <c r="K28" i="88"/>
  <c r="E49" i="95"/>
  <c r="K14" i="88"/>
  <c r="H16" i="88"/>
  <c r="N28" i="88"/>
  <c r="S15" i="79"/>
  <c r="S23" i="79"/>
  <c r="S58" i="79"/>
  <c r="C11" i="101"/>
  <c r="H12" i="98"/>
  <c r="H15" i="98"/>
  <c r="K12" i="114"/>
  <c r="E71" i="81"/>
  <c r="E25" i="95"/>
  <c r="E37" i="95"/>
  <c r="E47" i="95"/>
  <c r="E11" i="84"/>
  <c r="F11" i="84" s="1"/>
  <c r="F16" i="84"/>
  <c r="E117" i="87"/>
  <c r="U117" i="87"/>
  <c r="F13" i="89"/>
  <c r="F14" i="89" s="1"/>
  <c r="K7" i="88"/>
  <c r="H9" i="88"/>
  <c r="E11" i="88"/>
  <c r="K23" i="88"/>
  <c r="H25" i="88"/>
  <c r="E27" i="88"/>
  <c r="S54" i="79"/>
  <c r="S166" i="79"/>
  <c r="H29" i="114"/>
  <c r="H43" i="81"/>
  <c r="H53" i="81"/>
  <c r="K67" i="81"/>
  <c r="S4" i="79"/>
  <c r="S8" i="79"/>
  <c r="S70" i="79"/>
  <c r="S105" i="79"/>
  <c r="S143" i="79"/>
  <c r="S151" i="79"/>
  <c r="S155" i="79"/>
  <c r="D11" i="101"/>
  <c r="I12" i="98"/>
  <c r="K29" i="98"/>
  <c r="L12" i="114"/>
  <c r="E22" i="114"/>
  <c r="G22" i="114" s="1"/>
  <c r="H31" i="81"/>
  <c r="H61" i="81"/>
  <c r="E64" i="81"/>
  <c r="H71" i="81"/>
  <c r="K6" i="95"/>
  <c r="E16" i="95"/>
  <c r="K34" i="95"/>
  <c r="E54" i="95"/>
  <c r="E21" i="84"/>
  <c r="F21" i="84" s="1"/>
  <c r="K16" i="88"/>
  <c r="H18" i="88"/>
  <c r="E40" i="95"/>
  <c r="F7" i="84"/>
  <c r="E12" i="84"/>
  <c r="F12" i="84" s="1"/>
  <c r="E6" i="88"/>
  <c r="E22" i="88"/>
  <c r="S47" i="79"/>
  <c r="S55" i="79"/>
  <c r="S113" i="79"/>
  <c r="H64" i="81"/>
  <c r="K25" i="95"/>
  <c r="K37" i="95"/>
  <c r="E52" i="95"/>
  <c r="S28" i="79"/>
  <c r="S63" i="79"/>
  <c r="S90" i="79"/>
  <c r="S94" i="79"/>
  <c r="S125" i="79"/>
  <c r="S148" i="79"/>
  <c r="S175" i="79"/>
  <c r="H11" i="101"/>
  <c r="M31" i="81"/>
  <c r="E69" i="81"/>
  <c r="F91" i="81"/>
  <c r="K23" i="95"/>
  <c r="K11" i="88"/>
  <c r="H13" i="88"/>
  <c r="E15" i="88"/>
  <c r="K27" i="88"/>
  <c r="K28" i="95"/>
  <c r="E50" i="95"/>
  <c r="F13" i="84"/>
  <c r="H6" i="88"/>
  <c r="K20" i="88"/>
  <c r="H22" i="88"/>
  <c r="S102" i="79"/>
  <c r="K11" i="101"/>
  <c r="K28" i="101"/>
  <c r="J16" i="98"/>
  <c r="E28" i="114"/>
  <c r="H29" i="81"/>
  <c r="K58" i="81"/>
  <c r="H69" i="81"/>
  <c r="E19" i="95"/>
  <c r="E38" i="95"/>
  <c r="K117" i="87"/>
  <c r="E10" i="88"/>
  <c r="K13" i="88"/>
  <c r="H15" i="88"/>
  <c r="E17" i="88"/>
  <c r="E26" i="88"/>
  <c r="G41" i="98"/>
  <c r="S17" i="79"/>
  <c r="S60" i="79"/>
  <c r="S64" i="79"/>
  <c r="S83" i="79"/>
  <c r="L11" i="101"/>
  <c r="E28" i="98"/>
  <c r="J29" i="81"/>
  <c r="J35" i="81"/>
  <c r="H55" i="81"/>
  <c r="H62" i="81"/>
  <c r="H85" i="81"/>
  <c r="E12" i="95"/>
  <c r="K21" i="95"/>
  <c r="K35" i="95"/>
  <c r="E48" i="95"/>
  <c r="L117" i="87"/>
  <c r="Y116" i="87"/>
  <c r="Y117" i="87" s="1"/>
  <c r="E41" i="95"/>
  <c r="E55" i="95"/>
  <c r="M117" i="87"/>
  <c r="E12" i="88"/>
  <c r="K15" i="88"/>
  <c r="H17" i="88"/>
  <c r="E19" i="88"/>
  <c r="N117" i="87"/>
  <c r="R117" i="87"/>
  <c r="F117" i="87"/>
  <c r="V117" i="87"/>
  <c r="J117" i="87"/>
  <c r="AK87" i="100"/>
  <c r="AK110" i="100"/>
  <c r="AB175" i="100"/>
  <c r="W114" i="101"/>
  <c r="AC110" i="100"/>
  <c r="AF148" i="100"/>
  <c r="AF149" i="100"/>
  <c r="AL22" i="100"/>
  <c r="AC27" i="100"/>
  <c r="AF36" i="100"/>
  <c r="Y83" i="100"/>
  <c r="Z100" i="100"/>
  <c r="AA127" i="100"/>
  <c r="AN127" i="100"/>
  <c r="Y13" i="100"/>
  <c r="AD17" i="100"/>
  <c r="AA19" i="100"/>
  <c r="AN32" i="100"/>
  <c r="AI50" i="100"/>
  <c r="AF52" i="100"/>
  <c r="AN102" i="100"/>
  <c r="AL62" i="100"/>
  <c r="AN88" i="100"/>
  <c r="AC99" i="100"/>
  <c r="AB100" i="100"/>
  <c r="AL140" i="100"/>
  <c r="AH145" i="100"/>
  <c r="AH114" i="101"/>
  <c r="AL14" i="100"/>
  <c r="AK15" i="100"/>
  <c r="Y33" i="100"/>
  <c r="AG40" i="100"/>
  <c r="Z73" i="100"/>
  <c r="AN78" i="100"/>
  <c r="AJ124" i="100"/>
  <c r="Z128" i="100"/>
  <c r="AN131" i="100"/>
  <c r="Y134" i="100"/>
  <c r="AK144" i="100"/>
  <c r="Y160" i="100"/>
  <c r="AG161" i="100"/>
  <c r="AK166" i="100"/>
  <c r="AI169" i="100"/>
  <c r="AJ196" i="100"/>
  <c r="AJ197" i="100"/>
  <c r="AB122" i="101"/>
  <c r="AC31" i="100"/>
  <c r="AG54" i="100"/>
  <c r="AF55" i="100"/>
  <c r="AD57" i="100"/>
  <c r="AB60" i="100"/>
  <c r="AF69" i="100"/>
  <c r="AC101" i="100"/>
  <c r="Y111" i="100"/>
  <c r="AM109" i="100"/>
  <c r="AK163" i="100"/>
  <c r="AN188" i="100"/>
  <c r="AA12" i="100"/>
  <c r="AF16" i="100"/>
  <c r="AF29" i="100"/>
  <c r="AB32" i="100"/>
  <c r="AD45" i="100"/>
  <c r="AC45" i="100"/>
  <c r="AN49" i="100"/>
  <c r="Z61" i="100"/>
  <c r="AI82" i="100"/>
  <c r="AG146" i="100"/>
  <c r="Y166" i="100"/>
  <c r="AN15" i="100"/>
  <c r="AG15" i="100"/>
  <c r="AM26" i="100"/>
  <c r="AI68" i="100"/>
  <c r="AG70" i="100"/>
  <c r="AF100" i="100"/>
  <c r="AM124" i="100"/>
  <c r="AJ125" i="100"/>
  <c r="AC178" i="100"/>
  <c r="AA183" i="100"/>
  <c r="AM199" i="100"/>
  <c r="AG19" i="100"/>
  <c r="AB24" i="100"/>
  <c r="AK41" i="100"/>
  <c r="AG45" i="100"/>
  <c r="AB89" i="100"/>
  <c r="AG110" i="100"/>
  <c r="AK121" i="100"/>
  <c r="AE173" i="100"/>
  <c r="AK187" i="100"/>
  <c r="AK29" i="100"/>
  <c r="AH100" i="100"/>
  <c r="AD159" i="100"/>
  <c r="AK161" i="100"/>
  <c r="V100" i="101"/>
  <c r="AG14" i="100"/>
  <c r="AL17" i="100"/>
  <c r="AC35" i="100"/>
  <c r="AF50" i="100"/>
  <c r="AA50" i="100"/>
  <c r="AN80" i="100"/>
  <c r="AA141" i="100"/>
  <c r="AA163" i="100"/>
  <c r="AA179" i="100"/>
  <c r="Y214" i="100"/>
  <c r="Y100" i="101"/>
  <c r="C92" i="98"/>
  <c r="AF12" i="100"/>
  <c r="Z16" i="100"/>
  <c r="AF22" i="100"/>
  <c r="AK43" i="100"/>
  <c r="AG47" i="100"/>
  <c r="AD62" i="100"/>
  <c r="AK99" i="100"/>
  <c r="AJ115" i="100"/>
  <c r="AC195" i="100"/>
  <c r="AI13" i="100"/>
  <c r="AC18" i="100"/>
  <c r="Y40" i="100"/>
  <c r="AI59" i="100"/>
  <c r="AH73" i="100"/>
  <c r="AK130" i="100"/>
  <c r="AG188" i="100"/>
  <c r="C91" i="101"/>
  <c r="AA100" i="101"/>
  <c r="X107" i="101"/>
  <c r="AA124" i="101"/>
  <c r="AK33" i="100"/>
  <c r="AN42" i="100"/>
  <c r="AC51" i="100"/>
  <c r="Y54" i="100"/>
  <c r="AL57" i="100"/>
  <c r="AN69" i="100"/>
  <c r="AL84" i="100"/>
  <c r="AB94" i="100"/>
  <c r="Z182" i="100"/>
  <c r="AM194" i="100"/>
  <c r="AE15" i="100"/>
  <c r="AN29" i="100"/>
  <c r="AJ34" i="100"/>
  <c r="AL45" i="100"/>
  <c r="AF49" i="100"/>
  <c r="AK59" i="100"/>
  <c r="AH128" i="100"/>
  <c r="AC161" i="100"/>
  <c r="AA167" i="100"/>
  <c r="AN175" i="100"/>
  <c r="AN142" i="100"/>
  <c r="AI145" i="100"/>
  <c r="AB149" i="100"/>
  <c r="AE162" i="100"/>
  <c r="AE175" i="100"/>
  <c r="AA185" i="100"/>
  <c r="AA193" i="100"/>
  <c r="AM195" i="100"/>
  <c r="Z211" i="100"/>
  <c r="AD217" i="100"/>
  <c r="AH226" i="100"/>
  <c r="Z48" i="111"/>
  <c r="AH51" i="111"/>
  <c r="AC52" i="111"/>
  <c r="Z62" i="111"/>
  <c r="AD66" i="111"/>
  <c r="AC67" i="111"/>
  <c r="Y74" i="111"/>
  <c r="W80" i="111"/>
  <c r="AD86" i="111"/>
  <c r="AH90" i="111"/>
  <c r="X93" i="111"/>
  <c r="AD97" i="111"/>
  <c r="AK103" i="111"/>
  <c r="AN111" i="100"/>
  <c r="AE130" i="100"/>
  <c r="AG140" i="100"/>
  <c r="AH143" i="100"/>
  <c r="AE146" i="100"/>
  <c r="AD155" i="100"/>
  <c r="AA156" i="100"/>
  <c r="AK174" i="100"/>
  <c r="AC182" i="100"/>
  <c r="AA211" i="100"/>
  <c r="AJ216" i="100"/>
  <c r="AM234" i="100"/>
  <c r="AE239" i="100"/>
  <c r="AN243" i="100"/>
  <c r="AE259" i="100"/>
  <c r="AJ264" i="100"/>
  <c r="AG266" i="100"/>
  <c r="AG294" i="100"/>
  <c r="Y6" i="111"/>
  <c r="AE14" i="111"/>
  <c r="Z20" i="111"/>
  <c r="Z74" i="111"/>
  <c r="AE119" i="100"/>
  <c r="AI140" i="100"/>
  <c r="Y144" i="100"/>
  <c r="AF175" i="100"/>
  <c r="AK176" i="100"/>
  <c r="AM177" i="100"/>
  <c r="AG190" i="100"/>
  <c r="AM191" i="100"/>
  <c r="AD230" i="100"/>
  <c r="AB253" i="100"/>
  <c r="Z280" i="100"/>
  <c r="AF8" i="111"/>
  <c r="W12" i="111"/>
  <c r="AA20" i="111"/>
  <c r="AJ40" i="111"/>
  <c r="AJ51" i="111"/>
  <c r="AI64" i="111"/>
  <c r="AE76" i="111"/>
  <c r="AA79" i="111"/>
  <c r="AJ90" i="111"/>
  <c r="AF91" i="111"/>
  <c r="AK94" i="111"/>
  <c r="AE98" i="111"/>
  <c r="Z101" i="111"/>
  <c r="AG106" i="111"/>
  <c r="AD107" i="111"/>
  <c r="AL188" i="100"/>
  <c r="AF211" i="100"/>
  <c r="AM215" i="100"/>
  <c r="AJ217" i="100"/>
  <c r="AK226" i="100"/>
  <c r="AH239" i="100"/>
  <c r="AN282" i="100"/>
  <c r="AA6" i="111"/>
  <c r="X12" i="111"/>
  <c r="AB20" i="111"/>
  <c r="AA36" i="111"/>
  <c r="AK40" i="111"/>
  <c r="AK51" i="111"/>
  <c r="AB74" i="111"/>
  <c r="AG86" i="111"/>
  <c r="AG91" i="111"/>
  <c r="X103" i="111"/>
  <c r="AC128" i="100"/>
  <c r="AJ142" i="100"/>
  <c r="AE142" i="100"/>
  <c r="AA150" i="100"/>
  <c r="Z151" i="100"/>
  <c r="AB158" i="100"/>
  <c r="AC169" i="100"/>
  <c r="AA175" i="100"/>
  <c r="AM176" i="100"/>
  <c r="AE185" i="100"/>
  <c r="Y196" i="100"/>
  <c r="AK198" i="100"/>
  <c r="AJ207" i="100"/>
  <c r="AG212" i="100"/>
  <c r="AA213" i="100"/>
  <c r="AI218" i="100"/>
  <c r="AF230" i="100"/>
  <c r="AB231" i="100"/>
  <c r="M250" i="100"/>
  <c r="AH250" i="100" s="1"/>
  <c r="Y253" i="100"/>
  <c r="AF259" i="100"/>
  <c r="Z271" i="100"/>
  <c r="AK274" i="100"/>
  <c r="AK288" i="100"/>
  <c r="AE286" i="100"/>
  <c r="AH8" i="111"/>
  <c r="Z11" i="111"/>
  <c r="Y12" i="111"/>
  <c r="AH14" i="111"/>
  <c r="AC20" i="111"/>
  <c r="AI60" i="111"/>
  <c r="AC74" i="111"/>
  <c r="Y89" i="111"/>
  <c r="W94" i="111"/>
  <c r="AH97" i="111"/>
  <c r="AD99" i="111"/>
  <c r="AI106" i="111"/>
  <c r="AN213" i="100"/>
  <c r="AN235" i="100"/>
  <c r="Z245" i="100"/>
  <c r="Q250" i="100"/>
  <c r="AL250" i="100" s="1"/>
  <c r="Z256" i="100"/>
  <c r="AC36" i="111"/>
  <c r="AD79" i="111"/>
  <c r="AF87" i="111"/>
  <c r="W90" i="111"/>
  <c r="AI91" i="111"/>
  <c r="AD100" i="111"/>
  <c r="Z103" i="111"/>
  <c r="AB234" i="100"/>
  <c r="AJ238" i="100"/>
  <c r="AD254" i="100"/>
  <c r="AF262" i="100"/>
  <c r="AF278" i="100"/>
  <c r="AA282" i="100"/>
  <c r="AH287" i="100"/>
  <c r="Z292" i="100"/>
  <c r="AL294" i="100"/>
  <c r="AJ296" i="100"/>
  <c r="AE20" i="111"/>
  <c r="X23" i="111"/>
  <c r="AD27" i="111"/>
  <c r="AD36" i="111"/>
  <c r="X40" i="111"/>
  <c r="AF42" i="111"/>
  <c r="Y44" i="111"/>
  <c r="X51" i="111"/>
  <c r="AF62" i="111"/>
  <c r="W64" i="111"/>
  <c r="AE74" i="111"/>
  <c r="AA81" i="111"/>
  <c r="X90" i="111"/>
  <c r="AJ91" i="111"/>
  <c r="AJ97" i="111"/>
  <c r="AD101" i="111"/>
  <c r="AK106" i="111"/>
  <c r="AI127" i="100"/>
  <c r="AM143" i="100"/>
  <c r="AJ155" i="100"/>
  <c r="AE167" i="100"/>
  <c r="AJ175" i="100"/>
  <c r="AK178" i="100"/>
  <c r="AG180" i="100"/>
  <c r="AG185" i="100"/>
  <c r="AE195" i="100"/>
  <c r="Z207" i="100"/>
  <c r="AH210" i="100"/>
  <c r="AB223" i="100"/>
  <c r="AG231" i="100"/>
  <c r="AD233" i="100"/>
  <c r="AH247" i="100"/>
  <c r="AE253" i="100"/>
  <c r="Z258" i="100"/>
  <c r="AD261" i="100"/>
  <c r="AN293" i="100"/>
  <c r="AK8" i="111"/>
  <c r="AF20" i="111"/>
  <c r="AA118" i="100"/>
  <c r="AH142" i="100"/>
  <c r="AM154" i="100"/>
  <c r="AM166" i="100"/>
  <c r="Y170" i="100"/>
  <c r="Z175" i="100"/>
  <c r="AI187" i="100"/>
  <c r="AA216" i="100"/>
  <c r="AM218" i="100"/>
  <c r="AL259" i="100"/>
  <c r="AF6" i="111"/>
  <c r="AD11" i="111"/>
  <c r="AB14" i="111"/>
  <c r="AG74" i="111"/>
  <c r="AC89" i="111"/>
  <c r="AC103" i="111"/>
  <c r="AF111" i="100"/>
  <c r="AJ119" i="100"/>
  <c r="AK140" i="100"/>
  <c r="AN141" i="100"/>
  <c r="AC147" i="100"/>
  <c r="AB152" i="100"/>
  <c r="AG156" i="100"/>
  <c r="AF158" i="100"/>
  <c r="AG165" i="100"/>
  <c r="AD189" i="100"/>
  <c r="AE191" i="100"/>
  <c r="AN206" i="100"/>
  <c r="AC215" i="100"/>
  <c r="AB216" i="100"/>
  <c r="AB257" i="100"/>
  <c r="AJ285" i="100"/>
  <c r="AG6" i="111"/>
  <c r="W8" i="111"/>
  <c r="AE11" i="111"/>
  <c r="AD12" i="111"/>
  <c r="W14" i="111"/>
  <c r="AD16" i="111"/>
  <c r="AC17" i="111"/>
  <c r="AD21" i="111"/>
  <c r="AA23" i="111"/>
  <c r="AD38" i="111"/>
  <c r="AB44" i="111"/>
  <c r="AB55" i="111"/>
  <c r="Z64" i="111"/>
  <c r="AA69" i="111"/>
  <c r="Z70" i="111"/>
  <c r="W72" i="111"/>
  <c r="AH74" i="111"/>
  <c r="AD81" i="111"/>
  <c r="W91" i="111"/>
  <c r="AA95" i="111"/>
  <c r="AF98" i="111"/>
  <c r="AD103" i="111"/>
  <c r="AD141" i="100"/>
  <c r="AK157" i="100"/>
  <c r="AI165" i="100"/>
  <c r="Z190" i="100"/>
  <c r="AG213" i="100"/>
  <c r="AE223" i="100"/>
  <c r="Z228" i="100"/>
  <c r="AL230" i="100"/>
  <c r="AN265" i="100"/>
  <c r="AI270" i="100"/>
  <c r="AI278" i="100"/>
  <c r="AD283" i="100"/>
  <c r="AF289" i="100"/>
  <c r="AH6" i="111"/>
  <c r="X8" i="111"/>
  <c r="AE12" i="111"/>
  <c r="X14" i="111"/>
  <c r="AF14" i="111"/>
  <c r="AI20" i="111"/>
  <c r="AH36" i="111"/>
  <c r="AA64" i="111"/>
  <c r="AI79" i="111"/>
  <c r="Y106" i="111"/>
  <c r="AG136" i="100"/>
  <c r="AI160" i="100"/>
  <c r="AD166" i="100"/>
  <c r="Y180" i="100"/>
  <c r="AL190" i="100"/>
  <c r="AG193" i="100"/>
  <c r="AE214" i="100"/>
  <c r="AB219" i="100"/>
  <c r="Y219" i="100"/>
  <c r="Z237" i="100"/>
  <c r="AH243" i="100"/>
  <c r="AK254" i="100"/>
  <c r="AL280" i="100"/>
  <c r="AI6" i="111"/>
  <c r="AK10" i="111"/>
  <c r="AJ20" i="111"/>
  <c r="AD33" i="111"/>
  <c r="X35" i="111"/>
  <c r="AC40" i="111"/>
  <c r="AK48" i="111"/>
  <c r="AC51" i="111"/>
  <c r="X52" i="111"/>
  <c r="AD55" i="111"/>
  <c r="AG61" i="111"/>
  <c r="AK62" i="111"/>
  <c r="AG63" i="111"/>
  <c r="AC69" i="111"/>
  <c r="AJ74" i="111"/>
  <c r="Y86" i="111"/>
  <c r="AF89" i="111"/>
  <c r="Y91" i="111"/>
  <c r="AD94" i="111"/>
  <c r="AF103" i="111"/>
  <c r="AE121" i="100"/>
  <c r="AI122" i="100"/>
  <c r="AM175" i="100"/>
  <c r="AM183" i="100"/>
  <c r="AL194" i="100"/>
  <c r="AB207" i="100"/>
  <c r="AA218" i="100"/>
  <c r="AN220" i="100"/>
  <c r="AL222" i="100"/>
  <c r="AN230" i="100"/>
  <c r="AJ232" i="100"/>
  <c r="AG256" i="100"/>
  <c r="Z267" i="100"/>
  <c r="AE275" i="100"/>
  <c r="AC274" i="100"/>
  <c r="AL278" i="100"/>
  <c r="AH281" i="100"/>
  <c r="AH289" i="100"/>
  <c r="AC293" i="100"/>
  <c r="AG12" i="111"/>
  <c r="Z14" i="111"/>
  <c r="AB18" i="111"/>
  <c r="AK20" i="111"/>
  <c r="AD23" i="111"/>
  <c r="AE33" i="111"/>
  <c r="AE44" i="111"/>
  <c r="AA48" i="111"/>
  <c r="AD51" i="111"/>
  <c r="AA60" i="111"/>
  <c r="AG62" i="111"/>
  <c r="AC64" i="111"/>
  <c r="AD69" i="111"/>
  <c r="AK74" i="111"/>
  <c r="Z86" i="111"/>
  <c r="Z97" i="111"/>
  <c r="AA106" i="111"/>
  <c r="Z209" i="100"/>
  <c r="AJ215" i="100"/>
  <c r="AF228" i="100"/>
  <c r="AF235" i="100"/>
  <c r="AD236" i="100"/>
  <c r="K247" i="100"/>
  <c r="AF258" i="100"/>
  <c r="AL289" i="100"/>
  <c r="AA14" i="111"/>
  <c r="AK36" i="111"/>
  <c r="AD64" i="111"/>
  <c r="AC133" i="100"/>
  <c r="Z142" i="100"/>
  <c r="AM146" i="100"/>
  <c r="AC149" i="100"/>
  <c r="AC157" i="100"/>
  <c r="AJ158" i="100"/>
  <c r="AL209" i="100"/>
  <c r="AC218" i="100"/>
  <c r="AH224" i="100"/>
  <c r="Y230" i="100"/>
  <c r="AB238" i="100"/>
  <c r="AN261" i="100"/>
  <c r="Y272" i="100"/>
  <c r="AI282" i="100"/>
  <c r="AK43" i="111"/>
  <c r="AG44" i="111"/>
  <c r="X48" i="111"/>
  <c r="AG49" i="111"/>
  <c r="AF51" i="111"/>
  <c r="X62" i="111"/>
  <c r="AE64" i="111"/>
  <c r="W74" i="111"/>
  <c r="AI81" i="111"/>
  <c r="AF90" i="111"/>
  <c r="AF93" i="111"/>
  <c r="AB97" i="111"/>
  <c r="AC106" i="111"/>
  <c r="AF131" i="100"/>
  <c r="AD157" i="100"/>
  <c r="Y158" i="100"/>
  <c r="AL162" i="100"/>
  <c r="AG164" i="100"/>
  <c r="AG166" i="100"/>
  <c r="AD173" i="100"/>
  <c r="AE189" i="100"/>
  <c r="AL247" i="100"/>
  <c r="AM250" i="100"/>
  <c r="AM255" i="100"/>
  <c r="AH257" i="100"/>
  <c r="AL263" i="100"/>
  <c r="AG267" i="100"/>
  <c r="AA268" i="100"/>
  <c r="Y269" i="100"/>
  <c r="AA287" i="100"/>
  <c r="AC8" i="111"/>
  <c r="AC14" i="111"/>
  <c r="X20" i="111"/>
  <c r="AG23" i="111"/>
  <c r="W28" i="111"/>
  <c r="AH33" i="111"/>
  <c r="AD34" i="111"/>
  <c r="AG40" i="111"/>
  <c r="AD45" i="111"/>
  <c r="AG51" i="111"/>
  <c r="AK63" i="111"/>
  <c r="AD65" i="111"/>
  <c r="AB67" i="111"/>
  <c r="AF70" i="111"/>
  <c r="AD71" i="111"/>
  <c r="AC72" i="111"/>
  <c r="X74" i="111"/>
  <c r="X79" i="111"/>
  <c r="AJ81" i="111"/>
  <c r="AC86" i="111"/>
  <c r="AG90" i="111"/>
  <c r="AC91" i="111"/>
  <c r="AG95" i="111"/>
  <c r="AJ103" i="111"/>
  <c r="AD106" i="111"/>
  <c r="G23" i="98"/>
  <c r="D91" i="101"/>
  <c r="AD101" i="101"/>
  <c r="AD102" i="101"/>
  <c r="AD103" i="101"/>
  <c r="Y108" i="101"/>
  <c r="Y109" i="101"/>
  <c r="Y110" i="101"/>
  <c r="V115" i="101"/>
  <c r="V116" i="101"/>
  <c r="V117" i="101"/>
  <c r="AI122" i="101"/>
  <c r="AB124" i="101"/>
  <c r="E16" i="98"/>
  <c r="E17" i="98" s="1"/>
  <c r="AD37" i="100"/>
  <c r="AL37" i="100"/>
  <c r="Y41" i="100"/>
  <c r="AI70" i="100"/>
  <c r="AJ100" i="100"/>
  <c r="AJ99" i="100"/>
  <c r="AH127" i="100"/>
  <c r="AI135" i="100"/>
  <c r="AI133" i="100"/>
  <c r="AH140" i="100"/>
  <c r="AA143" i="100"/>
  <c r="AL159" i="100"/>
  <c r="AL156" i="100"/>
  <c r="Y157" i="100"/>
  <c r="AJ162" i="100"/>
  <c r="AI183" i="100"/>
  <c r="AI181" i="100"/>
  <c r="Y192" i="100"/>
  <c r="AF38" i="111"/>
  <c r="Z38" i="111"/>
  <c r="S6" i="79"/>
  <c r="S19" i="79"/>
  <c r="S21" i="79"/>
  <c r="S32" i="79"/>
  <c r="S39" i="79"/>
  <c r="S52" i="79"/>
  <c r="S103" i="79"/>
  <c r="S116" i="79"/>
  <c r="S147" i="79"/>
  <c r="S149" i="79"/>
  <c r="S160" i="79"/>
  <c r="S167" i="79"/>
  <c r="E29" i="101"/>
  <c r="E30" i="101" s="1"/>
  <c r="AG101" i="101"/>
  <c r="AG102" i="101"/>
  <c r="AG103" i="101"/>
  <c r="AB108" i="101"/>
  <c r="AB109" i="101"/>
  <c r="AB110" i="101"/>
  <c r="W115" i="101"/>
  <c r="W116" i="101"/>
  <c r="W117" i="101"/>
  <c r="AJ122" i="101"/>
  <c r="AA11" i="100"/>
  <c r="AA15" i="100"/>
  <c r="Y20" i="100"/>
  <c r="AG20" i="100"/>
  <c r="AK45" i="100"/>
  <c r="Y65" i="100"/>
  <c r="AE73" i="100"/>
  <c r="Y110" i="100"/>
  <c r="Y119" i="100"/>
  <c r="Z121" i="100"/>
  <c r="AC130" i="100"/>
  <c r="Z158" i="100"/>
  <c r="AC165" i="100"/>
  <c r="AC164" i="100"/>
  <c r="AM168" i="100"/>
  <c r="AM169" i="100"/>
  <c r="Y177" i="100"/>
  <c r="AI188" i="100"/>
  <c r="AI191" i="100"/>
  <c r="AB242" i="100"/>
  <c r="AB243" i="100"/>
  <c r="AJ241" i="100"/>
  <c r="AJ242" i="100"/>
  <c r="S12" i="79"/>
  <c r="S43" i="79"/>
  <c r="S45" i="79"/>
  <c r="S56" i="79"/>
  <c r="S76" i="79"/>
  <c r="S107" i="79"/>
  <c r="S109" i="79"/>
  <c r="S120" i="79"/>
  <c r="S140" i="79"/>
  <c r="S171" i="79"/>
  <c r="S173" i="79"/>
  <c r="G36" i="101"/>
  <c r="G37" i="101" s="1"/>
  <c r="L91" i="101"/>
  <c r="AH101" i="101"/>
  <c r="AH102" i="101"/>
  <c r="AH103" i="101"/>
  <c r="AE108" i="101"/>
  <c r="AE109" i="101"/>
  <c r="AE110" i="101"/>
  <c r="Z115" i="101"/>
  <c r="Z116" i="101"/>
  <c r="Z117" i="101"/>
  <c r="AA121" i="101"/>
  <c r="AA123" i="101"/>
  <c r="Y21" i="100"/>
  <c r="AC39" i="100"/>
  <c r="AF77" i="100"/>
  <c r="Y98" i="100"/>
  <c r="AG98" i="100"/>
  <c r="AL100" i="100"/>
  <c r="AL99" i="100"/>
  <c r="AC127" i="100"/>
  <c r="Y127" i="100"/>
  <c r="AG139" i="100"/>
  <c r="AI141" i="100"/>
  <c r="AM156" i="100"/>
  <c r="AM158" i="100"/>
  <c r="AM159" i="100"/>
  <c r="AG157" i="100"/>
  <c r="AG158" i="100"/>
  <c r="AC166" i="100"/>
  <c r="AL175" i="100"/>
  <c r="AL172" i="100"/>
  <c r="AE176" i="100"/>
  <c r="AE179" i="100"/>
  <c r="Y176" i="100"/>
  <c r="AE178" i="100"/>
  <c r="AG182" i="100"/>
  <c r="AE183" i="100"/>
  <c r="AE181" i="100"/>
  <c r="AM185" i="100"/>
  <c r="AM187" i="100"/>
  <c r="S16" i="79"/>
  <c r="S36" i="79"/>
  <c r="S67" i="79"/>
  <c r="S69" i="79"/>
  <c r="S80" i="79"/>
  <c r="S100" i="79"/>
  <c r="S131" i="79"/>
  <c r="S133" i="79"/>
  <c r="S144" i="79"/>
  <c r="S164" i="79"/>
  <c r="AI101" i="101"/>
  <c r="AI102" i="101"/>
  <c r="AI103" i="101"/>
  <c r="AF108" i="101"/>
  <c r="AF109" i="101"/>
  <c r="AF110" i="101"/>
  <c r="AC115" i="101"/>
  <c r="AC116" i="101"/>
  <c r="AC117" i="101"/>
  <c r="AB121" i="101"/>
  <c r="AB123" i="101"/>
  <c r="AF28" i="100"/>
  <c r="AB59" i="100"/>
  <c r="AJ60" i="100"/>
  <c r="AJ59" i="100"/>
  <c r="AE86" i="100"/>
  <c r="AE85" i="100"/>
  <c r="AH110" i="100"/>
  <c r="Z124" i="100"/>
  <c r="AL141" i="100"/>
  <c r="AN145" i="100"/>
  <c r="AN144" i="100"/>
  <c r="AN147" i="100"/>
  <c r="AG169" i="100"/>
  <c r="AC189" i="100"/>
  <c r="AC190" i="100"/>
  <c r="AK234" i="100"/>
  <c r="AK233" i="100"/>
  <c r="M90" i="98"/>
  <c r="M92" i="98"/>
  <c r="AD12" i="100"/>
  <c r="Y22" i="100"/>
  <c r="AG22" i="100"/>
  <c r="AB36" i="100"/>
  <c r="AF56" i="100"/>
  <c r="Y73" i="100"/>
  <c r="AA98" i="100"/>
  <c r="Z99" i="100"/>
  <c r="AB99" i="100"/>
  <c r="AF118" i="100"/>
  <c r="AH126" i="100"/>
  <c r="AM118" i="100"/>
  <c r="AI121" i="100"/>
  <c r="AK127" i="100"/>
  <c r="AD143" i="100"/>
  <c r="AC146" i="100"/>
  <c r="AJ149" i="100"/>
  <c r="Y156" i="100"/>
  <c r="AC167" i="100"/>
  <c r="AE187" i="100"/>
  <c r="AI211" i="100"/>
  <c r="AI210" i="100"/>
  <c r="S7" i="79"/>
  <c r="S71" i="79"/>
  <c r="S135" i="79"/>
  <c r="Y101" i="101"/>
  <c r="Y102" i="101"/>
  <c r="Y103" i="101"/>
  <c r="AJ108" i="101"/>
  <c r="AJ109" i="101"/>
  <c r="AJ110" i="101"/>
  <c r="AE115" i="101"/>
  <c r="AE116" i="101"/>
  <c r="AE117" i="101"/>
  <c r="AJ123" i="101"/>
  <c r="AD20" i="100"/>
  <c r="AL20" i="100"/>
  <c r="AF26" i="100"/>
  <c r="AH61" i="100"/>
  <c r="Y74" i="100"/>
  <c r="AG74" i="100"/>
  <c r="AE81" i="100"/>
  <c r="AI84" i="100"/>
  <c r="AI86" i="100"/>
  <c r="AE95" i="100"/>
  <c r="Z108" i="100"/>
  <c r="AG108" i="100"/>
  <c r="AM108" i="100"/>
  <c r="AM119" i="100"/>
  <c r="AA110" i="100"/>
  <c r="AE110" i="100"/>
  <c r="Y114" i="100"/>
  <c r="AI117" i="100"/>
  <c r="AG132" i="100"/>
  <c r="AL143" i="100"/>
  <c r="AL142" i="100"/>
  <c r="AI144" i="100"/>
  <c r="AK147" i="100"/>
  <c r="Y165" i="100"/>
  <c r="AL165" i="100"/>
  <c r="Y168" i="100"/>
  <c r="AB170" i="100"/>
  <c r="AN170" i="100"/>
  <c r="AG173" i="100"/>
  <c r="AG174" i="100"/>
  <c r="AI177" i="100"/>
  <c r="AI176" i="100"/>
  <c r="AN178" i="100"/>
  <c r="AC181" i="100"/>
  <c r="AC180" i="100"/>
  <c r="AA187" i="100"/>
  <c r="AB188" i="100"/>
  <c r="AK193" i="100"/>
  <c r="AK195" i="100"/>
  <c r="AE194" i="100"/>
  <c r="AF286" i="100"/>
  <c r="AF285" i="100"/>
  <c r="AF27" i="111"/>
  <c r="AH27" i="111"/>
  <c r="X27" i="111"/>
  <c r="S11" i="79"/>
  <c r="S13" i="79"/>
  <c r="S24" i="79"/>
  <c r="S31" i="79"/>
  <c r="S44" i="79"/>
  <c r="S75" i="79"/>
  <c r="S77" i="79"/>
  <c r="S88" i="79"/>
  <c r="S95" i="79"/>
  <c r="S108" i="79"/>
  <c r="S139" i="79"/>
  <c r="S141" i="79"/>
  <c r="S152" i="79"/>
  <c r="S159" i="79"/>
  <c r="S172" i="79"/>
  <c r="AL12" i="100"/>
  <c r="AM19" i="100"/>
  <c r="AM21" i="100"/>
  <c r="AN34" i="100"/>
  <c r="AB37" i="100"/>
  <c r="AJ37" i="100"/>
  <c r="Y39" i="100"/>
  <c r="AG39" i="100"/>
  <c r="AC53" i="100"/>
  <c r="Y62" i="100"/>
  <c r="AG62" i="100"/>
  <c r="AJ77" i="100"/>
  <c r="Y87" i="100"/>
  <c r="AC91" i="100"/>
  <c r="AF125" i="100"/>
  <c r="AF109" i="100"/>
  <c r="AJ109" i="100"/>
  <c r="AJ111" i="100"/>
  <c r="AN112" i="100"/>
  <c r="AI118" i="100"/>
  <c r="AL129" i="100"/>
  <c r="AL128" i="100"/>
  <c r="AL130" i="100"/>
  <c r="AC131" i="100"/>
  <c r="AN135" i="100"/>
  <c r="AG144" i="100"/>
  <c r="AM147" i="100"/>
  <c r="AH150" i="100"/>
  <c r="AH151" i="100"/>
  <c r="AI157" i="100"/>
  <c r="AE168" i="100"/>
  <c r="AE169" i="100"/>
  <c r="AE170" i="100"/>
  <c r="AK168" i="100"/>
  <c r="AK170" i="100"/>
  <c r="AD175" i="100"/>
  <c r="AF190" i="100"/>
  <c r="AB237" i="100"/>
  <c r="AB240" i="100"/>
  <c r="AJ240" i="100"/>
  <c r="S35" i="79"/>
  <c r="S37" i="79"/>
  <c r="S48" i="79"/>
  <c r="S68" i="79"/>
  <c r="S99" i="79"/>
  <c r="S101" i="79"/>
  <c r="S112" i="79"/>
  <c r="S132" i="79"/>
  <c r="S163" i="79"/>
  <c r="S165" i="79"/>
  <c r="S176" i="79"/>
  <c r="AA101" i="101"/>
  <c r="AA102" i="101"/>
  <c r="AA103" i="101"/>
  <c r="X108" i="101"/>
  <c r="X109" i="101"/>
  <c r="X110" i="101"/>
  <c r="AK115" i="101"/>
  <c r="AK116" i="101"/>
  <c r="AK117" i="101"/>
  <c r="AG11" i="100"/>
  <c r="AG13" i="100"/>
  <c r="AM138" i="100"/>
  <c r="AM136" i="100"/>
  <c r="AK146" i="100"/>
  <c r="AA66" i="111"/>
  <c r="AK66" i="111"/>
  <c r="I90" i="98"/>
  <c r="I92" i="98"/>
  <c r="E29" i="114"/>
  <c r="E30" i="114" s="1"/>
  <c r="Y12" i="100"/>
  <c r="AG12" i="100"/>
  <c r="AM13" i="100"/>
  <c r="AG17" i="100"/>
  <c r="AC16" i="100"/>
  <c r="AK16" i="100"/>
  <c r="AD18" i="100"/>
  <c r="AL16" i="100"/>
  <c r="Y32" i="100"/>
  <c r="AG32" i="100"/>
  <c r="AG37" i="100"/>
  <c r="AE54" i="100"/>
  <c r="AM54" i="100"/>
  <c r="AK56" i="100"/>
  <c r="AL59" i="100"/>
  <c r="AL76" i="100"/>
  <c r="Z81" i="100"/>
  <c r="AH81" i="100"/>
  <c r="AN86" i="100"/>
  <c r="Y90" i="100"/>
  <c r="AG90" i="100"/>
  <c r="AE114" i="100"/>
  <c r="Y118" i="100"/>
  <c r="AA121" i="100"/>
  <c r="AE127" i="100"/>
  <c r="Y130" i="100"/>
  <c r="AK131" i="100"/>
  <c r="AE134" i="100"/>
  <c r="AE133" i="100"/>
  <c r="Z138" i="100"/>
  <c r="Y141" i="100"/>
  <c r="Y140" i="100"/>
  <c r="AC140" i="100"/>
  <c r="AC142" i="100"/>
  <c r="AB141" i="100"/>
  <c r="AM141" i="100"/>
  <c r="AJ143" i="100"/>
  <c r="AA144" i="100"/>
  <c r="AA147" i="100"/>
  <c r="AL145" i="100"/>
  <c r="Y145" i="100"/>
  <c r="Y146" i="100"/>
  <c r="AD148" i="100"/>
  <c r="AD149" i="100"/>
  <c r="AJ148" i="100"/>
  <c r="AA157" i="100"/>
  <c r="AL157" i="100"/>
  <c r="AK158" i="100"/>
  <c r="AE158" i="100"/>
  <c r="AH161" i="100"/>
  <c r="AH162" i="100"/>
  <c r="AM160" i="100"/>
  <c r="AM163" i="100"/>
  <c r="AC163" i="100"/>
  <c r="AJ166" i="100"/>
  <c r="AK167" i="100"/>
  <c r="AC168" i="100"/>
  <c r="AA169" i="100"/>
  <c r="AA171" i="100"/>
  <c r="AC177" i="100"/>
  <c r="AK179" i="100"/>
  <c r="AM180" i="100"/>
  <c r="AK182" i="100"/>
  <c r="Y184" i="100"/>
  <c r="Y186" i="100"/>
  <c r="AI184" i="100"/>
  <c r="AE186" i="100"/>
  <c r="AM186" i="100"/>
  <c r="AC188" i="100"/>
  <c r="AJ190" i="100"/>
  <c r="AI195" i="100"/>
  <c r="Y198" i="100"/>
  <c r="AJ205" i="100"/>
  <c r="AB225" i="100"/>
  <c r="AB226" i="100"/>
  <c r="AF229" i="100"/>
  <c r="AC271" i="100"/>
  <c r="AA272" i="100"/>
  <c r="AI272" i="100"/>
  <c r="AC280" i="100"/>
  <c r="AK280" i="100"/>
  <c r="AL292" i="100"/>
  <c r="AC294" i="100"/>
  <c r="AI73" i="111"/>
  <c r="AA73" i="111"/>
  <c r="AF107" i="111"/>
  <c r="AK107" i="111"/>
  <c r="AB107" i="111"/>
  <c r="C92" i="101"/>
  <c r="V101" i="101"/>
  <c r="V102" i="101"/>
  <c r="V103" i="101"/>
  <c r="AG108" i="101"/>
  <c r="AG109" i="101"/>
  <c r="AG110" i="101"/>
  <c r="AD115" i="101"/>
  <c r="AD116" i="101"/>
  <c r="AD117" i="101"/>
  <c r="AI121" i="101"/>
  <c r="AI123" i="101"/>
  <c r="AJ124" i="101"/>
  <c r="J15" i="98"/>
  <c r="J17" i="98" s="1"/>
  <c r="M16" i="98"/>
  <c r="H29" i="98"/>
  <c r="AC11" i="100"/>
  <c r="AC19" i="100"/>
  <c r="AA20" i="100"/>
  <c r="AI20" i="100"/>
  <c r="AF20" i="100"/>
  <c r="Y24" i="100"/>
  <c r="AG24" i="100"/>
  <c r="AC43" i="100"/>
  <c r="AE46" i="100"/>
  <c r="AM46" i="100"/>
  <c r="Y63" i="100"/>
  <c r="AI67" i="100"/>
  <c r="AK71" i="100"/>
  <c r="AD79" i="100"/>
  <c r="AD80" i="100"/>
  <c r="AK98" i="100"/>
  <c r="AB102" i="100"/>
  <c r="Z102" i="100"/>
  <c r="AF102" i="100"/>
  <c r="AB111" i="100"/>
  <c r="AJ108" i="100"/>
  <c r="AE118" i="100"/>
  <c r="AH121" i="100"/>
  <c r="AE123" i="100"/>
  <c r="AM123" i="100"/>
  <c r="AC125" i="100"/>
  <c r="Z127" i="100"/>
  <c r="AF127" i="100"/>
  <c r="AM130" i="100"/>
  <c r="AA133" i="100"/>
  <c r="AH134" i="100"/>
  <c r="AD142" i="100"/>
  <c r="Z143" i="100"/>
  <c r="AF150" i="100"/>
  <c r="AH152" i="100"/>
  <c r="Z157" i="100"/>
  <c r="AM157" i="100"/>
  <c r="AE159" i="100"/>
  <c r="AA161" i="100"/>
  <c r="AE161" i="100"/>
  <c r="AI161" i="100"/>
  <c r="AM161" i="100"/>
  <c r="AN162" i="100"/>
  <c r="AK169" i="100"/>
  <c r="AC170" i="100"/>
  <c r="AM172" i="100"/>
  <c r="Y173" i="100"/>
  <c r="AC174" i="100"/>
  <c r="AC175" i="100"/>
  <c r="AI175" i="100"/>
  <c r="AI180" i="100"/>
  <c r="AA181" i="100"/>
  <c r="AC183" i="100"/>
  <c r="AC185" i="100"/>
  <c r="Y190" i="100"/>
  <c r="AE190" i="100"/>
  <c r="AE192" i="100"/>
  <c r="AK192" i="100"/>
  <c r="AC193" i="100"/>
  <c r="AC192" i="100"/>
  <c r="AC194" i="100"/>
  <c r="AJ198" i="100"/>
  <c r="AJ218" i="100"/>
  <c r="AG234" i="100"/>
  <c r="AG233" i="100"/>
  <c r="AH240" i="100"/>
  <c r="AH245" i="100"/>
  <c r="AE256" i="100"/>
  <c r="AM256" i="100"/>
  <c r="AH273" i="100"/>
  <c r="Y278" i="100"/>
  <c r="AG278" i="100"/>
  <c r="AE279" i="100"/>
  <c r="AE277" i="100"/>
  <c r="Z282" i="100"/>
  <c r="AB294" i="100"/>
  <c r="AB71" i="111"/>
  <c r="AJ71" i="111"/>
  <c r="AA80" i="111"/>
  <c r="AG108" i="111"/>
  <c r="AJ108" i="111"/>
  <c r="AI108" i="111"/>
  <c r="AA108" i="111"/>
  <c r="Y108" i="111"/>
  <c r="AB81" i="100"/>
  <c r="AJ81" i="100"/>
  <c r="AA90" i="100"/>
  <c r="AI90" i="100"/>
  <c r="AF96" i="100"/>
  <c r="AK120" i="100"/>
  <c r="AC111" i="100"/>
  <c r="AJ112" i="100"/>
  <c r="AI113" i="100"/>
  <c r="AA117" i="100"/>
  <c r="AK118" i="100"/>
  <c r="AB121" i="100"/>
  <c r="AG127" i="100"/>
  <c r="AM127" i="100"/>
  <c r="AH129" i="100"/>
  <c r="Z130" i="100"/>
  <c r="AI130" i="100"/>
  <c r="AL131" i="100"/>
  <c r="AI134" i="100"/>
  <c r="AI132" i="100"/>
  <c r="AM133" i="100"/>
  <c r="Z140" i="100"/>
  <c r="AD140" i="100"/>
  <c r="AA145" i="100"/>
  <c r="AM145" i="100"/>
  <c r="AN149" i="100"/>
  <c r="AK156" i="100"/>
  <c r="AL158" i="100"/>
  <c r="Y162" i="100"/>
  <c r="AK171" i="100"/>
  <c r="AI171" i="100"/>
  <c r="AC172" i="100"/>
  <c r="AM173" i="100"/>
  <c r="AA176" i="100"/>
  <c r="AG176" i="100"/>
  <c r="AC179" i="100"/>
  <c r="AG181" i="100"/>
  <c r="AL182" i="100"/>
  <c r="AE184" i="100"/>
  <c r="AM188" i="100"/>
  <c r="AL189" i="100"/>
  <c r="Y193" i="100"/>
  <c r="AM193" i="100"/>
  <c r="AE212" i="100"/>
  <c r="AM212" i="100"/>
  <c r="AC226" i="100"/>
  <c r="AC225" i="100"/>
  <c r="Z229" i="100"/>
  <c r="AG241" i="100"/>
  <c r="AF267" i="100"/>
  <c r="AF266" i="100"/>
  <c r="AK22" i="111"/>
  <c r="AB22" i="111"/>
  <c r="AG65" i="111"/>
  <c r="AB65" i="111"/>
  <c r="AH65" i="111"/>
  <c r="K92" i="98"/>
  <c r="Q90" i="98"/>
  <c r="R92" i="98"/>
  <c r="J15" i="114"/>
  <c r="J17" i="114" s="1"/>
  <c r="AA13" i="100"/>
  <c r="AI11" i="100"/>
  <c r="AE14" i="100"/>
  <c r="AM14" i="100"/>
  <c r="AK17" i="100"/>
  <c r="AA21" i="100"/>
  <c r="AI19" i="100"/>
  <c r="AI21" i="100"/>
  <c r="AC36" i="100"/>
  <c r="AK36" i="100"/>
  <c r="AN40" i="100"/>
  <c r="AK53" i="100"/>
  <c r="Z65" i="100"/>
  <c r="AH65" i="100"/>
  <c r="AA70" i="100"/>
  <c r="AC90" i="100"/>
  <c r="AK90" i="100"/>
  <c r="AJ91" i="100"/>
  <c r="AJ92" i="100"/>
  <c r="AC115" i="100"/>
  <c r="AG118" i="100"/>
  <c r="AB127" i="100"/>
  <c r="AH131" i="100"/>
  <c r="AB135" i="100"/>
  <c r="AJ135" i="100"/>
  <c r="Z136" i="100"/>
  <c r="AE136" i="100"/>
  <c r="AA140" i="100"/>
  <c r="AE140" i="100"/>
  <c r="AI143" i="100"/>
  <c r="AM140" i="100"/>
  <c r="AF142" i="100"/>
  <c r="AC145" i="100"/>
  <c r="AL151" i="100"/>
  <c r="AH148" i="100"/>
  <c r="AD152" i="100"/>
  <c r="AD154" i="100"/>
  <c r="AA159" i="100"/>
  <c r="AE160" i="100"/>
  <c r="AC160" i="100"/>
  <c r="AE163" i="100"/>
  <c r="Y164" i="100"/>
  <c r="AE164" i="100"/>
  <c r="AM167" i="100"/>
  <c r="AI168" i="100"/>
  <c r="AC171" i="100"/>
  <c r="AC176" i="100"/>
  <c r="AE177" i="100"/>
  <c r="AM178" i="100"/>
  <c r="AM179" i="100"/>
  <c r="AH182" i="100"/>
  <c r="AA184" i="100"/>
  <c r="AE188" i="100"/>
  <c r="AM189" i="100"/>
  <c r="AB190" i="100"/>
  <c r="AA192" i="100"/>
  <c r="Z194" i="100"/>
  <c r="AK194" i="100"/>
  <c r="AG198" i="100"/>
  <c r="AF219" i="100"/>
  <c r="AN217" i="100"/>
  <c r="AC284" i="100"/>
  <c r="AC282" i="100"/>
  <c r="AF22" i="111"/>
  <c r="AA27" i="111"/>
  <c r="AK39" i="111"/>
  <c r="AC39" i="111"/>
  <c r="X39" i="111"/>
  <c r="AJ80" i="111"/>
  <c r="AH80" i="111"/>
  <c r="X99" i="111"/>
  <c r="AF99" i="111"/>
  <c r="AK162" i="100"/>
  <c r="AC162" i="100"/>
  <c r="AG170" i="100"/>
  <c r="AG168" i="100"/>
  <c r="Y169" i="100"/>
  <c r="AM171" i="100"/>
  <c r="Z173" i="100"/>
  <c r="AL174" i="100"/>
  <c r="AA177" i="100"/>
  <c r="AG178" i="100"/>
  <c r="AI179" i="100"/>
  <c r="AK180" i="100"/>
  <c r="AA188" i="100"/>
  <c r="AA191" i="100"/>
  <c r="AA189" i="100"/>
  <c r="AH190" i="100"/>
  <c r="AM190" i="100"/>
  <c r="AA195" i="100"/>
  <c r="AA198" i="100"/>
  <c r="Y213" i="100"/>
  <c r="Y216" i="100"/>
  <c r="AH230" i="100"/>
  <c r="AH229" i="100"/>
  <c r="AL245" i="100"/>
  <c r="AF293" i="100"/>
  <c r="AF294" i="100"/>
  <c r="AB296" i="100"/>
  <c r="AB293" i="100"/>
  <c r="X38" i="111"/>
  <c r="E92" i="98"/>
  <c r="Y14" i="100"/>
  <c r="AM15" i="100"/>
  <c r="AJ18" i="100"/>
  <c r="AA26" i="100"/>
  <c r="AI26" i="100"/>
  <c r="AB29" i="100"/>
  <c r="AJ29" i="100"/>
  <c r="Y31" i="100"/>
  <c r="AA34" i="100"/>
  <c r="AI34" i="100"/>
  <c r="AJ46" i="100"/>
  <c r="AA55" i="100"/>
  <c r="AD60" i="100"/>
  <c r="AL60" i="100"/>
  <c r="AN62" i="100"/>
  <c r="AD63" i="100"/>
  <c r="AD64" i="100"/>
  <c r="AC63" i="100"/>
  <c r="AE69" i="100"/>
  <c r="AC74" i="100"/>
  <c r="AK74" i="100"/>
  <c r="AF81" i="100"/>
  <c r="AN81" i="100"/>
  <c r="AB84" i="100"/>
  <c r="AJ85" i="100"/>
  <c r="AF85" i="100"/>
  <c r="AN85" i="100"/>
  <c r="AF89" i="100"/>
  <c r="AN89" i="100"/>
  <c r="AN94" i="100"/>
  <c r="AB112" i="100"/>
  <c r="Z114" i="100"/>
  <c r="AH114" i="100"/>
  <c r="Z116" i="100"/>
  <c r="AC118" i="100"/>
  <c r="AJ127" i="100"/>
  <c r="AG130" i="100"/>
  <c r="AA134" i="100"/>
  <c r="AA136" i="100"/>
  <c r="AC138" i="100"/>
  <c r="AG138" i="100"/>
  <c r="AK138" i="100"/>
  <c r="AB140" i="100"/>
  <c r="AN140" i="100"/>
  <c r="AE141" i="100"/>
  <c r="AB142" i="100"/>
  <c r="AN143" i="100"/>
  <c r="AE144" i="100"/>
  <c r="AC144" i="100"/>
  <c r="AE145" i="100"/>
  <c r="AC148" i="100"/>
  <c r="AB150" i="100"/>
  <c r="AE151" i="100"/>
  <c r="AB153" i="100"/>
  <c r="AL154" i="100"/>
  <c r="AH155" i="100"/>
  <c r="AC156" i="100"/>
  <c r="AC159" i="100"/>
  <c r="AI159" i="100"/>
  <c r="AA160" i="100"/>
  <c r="AG160" i="100"/>
  <c r="AB162" i="100"/>
  <c r="AA164" i="100"/>
  <c r="AK165" i="100"/>
  <c r="AA168" i="100"/>
  <c r="AM170" i="100"/>
  <c r="Z172" i="100"/>
  <c r="AM174" i="100"/>
  <c r="AK177" i="100"/>
  <c r="AA180" i="100"/>
  <c r="Y181" i="100"/>
  <c r="AK181" i="100"/>
  <c r="AE182" i="100"/>
  <c r="AG186" i="100"/>
  <c r="AI189" i="100"/>
  <c r="AI192" i="100"/>
  <c r="AG194" i="100"/>
  <c r="AB197" i="100"/>
  <c r="AC198" i="100"/>
  <c r="Z205" i="100"/>
  <c r="AL207" i="100"/>
  <c r="AC205" i="100"/>
  <c r="AC208" i="100"/>
  <c r="AA209" i="100"/>
  <c r="AI209" i="100"/>
  <c r="AF210" i="100"/>
  <c r="AN210" i="100"/>
  <c r="AI212" i="100"/>
  <c r="Z217" i="100"/>
  <c r="AH217" i="100"/>
  <c r="Y217" i="100"/>
  <c r="AC219" i="100"/>
  <c r="AK219" i="100"/>
  <c r="AI224" i="100"/>
  <c r="Y226" i="100"/>
  <c r="AG226" i="100"/>
  <c r="AD232" i="100"/>
  <c r="Z248" i="100"/>
  <c r="F250" i="100"/>
  <c r="Y249" i="100"/>
  <c r="N250" i="100"/>
  <c r="N251" i="100"/>
  <c r="AM253" i="100"/>
  <c r="AN268" i="100"/>
  <c r="AN276" i="100"/>
  <c r="AD295" i="100"/>
  <c r="AL295" i="100"/>
  <c r="Z22" i="111"/>
  <c r="AH22" i="111"/>
  <c r="Y71" i="111"/>
  <c r="AG71" i="111"/>
  <c r="AI80" i="111"/>
  <c r="H16" i="101"/>
  <c r="H17" i="101" s="1"/>
  <c r="H28" i="101"/>
  <c r="H30" i="101" s="1"/>
  <c r="K29" i="101"/>
  <c r="K30" i="101" s="1"/>
  <c r="AF15" i="100"/>
  <c r="AE22" i="100"/>
  <c r="AM22" i="100"/>
  <c r="AF41" i="100"/>
  <c r="AN41" i="100"/>
  <c r="AC47" i="100"/>
  <c r="AC52" i="100"/>
  <c r="AK52" i="100"/>
  <c r="AB57" i="100"/>
  <c r="AA58" i="100"/>
  <c r="AI58" i="100"/>
  <c r="AH59" i="100"/>
  <c r="AE62" i="100"/>
  <c r="AM62" i="100"/>
  <c r="AC66" i="100"/>
  <c r="AK66" i="100"/>
  <c r="AF73" i="100"/>
  <c r="AN73" i="100"/>
  <c r="AC82" i="100"/>
  <c r="AC86" i="100"/>
  <c r="AK86" i="100"/>
  <c r="Z91" i="100"/>
  <c r="AF95" i="100"/>
  <c r="AH99" i="100"/>
  <c r="AC100" i="100"/>
  <c r="AH116" i="100"/>
  <c r="AC123" i="100"/>
  <c r="AK123" i="100"/>
  <c r="Z131" i="100"/>
  <c r="AK132" i="100"/>
  <c r="AM150" i="100"/>
  <c r="AC154" i="100"/>
  <c r="AG162" i="100"/>
  <c r="AI164" i="100"/>
  <c r="AE172" i="100"/>
  <c r="AM181" i="100"/>
  <c r="Y182" i="100"/>
  <c r="AG184" i="100"/>
  <c r="Z186" i="100"/>
  <c r="AD186" i="100"/>
  <c r="AH186" i="100"/>
  <c r="AL186" i="100"/>
  <c r="AD190" i="100"/>
  <c r="AG192" i="100"/>
  <c r="AD211" i="100"/>
  <c r="AL212" i="100"/>
  <c r="AG216" i="100"/>
  <c r="AF217" i="100"/>
  <c r="AN218" i="100"/>
  <c r="AB227" i="100"/>
  <c r="AL232" i="100"/>
  <c r="AJ233" i="100"/>
  <c r="AN233" i="100"/>
  <c r="AF233" i="100"/>
  <c r="AF234" i="100"/>
  <c r="AN234" i="100"/>
  <c r="Y236" i="100"/>
  <c r="AG236" i="100"/>
  <c r="AC254" i="100"/>
  <c r="AF263" i="100"/>
  <c r="AN262" i="100"/>
  <c r="Z264" i="100"/>
  <c r="AH279" i="100"/>
  <c r="AH277" i="100"/>
  <c r="AB279" i="100"/>
  <c r="AA280" i="100"/>
  <c r="AI280" i="100"/>
  <c r="AL282" i="100"/>
  <c r="AB283" i="100"/>
  <c r="AB8" i="111"/>
  <c r="AJ8" i="111"/>
  <c r="AJ27" i="111"/>
  <c r="AK34" i="111"/>
  <c r="AA65" i="111"/>
  <c r="AI65" i="111"/>
  <c r="AG66" i="111"/>
  <c r="W71" i="111"/>
  <c r="AE71" i="111"/>
  <c r="AF79" i="111"/>
  <c r="AE79" i="111"/>
  <c r="AB95" i="111"/>
  <c r="AJ95" i="111"/>
  <c r="AA172" i="100"/>
  <c r="AK173" i="100"/>
  <c r="AK175" i="100"/>
  <c r="AJ182" i="100"/>
  <c r="Y185" i="100"/>
  <c r="AN190" i="100"/>
  <c r="AC207" i="100"/>
  <c r="AI213" i="100"/>
  <c r="AI214" i="100"/>
  <c r="AF214" i="100"/>
  <c r="AN214" i="100"/>
  <c r="AN231" i="100"/>
  <c r="AF237" i="100"/>
  <c r="Z239" i="100"/>
  <c r="I246" i="100"/>
  <c r="I247" i="100"/>
  <c r="AD247" i="100" s="1"/>
  <c r="AJ253" i="100"/>
  <c r="AG265" i="100"/>
  <c r="AG268" i="100"/>
  <c r="X22" i="111"/>
  <c r="AJ42" i="111"/>
  <c r="AG42" i="111"/>
  <c r="AH42" i="111"/>
  <c r="AC80" i="111"/>
  <c r="AK80" i="111"/>
  <c r="X97" i="111"/>
  <c r="AF97" i="111"/>
  <c r="AJ102" i="111"/>
  <c r="X102" i="111"/>
  <c r="E90" i="98"/>
  <c r="G92" i="98"/>
  <c r="M15" i="114"/>
  <c r="AD13" i="100"/>
  <c r="AL13" i="100"/>
  <c r="AF14" i="100"/>
  <c r="AB15" i="100"/>
  <c r="AJ15" i="100"/>
  <c r="AA18" i="100"/>
  <c r="AI18" i="100"/>
  <c r="AB28" i="100"/>
  <c r="AE30" i="100"/>
  <c r="AM30" i="100"/>
  <c r="AF33" i="100"/>
  <c r="AN33" i="100"/>
  <c r="Y48" i="100"/>
  <c r="AG48" i="100"/>
  <c r="AD59" i="100"/>
  <c r="AA60" i="100"/>
  <c r="AI60" i="100"/>
  <c r="AJ101" i="100"/>
  <c r="AJ116" i="100"/>
  <c r="AG121" i="100"/>
  <c r="Y123" i="100"/>
  <c r="AG123" i="100"/>
  <c r="AD129" i="100"/>
  <c r="AH130" i="100"/>
  <c r="AN139" i="100"/>
  <c r="AH144" i="100"/>
  <c r="AN146" i="100"/>
  <c r="AH147" i="100"/>
  <c r="Z150" i="100"/>
  <c r="AK160" i="100"/>
  <c r="AM165" i="100"/>
  <c r="AJ170" i="100"/>
  <c r="Y174" i="100"/>
  <c r="Y188" i="100"/>
  <c r="AC196" i="100"/>
  <c r="AF198" i="100"/>
  <c r="AI199" i="100"/>
  <c r="AD207" i="100"/>
  <c r="AE210" i="100"/>
  <c r="AJ211" i="100"/>
  <c r="AA214" i="100"/>
  <c r="Z219" i="100"/>
  <c r="AD223" i="100"/>
  <c r="AL223" i="100"/>
  <c r="AC224" i="100"/>
  <c r="AI225" i="100"/>
  <c r="AA240" i="100"/>
  <c r="AI240" i="100"/>
  <c r="AN241" i="100"/>
  <c r="K250" i="100"/>
  <c r="K251" i="100"/>
  <c r="AM252" i="100"/>
  <c r="AD253" i="100"/>
  <c r="AB256" i="100"/>
  <c r="AJ256" i="100"/>
  <c r="Z257" i="100"/>
  <c r="AM261" i="100"/>
  <c r="AB262" i="100"/>
  <c r="AJ262" i="100"/>
  <c r="AH263" i="100"/>
  <c r="AJ267" i="100"/>
  <c r="AJ265" i="100"/>
  <c r="Z266" i="100"/>
  <c r="AE276" i="100"/>
  <c r="AM276" i="100"/>
  <c r="AD279" i="100"/>
  <c r="AE280" i="100"/>
  <c r="AM280" i="100"/>
  <c r="AH282" i="100"/>
  <c r="AL291" i="100"/>
  <c r="AH295" i="100"/>
  <c r="AH293" i="100"/>
  <c r="AC295" i="100"/>
  <c r="AA22" i="111"/>
  <c r="AI22" i="111"/>
  <c r="Y34" i="111"/>
  <c r="AG34" i="111"/>
  <c r="AA71" i="111"/>
  <c r="AI71" i="111"/>
  <c r="AC99" i="111"/>
  <c r="AK99" i="111"/>
  <c r="L90" i="98"/>
  <c r="J92" i="98"/>
  <c r="M16" i="114"/>
  <c r="K29" i="114"/>
  <c r="AF11" i="100"/>
  <c r="AN11" i="100"/>
  <c r="AB14" i="100"/>
  <c r="AJ12" i="100"/>
  <c r="AH14" i="100"/>
  <c r="AF18" i="100"/>
  <c r="Z17" i="100"/>
  <c r="AH17" i="100"/>
  <c r="AK18" i="100"/>
  <c r="AH21" i="100"/>
  <c r="Y30" i="100"/>
  <c r="AG30" i="100"/>
  <c r="AA42" i="100"/>
  <c r="AI42" i="100"/>
  <c r="AC44" i="100"/>
  <c r="AK44" i="100"/>
  <c r="Y49" i="100"/>
  <c r="AC62" i="100"/>
  <c r="AK62" i="100"/>
  <c r="AA66" i="100"/>
  <c r="AI66" i="100"/>
  <c r="AE77" i="100"/>
  <c r="AA82" i="100"/>
  <c r="AF91" i="100"/>
  <c r="AD95" i="100"/>
  <c r="AA100" i="100"/>
  <c r="AI100" i="100"/>
  <c r="AH102" i="100"/>
  <c r="AB116" i="100"/>
  <c r="AC121" i="100"/>
  <c r="AM121" i="100"/>
  <c r="AA123" i="100"/>
  <c r="AI123" i="100"/>
  <c r="Y132" i="100"/>
  <c r="AC135" i="100"/>
  <c r="AI147" i="100"/>
  <c r="AC155" i="100"/>
  <c r="AN156" i="100"/>
  <c r="AH158" i="100"/>
  <c r="AF162" i="100"/>
  <c r="AM164" i="100"/>
  <c r="AD165" i="100"/>
  <c r="AF170" i="100"/>
  <c r="AN172" i="100"/>
  <c r="AI173" i="100"/>
  <c r="Z174" i="100"/>
  <c r="AJ174" i="100"/>
  <c r="AB178" i="100"/>
  <c r="AM182" i="100"/>
  <c r="AK189" i="100"/>
  <c r="AC191" i="100"/>
  <c r="AB198" i="100"/>
  <c r="AF207" i="100"/>
  <c r="AF213" i="100"/>
  <c r="AA215" i="100"/>
  <c r="AB221" i="100"/>
  <c r="AH227" i="100"/>
  <c r="AC229" i="100"/>
  <c r="AK229" i="100"/>
  <c r="Z235" i="100"/>
  <c r="AH235" i="100"/>
  <c r="AK237" i="100"/>
  <c r="AM239" i="100"/>
  <c r="AH241" i="100"/>
  <c r="AH242" i="100"/>
  <c r="Z244" i="100"/>
  <c r="AJ286" i="100"/>
  <c r="AF290" i="100"/>
  <c r="AE19" i="111"/>
  <c r="AA19" i="111"/>
  <c r="AA24" i="111"/>
  <c r="AI24" i="111"/>
  <c r="Y38" i="111"/>
  <c r="AG38" i="111"/>
  <c r="AA42" i="111"/>
  <c r="AI42" i="111"/>
  <c r="W45" i="111"/>
  <c r="AE45" i="111"/>
  <c r="Y65" i="111"/>
  <c r="AC71" i="111"/>
  <c r="AK71" i="111"/>
  <c r="AB79" i="111"/>
  <c r="AC100" i="111"/>
  <c r="Y121" i="100"/>
  <c r="Z141" i="100"/>
  <c r="AM144" i="100"/>
  <c r="AD151" i="100"/>
  <c r="AJ153" i="100"/>
  <c r="AE155" i="100"/>
  <c r="AM155" i="100"/>
  <c r="AE156" i="100"/>
  <c r="AK159" i="100"/>
  <c r="AK172" i="100"/>
  <c r="AA173" i="100"/>
  <c r="AC186" i="100"/>
  <c r="Z189" i="100"/>
  <c r="Z188" i="100"/>
  <c r="AD191" i="100"/>
  <c r="AL191" i="100"/>
  <c r="AE199" i="100"/>
  <c r="AB206" i="100"/>
  <c r="AC209" i="100"/>
  <c r="AK209" i="100"/>
  <c r="AL211" i="100"/>
  <c r="Z212" i="100"/>
  <c r="AH212" i="100"/>
  <c r="AB213" i="100"/>
  <c r="AJ213" i="100"/>
  <c r="AJ214" i="100"/>
  <c r="AB224" i="100"/>
  <c r="AN226" i="100"/>
  <c r="AE232" i="100"/>
  <c r="AM232" i="100"/>
  <c r="AC236" i="100"/>
  <c r="AC233" i="100"/>
  <c r="AK236" i="100"/>
  <c r="AF247" i="100"/>
  <c r="AF246" i="100"/>
  <c r="AB263" i="100"/>
  <c r="AB266" i="100"/>
  <c r="AJ266" i="100"/>
  <c r="AJ271" i="100"/>
  <c r="AD271" i="100"/>
  <c r="Y276" i="100"/>
  <c r="AG276" i="100"/>
  <c r="AM287" i="100"/>
  <c r="AB295" i="100"/>
  <c r="AJ295" i="100"/>
  <c r="Z296" i="100"/>
  <c r="AH296" i="100"/>
  <c r="AE8" i="111"/>
  <c r="W19" i="111"/>
  <c r="AJ22" i="111"/>
  <c r="Y27" i="111"/>
  <c r="AG27" i="111"/>
  <c r="W38" i="111"/>
  <c r="AE38" i="111"/>
  <c r="AE42" i="111"/>
  <c r="X49" i="111"/>
  <c r="AF49" i="111"/>
  <c r="AB60" i="111"/>
  <c r="AH95" i="111"/>
  <c r="AE102" i="111"/>
  <c r="AC38" i="111"/>
  <c r="AK38" i="111"/>
  <c r="Z39" i="111"/>
  <c r="AC42" i="111"/>
  <c r="Z60" i="111"/>
  <c r="AK61" i="111"/>
  <c r="AC65" i="111"/>
  <c r="AK65" i="111"/>
  <c r="Z66" i="111"/>
  <c r="AH66" i="111"/>
  <c r="X107" i="111"/>
  <c r="AC108" i="111"/>
  <c r="AK108" i="111"/>
  <c r="AL149" i="100"/>
  <c r="AF151" i="100"/>
  <c r="Z153" i="100"/>
  <c r="AB156" i="100"/>
  <c r="AD158" i="100"/>
  <c r="AN158" i="100"/>
  <c r="AI163" i="100"/>
  <c r="AA165" i="100"/>
  <c r="AF166" i="100"/>
  <c r="AB172" i="100"/>
  <c r="AD174" i="100"/>
  <c r="AJ178" i="100"/>
  <c r="AE180" i="100"/>
  <c r="AD182" i="100"/>
  <c r="AM184" i="100"/>
  <c r="AC187" i="100"/>
  <c r="AM192" i="100"/>
  <c r="Y194" i="100"/>
  <c r="AD194" i="100"/>
  <c r="AH198" i="100"/>
  <c r="Z197" i="100"/>
  <c r="AM205" i="100"/>
  <c r="AD208" i="100"/>
  <c r="AL208" i="100"/>
  <c r="AG210" i="100"/>
  <c r="AD213" i="100"/>
  <c r="AI216" i="100"/>
  <c r="AD219" i="100"/>
  <c r="AL217" i="100"/>
  <c r="Z223" i="100"/>
  <c r="AJ226" i="100"/>
  <c r="AE228" i="100"/>
  <c r="AC237" i="100"/>
  <c r="Y239" i="100"/>
  <c r="AG239" i="100"/>
  <c r="AC258" i="100"/>
  <c r="AK258" i="100"/>
  <c r="AK269" i="100"/>
  <c r="AF271" i="100"/>
  <c r="AN271" i="100"/>
  <c r="AF273" i="100"/>
  <c r="AF274" i="100"/>
  <c r="AN274" i="100"/>
  <c r="AG286" i="100"/>
  <c r="AG285" i="100"/>
  <c r="AC290" i="100"/>
  <c r="AK290" i="100"/>
  <c r="AD293" i="100"/>
  <c r="AL293" i="100"/>
  <c r="AL296" i="100"/>
  <c r="AJ6" i="111"/>
  <c r="W6" i="111"/>
  <c r="AF18" i="111"/>
  <c r="AG18" i="111"/>
  <c r="Y19" i="111"/>
  <c r="AH24" i="111"/>
  <c r="AJ28" i="111"/>
  <c r="AA38" i="111"/>
  <c r="AI38" i="111"/>
  <c r="AJ48" i="111"/>
  <c r="AF54" i="111"/>
  <c r="AB54" i="111"/>
  <c r="AB66" i="111"/>
  <c r="Z73" i="111"/>
  <c r="AH73" i="111"/>
  <c r="AG81" i="111"/>
  <c r="Y81" i="111"/>
  <c r="AE81" i="111"/>
  <c r="AB87" i="111"/>
  <c r="AJ87" i="111"/>
  <c r="AA98" i="111"/>
  <c r="AI98" i="111"/>
  <c r="Z107" i="111"/>
  <c r="AE108" i="111"/>
  <c r="S180" i="79"/>
  <c r="M92" i="101"/>
  <c r="K92" i="101"/>
  <c r="Z101" i="101"/>
  <c r="Z102" i="101"/>
  <c r="Z103" i="101"/>
  <c r="W108" i="101"/>
  <c r="W109" i="101"/>
  <c r="W110" i="101"/>
  <c r="AH115" i="101"/>
  <c r="AH116" i="101"/>
  <c r="AH117" i="101"/>
  <c r="AA122" i="101"/>
  <c r="O90" i="98"/>
  <c r="Q92" i="98"/>
  <c r="E21" i="114"/>
  <c r="AF19" i="100"/>
  <c r="AN19" i="100"/>
  <c r="AB20" i="100"/>
  <c r="AJ20" i="100"/>
  <c r="AH22" i="100"/>
  <c r="AE38" i="100"/>
  <c r="AM38" i="100"/>
  <c r="AB45" i="100"/>
  <c r="AJ45" i="100"/>
  <c r="Z49" i="100"/>
  <c r="AH49" i="100"/>
  <c r="AF61" i="100"/>
  <c r="AB65" i="100"/>
  <c r="AJ65" i="100"/>
  <c r="Y66" i="100"/>
  <c r="AG66" i="100"/>
  <c r="AB73" i="100"/>
  <c r="AJ73" i="100"/>
  <c r="AC76" i="100"/>
  <c r="Y78" i="100"/>
  <c r="AG78" i="100"/>
  <c r="Y86" i="100"/>
  <c r="AG86" i="100"/>
  <c r="AD87" i="100"/>
  <c r="AG93" i="100"/>
  <c r="AD102" i="100"/>
  <c r="AL102" i="100"/>
  <c r="AB101" i="100"/>
  <c r="AL116" i="100"/>
  <c r="AA135" i="100"/>
  <c r="AK145" i="100"/>
  <c r="Y149" i="100"/>
  <c r="AD153" i="100"/>
  <c r="AF178" i="100"/>
  <c r="AK185" i="100"/>
  <c r="AH194" i="100"/>
  <c r="Z196" i="100"/>
  <c r="AN197" i="100"/>
  <c r="AL205" i="100"/>
  <c r="AH211" i="100"/>
  <c r="AF215" i="100"/>
  <c r="AF221" i="100"/>
  <c r="Y223" i="100"/>
  <c r="AG223" i="100"/>
  <c r="AH231" i="100"/>
  <c r="AB229" i="100"/>
  <c r="AB230" i="100"/>
  <c r="AJ230" i="100"/>
  <c r="AF231" i="100"/>
  <c r="AC232" i="100"/>
  <c r="AI233" i="100"/>
  <c r="AG235" i="100"/>
  <c r="AG237" i="100"/>
  <c r="AE240" i="100"/>
  <c r="AM240" i="100"/>
  <c r="AF252" i="100"/>
  <c r="AE254" i="100"/>
  <c r="Y254" i="100"/>
  <c r="AJ258" i="100"/>
  <c r="AM262" i="100"/>
  <c r="AC263" i="100"/>
  <c r="AE267" i="100"/>
  <c r="AM267" i="100"/>
  <c r="AG274" i="100"/>
  <c r="AD280" i="100"/>
  <c r="AA284" i="100"/>
  <c r="AI284" i="100"/>
  <c r="Y288" i="100"/>
  <c r="AC287" i="100"/>
  <c r="AC286" i="100"/>
  <c r="AB289" i="100"/>
  <c r="AE293" i="100"/>
  <c r="AM295" i="100"/>
  <c r="AC6" i="111"/>
  <c r="AB12" i="111"/>
  <c r="AJ12" i="111"/>
  <c r="AG17" i="111"/>
  <c r="AE17" i="111"/>
  <c r="Y18" i="111"/>
  <c r="Z19" i="111"/>
  <c r="AK23" i="111"/>
  <c r="AE24" i="111"/>
  <c r="AC28" i="111"/>
  <c r="AK28" i="111"/>
  <c r="AA39" i="111"/>
  <c r="AI39" i="111"/>
  <c r="AK41" i="111"/>
  <c r="AB43" i="111"/>
  <c r="Y45" i="111"/>
  <c r="Y48" i="111"/>
  <c r="AG48" i="111"/>
  <c r="AC60" i="111"/>
  <c r="AK60" i="111"/>
  <c r="AK69" i="111"/>
  <c r="Y69" i="111"/>
  <c r="AB72" i="111"/>
  <c r="AB76" i="111"/>
  <c r="X77" i="111"/>
  <c r="Z80" i="111"/>
  <c r="AC81" i="111"/>
  <c r="AK81" i="111"/>
  <c r="X95" i="111"/>
  <c r="AC97" i="111"/>
  <c r="AK97" i="111"/>
  <c r="X98" i="111"/>
  <c r="Z99" i="111"/>
  <c r="AH99" i="111"/>
  <c r="Z102" i="111"/>
  <c r="AA107" i="111"/>
  <c r="AI107" i="111"/>
  <c r="AB244" i="100"/>
  <c r="AJ244" i="100"/>
  <c r="AC256" i="100"/>
  <c r="AK256" i="100"/>
  <c r="AB259" i="100"/>
  <c r="AG262" i="100"/>
  <c r="AF265" i="100"/>
  <c r="AB280" i="100"/>
  <c r="AJ279" i="100"/>
  <c r="Z295" i="100"/>
  <c r="AA8" i="111"/>
  <c r="AI8" i="111"/>
  <c r="AJ10" i="111"/>
  <c r="AB19" i="111"/>
  <c r="AJ19" i="111"/>
  <c r="W23" i="111"/>
  <c r="AE23" i="111"/>
  <c r="Y24" i="111"/>
  <c r="AG24" i="111"/>
  <c r="AB27" i="111"/>
  <c r="AB42" i="111"/>
  <c r="AE49" i="111"/>
  <c r="W60" i="111"/>
  <c r="AE60" i="111"/>
  <c r="Z61" i="111"/>
  <c r="Z71" i="111"/>
  <c r="AH71" i="111"/>
  <c r="AJ72" i="111"/>
  <c r="AF72" i="111"/>
  <c r="AJ78" i="111"/>
  <c r="AB78" i="111"/>
  <c r="Y79" i="111"/>
  <c r="AG79" i="111"/>
  <c r="AB94" i="111"/>
  <c r="Z95" i="111"/>
  <c r="AE97" i="111"/>
  <c r="AB99" i="111"/>
  <c r="AJ99" i="111"/>
  <c r="AG199" i="100"/>
  <c r="AF206" i="100"/>
  <c r="AE209" i="100"/>
  <c r="AM209" i="100"/>
  <c r="AG214" i="100"/>
  <c r="Y220" i="100"/>
  <c r="AB217" i="100"/>
  <c r="AE224" i="100"/>
  <c r="AA232" i="100"/>
  <c r="AI232" i="100"/>
  <c r="AF236" i="100"/>
  <c r="AJ239" i="100"/>
  <c r="AD243" i="100"/>
  <c r="Z242" i="100"/>
  <c r="AL243" i="100"/>
  <c r="AA244" i="100"/>
  <c r="AI244" i="100"/>
  <c r="AL248" i="100"/>
  <c r="Y250" i="100"/>
  <c r="AN257" i="100"/>
  <c r="AA258" i="100"/>
  <c r="AI258" i="100"/>
  <c r="AC262" i="100"/>
  <c r="AD264" i="100"/>
  <c r="AL264" i="100"/>
  <c r="AE268" i="100"/>
  <c r="AM268" i="100"/>
  <c r="AN277" i="100"/>
  <c r="AE285" i="100"/>
  <c r="AM285" i="100"/>
  <c r="AA288" i="100"/>
  <c r="AI288" i="100"/>
  <c r="AN294" i="100"/>
  <c r="AA294" i="100"/>
  <c r="AE6" i="111"/>
  <c r="W7" i="111"/>
  <c r="AE7" i="111"/>
  <c r="Y8" i="111"/>
  <c r="AG8" i="111"/>
  <c r="Y10" i="111"/>
  <c r="Z12" i="111"/>
  <c r="Z15" i="111"/>
  <c r="AH15" i="111"/>
  <c r="Y17" i="111"/>
  <c r="AA18" i="111"/>
  <c r="AI19" i="111"/>
  <c r="AC22" i="111"/>
  <c r="AK24" i="111"/>
  <c r="Z28" i="111"/>
  <c r="AA34" i="111"/>
  <c r="AI34" i="111"/>
  <c r="AH38" i="111"/>
  <c r="AB39" i="111"/>
  <c r="AJ39" i="111"/>
  <c r="W41" i="111"/>
  <c r="Z42" i="111"/>
  <c r="AA43" i="111"/>
  <c r="W48" i="111"/>
  <c r="AE48" i="111"/>
  <c r="Y60" i="111"/>
  <c r="AG60" i="111"/>
  <c r="Y64" i="111"/>
  <c r="AG64" i="111"/>
  <c r="AJ65" i="111"/>
  <c r="W69" i="111"/>
  <c r="AE69" i="111"/>
  <c r="AI72" i="111"/>
  <c r="AC73" i="111"/>
  <c r="AK73" i="111"/>
  <c r="Y76" i="111"/>
  <c r="AG76" i="111"/>
  <c r="X78" i="111"/>
  <c r="AF78" i="111"/>
  <c r="Z79" i="111"/>
  <c r="AH79" i="111"/>
  <c r="AB80" i="111"/>
  <c r="Z87" i="111"/>
  <c r="AH87" i="111"/>
  <c r="AA97" i="111"/>
  <c r="AI97" i="111"/>
  <c r="AC98" i="111"/>
  <c r="W99" i="111"/>
  <c r="AA100" i="111"/>
  <c r="AI100" i="111"/>
  <c r="AC102" i="111"/>
  <c r="AK102" i="111"/>
  <c r="Y103" i="111"/>
  <c r="AG103" i="111"/>
  <c r="AD234" i="100"/>
  <c r="AE235" i="100"/>
  <c r="AM235" i="100"/>
  <c r="AB239" i="100"/>
  <c r="AN242" i="100"/>
  <c r="AF245" i="100"/>
  <c r="J251" i="100"/>
  <c r="AE251" i="100" s="1"/>
  <c r="AF254" i="100"/>
  <c r="Z254" i="100"/>
  <c r="AH254" i="100"/>
  <c r="AD259" i="100"/>
  <c r="AH266" i="100"/>
  <c r="AG270" i="100"/>
  <c r="AI274" i="100"/>
  <c r="AA276" i="100"/>
  <c r="AI276" i="100"/>
  <c r="AD277" i="100"/>
  <c r="AL279" i="100"/>
  <c r="AB290" i="100"/>
  <c r="Z291" i="100"/>
  <c r="AH291" i="100"/>
  <c r="AE294" i="100"/>
  <c r="AI10" i="111"/>
  <c r="AI12" i="111"/>
  <c r="Y14" i="111"/>
  <c r="AG14" i="111"/>
  <c r="Y15" i="111"/>
  <c r="Y20" i="111"/>
  <c r="AG20" i="111"/>
  <c r="W22" i="111"/>
  <c r="AE22" i="111"/>
  <c r="AB23" i="111"/>
  <c r="AJ24" i="111"/>
  <c r="AH26" i="111"/>
  <c r="AC27" i="111"/>
  <c r="AK27" i="111"/>
  <c r="AE28" i="111"/>
  <c r="AK33" i="111"/>
  <c r="W34" i="111"/>
  <c r="AE34" i="111"/>
  <c r="Y35" i="111"/>
  <c r="AG35" i="111"/>
  <c r="AB38" i="111"/>
  <c r="AJ38" i="111"/>
  <c r="W40" i="111"/>
  <c r="Y42" i="111"/>
  <c r="AA44" i="111"/>
  <c r="AI44" i="111"/>
  <c r="AB45" i="111"/>
  <c r="AJ45" i="111"/>
  <c r="AI48" i="111"/>
  <c r="Y50" i="111"/>
  <c r="AJ54" i="111"/>
  <c r="X60" i="111"/>
  <c r="Y61" i="111"/>
  <c r="AA62" i="111"/>
  <c r="AI62" i="111"/>
  <c r="Z63" i="111"/>
  <c r="AH63" i="111"/>
  <c r="AB64" i="111"/>
  <c r="AJ64" i="111"/>
  <c r="Y66" i="111"/>
  <c r="X69" i="111"/>
  <c r="AF69" i="111"/>
  <c r="Z72" i="111"/>
  <c r="AC79" i="111"/>
  <c r="AK79" i="111"/>
  <c r="AE80" i="111"/>
  <c r="X82" i="111"/>
  <c r="X86" i="111"/>
  <c r="AF86" i="111"/>
  <c r="AA87" i="111"/>
  <c r="AI87" i="111"/>
  <c r="Z89" i="111"/>
  <c r="AH89" i="111"/>
  <c r="X94" i="111"/>
  <c r="AF94" i="111"/>
  <c r="Z98" i="111"/>
  <c r="AH98" i="111"/>
  <c r="AA99" i="111"/>
  <c r="W100" i="111"/>
  <c r="AE100" i="111"/>
  <c r="AF102" i="111"/>
  <c r="Z106" i="111"/>
  <c r="AH106" i="111"/>
  <c r="Z108" i="111"/>
  <c r="AH108" i="111"/>
  <c r="Y43" i="111"/>
  <c r="AG43" i="111"/>
  <c r="Z45" i="111"/>
  <c r="AH45" i="111"/>
  <c r="AF48" i="111"/>
  <c r="AE52" i="111"/>
  <c r="AC54" i="111"/>
  <c r="AK54" i="111"/>
  <c r="X61" i="111"/>
  <c r="Y62" i="111"/>
  <c r="W63" i="111"/>
  <c r="AE63" i="111"/>
  <c r="X64" i="111"/>
  <c r="AF64" i="111"/>
  <c r="Z65" i="111"/>
  <c r="W67" i="111"/>
  <c r="Y72" i="111"/>
  <c r="AG72" i="111"/>
  <c r="Y73" i="111"/>
  <c r="AA74" i="111"/>
  <c r="AI74" i="111"/>
  <c r="AI76" i="111"/>
  <c r="AE78" i="111"/>
  <c r="W79" i="111"/>
  <c r="AC82" i="111"/>
  <c r="AK82" i="111"/>
  <c r="Y87" i="111"/>
  <c r="AG87" i="111"/>
  <c r="AE89" i="111"/>
  <c r="AA92" i="111"/>
  <c r="AC95" i="111"/>
  <c r="AK95" i="111"/>
  <c r="AK96" i="111"/>
  <c r="Y98" i="111"/>
  <c r="AG98" i="111"/>
  <c r="Y99" i="111"/>
  <c r="AG99" i="111"/>
  <c r="AB100" i="111"/>
  <c r="AJ100" i="111"/>
  <c r="AB102" i="111"/>
  <c r="AE103" i="111"/>
  <c r="AE105" i="111"/>
  <c r="AB106" i="111"/>
  <c r="AJ106" i="111"/>
  <c r="AK64" i="111"/>
  <c r="W65" i="111"/>
  <c r="AE65" i="111"/>
  <c r="Y67" i="111"/>
  <c r="AG67" i="111"/>
  <c r="Z68" i="111"/>
  <c r="Z69" i="111"/>
  <c r="AH69" i="111"/>
  <c r="AC70" i="111"/>
  <c r="X71" i="111"/>
  <c r="AF71" i="111"/>
  <c r="X72" i="111"/>
  <c r="W76" i="111"/>
  <c r="Y78" i="111"/>
  <c r="X80" i="111"/>
  <c r="AF80" i="111"/>
  <c r="AA82" i="111"/>
  <c r="AI82" i="111"/>
  <c r="AB86" i="111"/>
  <c r="AJ86" i="111"/>
  <c r="AC87" i="111"/>
  <c r="AK87" i="111"/>
  <c r="AB91" i="111"/>
  <c r="AA93" i="111"/>
  <c r="AI93" i="111"/>
  <c r="W95" i="111"/>
  <c r="AE95" i="111"/>
  <c r="Y97" i="111"/>
  <c r="AG97" i="111"/>
  <c r="AE99" i="111"/>
  <c r="AI103" i="111"/>
  <c r="W106" i="111"/>
  <c r="AE106" i="111"/>
  <c r="AB108" i="111"/>
  <c r="M35" i="81"/>
  <c r="J44" i="81"/>
  <c r="H52" i="81"/>
  <c r="E55" i="81"/>
  <c r="F90" i="81"/>
  <c r="H91" i="81"/>
  <c r="I91" i="81" s="1"/>
  <c r="E7" i="95"/>
  <c r="K12" i="95"/>
  <c r="K14" i="95"/>
  <c r="K16" i="95"/>
  <c r="K17" i="95"/>
  <c r="E22" i="95"/>
  <c r="E23" i="95"/>
  <c r="J43" i="81"/>
  <c r="J47" i="81"/>
  <c r="E35" i="81"/>
  <c r="K60" i="81"/>
  <c r="K68" i="81"/>
  <c r="H90" i="81"/>
  <c r="I90" i="81" s="1"/>
  <c r="E10" i="95"/>
  <c r="K19" i="95"/>
  <c r="K33" i="95"/>
  <c r="J32" i="81"/>
  <c r="K53" i="81"/>
  <c r="E54" i="81"/>
  <c r="E62" i="81"/>
  <c r="K69" i="81"/>
  <c r="H74" i="81"/>
  <c r="I74" i="81" s="1"/>
  <c r="H84" i="81"/>
  <c r="K7" i="95"/>
  <c r="K8" i="95"/>
  <c r="J33" i="81"/>
  <c r="H35" i="81"/>
  <c r="E52" i="81"/>
  <c r="K59" i="81"/>
  <c r="H76" i="81"/>
  <c r="H93" i="81"/>
  <c r="K26" i="95"/>
  <c r="E29" i="81"/>
  <c r="H30" i="81"/>
  <c r="M33" i="81"/>
  <c r="H44" i="81"/>
  <c r="K71" i="81"/>
  <c r="H77" i="81"/>
  <c r="K11" i="95"/>
  <c r="E21" i="95"/>
  <c r="H50" i="106"/>
  <c r="I9" i="106" s="1"/>
  <c r="M17" i="98"/>
  <c r="M17" i="101"/>
  <c r="E17" i="101"/>
  <c r="E21" i="101"/>
  <c r="D12" i="82"/>
  <c r="C12" i="82" s="1"/>
  <c r="B12" i="82" s="1"/>
  <c r="D8" i="82"/>
  <c r="C8" i="82" s="1"/>
  <c r="B8" i="82" s="1"/>
  <c r="D9" i="82"/>
  <c r="C9" i="82" s="1"/>
  <c r="B9" i="82" s="1"/>
  <c r="D11" i="82"/>
  <c r="C11" i="82" s="1"/>
  <c r="B11" i="82" s="1"/>
  <c r="D14" i="82"/>
  <c r="C14" i="82" s="1"/>
  <c r="B14" i="82" s="1"/>
  <c r="D7" i="82"/>
  <c r="C7" i="82" s="1"/>
  <c r="B7" i="82" s="1"/>
  <c r="D10" i="82"/>
  <c r="C10" i="82" s="1"/>
  <c r="B10" i="82" s="1"/>
  <c r="D15" i="82"/>
  <c r="C15" i="82" s="1"/>
  <c r="B15" i="82" s="1"/>
  <c r="D13" i="82"/>
  <c r="C13" i="82" s="1"/>
  <c r="B13" i="82" s="1"/>
  <c r="D6" i="82"/>
  <c r="C6" i="82" s="1"/>
  <c r="B6" i="82" s="1"/>
  <c r="H10" i="82"/>
  <c r="G10" i="82" s="1"/>
  <c r="F10" i="82" s="1"/>
  <c r="H7" i="82"/>
  <c r="G7" i="82" s="1"/>
  <c r="F7" i="82" s="1"/>
  <c r="H15" i="82"/>
  <c r="G15" i="82" s="1"/>
  <c r="F15" i="82" s="1"/>
  <c r="H8" i="82"/>
  <c r="G8" i="82" s="1"/>
  <c r="F8" i="82" s="1"/>
  <c r="H13" i="82"/>
  <c r="G13" i="82" s="1"/>
  <c r="F13" i="82" s="1"/>
  <c r="H11" i="82"/>
  <c r="G11" i="82" s="1"/>
  <c r="F11" i="82" s="1"/>
  <c r="H6" i="82"/>
  <c r="G6" i="82" s="1"/>
  <c r="F6" i="82" s="1"/>
  <c r="H14" i="82"/>
  <c r="G14" i="82" s="1"/>
  <c r="F14" i="82" s="1"/>
  <c r="H9" i="82"/>
  <c r="G9" i="82" s="1"/>
  <c r="F9" i="82" s="1"/>
  <c r="H12" i="82"/>
  <c r="G12" i="82" s="1"/>
  <c r="F12" i="82" s="1"/>
  <c r="G8" i="87"/>
  <c r="G12" i="87"/>
  <c r="F21" i="101"/>
  <c r="I82" i="101"/>
  <c r="Q82" i="101"/>
  <c r="H83" i="101"/>
  <c r="P83" i="101"/>
  <c r="G84" i="101"/>
  <c r="G91" i="101" s="1"/>
  <c r="O84" i="101"/>
  <c r="O91" i="101" s="1"/>
  <c r="F85" i="101"/>
  <c r="F92" i="101" s="1"/>
  <c r="N85" i="101"/>
  <c r="N92" i="101" s="1"/>
  <c r="J100" i="101"/>
  <c r="R100" i="101"/>
  <c r="J101" i="101"/>
  <c r="R101" i="101"/>
  <c r="J102" i="101"/>
  <c r="R102" i="101"/>
  <c r="J103" i="101"/>
  <c r="R103" i="101"/>
  <c r="H107" i="101"/>
  <c r="P107" i="101"/>
  <c r="H108" i="101"/>
  <c r="P108" i="101"/>
  <c r="H109" i="101"/>
  <c r="P109" i="101"/>
  <c r="H110" i="101"/>
  <c r="P110" i="101"/>
  <c r="F114" i="101"/>
  <c r="N114" i="101"/>
  <c r="F115" i="101"/>
  <c r="N115" i="101"/>
  <c r="F116" i="101"/>
  <c r="N116" i="101"/>
  <c r="F117" i="101"/>
  <c r="N117" i="101"/>
  <c r="D121" i="101"/>
  <c r="L121" i="101"/>
  <c r="D122" i="101"/>
  <c r="L122" i="101"/>
  <c r="D123" i="101"/>
  <c r="L123" i="101"/>
  <c r="D124" i="101"/>
  <c r="L124" i="101"/>
  <c r="C98" i="98"/>
  <c r="O99" i="98"/>
  <c r="I100" i="98"/>
  <c r="E105" i="98"/>
  <c r="L107" i="98"/>
  <c r="C108" i="98"/>
  <c r="Q112" i="98"/>
  <c r="I113" i="98"/>
  <c r="M115" i="98"/>
  <c r="M120" i="98"/>
  <c r="C121" i="98"/>
  <c r="Q122" i="98"/>
  <c r="AN16" i="100"/>
  <c r="AN18" i="100"/>
  <c r="AC26" i="100"/>
  <c r="AK26" i="100"/>
  <c r="AG29" i="100"/>
  <c r="AE48" i="100"/>
  <c r="AE49" i="100"/>
  <c r="AE47" i="100"/>
  <c r="AM48" i="100"/>
  <c r="AM47" i="100"/>
  <c r="AM49" i="100"/>
  <c r="AB52" i="100"/>
  <c r="AK55" i="100"/>
  <c r="AE60" i="100"/>
  <c r="AE59" i="100"/>
  <c r="AM60" i="100"/>
  <c r="AM61" i="100"/>
  <c r="AE64" i="100"/>
  <c r="AE63" i="100"/>
  <c r="AM64" i="100"/>
  <c r="AM63" i="100"/>
  <c r="AM65" i="100"/>
  <c r="AE78" i="100"/>
  <c r="AM78" i="100"/>
  <c r="Y88" i="100"/>
  <c r="Y89" i="100"/>
  <c r="AG88" i="100"/>
  <c r="AG87" i="100"/>
  <c r="AG89" i="100"/>
  <c r="AC96" i="100"/>
  <c r="AC97" i="100"/>
  <c r="AK97" i="100"/>
  <c r="AK95" i="100"/>
  <c r="AK96" i="100"/>
  <c r="AL121" i="100"/>
  <c r="AI129" i="100"/>
  <c r="J15" i="101"/>
  <c r="J17" i="101" s="1"/>
  <c r="J82" i="101"/>
  <c r="R82" i="101"/>
  <c r="I83" i="101"/>
  <c r="Q83" i="101"/>
  <c r="H84" i="101"/>
  <c r="H91" i="101" s="1"/>
  <c r="P84" i="101"/>
  <c r="P91" i="101" s="1"/>
  <c r="G85" i="101"/>
  <c r="G92" i="101" s="1"/>
  <c r="O85" i="101"/>
  <c r="O92" i="101" s="1"/>
  <c r="E121" i="101"/>
  <c r="M121" i="101"/>
  <c r="E122" i="101"/>
  <c r="X122" i="101" s="1"/>
  <c r="M122" i="101"/>
  <c r="E123" i="101"/>
  <c r="M123" i="101"/>
  <c r="H16" i="98"/>
  <c r="H17" i="98" s="1"/>
  <c r="F98" i="98"/>
  <c r="M100" i="98"/>
  <c r="C101" i="98"/>
  <c r="I105" i="98"/>
  <c r="O107" i="98"/>
  <c r="I108" i="98"/>
  <c r="J113" i="98"/>
  <c r="Q115" i="98"/>
  <c r="P120" i="98"/>
  <c r="G121" i="98"/>
  <c r="AC24" i="100"/>
  <c r="AC23" i="100"/>
  <c r="AC25" i="100"/>
  <c r="AK24" i="100"/>
  <c r="AK23" i="100"/>
  <c r="Z25" i="100"/>
  <c r="Z26" i="100"/>
  <c r="Z24" i="100"/>
  <c r="AH25" i="100"/>
  <c r="AH24" i="100"/>
  <c r="Y25" i="100"/>
  <c r="Z27" i="100"/>
  <c r="Z30" i="100"/>
  <c r="Z28" i="100"/>
  <c r="AH27" i="100"/>
  <c r="AH30" i="100"/>
  <c r="AH28" i="100"/>
  <c r="AF35" i="100"/>
  <c r="AF38" i="100"/>
  <c r="AN35" i="100"/>
  <c r="AN36" i="100"/>
  <c r="AN38" i="100"/>
  <c r="AF43" i="100"/>
  <c r="AF46" i="100"/>
  <c r="AN43" i="100"/>
  <c r="AN44" i="100"/>
  <c r="AN46" i="100"/>
  <c r="AB47" i="100"/>
  <c r="AB50" i="100"/>
  <c r="AJ47" i="100"/>
  <c r="AJ48" i="100"/>
  <c r="AD51" i="100"/>
  <c r="AD52" i="100"/>
  <c r="AD54" i="100"/>
  <c r="AL51" i="100"/>
  <c r="AL54" i="100"/>
  <c r="AL52" i="100"/>
  <c r="AA52" i="100"/>
  <c r="AA53" i="100"/>
  <c r="AA51" i="100"/>
  <c r="AI52" i="100"/>
  <c r="AI53" i="100"/>
  <c r="AI51" i="100"/>
  <c r="Y56" i="100"/>
  <c r="Y57" i="100"/>
  <c r="Y55" i="100"/>
  <c r="AG56" i="100"/>
  <c r="AG57" i="100"/>
  <c r="AG55" i="100"/>
  <c r="AK58" i="100"/>
  <c r="AE61" i="100"/>
  <c r="Z63" i="100"/>
  <c r="Z66" i="100"/>
  <c r="Z64" i="100"/>
  <c r="AH63" i="100"/>
  <c r="AH66" i="100"/>
  <c r="AH64" i="100"/>
  <c r="AI74" i="100"/>
  <c r="AL82" i="100"/>
  <c r="AL79" i="100"/>
  <c r="AL80" i="100"/>
  <c r="Z98" i="100"/>
  <c r="Z95" i="100"/>
  <c r="AH95" i="100"/>
  <c r="AH98" i="100"/>
  <c r="AH96" i="100"/>
  <c r="Y95" i="100"/>
  <c r="AA139" i="100"/>
  <c r="H246" i="100"/>
  <c r="H247" i="100"/>
  <c r="AC247" i="100" s="1"/>
  <c r="P247" i="100"/>
  <c r="P246" i="100"/>
  <c r="AG9" i="111"/>
  <c r="AC9" i="111"/>
  <c r="AA9" i="111"/>
  <c r="AK9" i="111"/>
  <c r="Y9" i="111"/>
  <c r="AI9" i="111"/>
  <c r="AB9" i="111"/>
  <c r="H25" i="82"/>
  <c r="L22" i="82"/>
  <c r="H29" i="82"/>
  <c r="L23" i="82"/>
  <c r="H22" i="82"/>
  <c r="L25" i="82"/>
  <c r="H24" i="82"/>
  <c r="L26" i="82"/>
  <c r="L27" i="82"/>
  <c r="L20" i="82"/>
  <c r="L28" i="82"/>
  <c r="H26" i="82"/>
  <c r="L21" i="82"/>
  <c r="L29" i="82"/>
  <c r="H27" i="82"/>
  <c r="H20" i="82"/>
  <c r="H28" i="82"/>
  <c r="H21" i="82"/>
  <c r="L24" i="82"/>
  <c r="H23" i="82"/>
  <c r="H21" i="101"/>
  <c r="C82" i="101"/>
  <c r="K82" i="101"/>
  <c r="K89" i="101" s="1"/>
  <c r="S82" i="101"/>
  <c r="E89" i="101" s="1"/>
  <c r="J83" i="101"/>
  <c r="R83" i="101"/>
  <c r="I84" i="101"/>
  <c r="I91" i="101" s="1"/>
  <c r="Q84" i="101"/>
  <c r="Q91" i="101" s="1"/>
  <c r="H85" i="101"/>
  <c r="H92" i="101" s="1"/>
  <c r="P85" i="101"/>
  <c r="P92" i="101" s="1"/>
  <c r="D100" i="101"/>
  <c r="L100" i="101"/>
  <c r="D101" i="101"/>
  <c r="L101" i="101"/>
  <c r="D102" i="101"/>
  <c r="L102" i="101"/>
  <c r="D103" i="101"/>
  <c r="L103" i="101"/>
  <c r="J107" i="101"/>
  <c r="R107" i="101"/>
  <c r="J108" i="101"/>
  <c r="R108" i="101"/>
  <c r="J109" i="101"/>
  <c r="R109" i="101"/>
  <c r="J110" i="101"/>
  <c r="R110" i="101"/>
  <c r="H114" i="101"/>
  <c r="P114" i="101"/>
  <c r="H115" i="101"/>
  <c r="P115" i="101"/>
  <c r="H116" i="101"/>
  <c r="P116" i="101"/>
  <c r="H117" i="101"/>
  <c r="P117" i="101"/>
  <c r="F121" i="101"/>
  <c r="N121" i="101"/>
  <c r="F122" i="101"/>
  <c r="N122" i="101"/>
  <c r="F123" i="101"/>
  <c r="N123" i="101"/>
  <c r="F124" i="101"/>
  <c r="N124" i="101"/>
  <c r="G98" i="98"/>
  <c r="O100" i="98"/>
  <c r="F101" i="98"/>
  <c r="L105" i="98"/>
  <c r="C106" i="98"/>
  <c r="K108" i="98"/>
  <c r="M113" i="98"/>
  <c r="C114" i="98"/>
  <c r="C119" i="98"/>
  <c r="V119" i="98" s="1"/>
  <c r="Q120" i="98"/>
  <c r="I121" i="98"/>
  <c r="AB12" i="100"/>
  <c r="AA23" i="100"/>
  <c r="AG25" i="100"/>
  <c r="AC34" i="100"/>
  <c r="AK34" i="100"/>
  <c r="Y38" i="100"/>
  <c r="AG38" i="100"/>
  <c r="AC42" i="100"/>
  <c r="AK42" i="100"/>
  <c r="AJ50" i="100"/>
  <c r="Z78" i="100"/>
  <c r="Z75" i="100"/>
  <c r="Z76" i="100"/>
  <c r="Z77" i="100"/>
  <c r="AH75" i="100"/>
  <c r="AH77" i="100"/>
  <c r="AC84" i="100"/>
  <c r="AC83" i="100"/>
  <c r="AK84" i="100"/>
  <c r="AK83" i="100"/>
  <c r="AA91" i="100"/>
  <c r="AA92" i="100"/>
  <c r="AI94" i="100"/>
  <c r="AI92" i="100"/>
  <c r="AI91" i="100"/>
  <c r="AE100" i="100"/>
  <c r="AM100" i="100"/>
  <c r="Z185" i="100"/>
  <c r="Z192" i="100"/>
  <c r="Z195" i="100"/>
  <c r="Z193" i="100"/>
  <c r="AD193" i="100"/>
  <c r="AD192" i="100"/>
  <c r="AD195" i="100"/>
  <c r="AH192" i="100"/>
  <c r="AH195" i="100"/>
  <c r="AH193" i="100"/>
  <c r="AL195" i="100"/>
  <c r="AL192" i="100"/>
  <c r="AL193" i="100"/>
  <c r="AK13" i="111"/>
  <c r="AG13" i="111"/>
  <c r="AC13" i="111"/>
  <c r="W13" i="111"/>
  <c r="AI13" i="111"/>
  <c r="Y13" i="111"/>
  <c r="D28" i="82"/>
  <c r="C28" i="82" s="1"/>
  <c r="B28" i="82" s="1"/>
  <c r="D20" i="82"/>
  <c r="C20" i="82" s="1"/>
  <c r="B20" i="82" s="1"/>
  <c r="D27" i="82"/>
  <c r="C27" i="82" s="1"/>
  <c r="B27" i="82" s="1"/>
  <c r="D21" i="82"/>
  <c r="C21" i="82" s="1"/>
  <c r="B21" i="82" s="1"/>
  <c r="D29" i="82"/>
  <c r="C29" i="82" s="1"/>
  <c r="B29" i="82" s="1"/>
  <c r="D22" i="82"/>
  <c r="C22" i="82" s="1"/>
  <c r="B22" i="82" s="1"/>
  <c r="D23" i="82"/>
  <c r="C23" i="82" s="1"/>
  <c r="B23" i="82" s="1"/>
  <c r="D24" i="82"/>
  <c r="C24" i="82" s="1"/>
  <c r="B24" i="82" s="1"/>
  <c r="D25" i="82"/>
  <c r="C25" i="82" s="1"/>
  <c r="B25" i="82" s="1"/>
  <c r="D26" i="82"/>
  <c r="C26" i="82" s="1"/>
  <c r="B26" i="82" s="1"/>
  <c r="D44" i="82"/>
  <c r="D40" i="82"/>
  <c r="D36" i="82"/>
  <c r="H43" i="82"/>
  <c r="D42" i="82"/>
  <c r="H40" i="82"/>
  <c r="D39" i="82"/>
  <c r="H37" i="82"/>
  <c r="H44" i="82"/>
  <c r="D41" i="82"/>
  <c r="D37" i="82"/>
  <c r="H38" i="82"/>
  <c r="D35" i="82"/>
  <c r="H36" i="82"/>
  <c r="H41" i="82"/>
  <c r="D38" i="82"/>
  <c r="D43" i="82"/>
  <c r="H39" i="82"/>
  <c r="H35" i="82"/>
  <c r="H42" i="82"/>
  <c r="D82" i="101"/>
  <c r="D89" i="101" s="1"/>
  <c r="L82" i="101"/>
  <c r="L89" i="101" s="1"/>
  <c r="C83" i="101"/>
  <c r="K83" i="101"/>
  <c r="S83" i="101"/>
  <c r="D90" i="101" s="1"/>
  <c r="J84" i="101"/>
  <c r="J91" i="101" s="1"/>
  <c r="R84" i="101"/>
  <c r="R91" i="101" s="1"/>
  <c r="I85" i="101"/>
  <c r="I92" i="101" s="1"/>
  <c r="Q85" i="101"/>
  <c r="Q92" i="101" s="1"/>
  <c r="E100" i="101"/>
  <c r="M100" i="101"/>
  <c r="E101" i="101"/>
  <c r="M101" i="101"/>
  <c r="E102" i="101"/>
  <c r="M102" i="101"/>
  <c r="E103" i="101"/>
  <c r="M103" i="101"/>
  <c r="C107" i="101"/>
  <c r="K107" i="101"/>
  <c r="C108" i="101"/>
  <c r="K108" i="101"/>
  <c r="C109" i="101"/>
  <c r="K109" i="101"/>
  <c r="C110" i="101"/>
  <c r="K110" i="101"/>
  <c r="I114" i="101"/>
  <c r="Q114" i="101"/>
  <c r="I115" i="101"/>
  <c r="Q115" i="101"/>
  <c r="I116" i="101"/>
  <c r="Q116" i="101"/>
  <c r="I117" i="101"/>
  <c r="Q117" i="101"/>
  <c r="G121" i="101"/>
  <c r="O121" i="101"/>
  <c r="G122" i="101"/>
  <c r="O122" i="101"/>
  <c r="G123" i="101"/>
  <c r="O123" i="101"/>
  <c r="G124" i="101"/>
  <c r="O124" i="101"/>
  <c r="M98" i="98"/>
  <c r="C99" i="98"/>
  <c r="I101" i="98"/>
  <c r="O105" i="98"/>
  <c r="E106" i="98"/>
  <c r="L108" i="98"/>
  <c r="AE108" i="98" s="1"/>
  <c r="Q113" i="98"/>
  <c r="G119" i="98"/>
  <c r="K121" i="98"/>
  <c r="G21" i="114"/>
  <c r="G23" i="114" s="1"/>
  <c r="Z22" i="100"/>
  <c r="Z21" i="100"/>
  <c r="Z20" i="100"/>
  <c r="AE23" i="100"/>
  <c r="AE24" i="100"/>
  <c r="AE25" i="100"/>
  <c r="AM24" i="100"/>
  <c r="AM23" i="100"/>
  <c r="AM25" i="100"/>
  <c r="AB25" i="100"/>
  <c r="AB26" i="100"/>
  <c r="AJ25" i="100"/>
  <c r="AJ24" i="100"/>
  <c r="AK25" i="100"/>
  <c r="Y28" i="100"/>
  <c r="Y29" i="100"/>
  <c r="AG28" i="100"/>
  <c r="AG27" i="100"/>
  <c r="AJ30" i="100"/>
  <c r="AJ38" i="100"/>
  <c r="AB48" i="100"/>
  <c r="AN50" i="100"/>
  <c r="AF51" i="100"/>
  <c r="AF54" i="100"/>
  <c r="AN51" i="100"/>
  <c r="AN54" i="100"/>
  <c r="AN52" i="100"/>
  <c r="AB67" i="100"/>
  <c r="AB69" i="100"/>
  <c r="AJ70" i="100"/>
  <c r="AJ67" i="100"/>
  <c r="AJ68" i="100"/>
  <c r="AJ69" i="100"/>
  <c r="AB68" i="100"/>
  <c r="AE76" i="100"/>
  <c r="AE75" i="100"/>
  <c r="AM76" i="100"/>
  <c r="AM77" i="100"/>
  <c r="AD91" i="100"/>
  <c r="AD94" i="100"/>
  <c r="AL91" i="100"/>
  <c r="AL92" i="100"/>
  <c r="AL94" i="100"/>
  <c r="Y93" i="100"/>
  <c r="Y91" i="100"/>
  <c r="AM94" i="100"/>
  <c r="AB95" i="100"/>
  <c r="AB96" i="100"/>
  <c r="AB98" i="100"/>
  <c r="AJ95" i="100"/>
  <c r="AJ96" i="100"/>
  <c r="AJ97" i="100"/>
  <c r="AG96" i="100"/>
  <c r="Z133" i="100"/>
  <c r="Z135" i="100"/>
  <c r="AD133" i="100"/>
  <c r="AD132" i="100"/>
  <c r="AD134" i="100"/>
  <c r="AL133" i="100"/>
  <c r="AL134" i="100"/>
  <c r="Z134" i="100"/>
  <c r="AI136" i="100"/>
  <c r="AI138" i="100"/>
  <c r="Z178" i="100"/>
  <c r="AD178" i="100"/>
  <c r="AH178" i="100"/>
  <c r="AL178" i="100"/>
  <c r="Z181" i="100"/>
  <c r="Z183" i="100"/>
  <c r="AD181" i="100"/>
  <c r="AD180" i="100"/>
  <c r="AH181" i="100"/>
  <c r="AH183" i="100"/>
  <c r="AH180" i="100"/>
  <c r="AL181" i="100"/>
  <c r="AE244" i="100"/>
  <c r="AM244" i="100"/>
  <c r="AJ273" i="100"/>
  <c r="Y284" i="100"/>
  <c r="Y283" i="100"/>
  <c r="AG283" i="100"/>
  <c r="AG284" i="100"/>
  <c r="N122" i="98"/>
  <c r="F122" i="98"/>
  <c r="N121" i="98"/>
  <c r="F121" i="98"/>
  <c r="N120" i="98"/>
  <c r="F120" i="98"/>
  <c r="N119" i="98"/>
  <c r="F119" i="98"/>
  <c r="L122" i="98"/>
  <c r="D122" i="98"/>
  <c r="L121" i="98"/>
  <c r="D121" i="98"/>
  <c r="L120" i="98"/>
  <c r="D120" i="98"/>
  <c r="L119" i="98"/>
  <c r="D119" i="98"/>
  <c r="R122" i="98"/>
  <c r="J122" i="98"/>
  <c r="R121" i="98"/>
  <c r="J121" i="98"/>
  <c r="R120" i="98"/>
  <c r="J120" i="98"/>
  <c r="R119" i="98"/>
  <c r="J119" i="98"/>
  <c r="O122" i="98"/>
  <c r="H121" i="98"/>
  <c r="O120" i="98"/>
  <c r="H119" i="98"/>
  <c r="K122" i="98"/>
  <c r="Q121" i="98"/>
  <c r="E121" i="98"/>
  <c r="K120" i="98"/>
  <c r="Q119" i="98"/>
  <c r="AJ119" i="98" s="1"/>
  <c r="E119" i="98"/>
  <c r="H122" i="98"/>
  <c r="O121" i="98"/>
  <c r="H120" i="98"/>
  <c r="O119" i="98"/>
  <c r="G122" i="98"/>
  <c r="I120" i="98"/>
  <c r="I119" i="98"/>
  <c r="M121" i="98"/>
  <c r="E122" i="98"/>
  <c r="AJ19" i="100"/>
  <c r="AB22" i="100"/>
  <c r="AG23" i="100"/>
  <c r="AD29" i="100"/>
  <c r="AL29" i="100"/>
  <c r="AA30" i="100"/>
  <c r="AC32" i="100"/>
  <c r="AC33" i="100"/>
  <c r="AK32" i="100"/>
  <c r="AK31" i="100"/>
  <c r="Z33" i="100"/>
  <c r="AH33" i="100"/>
  <c r="Y36" i="100"/>
  <c r="Y35" i="100"/>
  <c r="Y37" i="100"/>
  <c r="AG36" i="100"/>
  <c r="AG35" i="100"/>
  <c r="AC40" i="100"/>
  <c r="AC41" i="100"/>
  <c r="AK40" i="100"/>
  <c r="AK39" i="100"/>
  <c r="Z41" i="100"/>
  <c r="AH41" i="100"/>
  <c r="Y46" i="100"/>
  <c r="AG46" i="100"/>
  <c r="AC50" i="100"/>
  <c r="AK50" i="100"/>
  <c r="AD55" i="100"/>
  <c r="AD56" i="100"/>
  <c r="AL55" i="100"/>
  <c r="AL56" i="100"/>
  <c r="AL58" i="100"/>
  <c r="AK57" i="100"/>
  <c r="AB75" i="100"/>
  <c r="AB77" i="100"/>
  <c r="AB76" i="100"/>
  <c r="AJ75" i="100"/>
  <c r="AJ76" i="100"/>
  <c r="AG97" i="100"/>
  <c r="AD114" i="100"/>
  <c r="AL114" i="100"/>
  <c r="AD116" i="100"/>
  <c r="AA224" i="100"/>
  <c r="AA222" i="100"/>
  <c r="AC244" i="100"/>
  <c r="AC241" i="100"/>
  <c r="AK244" i="100"/>
  <c r="AK241" i="100"/>
  <c r="AE270" i="100"/>
  <c r="AE269" i="100"/>
  <c r="AM270" i="100"/>
  <c r="AM269" i="100"/>
  <c r="AM271" i="100"/>
  <c r="AB273" i="100"/>
  <c r="AB275" i="100"/>
  <c r="AB274" i="100"/>
  <c r="AE289" i="100"/>
  <c r="AE290" i="100"/>
  <c r="AE292" i="100"/>
  <c r="AM289" i="100"/>
  <c r="AM290" i="100"/>
  <c r="Y290" i="100"/>
  <c r="Y289" i="100"/>
  <c r="Y291" i="100"/>
  <c r="AG290" i="100"/>
  <c r="AG291" i="100"/>
  <c r="AE291" i="100"/>
  <c r="AM291" i="100"/>
  <c r="AE106" i="98"/>
  <c r="Z14" i="100"/>
  <c r="Z13" i="100"/>
  <c r="Z12" i="100"/>
  <c r="AK19" i="100"/>
  <c r="AK21" i="100"/>
  <c r="AD27" i="100"/>
  <c r="AD28" i="100"/>
  <c r="AD30" i="100"/>
  <c r="AL27" i="100"/>
  <c r="AL30" i="100"/>
  <c r="AL28" i="100"/>
  <c r="AA28" i="100"/>
  <c r="AA29" i="100"/>
  <c r="AA27" i="100"/>
  <c r="AI28" i="100"/>
  <c r="AI29" i="100"/>
  <c r="AI27" i="100"/>
  <c r="Z31" i="100"/>
  <c r="Z34" i="100"/>
  <c r="Z32" i="100"/>
  <c r="AH31" i="100"/>
  <c r="AH34" i="100"/>
  <c r="AH32" i="100"/>
  <c r="Z39" i="100"/>
  <c r="Z42" i="100"/>
  <c r="Z40" i="100"/>
  <c r="AH39" i="100"/>
  <c r="AH42" i="100"/>
  <c r="AH40" i="100"/>
  <c r="Y44" i="100"/>
  <c r="Y43" i="100"/>
  <c r="Y45" i="100"/>
  <c r="AG44" i="100"/>
  <c r="AG43" i="100"/>
  <c r="AC56" i="100"/>
  <c r="AC55" i="100"/>
  <c r="AC57" i="100"/>
  <c r="AD67" i="100"/>
  <c r="AD68" i="100"/>
  <c r="AD70" i="100"/>
  <c r="AL67" i="100"/>
  <c r="AL70" i="100"/>
  <c r="AL68" i="100"/>
  <c r="Y70" i="100"/>
  <c r="Y67" i="100"/>
  <c r="AD71" i="100"/>
  <c r="AD72" i="100"/>
  <c r="AL74" i="100"/>
  <c r="AL71" i="100"/>
  <c r="AL72" i="100"/>
  <c r="AA72" i="100"/>
  <c r="AA71" i="100"/>
  <c r="AA73" i="100"/>
  <c r="AI72" i="100"/>
  <c r="AI73" i="100"/>
  <c r="Y80" i="100"/>
  <c r="Y81" i="100"/>
  <c r="Y79" i="100"/>
  <c r="AG80" i="100"/>
  <c r="AG79" i="100"/>
  <c r="AG81" i="100"/>
  <c r="Z86" i="100"/>
  <c r="Z83" i="100"/>
  <c r="Z84" i="100"/>
  <c r="Z85" i="100"/>
  <c r="AH83" i="100"/>
  <c r="AH85" i="100"/>
  <c r="AH84" i="100"/>
  <c r="AE101" i="100"/>
  <c r="AE99" i="100"/>
  <c r="AM99" i="100"/>
  <c r="AM101" i="100"/>
  <c r="AE102" i="100"/>
  <c r="AD111" i="100"/>
  <c r="AD109" i="100"/>
  <c r="AD112" i="100"/>
  <c r="AD113" i="100"/>
  <c r="AL122" i="100"/>
  <c r="AL111" i="100"/>
  <c r="AD127" i="100"/>
  <c r="AL127" i="100"/>
  <c r="AA130" i="100"/>
  <c r="AA129" i="100"/>
  <c r="AB166" i="100"/>
  <c r="AB165" i="100"/>
  <c r="AB164" i="100"/>
  <c r="AN164" i="100"/>
  <c r="AN166" i="100"/>
  <c r="Z176" i="100"/>
  <c r="Z179" i="100"/>
  <c r="Z177" i="100"/>
  <c r="AD177" i="100"/>
  <c r="AD176" i="100"/>
  <c r="AD179" i="100"/>
  <c r="AH176" i="100"/>
  <c r="AH179" i="100"/>
  <c r="AH177" i="100"/>
  <c r="AL179" i="100"/>
  <c r="AL176" i="100"/>
  <c r="AL177" i="100"/>
  <c r="Z215" i="100"/>
  <c r="Z213" i="100"/>
  <c r="AH213" i="100"/>
  <c r="AH215" i="100"/>
  <c r="Y262" i="100"/>
  <c r="Y261" i="100"/>
  <c r="D50" i="106"/>
  <c r="G82" i="101"/>
  <c r="G89" i="101" s="1"/>
  <c r="O82" i="101"/>
  <c r="O89" i="101" s="1"/>
  <c r="F83" i="101"/>
  <c r="N83" i="101"/>
  <c r="N90" i="101" s="1"/>
  <c r="E84" i="101"/>
  <c r="E91" i="101" s="1"/>
  <c r="M84" i="101"/>
  <c r="M91" i="101" s="1"/>
  <c r="D85" i="101"/>
  <c r="D92" i="101" s="1"/>
  <c r="L85" i="101"/>
  <c r="L92" i="101" s="1"/>
  <c r="J121" i="101"/>
  <c r="R121" i="101"/>
  <c r="J122" i="101"/>
  <c r="R122" i="101"/>
  <c r="AK122" i="101" s="1"/>
  <c r="J123" i="101"/>
  <c r="R123" i="101"/>
  <c r="P115" i="98"/>
  <c r="H115" i="98"/>
  <c r="P114" i="98"/>
  <c r="H114" i="98"/>
  <c r="P113" i="98"/>
  <c r="H113" i="98"/>
  <c r="P112" i="98"/>
  <c r="H112" i="98"/>
  <c r="R108" i="98"/>
  <c r="J108" i="98"/>
  <c r="R107" i="98"/>
  <c r="J107" i="98"/>
  <c r="R106" i="98"/>
  <c r="AK106" i="98" s="1"/>
  <c r="J106" i="98"/>
  <c r="R105" i="98"/>
  <c r="J105" i="98"/>
  <c r="L101" i="98"/>
  <c r="D101" i="98"/>
  <c r="L100" i="98"/>
  <c r="D100" i="98"/>
  <c r="L99" i="98"/>
  <c r="D99" i="98"/>
  <c r="L98" i="98"/>
  <c r="D98" i="98"/>
  <c r="N115" i="98"/>
  <c r="F115" i="98"/>
  <c r="N114" i="98"/>
  <c r="F114" i="98"/>
  <c r="N113" i="98"/>
  <c r="AG113" i="98" s="1"/>
  <c r="F113" i="98"/>
  <c r="N112" i="98"/>
  <c r="F112" i="98"/>
  <c r="P108" i="98"/>
  <c r="H108" i="98"/>
  <c r="P107" i="98"/>
  <c r="H107" i="98"/>
  <c r="P106" i="98"/>
  <c r="H106" i="98"/>
  <c r="P105" i="98"/>
  <c r="H105" i="98"/>
  <c r="R101" i="98"/>
  <c r="J101" i="98"/>
  <c r="R100" i="98"/>
  <c r="J100" i="98"/>
  <c r="R99" i="98"/>
  <c r="AK99" i="98" s="1"/>
  <c r="J99" i="98"/>
  <c r="R98" i="98"/>
  <c r="J98" i="98"/>
  <c r="L115" i="98"/>
  <c r="D115" i="98"/>
  <c r="L114" i="98"/>
  <c r="D114" i="98"/>
  <c r="L113" i="98"/>
  <c r="D113" i="98"/>
  <c r="L112" i="98"/>
  <c r="D112" i="98"/>
  <c r="N108" i="98"/>
  <c r="F108" i="98"/>
  <c r="N107" i="98"/>
  <c r="F107" i="98"/>
  <c r="N106" i="98"/>
  <c r="AG106" i="98" s="1"/>
  <c r="F106" i="98"/>
  <c r="N105" i="98"/>
  <c r="F105" i="98"/>
  <c r="P101" i="98"/>
  <c r="H101" i="98"/>
  <c r="P100" i="98"/>
  <c r="H100" i="98"/>
  <c r="P99" i="98"/>
  <c r="H99" i="98"/>
  <c r="P98" i="98"/>
  <c r="H98" i="98"/>
  <c r="R115" i="98"/>
  <c r="E115" i="98"/>
  <c r="K114" i="98"/>
  <c r="R113" i="98"/>
  <c r="E113" i="98"/>
  <c r="K112" i="98"/>
  <c r="G108" i="98"/>
  <c r="M107" i="98"/>
  <c r="G106" i="98"/>
  <c r="M105" i="98"/>
  <c r="K101" i="98"/>
  <c r="Q100" i="98"/>
  <c r="E100" i="98"/>
  <c r="K99" i="98"/>
  <c r="Q98" i="98"/>
  <c r="E98" i="98"/>
  <c r="O115" i="98"/>
  <c r="I114" i="98"/>
  <c r="O113" i="98"/>
  <c r="I112" i="98"/>
  <c r="Q108" i="98"/>
  <c r="D108" i="98"/>
  <c r="K107" i="98"/>
  <c r="Q106" i="98"/>
  <c r="D106" i="98"/>
  <c r="K105" i="98"/>
  <c r="G101" i="98"/>
  <c r="N100" i="98"/>
  <c r="G99" i="98"/>
  <c r="N98" i="98"/>
  <c r="K115" i="98"/>
  <c r="R114" i="98"/>
  <c r="E114" i="98"/>
  <c r="K113" i="98"/>
  <c r="R112" i="98"/>
  <c r="E112" i="98"/>
  <c r="M108" i="98"/>
  <c r="G107" i="98"/>
  <c r="M106" i="98"/>
  <c r="G105" i="98"/>
  <c r="Q101" i="98"/>
  <c r="E101" i="98"/>
  <c r="K100" i="98"/>
  <c r="Q99" i="98"/>
  <c r="E99" i="98"/>
  <c r="K98" i="98"/>
  <c r="J114" i="98"/>
  <c r="M112" i="98"/>
  <c r="AF112" i="98" s="1"/>
  <c r="E108" i="98"/>
  <c r="Q107" i="98"/>
  <c r="I106" i="98"/>
  <c r="O101" i="98"/>
  <c r="AH101" i="98" s="1"/>
  <c r="G100" i="98"/>
  <c r="I98" i="98"/>
  <c r="M99" i="98"/>
  <c r="AF99" i="98" s="1"/>
  <c r="C100" i="98"/>
  <c r="C105" i="98"/>
  <c r="V105" i="98" s="1"/>
  <c r="O106" i="98"/>
  <c r="E107" i="98"/>
  <c r="J112" i="98"/>
  <c r="C113" i="98"/>
  <c r="Q114" i="98"/>
  <c r="I115" i="98"/>
  <c r="M119" i="98"/>
  <c r="E120" i="98"/>
  <c r="M122" i="98"/>
  <c r="M17" i="114"/>
  <c r="AC21" i="100"/>
  <c r="AE32" i="100"/>
  <c r="AE33" i="100"/>
  <c r="AE31" i="100"/>
  <c r="AM32" i="100"/>
  <c r="AM31" i="100"/>
  <c r="AM33" i="100"/>
  <c r="AA36" i="100"/>
  <c r="AA37" i="100"/>
  <c r="AA35" i="100"/>
  <c r="AI36" i="100"/>
  <c r="AI37" i="100"/>
  <c r="AI35" i="100"/>
  <c r="AE40" i="100"/>
  <c r="AE41" i="100"/>
  <c r="AE39" i="100"/>
  <c r="AM40" i="100"/>
  <c r="AM39" i="100"/>
  <c r="AM41" i="100"/>
  <c r="AC48" i="100"/>
  <c r="AC49" i="100"/>
  <c r="AK48" i="100"/>
  <c r="AK47" i="100"/>
  <c r="AB54" i="100"/>
  <c r="AJ57" i="100"/>
  <c r="AJ56" i="100"/>
  <c r="AC58" i="100"/>
  <c r="AC68" i="100"/>
  <c r="AC67" i="100"/>
  <c r="AK68" i="100"/>
  <c r="AK67" i="100"/>
  <c r="AK82" i="100"/>
  <c r="AK79" i="100"/>
  <c r="Z87" i="100"/>
  <c r="Z90" i="100"/>
  <c r="Z88" i="100"/>
  <c r="AH90" i="100"/>
  <c r="AH87" i="100"/>
  <c r="AH88" i="100"/>
  <c r="AE88" i="100"/>
  <c r="AE87" i="100"/>
  <c r="AE89" i="100"/>
  <c r="AM88" i="100"/>
  <c r="AM87" i="100"/>
  <c r="AM89" i="100"/>
  <c r="AE92" i="100"/>
  <c r="AE91" i="100"/>
  <c r="AE93" i="100"/>
  <c r="AM92" i="100"/>
  <c r="AM93" i="100"/>
  <c r="AL112" i="100"/>
  <c r="AB161" i="100"/>
  <c r="AB160" i="100"/>
  <c r="AF161" i="100"/>
  <c r="AF160" i="100"/>
  <c r="AJ161" i="100"/>
  <c r="AJ160" i="100"/>
  <c r="AN161" i="100"/>
  <c r="AN163" i="100"/>
  <c r="AN160" i="100"/>
  <c r="AJ167" i="100"/>
  <c r="AB169" i="100"/>
  <c r="AB168" i="100"/>
  <c r="AF169" i="100"/>
  <c r="AF168" i="100"/>
  <c r="AJ169" i="100"/>
  <c r="AJ168" i="100"/>
  <c r="AN169" i="100"/>
  <c r="AA205" i="100"/>
  <c r="AA206" i="100"/>
  <c r="AA208" i="100"/>
  <c r="AA207" i="100"/>
  <c r="AI205" i="100"/>
  <c r="AI206" i="100"/>
  <c r="AK224" i="100"/>
  <c r="AK221" i="100"/>
  <c r="AK223" i="100"/>
  <c r="AD239" i="100"/>
  <c r="AD240" i="100"/>
  <c r="AL239" i="100"/>
  <c r="AL238" i="100"/>
  <c r="AE241" i="100"/>
  <c r="AE242" i="100"/>
  <c r="AM241" i="100"/>
  <c r="AM242" i="100"/>
  <c r="C15" i="87"/>
  <c r="B15" i="87" s="1"/>
  <c r="C7" i="87"/>
  <c r="B7" i="87" s="1"/>
  <c r="C18" i="87"/>
  <c r="B18" i="87" s="1"/>
  <c r="C10" i="87"/>
  <c r="B10" i="87" s="1"/>
  <c r="C13" i="87"/>
  <c r="B13" i="87" s="1"/>
  <c r="C16" i="87"/>
  <c r="B16" i="87" s="1"/>
  <c r="C8" i="87"/>
  <c r="B8" i="87" s="1"/>
  <c r="C19" i="87"/>
  <c r="B19" i="87" s="1"/>
  <c r="C11" i="87"/>
  <c r="B11" i="87" s="1"/>
  <c r="C14" i="87"/>
  <c r="B14" i="87" s="1"/>
  <c r="C6" i="87"/>
  <c r="C17" i="87"/>
  <c r="B17" i="87" s="1"/>
  <c r="C9" i="87"/>
  <c r="B9" i="87" s="1"/>
  <c r="C20" i="87"/>
  <c r="B20" i="87" s="1"/>
  <c r="C12" i="87"/>
  <c r="B12" i="87" s="1"/>
  <c r="H82" i="101"/>
  <c r="H89" i="101" s="1"/>
  <c r="P82" i="101"/>
  <c r="P89" i="101" s="1"/>
  <c r="G83" i="101"/>
  <c r="O83" i="101"/>
  <c r="F84" i="101"/>
  <c r="F91" i="101" s="1"/>
  <c r="N84" i="101"/>
  <c r="N91" i="101" s="1"/>
  <c r="E85" i="101"/>
  <c r="E92" i="101" s="1"/>
  <c r="I100" i="101"/>
  <c r="Q100" i="101"/>
  <c r="I101" i="101"/>
  <c r="Q101" i="101"/>
  <c r="I102" i="101"/>
  <c r="Q102" i="101"/>
  <c r="I103" i="101"/>
  <c r="AB103" i="101" s="1"/>
  <c r="Q103" i="101"/>
  <c r="G107" i="101"/>
  <c r="O107" i="101"/>
  <c r="G108" i="101"/>
  <c r="O108" i="101"/>
  <c r="G109" i="101"/>
  <c r="O109" i="101"/>
  <c r="G110" i="101"/>
  <c r="O110" i="101"/>
  <c r="E114" i="101"/>
  <c r="M114" i="101"/>
  <c r="E115" i="101"/>
  <c r="M115" i="101"/>
  <c r="E116" i="101"/>
  <c r="M116" i="101"/>
  <c r="E117" i="101"/>
  <c r="X117" i="101" s="1"/>
  <c r="M117" i="101"/>
  <c r="C121" i="101"/>
  <c r="K121" i="101"/>
  <c r="C122" i="101"/>
  <c r="K122" i="101"/>
  <c r="AD122" i="101" s="1"/>
  <c r="C123" i="101"/>
  <c r="C124" i="101"/>
  <c r="H30" i="98"/>
  <c r="N99" i="98"/>
  <c r="F100" i="98"/>
  <c r="Y100" i="98" s="1"/>
  <c r="D105" i="98"/>
  <c r="I107" i="98"/>
  <c r="O112" i="98"/>
  <c r="G113" i="98"/>
  <c r="Z113" i="98" s="1"/>
  <c r="J115" i="98"/>
  <c r="P119" i="98"/>
  <c r="AI119" i="98" s="1"/>
  <c r="G120" i="98"/>
  <c r="P122" i="98"/>
  <c r="AK11" i="100"/>
  <c r="AK13" i="100"/>
  <c r="AJ11" i="100"/>
  <c r="AF25" i="100"/>
  <c r="AF24" i="100"/>
  <c r="AN26" i="100"/>
  <c r="AF27" i="100"/>
  <c r="AF30" i="100"/>
  <c r="AN27" i="100"/>
  <c r="AN30" i="100"/>
  <c r="AC28" i="100"/>
  <c r="AC29" i="100"/>
  <c r="AK28" i="100"/>
  <c r="AK27" i="100"/>
  <c r="AB31" i="100"/>
  <c r="AB34" i="100"/>
  <c r="AJ31" i="100"/>
  <c r="AJ32" i="100"/>
  <c r="AF34" i="100"/>
  <c r="AD35" i="100"/>
  <c r="AD36" i="100"/>
  <c r="AD38" i="100"/>
  <c r="AL35" i="100"/>
  <c r="AL38" i="100"/>
  <c r="AL36" i="100"/>
  <c r="AB39" i="100"/>
  <c r="AB42" i="100"/>
  <c r="AJ39" i="100"/>
  <c r="AJ40" i="100"/>
  <c r="AF42" i="100"/>
  <c r="AD43" i="100"/>
  <c r="AD44" i="100"/>
  <c r="AD46" i="100"/>
  <c r="AL43" i="100"/>
  <c r="AL46" i="100"/>
  <c r="AL44" i="100"/>
  <c r="AA44" i="100"/>
  <c r="AA45" i="100"/>
  <c r="AA43" i="100"/>
  <c r="AI44" i="100"/>
  <c r="AI45" i="100"/>
  <c r="AI43" i="100"/>
  <c r="AF44" i="100"/>
  <c r="Z47" i="100"/>
  <c r="Z50" i="100"/>
  <c r="Z48" i="100"/>
  <c r="AH47" i="100"/>
  <c r="AH50" i="100"/>
  <c r="AH48" i="100"/>
  <c r="AK49" i="100"/>
  <c r="Y52" i="100"/>
  <c r="Y51" i="100"/>
  <c r="Y53" i="100"/>
  <c r="AG52" i="100"/>
  <c r="AG53" i="100"/>
  <c r="AG51" i="100"/>
  <c r="AD53" i="100"/>
  <c r="AF63" i="100"/>
  <c r="AF66" i="100"/>
  <c r="AF64" i="100"/>
  <c r="AN63" i="100"/>
  <c r="AN66" i="100"/>
  <c r="AN64" i="100"/>
  <c r="AF71" i="100"/>
  <c r="AF74" i="100"/>
  <c r="AF72" i="100"/>
  <c r="AN71" i="100"/>
  <c r="AN74" i="100"/>
  <c r="AC71" i="100"/>
  <c r="AA76" i="100"/>
  <c r="AA75" i="100"/>
  <c r="AI76" i="100"/>
  <c r="AI78" i="100"/>
  <c r="AA80" i="100"/>
  <c r="AA81" i="100"/>
  <c r="AA79" i="100"/>
  <c r="AI80" i="100"/>
  <c r="AI81" i="100"/>
  <c r="AF126" i="100"/>
  <c r="AK155" i="100"/>
  <c r="AK152" i="100"/>
  <c r="AN165" i="100"/>
  <c r="AN168" i="100"/>
  <c r="Y258" i="100"/>
  <c r="Y259" i="100"/>
  <c r="Y257" i="100"/>
  <c r="AG258" i="100"/>
  <c r="AG259" i="100"/>
  <c r="AG37" i="111"/>
  <c r="AI37" i="111"/>
  <c r="AA37" i="111"/>
  <c r="Y37" i="111"/>
  <c r="AK37" i="111"/>
  <c r="AE37" i="111"/>
  <c r="AC37" i="111"/>
  <c r="AD137" i="100"/>
  <c r="AD138" i="100"/>
  <c r="AH138" i="100"/>
  <c r="AH139" i="100"/>
  <c r="AH137" i="100"/>
  <c r="AH136" i="100"/>
  <c r="AL139" i="100"/>
  <c r="AL138" i="100"/>
  <c r="AB139" i="100"/>
  <c r="AB138" i="100"/>
  <c r="AF139" i="100"/>
  <c r="AF137" i="100"/>
  <c r="AJ139" i="100"/>
  <c r="AJ136" i="100"/>
  <c r="AF153" i="100"/>
  <c r="AF154" i="100"/>
  <c r="Y155" i="100"/>
  <c r="Y154" i="100"/>
  <c r="AG155" i="100"/>
  <c r="AG153" i="100"/>
  <c r="Z168" i="100"/>
  <c r="Z171" i="100"/>
  <c r="AD171" i="100"/>
  <c r="AD168" i="100"/>
  <c r="AD169" i="100"/>
  <c r="AH171" i="100"/>
  <c r="AH169" i="100"/>
  <c r="AH168" i="100"/>
  <c r="AL171" i="100"/>
  <c r="AL168" i="100"/>
  <c r="Z170" i="100"/>
  <c r="AD170" i="100"/>
  <c r="AL170" i="100"/>
  <c r="AB182" i="100"/>
  <c r="AB180" i="100"/>
  <c r="AB181" i="100"/>
  <c r="AN180" i="100"/>
  <c r="AN182" i="100"/>
  <c r="AJ183" i="100"/>
  <c r="AB185" i="100"/>
  <c r="AB184" i="100"/>
  <c r="AF185" i="100"/>
  <c r="AF184" i="100"/>
  <c r="AJ185" i="100"/>
  <c r="AJ184" i="100"/>
  <c r="AN185" i="100"/>
  <c r="AN184" i="100"/>
  <c r="AB193" i="100"/>
  <c r="AB192" i="100"/>
  <c r="AF193" i="100"/>
  <c r="AF192" i="100"/>
  <c r="AJ193" i="100"/>
  <c r="AJ192" i="100"/>
  <c r="AN193" i="100"/>
  <c r="AN195" i="100"/>
  <c r="AN192" i="100"/>
  <c r="AK215" i="100"/>
  <c r="AK214" i="100"/>
  <c r="AK261" i="100"/>
  <c r="AK262" i="100"/>
  <c r="AL271" i="100"/>
  <c r="AL272" i="100"/>
  <c r="AE281" i="100"/>
  <c r="AE283" i="100"/>
  <c r="AE282" i="100"/>
  <c r="AM281" i="100"/>
  <c r="AM282" i="100"/>
  <c r="AM283" i="100"/>
  <c r="AM284" i="100"/>
  <c r="AM294" i="100"/>
  <c r="AM293" i="100"/>
  <c r="Z13" i="111"/>
  <c r="AH13" i="111"/>
  <c r="Q41" i="110"/>
  <c r="I41" i="110"/>
  <c r="Q40" i="110"/>
  <c r="I40" i="110"/>
  <c r="Q39" i="110"/>
  <c r="I39" i="110"/>
  <c r="Q38" i="110"/>
  <c r="I38" i="110"/>
  <c r="M41" i="110"/>
  <c r="D41" i="110"/>
  <c r="R40" i="110"/>
  <c r="H40" i="110"/>
  <c r="M39" i="110"/>
  <c r="D39" i="110"/>
  <c r="R38" i="110"/>
  <c r="H38" i="110"/>
  <c r="J41" i="110"/>
  <c r="K40" i="110"/>
  <c r="K39" i="110"/>
  <c r="L38" i="110"/>
  <c r="L41" i="110"/>
  <c r="G40" i="110"/>
  <c r="P39" i="110"/>
  <c r="E39" i="110"/>
  <c r="M38" i="110"/>
  <c r="G41" i="110"/>
  <c r="M40" i="110"/>
  <c r="R39" i="110"/>
  <c r="C39" i="110"/>
  <c r="G38" i="110"/>
  <c r="P36" i="110"/>
  <c r="P41" i="110"/>
  <c r="P40" i="110"/>
  <c r="C40" i="110"/>
  <c r="D38" i="110"/>
  <c r="H41" i="110"/>
  <c r="J40" i="110"/>
  <c r="J39" i="110"/>
  <c r="K38" i="110"/>
  <c r="F41" i="110"/>
  <c r="H39" i="110"/>
  <c r="R41" i="110"/>
  <c r="F40" i="110"/>
  <c r="J38" i="110"/>
  <c r="D40" i="110"/>
  <c r="G39" i="110"/>
  <c r="N38" i="110"/>
  <c r="N41" i="110"/>
  <c r="O40" i="110"/>
  <c r="O39" i="110"/>
  <c r="O38" i="110"/>
  <c r="N40" i="110"/>
  <c r="L39" i="110"/>
  <c r="E38" i="110"/>
  <c r="K41" i="110"/>
  <c r="E40" i="110"/>
  <c r="F38" i="110"/>
  <c r="O41" i="110"/>
  <c r="C41" i="110"/>
  <c r="F39" i="110"/>
  <c r="E41" i="110"/>
  <c r="P38" i="110"/>
  <c r="L40" i="110"/>
  <c r="N39" i="110"/>
  <c r="H30" i="114"/>
  <c r="AH13" i="100"/>
  <c r="AE16" i="100"/>
  <c r="AE17" i="100"/>
  <c r="AF23" i="100"/>
  <c r="AA24" i="100"/>
  <c r="AA25" i="100"/>
  <c r="AI24" i="100"/>
  <c r="AI25" i="100"/>
  <c r="AI23" i="100"/>
  <c r="AD25" i="100"/>
  <c r="AD26" i="100"/>
  <c r="AL25" i="100"/>
  <c r="AL26" i="100"/>
  <c r="Y26" i="100"/>
  <c r="AG26" i="100"/>
  <c r="AB27" i="100"/>
  <c r="AJ27" i="100"/>
  <c r="AE28" i="100"/>
  <c r="AE27" i="100"/>
  <c r="AE29" i="100"/>
  <c r="AM28" i="100"/>
  <c r="AM29" i="100"/>
  <c r="AM27" i="100"/>
  <c r="Z29" i="100"/>
  <c r="AH29" i="100"/>
  <c r="AC30" i="100"/>
  <c r="AK30" i="100"/>
  <c r="AF31" i="100"/>
  <c r="AN31" i="100"/>
  <c r="AA32" i="100"/>
  <c r="AA33" i="100"/>
  <c r="AA31" i="100"/>
  <c r="AI32" i="100"/>
  <c r="AI33" i="100"/>
  <c r="AI31" i="100"/>
  <c r="AF32" i="100"/>
  <c r="AD33" i="100"/>
  <c r="AL33" i="100"/>
  <c r="Y34" i="100"/>
  <c r="AG34" i="100"/>
  <c r="AB35" i="100"/>
  <c r="AJ35" i="100"/>
  <c r="AE36" i="100"/>
  <c r="AE35" i="100"/>
  <c r="AE37" i="100"/>
  <c r="AM36" i="100"/>
  <c r="AM37" i="100"/>
  <c r="AM35" i="100"/>
  <c r="Z37" i="100"/>
  <c r="AH37" i="100"/>
  <c r="AC38" i="100"/>
  <c r="AK38" i="100"/>
  <c r="AF39" i="100"/>
  <c r="AN39" i="100"/>
  <c r="AA40" i="100"/>
  <c r="AA41" i="100"/>
  <c r="AA39" i="100"/>
  <c r="AI40" i="100"/>
  <c r="AI41" i="100"/>
  <c r="AI39" i="100"/>
  <c r="AF40" i="100"/>
  <c r="AD41" i="100"/>
  <c r="AL41" i="100"/>
  <c r="Y42" i="100"/>
  <c r="AG42" i="100"/>
  <c r="AB43" i="100"/>
  <c r="AJ43" i="100"/>
  <c r="AE44" i="100"/>
  <c r="AE43" i="100"/>
  <c r="AE45" i="100"/>
  <c r="AM44" i="100"/>
  <c r="AM45" i="100"/>
  <c r="AM43" i="100"/>
  <c r="Z45" i="100"/>
  <c r="AH45" i="100"/>
  <c r="AC46" i="100"/>
  <c r="AK46" i="100"/>
  <c r="AF47" i="100"/>
  <c r="AN47" i="100"/>
  <c r="AA48" i="100"/>
  <c r="AA49" i="100"/>
  <c r="AA47" i="100"/>
  <c r="AI48" i="100"/>
  <c r="AI49" i="100"/>
  <c r="AI47" i="100"/>
  <c r="AF48" i="100"/>
  <c r="AD49" i="100"/>
  <c r="AL49" i="100"/>
  <c r="Y50" i="100"/>
  <c r="AG50" i="100"/>
  <c r="AB51" i="100"/>
  <c r="AJ51" i="100"/>
  <c r="AE52" i="100"/>
  <c r="AE51" i="100"/>
  <c r="AE53" i="100"/>
  <c r="AM52" i="100"/>
  <c r="AM53" i="100"/>
  <c r="AM51" i="100"/>
  <c r="Z53" i="100"/>
  <c r="AH53" i="100"/>
  <c r="Z55" i="100"/>
  <c r="Z56" i="100"/>
  <c r="AH55" i="100"/>
  <c r="AH56" i="100"/>
  <c r="AA59" i="100"/>
  <c r="AC60" i="100"/>
  <c r="AC59" i="100"/>
  <c r="AK60" i="100"/>
  <c r="AA62" i="100"/>
  <c r="AI62" i="100"/>
  <c r="AL66" i="100"/>
  <c r="AL63" i="100"/>
  <c r="AL64" i="100"/>
  <c r="AA64" i="100"/>
  <c r="AA65" i="100"/>
  <c r="AA63" i="100"/>
  <c r="AI64" i="100"/>
  <c r="AI65" i="100"/>
  <c r="AF65" i="100"/>
  <c r="AN65" i="100"/>
  <c r="Z70" i="100"/>
  <c r="Z67" i="100"/>
  <c r="Z68" i="100"/>
  <c r="Z69" i="100"/>
  <c r="AH67" i="100"/>
  <c r="AH69" i="100"/>
  <c r="AE70" i="100"/>
  <c r="AM70" i="100"/>
  <c r="Y72" i="100"/>
  <c r="AG72" i="100"/>
  <c r="AG71" i="100"/>
  <c r="AG73" i="100"/>
  <c r="AA74" i="100"/>
  <c r="AC78" i="100"/>
  <c r="AK78" i="100"/>
  <c r="Z79" i="100"/>
  <c r="Z82" i="100"/>
  <c r="Z80" i="100"/>
  <c r="AH79" i="100"/>
  <c r="AH82" i="100"/>
  <c r="AH80" i="100"/>
  <c r="AE80" i="100"/>
  <c r="AE79" i="100"/>
  <c r="AM80" i="100"/>
  <c r="AM79" i="100"/>
  <c r="AM81" i="100"/>
  <c r="Y82" i="100"/>
  <c r="AG82" i="100"/>
  <c r="AD83" i="100"/>
  <c r="AD84" i="100"/>
  <c r="AD86" i="100"/>
  <c r="AL83" i="100"/>
  <c r="AL86" i="100"/>
  <c r="AA86" i="100"/>
  <c r="AF87" i="100"/>
  <c r="AF90" i="100"/>
  <c r="AF88" i="100"/>
  <c r="AN87" i="100"/>
  <c r="AN90" i="100"/>
  <c r="AC87" i="100"/>
  <c r="Z89" i="100"/>
  <c r="AH89" i="100"/>
  <c r="AB91" i="100"/>
  <c r="AB93" i="100"/>
  <c r="AC93" i="100"/>
  <c r="AK93" i="100"/>
  <c r="AN98" i="100"/>
  <c r="AN95" i="100"/>
  <c r="AE98" i="100"/>
  <c r="AE96" i="100"/>
  <c r="AM95" i="100"/>
  <c r="AM98" i="100"/>
  <c r="AH124" i="100"/>
  <c r="AC137" i="100"/>
  <c r="Z169" i="100"/>
  <c r="Y208" i="100"/>
  <c r="Y206" i="100"/>
  <c r="Y205" i="100"/>
  <c r="AG205" i="100"/>
  <c r="AG208" i="100"/>
  <c r="AK232" i="100"/>
  <c r="AK231" i="100"/>
  <c r="AA242" i="100"/>
  <c r="AA241" i="100"/>
  <c r="F246" i="100"/>
  <c r="AA246" i="100" s="1"/>
  <c r="Y248" i="100"/>
  <c r="Y245" i="100"/>
  <c r="N246" i="100"/>
  <c r="N247" i="100"/>
  <c r="AA257" i="100"/>
  <c r="AA259" i="100"/>
  <c r="AI257" i="100"/>
  <c r="AA262" i="100"/>
  <c r="AA263" i="100"/>
  <c r="AI263" i="100"/>
  <c r="AI262" i="100"/>
  <c r="AI268" i="100"/>
  <c r="AI266" i="100"/>
  <c r="AI295" i="100"/>
  <c r="AI294" i="100"/>
  <c r="AA295" i="100"/>
  <c r="AE75" i="111"/>
  <c r="AG75" i="111"/>
  <c r="AC75" i="111"/>
  <c r="W75" i="111"/>
  <c r="AK75" i="111"/>
  <c r="AF75" i="111"/>
  <c r="AB75" i="111"/>
  <c r="AB19" i="100"/>
  <c r="AJ22" i="100"/>
  <c r="Y23" i="100"/>
  <c r="AK35" i="100"/>
  <c r="AC37" i="100"/>
  <c r="AE56" i="100"/>
  <c r="AE57" i="100"/>
  <c r="AE55" i="100"/>
  <c r="AM56" i="100"/>
  <c r="AM55" i="100"/>
  <c r="AM57" i="100"/>
  <c r="AE58" i="100"/>
  <c r="AM58" i="100"/>
  <c r="AE68" i="100"/>
  <c r="AE67" i="100"/>
  <c r="AM68" i="100"/>
  <c r="AM69" i="100"/>
  <c r="AK76" i="100"/>
  <c r="AK75" i="100"/>
  <c r="AA84" i="100"/>
  <c r="AA83" i="100"/>
  <c r="Y100" i="100"/>
  <c r="Y101" i="100"/>
  <c r="Y99" i="100"/>
  <c r="AG99" i="100"/>
  <c r="AG101" i="100"/>
  <c r="AG100" i="100"/>
  <c r="AG102" i="100"/>
  <c r="AI101" i="100"/>
  <c r="AD121" i="100"/>
  <c r="AA155" i="100"/>
  <c r="AA152" i="100"/>
  <c r="AI155" i="100"/>
  <c r="AI152" i="100"/>
  <c r="AN194" i="100"/>
  <c r="AN246" i="100"/>
  <c r="AN245" i="100"/>
  <c r="AE262" i="100"/>
  <c r="AE261" i="100"/>
  <c r="AD266" i="100"/>
  <c r="AD265" i="100"/>
  <c r="AD268" i="100"/>
  <c r="AD267" i="100"/>
  <c r="AL266" i="100"/>
  <c r="AL268" i="100"/>
  <c r="AL265" i="100"/>
  <c r="Z274" i="100"/>
  <c r="Z273" i="100"/>
  <c r="W47" i="111"/>
  <c r="AH47" i="111"/>
  <c r="AE47" i="111"/>
  <c r="AA47" i="111"/>
  <c r="AF47" i="111"/>
  <c r="AJ47" i="111"/>
  <c r="AC47" i="111"/>
  <c r="AF69" i="107"/>
  <c r="X69" i="107"/>
  <c r="AF68" i="107"/>
  <c r="X68" i="107"/>
  <c r="AF67" i="107"/>
  <c r="X67" i="107"/>
  <c r="AF66" i="107"/>
  <c r="X66" i="107"/>
  <c r="AE69" i="107"/>
  <c r="V69" i="107"/>
  <c r="AJ68" i="107"/>
  <c r="AA68" i="107"/>
  <c r="AE67" i="107"/>
  <c r="V67" i="107"/>
  <c r="AJ66" i="107"/>
  <c r="AA66" i="107"/>
  <c r="AB69" i="107"/>
  <c r="AC68" i="107"/>
  <c r="AC67" i="107"/>
  <c r="AD66" i="107"/>
  <c r="AH69" i="107"/>
  <c r="W69" i="107"/>
  <c r="AH68" i="107"/>
  <c r="W68" i="107"/>
  <c r="AI67" i="107"/>
  <c r="AI69" i="107"/>
  <c r="Y68" i="107"/>
  <c r="AB67" i="107"/>
  <c r="Y66" i="107"/>
  <c r="AA69" i="107"/>
  <c r="AE68" i="107"/>
  <c r="AJ67" i="107"/>
  <c r="W67" i="107"/>
  <c r="AE66" i="107"/>
  <c r="Y69" i="107"/>
  <c r="AG67" i="107"/>
  <c r="AG66" i="107"/>
  <c r="AG69" i="107"/>
  <c r="AB68" i="107"/>
  <c r="Y67" i="107"/>
  <c r="W66" i="107"/>
  <c r="AJ69" i="107"/>
  <c r="U68" i="107"/>
  <c r="AD67" i="107"/>
  <c r="V66" i="107"/>
  <c r="AH64" i="107"/>
  <c r="AC69" i="107"/>
  <c r="Z67" i="107"/>
  <c r="U69" i="107"/>
  <c r="AG68" i="107"/>
  <c r="AH66" i="107"/>
  <c r="U67" i="107"/>
  <c r="AI66" i="107"/>
  <c r="AB66" i="107"/>
  <c r="AD69" i="107"/>
  <c r="AI68" i="107"/>
  <c r="U66" i="107"/>
  <c r="Z69" i="107"/>
  <c r="Z68" i="107"/>
  <c r="AH67" i="107"/>
  <c r="Z66" i="107"/>
  <c r="AD68" i="107"/>
  <c r="AA67" i="107"/>
  <c r="AC66" i="107"/>
  <c r="C38" i="110"/>
  <c r="AB11" i="100"/>
  <c r="AJ14" i="100"/>
  <c r="AI12" i="100"/>
  <c r="Y15" i="100"/>
  <c r="Y17" i="100"/>
  <c r="AL18" i="100"/>
  <c r="AJ28" i="100"/>
  <c r="AB30" i="100"/>
  <c r="AJ36" i="100"/>
  <c r="AB38" i="100"/>
  <c r="AJ44" i="100"/>
  <c r="AB46" i="100"/>
  <c r="AJ52" i="100"/>
  <c r="AA54" i="100"/>
  <c r="AI54" i="100"/>
  <c r="AJ54" i="100"/>
  <c r="AH58" i="100"/>
  <c r="AM59" i="100"/>
  <c r="AK63" i="100"/>
  <c r="AA68" i="100"/>
  <c r="AA67" i="100"/>
  <c r="AH68" i="100"/>
  <c r="AE84" i="100"/>
  <c r="AE83" i="100"/>
  <c r="AM84" i="100"/>
  <c r="AM85" i="100"/>
  <c r="AD88" i="100"/>
  <c r="AK92" i="100"/>
  <c r="AK91" i="100"/>
  <c r="AD117" i="100"/>
  <c r="AH135" i="100"/>
  <c r="AE139" i="100"/>
  <c r="AI139" i="100"/>
  <c r="AM139" i="100"/>
  <c r="Y152" i="100"/>
  <c r="AN239" i="100"/>
  <c r="AN237" i="100"/>
  <c r="AM259" i="100"/>
  <c r="AM258" i="100"/>
  <c r="AE260" i="100"/>
  <c r="AC267" i="100"/>
  <c r="AC266" i="100"/>
  <c r="AC268" i="100"/>
  <c r="AK267" i="100"/>
  <c r="AK266" i="100"/>
  <c r="AK265" i="100"/>
  <c r="AB271" i="100"/>
  <c r="AB269" i="100"/>
  <c r="AJ270" i="100"/>
  <c r="AJ269" i="100"/>
  <c r="AJ272" i="100"/>
  <c r="AD275" i="100"/>
  <c r="AD276" i="100"/>
  <c r="AD273" i="100"/>
  <c r="AL273" i="100"/>
  <c r="AL276" i="100"/>
  <c r="AL275" i="100"/>
  <c r="AC279" i="100"/>
  <c r="AA290" i="100"/>
  <c r="AA291" i="100"/>
  <c r="AI289" i="100"/>
  <c r="AI290" i="100"/>
  <c r="X13" i="111"/>
  <c r="V68" i="107"/>
  <c r="AI30" i="100"/>
  <c r="AD31" i="100"/>
  <c r="AD34" i="100"/>
  <c r="AD32" i="100"/>
  <c r="AL31" i="100"/>
  <c r="AL32" i="100"/>
  <c r="AL34" i="100"/>
  <c r="AB33" i="100"/>
  <c r="AJ33" i="100"/>
  <c r="AG33" i="100"/>
  <c r="AE34" i="100"/>
  <c r="AM34" i="100"/>
  <c r="Z35" i="100"/>
  <c r="Z38" i="100"/>
  <c r="Z36" i="100"/>
  <c r="AH35" i="100"/>
  <c r="AH38" i="100"/>
  <c r="AH36" i="100"/>
  <c r="AF37" i="100"/>
  <c r="AN37" i="100"/>
  <c r="AA38" i="100"/>
  <c r="AI38" i="100"/>
  <c r="AD39" i="100"/>
  <c r="AD42" i="100"/>
  <c r="AD40" i="100"/>
  <c r="AL39" i="100"/>
  <c r="AL40" i="100"/>
  <c r="AL42" i="100"/>
  <c r="AB41" i="100"/>
  <c r="AJ41" i="100"/>
  <c r="AG41" i="100"/>
  <c r="AE42" i="100"/>
  <c r="AM42" i="100"/>
  <c r="Z43" i="100"/>
  <c r="Z46" i="100"/>
  <c r="Z44" i="100"/>
  <c r="AH43" i="100"/>
  <c r="AH46" i="100"/>
  <c r="AH44" i="100"/>
  <c r="AF45" i="100"/>
  <c r="AN45" i="100"/>
  <c r="AA46" i="100"/>
  <c r="AI46" i="100"/>
  <c r="AD47" i="100"/>
  <c r="AD50" i="100"/>
  <c r="AD48" i="100"/>
  <c r="AL47" i="100"/>
  <c r="AL48" i="100"/>
  <c r="AL50" i="100"/>
  <c r="AB49" i="100"/>
  <c r="AJ49" i="100"/>
  <c r="AG49" i="100"/>
  <c r="AE50" i="100"/>
  <c r="AM50" i="100"/>
  <c r="Z51" i="100"/>
  <c r="Z54" i="100"/>
  <c r="Z52" i="100"/>
  <c r="AH51" i="100"/>
  <c r="AH54" i="100"/>
  <c r="AH52" i="100"/>
  <c r="AF53" i="100"/>
  <c r="AN53" i="100"/>
  <c r="AN55" i="100"/>
  <c r="AN58" i="100"/>
  <c r="AN56" i="100"/>
  <c r="AF57" i="100"/>
  <c r="AN57" i="100"/>
  <c r="Y64" i="100"/>
  <c r="AG64" i="100"/>
  <c r="AG63" i="100"/>
  <c r="AG65" i="100"/>
  <c r="AC70" i="100"/>
  <c r="AK70" i="100"/>
  <c r="Z71" i="100"/>
  <c r="Z74" i="100"/>
  <c r="Z72" i="100"/>
  <c r="AH71" i="100"/>
  <c r="AH74" i="100"/>
  <c r="AH72" i="100"/>
  <c r="AE72" i="100"/>
  <c r="AE71" i="100"/>
  <c r="AM72" i="100"/>
  <c r="AM71" i="100"/>
  <c r="AM73" i="100"/>
  <c r="AD75" i="100"/>
  <c r="AD76" i="100"/>
  <c r="AD78" i="100"/>
  <c r="AL75" i="100"/>
  <c r="AL78" i="100"/>
  <c r="AA78" i="100"/>
  <c r="AF79" i="100"/>
  <c r="AF82" i="100"/>
  <c r="AF80" i="100"/>
  <c r="AN79" i="100"/>
  <c r="AN82" i="100"/>
  <c r="AC79" i="100"/>
  <c r="AB83" i="100"/>
  <c r="AB85" i="100"/>
  <c r="AJ86" i="100"/>
  <c r="AJ83" i="100"/>
  <c r="AJ84" i="100"/>
  <c r="AI83" i="100"/>
  <c r="AL90" i="100"/>
  <c r="AL87" i="100"/>
  <c r="AL88" i="100"/>
  <c r="AA88" i="100"/>
  <c r="AA89" i="100"/>
  <c r="AA87" i="100"/>
  <c r="AI88" i="100"/>
  <c r="AI89" i="100"/>
  <c r="AH93" i="100"/>
  <c r="AH91" i="100"/>
  <c r="AH94" i="100"/>
  <c r="AG94" i="100"/>
  <c r="AC98" i="100"/>
  <c r="AA99" i="100"/>
  <c r="AA101" i="100"/>
  <c r="AI99" i="100"/>
  <c r="AI102" i="100"/>
  <c r="Z111" i="100"/>
  <c r="Z115" i="100"/>
  <c r="Z126" i="100"/>
  <c r="AH111" i="100"/>
  <c r="AH120" i="100"/>
  <c r="AH112" i="100"/>
  <c r="AF116" i="100"/>
  <c r="AN116" i="100"/>
  <c r="Z120" i="100"/>
  <c r="AB134" i="100"/>
  <c r="AB132" i="100"/>
  <c r="AF134" i="100"/>
  <c r="AF132" i="100"/>
  <c r="AJ134" i="100"/>
  <c r="AN134" i="100"/>
  <c r="AN133" i="100"/>
  <c r="AF135" i="100"/>
  <c r="AF152" i="100"/>
  <c r="Z160" i="100"/>
  <c r="Z163" i="100"/>
  <c r="Z161" i="100"/>
  <c r="AD161" i="100"/>
  <c r="AD160" i="100"/>
  <c r="AD163" i="100"/>
  <c r="AH160" i="100"/>
  <c r="AH163" i="100"/>
  <c r="AL163" i="100"/>
  <c r="AL160" i="100"/>
  <c r="AL215" i="100"/>
  <c r="AL216" i="100"/>
  <c r="AL213" i="100"/>
  <c r="AM224" i="100"/>
  <c r="AM223" i="100"/>
  <c r="L246" i="100"/>
  <c r="L247" i="100"/>
  <c r="AG247" i="100" s="1"/>
  <c r="AA247" i="100"/>
  <c r="AC264" i="100"/>
  <c r="Z9" i="111"/>
  <c r="AH9" i="111"/>
  <c r="AF16" i="111"/>
  <c r="W16" i="111"/>
  <c r="AJ16" i="111"/>
  <c r="Z16" i="111"/>
  <c r="AK16" i="111"/>
  <c r="AH16" i="111"/>
  <c r="AB16" i="111"/>
  <c r="Z37" i="111"/>
  <c r="AH37" i="111"/>
  <c r="D90" i="98"/>
  <c r="AC12" i="100"/>
  <c r="AK12" i="100"/>
  <c r="Y16" i="100"/>
  <c r="AG16" i="100"/>
  <c r="AB18" i="100"/>
  <c r="AC20" i="100"/>
  <c r="AK20" i="100"/>
  <c r="AB23" i="100"/>
  <c r="AJ23" i="100"/>
  <c r="AF58" i="100"/>
  <c r="AF60" i="100"/>
  <c r="AF59" i="100"/>
  <c r="AN59" i="100"/>
  <c r="AN60" i="100"/>
  <c r="AN61" i="100"/>
  <c r="AG61" i="100"/>
  <c r="AG69" i="100"/>
  <c r="AG77" i="100"/>
  <c r="AG85" i="100"/>
  <c r="AJ94" i="100"/>
  <c r="AF94" i="100"/>
  <c r="AG95" i="100"/>
  <c r="AD96" i="100"/>
  <c r="AC102" i="100"/>
  <c r="AK102" i="100"/>
  <c r="AA108" i="100"/>
  <c r="AA120" i="100"/>
  <c r="AA124" i="100"/>
  <c r="AA112" i="100"/>
  <c r="AA115" i="100"/>
  <c r="AE115" i="100"/>
  <c r="AE111" i="100"/>
  <c r="AE108" i="100"/>
  <c r="AE125" i="100"/>
  <c r="AE113" i="100"/>
  <c r="AE109" i="100"/>
  <c r="AE124" i="100"/>
  <c r="AE116" i="100"/>
  <c r="AI108" i="100"/>
  <c r="AI109" i="100"/>
  <c r="AI115" i="100"/>
  <c r="AI126" i="100"/>
  <c r="AI124" i="100"/>
  <c r="AI120" i="100"/>
  <c r="AI116" i="100"/>
  <c r="AM114" i="100"/>
  <c r="AM126" i="100"/>
  <c r="AM120" i="100"/>
  <c r="AM116" i="100"/>
  <c r="AM125" i="100"/>
  <c r="AM122" i="100"/>
  <c r="AB109" i="100"/>
  <c r="AN109" i="100"/>
  <c r="AI111" i="100"/>
  <c r="AA111" i="100"/>
  <c r="AG113" i="100"/>
  <c r="AM115" i="100"/>
  <c r="Z117" i="100"/>
  <c r="AH117" i="100"/>
  <c r="AL117" i="100"/>
  <c r="AG119" i="100"/>
  <c r="AD120" i="100"/>
  <c r="AL120" i="100"/>
  <c r="AE120" i="100"/>
  <c r="Y122" i="100"/>
  <c r="AC122" i="100"/>
  <c r="AG122" i="100"/>
  <c r="AK122" i="100"/>
  <c r="AB124" i="100"/>
  <c r="AF124" i="100"/>
  <c r="AN124" i="100"/>
  <c r="AA128" i="100"/>
  <c r="AE131" i="100"/>
  <c r="AE128" i="100"/>
  <c r="AI128" i="100"/>
  <c r="AM131" i="100"/>
  <c r="AM128" i="100"/>
  <c r="AK129" i="100"/>
  <c r="Y131" i="100"/>
  <c r="AG131" i="100"/>
  <c r="AB145" i="100"/>
  <c r="AB144" i="100"/>
  <c r="AF145" i="100"/>
  <c r="AF144" i="100"/>
  <c r="AJ145" i="100"/>
  <c r="AJ144" i="100"/>
  <c r="AG148" i="100"/>
  <c r="AG151" i="100"/>
  <c r="AG149" i="100"/>
  <c r="AD199" i="100"/>
  <c r="AD197" i="100"/>
  <c r="AL197" i="100"/>
  <c r="AL196" i="100"/>
  <c r="AF197" i="100"/>
  <c r="Z199" i="100"/>
  <c r="AE207" i="100"/>
  <c r="AE208" i="100"/>
  <c r="AK208" i="100"/>
  <c r="AK207" i="100"/>
  <c r="AK206" i="100"/>
  <c r="AH220" i="100"/>
  <c r="AC228" i="100"/>
  <c r="AK225" i="100"/>
  <c r="AA231" i="100"/>
  <c r="AI230" i="100"/>
  <c r="AI231" i="100"/>
  <c r="AE231" i="100"/>
  <c r="AN253" i="100"/>
  <c r="AN254" i="100"/>
  <c r="AF270" i="100"/>
  <c r="AN269" i="100"/>
  <c r="AE278" i="100"/>
  <c r="AM278" i="100"/>
  <c r="AM277" i="100"/>
  <c r="AB281" i="100"/>
  <c r="AD282" i="100"/>
  <c r="AD281" i="100"/>
  <c r="AF283" i="100"/>
  <c r="AF282" i="100"/>
  <c r="AF281" i="100"/>
  <c r="AN281" i="100"/>
  <c r="AN283" i="100"/>
  <c r="AN284" i="100"/>
  <c r="AN285" i="100"/>
  <c r="AN286" i="100"/>
  <c r="W11" i="111"/>
  <c r="X11" i="111"/>
  <c r="AA11" i="111"/>
  <c r="AK11" i="111"/>
  <c r="AF11" i="111"/>
  <c r="Z25" i="111"/>
  <c r="AH25" i="111"/>
  <c r="AH46" i="111"/>
  <c r="AH53" i="111"/>
  <c r="Z105" i="111"/>
  <c r="N20" i="102"/>
  <c r="AL53" i="100"/>
  <c r="AC54" i="100"/>
  <c r="AK54" i="100"/>
  <c r="AB55" i="100"/>
  <c r="AJ55" i="100"/>
  <c r="AA56" i="100"/>
  <c r="AI56" i="100"/>
  <c r="AB56" i="100"/>
  <c r="Z57" i="100"/>
  <c r="AH57" i="100"/>
  <c r="Y58" i="100"/>
  <c r="AG58" i="100"/>
  <c r="Y60" i="100"/>
  <c r="Y61" i="100"/>
  <c r="AG59" i="100"/>
  <c r="AG60" i="100"/>
  <c r="AB63" i="100"/>
  <c r="AB64" i="100"/>
  <c r="AJ63" i="100"/>
  <c r="AJ64" i="100"/>
  <c r="AC64" i="100"/>
  <c r="AK64" i="100"/>
  <c r="AK65" i="100"/>
  <c r="AD65" i="100"/>
  <c r="AL65" i="100"/>
  <c r="AE66" i="100"/>
  <c r="AM66" i="100"/>
  <c r="AF67" i="100"/>
  <c r="AF68" i="100"/>
  <c r="AN67" i="100"/>
  <c r="AN68" i="100"/>
  <c r="Y68" i="100"/>
  <c r="Y69" i="100"/>
  <c r="AG68" i="100"/>
  <c r="AB71" i="100"/>
  <c r="AB72" i="100"/>
  <c r="AJ71" i="100"/>
  <c r="AJ74" i="100"/>
  <c r="AJ72" i="100"/>
  <c r="AC72" i="100"/>
  <c r="AK72" i="100"/>
  <c r="AK73" i="100"/>
  <c r="AD73" i="100"/>
  <c r="AL73" i="100"/>
  <c r="AE74" i="100"/>
  <c r="AM74" i="100"/>
  <c r="AF75" i="100"/>
  <c r="AF76" i="100"/>
  <c r="AN75" i="100"/>
  <c r="AN76" i="100"/>
  <c r="AN77" i="100"/>
  <c r="Y76" i="100"/>
  <c r="Y77" i="100"/>
  <c r="AG76" i="100"/>
  <c r="AB79" i="100"/>
  <c r="AB80" i="100"/>
  <c r="AJ79" i="100"/>
  <c r="AJ80" i="100"/>
  <c r="AC80" i="100"/>
  <c r="AK80" i="100"/>
  <c r="AK81" i="100"/>
  <c r="AD81" i="100"/>
  <c r="AL81" i="100"/>
  <c r="AE82" i="100"/>
  <c r="AM82" i="100"/>
  <c r="AF83" i="100"/>
  <c r="AF84" i="100"/>
  <c r="AN83" i="100"/>
  <c r="AN84" i="100"/>
  <c r="Y85" i="100"/>
  <c r="Y84" i="100"/>
  <c r="AG84" i="100"/>
  <c r="AB87" i="100"/>
  <c r="AB88" i="100"/>
  <c r="AJ87" i="100"/>
  <c r="AJ88" i="100"/>
  <c r="AJ90" i="100"/>
  <c r="AC88" i="100"/>
  <c r="AK88" i="100"/>
  <c r="AK89" i="100"/>
  <c r="AD89" i="100"/>
  <c r="AL89" i="100"/>
  <c r="AE90" i="100"/>
  <c r="AM90" i="100"/>
  <c r="AN91" i="100"/>
  <c r="AN92" i="100"/>
  <c r="Y92" i="100"/>
  <c r="AG92" i="100"/>
  <c r="AL95" i="100"/>
  <c r="AL96" i="100"/>
  <c r="AL98" i="100"/>
  <c r="Y97" i="100"/>
  <c r="AI98" i="100"/>
  <c r="AI95" i="100"/>
  <c r="AD98" i="100"/>
  <c r="AK100" i="100"/>
  <c r="AK101" i="100"/>
  <c r="AB114" i="100"/>
  <c r="AF114" i="100"/>
  <c r="AJ114" i="100"/>
  <c r="AN114" i="100"/>
  <c r="Z119" i="100"/>
  <c r="AH119" i="100"/>
  <c r="AF121" i="100"/>
  <c r="AJ121" i="100"/>
  <c r="AN121" i="100"/>
  <c r="AB122" i="100"/>
  <c r="AD126" i="100"/>
  <c r="AD135" i="100"/>
  <c r="AH133" i="100"/>
  <c r="AL132" i="100"/>
  <c r="AL135" i="100"/>
  <c r="Y136" i="100"/>
  <c r="AC136" i="100"/>
  <c r="AG137" i="100"/>
  <c r="AK136" i="100"/>
  <c r="AF138" i="100"/>
  <c r="Y139" i="100"/>
  <c r="AK139" i="100"/>
  <c r="AI154" i="100"/>
  <c r="Z162" i="100"/>
  <c r="AD162" i="100"/>
  <c r="Z165" i="100"/>
  <c r="Z167" i="100"/>
  <c r="AH165" i="100"/>
  <c r="AH167" i="100"/>
  <c r="Z166" i="100"/>
  <c r="AH166" i="100"/>
  <c r="AL166" i="100"/>
  <c r="AB177" i="100"/>
  <c r="AB176" i="100"/>
  <c r="AF177" i="100"/>
  <c r="AF176" i="100"/>
  <c r="AJ177" i="100"/>
  <c r="AJ176" i="100"/>
  <c r="AN177" i="100"/>
  <c r="AN181" i="100"/>
  <c r="Z184" i="100"/>
  <c r="AD187" i="100"/>
  <c r="AH187" i="100"/>
  <c r="AH185" i="100"/>
  <c r="AL187" i="100"/>
  <c r="AL184" i="100"/>
  <c r="AB186" i="100"/>
  <c r="AF186" i="100"/>
  <c r="AJ186" i="100"/>
  <c r="AN186" i="100"/>
  <c r="AB194" i="100"/>
  <c r="AF194" i="100"/>
  <c r="AJ194" i="100"/>
  <c r="Y210" i="100"/>
  <c r="Y209" i="100"/>
  <c r="Y212" i="100"/>
  <c r="AG211" i="100"/>
  <c r="AG209" i="100"/>
  <c r="AE215" i="100"/>
  <c r="AE213" i="100"/>
  <c r="AN223" i="100"/>
  <c r="AN221" i="100"/>
  <c r="Y241" i="100"/>
  <c r="Y244" i="100"/>
  <c r="AC245" i="100"/>
  <c r="J247" i="100"/>
  <c r="J246" i="100"/>
  <c r="R246" i="100"/>
  <c r="AK245" i="100"/>
  <c r="Z252" i="100"/>
  <c r="Z249" i="100"/>
  <c r="O251" i="100"/>
  <c r="AH252" i="100"/>
  <c r="AH251" i="100"/>
  <c r="AH249" i="100"/>
  <c r="O250" i="100"/>
  <c r="G251" i="100"/>
  <c r="AI259" i="100"/>
  <c r="AE263" i="100"/>
  <c r="AB272" i="100"/>
  <c r="AA278" i="100"/>
  <c r="AA279" i="100"/>
  <c r="AI279" i="100"/>
  <c r="AI291" i="100"/>
  <c r="Y293" i="100"/>
  <c r="Y296" i="100"/>
  <c r="AG296" i="100"/>
  <c r="AG293" i="100"/>
  <c r="AK293" i="100"/>
  <c r="AK294" i="100"/>
  <c r="AK295" i="100"/>
  <c r="AE295" i="100"/>
  <c r="X16" i="111"/>
  <c r="AB37" i="111"/>
  <c r="AK104" i="111"/>
  <c r="AG104" i="111"/>
  <c r="AC104" i="111"/>
  <c r="Y104" i="111"/>
  <c r="AI104" i="111"/>
  <c r="R62" i="107"/>
  <c r="J62" i="107"/>
  <c r="R61" i="107"/>
  <c r="J61" i="107"/>
  <c r="R60" i="107"/>
  <c r="J60" i="107"/>
  <c r="R59" i="107"/>
  <c r="J59" i="107"/>
  <c r="O62" i="107"/>
  <c r="F62" i="107"/>
  <c r="K61" i="107"/>
  <c r="O60" i="107"/>
  <c r="F60" i="107"/>
  <c r="K59" i="107"/>
  <c r="L62" i="107"/>
  <c r="M61" i="107"/>
  <c r="C61" i="107"/>
  <c r="M60" i="107"/>
  <c r="C60" i="107"/>
  <c r="N59" i="107"/>
  <c r="D59" i="107"/>
  <c r="N62" i="107"/>
  <c r="C62" i="107"/>
  <c r="N61" i="107"/>
  <c r="K60" i="107"/>
  <c r="H59" i="107"/>
  <c r="H62" i="107"/>
  <c r="G61" i="107"/>
  <c r="Q60" i="107"/>
  <c r="E60" i="107"/>
  <c r="O59" i="107"/>
  <c r="C59" i="107"/>
  <c r="K62" i="107"/>
  <c r="E61" i="107"/>
  <c r="L60" i="107"/>
  <c r="E59" i="107"/>
  <c r="D62" i="107"/>
  <c r="L61" i="107"/>
  <c r="D60" i="107"/>
  <c r="L59" i="107"/>
  <c r="P62" i="107"/>
  <c r="G60" i="107"/>
  <c r="I59" i="107"/>
  <c r="I62" i="107"/>
  <c r="P61" i="107"/>
  <c r="F59" i="107"/>
  <c r="E62" i="107"/>
  <c r="I61" i="107"/>
  <c r="P60" i="107"/>
  <c r="P57" i="107"/>
  <c r="Q61" i="107"/>
  <c r="Q59" i="107"/>
  <c r="M62" i="107"/>
  <c r="H61" i="107"/>
  <c r="I60" i="107"/>
  <c r="M59" i="107"/>
  <c r="D61" i="107"/>
  <c r="F61" i="107"/>
  <c r="G62" i="107"/>
  <c r="G59" i="107"/>
  <c r="O61" i="107"/>
  <c r="H60" i="107"/>
  <c r="Q62" i="107"/>
  <c r="AI41" i="110"/>
  <c r="AA41" i="110"/>
  <c r="AI40" i="110"/>
  <c r="AA40" i="110"/>
  <c r="AI39" i="110"/>
  <c r="AA39" i="110"/>
  <c r="AI38" i="110"/>
  <c r="AA38" i="110"/>
  <c r="AH36" i="110"/>
  <c r="AG41" i="110"/>
  <c r="X41" i="110"/>
  <c r="AC40" i="110"/>
  <c r="AG39" i="110"/>
  <c r="X39" i="110"/>
  <c r="AC38" i="110"/>
  <c r="AF41" i="110"/>
  <c r="V41" i="110"/>
  <c r="AG40" i="110"/>
  <c r="W40" i="110"/>
  <c r="AH39" i="110"/>
  <c r="W39" i="110"/>
  <c r="AH38" i="110"/>
  <c r="X38" i="110"/>
  <c r="Z41" i="110"/>
  <c r="AH40" i="110"/>
  <c r="V40" i="110"/>
  <c r="AD39" i="110"/>
  <c r="Z38" i="110"/>
  <c r="W41" i="110"/>
  <c r="AB40" i="110"/>
  <c r="AF39" i="110"/>
  <c r="W38" i="110"/>
  <c r="AH41" i="110"/>
  <c r="AJ40" i="110"/>
  <c r="U39" i="110"/>
  <c r="AJ38" i="110"/>
  <c r="U38" i="110"/>
  <c r="AB41" i="110"/>
  <c r="Z40" i="110"/>
  <c r="AB39" i="110"/>
  <c r="AD38" i="110"/>
  <c r="AD41" i="110"/>
  <c r="U40" i="110"/>
  <c r="AE39" i="110"/>
  <c r="V38" i="110"/>
  <c r="AE40" i="110"/>
  <c r="V39" i="110"/>
  <c r="AF38" i="110"/>
  <c r="AC41" i="110"/>
  <c r="AF40" i="110"/>
  <c r="Y39" i="110"/>
  <c r="AB38" i="110"/>
  <c r="AE41" i="110"/>
  <c r="Y40" i="110"/>
  <c r="U41" i="110"/>
  <c r="AG38" i="110"/>
  <c r="AJ41" i="110"/>
  <c r="AJ39" i="110"/>
  <c r="Z39" i="110"/>
  <c r="AC39" i="110"/>
  <c r="AE38" i="110"/>
  <c r="AD40" i="110"/>
  <c r="X40" i="110"/>
  <c r="Y38" i="110"/>
  <c r="L82" i="98"/>
  <c r="G83" i="98"/>
  <c r="G90" i="98" s="1"/>
  <c r="C84" i="98"/>
  <c r="P84" i="98"/>
  <c r="E16" i="114"/>
  <c r="E17" i="114" s="1"/>
  <c r="Z11" i="100"/>
  <c r="AH11" i="100"/>
  <c r="Y11" i="100"/>
  <c r="AE12" i="100"/>
  <c r="AM12" i="100"/>
  <c r="AH12" i="100"/>
  <c r="AB13" i="100"/>
  <c r="AJ13" i="100"/>
  <c r="AD15" i="100"/>
  <c r="AL15" i="100"/>
  <c r="AA16" i="100"/>
  <c r="AI16" i="100"/>
  <c r="AB16" i="100"/>
  <c r="AF17" i="100"/>
  <c r="AN17" i="100"/>
  <c r="AI17" i="100"/>
  <c r="Z19" i="100"/>
  <c r="AH19" i="100"/>
  <c r="Y19" i="100"/>
  <c r="AE20" i="100"/>
  <c r="AM20" i="100"/>
  <c r="AH20" i="100"/>
  <c r="AB21" i="100"/>
  <c r="AJ21" i="100"/>
  <c r="AD23" i="100"/>
  <c r="AL23" i="100"/>
  <c r="AD24" i="100"/>
  <c r="AA57" i="100"/>
  <c r="Z58" i="100"/>
  <c r="Z62" i="100"/>
  <c r="Z59" i="100"/>
  <c r="Y59" i="100"/>
  <c r="Z60" i="100"/>
  <c r="AA61" i="100"/>
  <c r="AI61" i="100"/>
  <c r="AB61" i="100"/>
  <c r="AB62" i="100"/>
  <c r="AJ62" i="100"/>
  <c r="AF62" i="100"/>
  <c r="AA69" i="100"/>
  <c r="AI69" i="100"/>
  <c r="AB70" i="100"/>
  <c r="AF70" i="100"/>
  <c r="AA77" i="100"/>
  <c r="AI77" i="100"/>
  <c r="AB78" i="100"/>
  <c r="AJ78" i="100"/>
  <c r="AF78" i="100"/>
  <c r="AA85" i="100"/>
  <c r="AI85" i="100"/>
  <c r="AB86" i="100"/>
  <c r="AF86" i="100"/>
  <c r="Z92" i="100"/>
  <c r="AN96" i="100"/>
  <c r="AA97" i="100"/>
  <c r="AM102" i="100"/>
  <c r="AB108" i="100"/>
  <c r="AB113" i="100"/>
  <c r="AF113" i="100"/>
  <c r="AF108" i="100"/>
  <c r="AJ122" i="100"/>
  <c r="AJ113" i="100"/>
  <c r="AJ118" i="100"/>
  <c r="AJ123" i="100"/>
  <c r="AN118" i="100"/>
  <c r="AN108" i="100"/>
  <c r="AN123" i="100"/>
  <c r="AN119" i="100"/>
  <c r="AN115" i="100"/>
  <c r="AN113" i="100"/>
  <c r="Z110" i="100"/>
  <c r="AD110" i="100"/>
  <c r="AL110" i="100"/>
  <c r="AK112" i="100"/>
  <c r="AM113" i="100"/>
  <c r="AA116" i="100"/>
  <c r="AE117" i="100"/>
  <c r="AM117" i="100"/>
  <c r="AK117" i="100"/>
  <c r="AB119" i="100"/>
  <c r="AF122" i="100"/>
  <c r="AH125" i="100"/>
  <c r="Z125" i="100"/>
  <c r="AE126" i="100"/>
  <c r="AB128" i="100"/>
  <c r="AB129" i="100"/>
  <c r="AB131" i="100"/>
  <c r="AB130" i="100"/>
  <c r="AF130" i="100"/>
  <c r="AF129" i="100"/>
  <c r="AJ131" i="100"/>
  <c r="AJ129" i="100"/>
  <c r="AN130" i="100"/>
  <c r="AN128" i="100"/>
  <c r="AN129" i="100"/>
  <c r="AA137" i="100"/>
  <c r="AM137" i="100"/>
  <c r="AK137" i="100"/>
  <c r="AB146" i="100"/>
  <c r="AF146" i="100"/>
  <c r="AJ146" i="100"/>
  <c r="AH146" i="100"/>
  <c r="AA148" i="100"/>
  <c r="AA149" i="100"/>
  <c r="AI149" i="100"/>
  <c r="AI148" i="100"/>
  <c r="AI151" i="100"/>
  <c r="AB159" i="100"/>
  <c r="AF159" i="100"/>
  <c r="AJ159" i="100"/>
  <c r="AN159" i="100"/>
  <c r="AD164" i="100"/>
  <c r="AN176" i="100"/>
  <c r="AN179" i="100"/>
  <c r="AB187" i="100"/>
  <c r="AF187" i="100"/>
  <c r="AJ187" i="100"/>
  <c r="AN187" i="100"/>
  <c r="Z191" i="100"/>
  <c r="AA196" i="100"/>
  <c r="AA197" i="100"/>
  <c r="AE197" i="100"/>
  <c r="AE196" i="100"/>
  <c r="AI197" i="100"/>
  <c r="AI196" i="100"/>
  <c r="AM197" i="100"/>
  <c r="AM196" i="100"/>
  <c r="AH199" i="100"/>
  <c r="AM208" i="100"/>
  <c r="AN211" i="100"/>
  <c r="AN209" i="100"/>
  <c r="AA212" i="100"/>
  <c r="AC213" i="100"/>
  <c r="AM214" i="100"/>
  <c r="AG219" i="100"/>
  <c r="AG220" i="100"/>
  <c r="AG217" i="100"/>
  <c r="AF222" i="100"/>
  <c r="AD224" i="100"/>
  <c r="AE225" i="100"/>
  <c r="AE226" i="100"/>
  <c r="AM225" i="100"/>
  <c r="AM226" i="100"/>
  <c r="AF225" i="100"/>
  <c r="AF227" i="100"/>
  <c r="AN225" i="100"/>
  <c r="AN227" i="100"/>
  <c r="AK228" i="100"/>
  <c r="Z230" i="100"/>
  <c r="Z232" i="100"/>
  <c r="AC231" i="100"/>
  <c r="AC240" i="100"/>
  <c r="AC239" i="100"/>
  <c r="AK238" i="100"/>
  <c r="AK240" i="100"/>
  <c r="AM243" i="100"/>
  <c r="Y251" i="100"/>
  <c r="Z255" i="100"/>
  <c r="Z253" i="100"/>
  <c r="AH253" i="100"/>
  <c r="AH256" i="100"/>
  <c r="AH255" i="100"/>
  <c r="AB254" i="100"/>
  <c r="Z261" i="100"/>
  <c r="Z263" i="100"/>
  <c r="AH264" i="100"/>
  <c r="AH261" i="100"/>
  <c r="Z269" i="100"/>
  <c r="Z272" i="100"/>
  <c r="AH269" i="100"/>
  <c r="AH272" i="100"/>
  <c r="AH271" i="100"/>
  <c r="Z276" i="100"/>
  <c r="AH276" i="100"/>
  <c r="AC277" i="100"/>
  <c r="AL281" i="100"/>
  <c r="Z283" i="100"/>
  <c r="Z284" i="100"/>
  <c r="Z281" i="100"/>
  <c r="AH284" i="100"/>
  <c r="AH283" i="100"/>
  <c r="Z285" i="100"/>
  <c r="Z287" i="100"/>
  <c r="AH285" i="100"/>
  <c r="AH288" i="100"/>
  <c r="AK286" i="100"/>
  <c r="AK285" i="100"/>
  <c r="Z288" i="100"/>
  <c r="AH11" i="111"/>
  <c r="AB25" i="111"/>
  <c r="AJ25" i="111"/>
  <c r="Y47" i="111"/>
  <c r="AB53" i="111"/>
  <c r="AJ53" i="111"/>
  <c r="W104" i="111"/>
  <c r="AF20" i="109"/>
  <c r="AB20" i="109"/>
  <c r="AH19" i="109"/>
  <c r="Z19" i="109"/>
  <c r="AF18" i="109"/>
  <c r="X18" i="109"/>
  <c r="AD17" i="109"/>
  <c r="V17" i="109"/>
  <c r="Z20" i="109"/>
  <c r="AC19" i="109"/>
  <c r="AE18" i="109"/>
  <c r="V18" i="109"/>
  <c r="AH17" i="109"/>
  <c r="Y17" i="109"/>
  <c r="X20" i="109"/>
  <c r="AG19" i="109"/>
  <c r="W19" i="109"/>
  <c r="AG18" i="109"/>
  <c r="U18" i="109"/>
  <c r="AE17" i="109"/>
  <c r="AD20" i="109"/>
  <c r="AB19" i="109"/>
  <c r="AA18" i="109"/>
  <c r="Z17" i="109"/>
  <c r="AF15" i="109"/>
  <c r="AE20" i="109"/>
  <c r="AF19" i="109"/>
  <c r="W17" i="109"/>
  <c r="W20" i="109"/>
  <c r="Y19" i="109"/>
  <c r="AB18" i="109"/>
  <c r="AC17" i="109"/>
  <c r="U20" i="109"/>
  <c r="AE19" i="109"/>
  <c r="Y18" i="109"/>
  <c r="AC20" i="109"/>
  <c r="V19" i="109"/>
  <c r="AH18" i="109"/>
  <c r="AA17" i="109"/>
  <c r="AH20" i="109"/>
  <c r="X17" i="109"/>
  <c r="AA20" i="109"/>
  <c r="V20" i="109"/>
  <c r="AA19" i="109"/>
  <c r="AD18" i="109"/>
  <c r="X19" i="109"/>
  <c r="Y20" i="109"/>
  <c r="AF17" i="109"/>
  <c r="U19" i="109"/>
  <c r="AG20" i="109"/>
  <c r="AG17" i="109"/>
  <c r="AC18" i="109"/>
  <c r="U17" i="109"/>
  <c r="AB17" i="109"/>
  <c r="W18" i="109"/>
  <c r="Z18" i="109"/>
  <c r="P85" i="98"/>
  <c r="P92" i="98" s="1"/>
  <c r="H85" i="98"/>
  <c r="H92" i="98" s="1"/>
  <c r="Q84" i="98"/>
  <c r="I84" i="98"/>
  <c r="R83" i="98"/>
  <c r="R90" i="98" s="1"/>
  <c r="J83" i="98"/>
  <c r="J90" i="98" s="1"/>
  <c r="S82" i="98"/>
  <c r="J89" i="98" s="1"/>
  <c r="K82" i="98"/>
  <c r="K89" i="98" s="1"/>
  <c r="C82" i="98"/>
  <c r="N85" i="98"/>
  <c r="N92" i="98" s="1"/>
  <c r="F85" i="98"/>
  <c r="F92" i="98" s="1"/>
  <c r="O84" i="98"/>
  <c r="G84" i="98"/>
  <c r="P83" i="98"/>
  <c r="P90" i="98" s="1"/>
  <c r="H83" i="98"/>
  <c r="H90" i="98" s="1"/>
  <c r="Q82" i="98"/>
  <c r="Q89" i="98" s="1"/>
  <c r="I82" i="98"/>
  <c r="L85" i="98"/>
  <c r="L92" i="98" s="1"/>
  <c r="D85" i="98"/>
  <c r="D92" i="98" s="1"/>
  <c r="M84" i="98"/>
  <c r="E84" i="98"/>
  <c r="N83" i="98"/>
  <c r="N90" i="98" s="1"/>
  <c r="F83" i="98"/>
  <c r="F90" i="98" s="1"/>
  <c r="O82" i="98"/>
  <c r="O89" i="98" s="1"/>
  <c r="G82" i="98"/>
  <c r="G89" i="98" s="1"/>
  <c r="N82" i="98"/>
  <c r="K83" i="98"/>
  <c r="K90" i="98" s="1"/>
  <c r="F84" i="98"/>
  <c r="S84" i="98"/>
  <c r="L91" i="98" s="1"/>
  <c r="O85" i="98"/>
  <c r="O92" i="98" s="1"/>
  <c r="H15" i="114"/>
  <c r="H17" i="114" s="1"/>
  <c r="G41" i="114"/>
  <c r="G46" i="114" s="1"/>
  <c r="AE13" i="100"/>
  <c r="AA14" i="100"/>
  <c r="AI14" i="100"/>
  <c r="AN14" i="100"/>
  <c r="AI15" i="100"/>
  <c r="AE18" i="100"/>
  <c r="AM18" i="100"/>
  <c r="AH18" i="100"/>
  <c r="AE21" i="100"/>
  <c r="AA22" i="100"/>
  <c r="AI22" i="100"/>
  <c r="AN22" i="100"/>
  <c r="AN23" i="100"/>
  <c r="AI55" i="100"/>
  <c r="AB58" i="100"/>
  <c r="AC61" i="100"/>
  <c r="AK61" i="100"/>
  <c r="AC69" i="100"/>
  <c r="AK69" i="100"/>
  <c r="AC77" i="100"/>
  <c r="AK77" i="100"/>
  <c r="AC85" i="100"/>
  <c r="AK85" i="100"/>
  <c r="AB92" i="100"/>
  <c r="AF92" i="100"/>
  <c r="AN93" i="100"/>
  <c r="Z96" i="100"/>
  <c r="Y96" i="100"/>
  <c r="AB97" i="100"/>
  <c r="Y102" i="100"/>
  <c r="Y116" i="100"/>
  <c r="Y126" i="100"/>
  <c r="Y124" i="100"/>
  <c r="Y120" i="100"/>
  <c r="Y108" i="100"/>
  <c r="Y125" i="100"/>
  <c r="Y113" i="100"/>
  <c r="Y109" i="100"/>
  <c r="AC116" i="100"/>
  <c r="AC112" i="100"/>
  <c r="AC108" i="100"/>
  <c r="AG124" i="100"/>
  <c r="AG116" i="100"/>
  <c r="AG109" i="100"/>
  <c r="AG111" i="100"/>
  <c r="AG114" i="100"/>
  <c r="AG112" i="100"/>
  <c r="AK108" i="100"/>
  <c r="AK124" i="100"/>
  <c r="AK116" i="100"/>
  <c r="AK115" i="100"/>
  <c r="AK114" i="100"/>
  <c r="AK111" i="100"/>
  <c r="AK109" i="100"/>
  <c r="Z109" i="100"/>
  <c r="AH109" i="100"/>
  <c r="AI110" i="100"/>
  <c r="AM110" i="100"/>
  <c r="AJ110" i="100"/>
  <c r="AB117" i="100"/>
  <c r="AF117" i="100"/>
  <c r="AJ117" i="100"/>
  <c r="AN117" i="100"/>
  <c r="AB118" i="100"/>
  <c r="AI119" i="100"/>
  <c r="AB120" i="100"/>
  <c r="AF120" i="100"/>
  <c r="AJ120" i="100"/>
  <c r="AN120" i="100"/>
  <c r="AD124" i="100"/>
  <c r="AL124" i="100"/>
  <c r="AC124" i="100"/>
  <c r="AA125" i="100"/>
  <c r="AK126" i="100"/>
  <c r="Y128" i="100"/>
  <c r="Y129" i="100"/>
  <c r="AC129" i="100"/>
  <c r="AG128" i="100"/>
  <c r="AG129" i="100"/>
  <c r="AK128" i="100"/>
  <c r="AA131" i="100"/>
  <c r="AI131" i="100"/>
  <c r="AC139" i="100"/>
  <c r="Z144" i="100"/>
  <c r="Z147" i="100"/>
  <c r="AD144" i="100"/>
  <c r="AD145" i="100"/>
  <c r="AL147" i="100"/>
  <c r="AL144" i="100"/>
  <c r="AL146" i="100"/>
  <c r="AK148" i="100"/>
  <c r="AK149" i="100"/>
  <c r="AK153" i="100"/>
  <c r="AH164" i="100"/>
  <c r="AB171" i="100"/>
  <c r="AF171" i="100"/>
  <c r="AJ171" i="100"/>
  <c r="AN171" i="100"/>
  <c r="AD184" i="100"/>
  <c r="AH196" i="100"/>
  <c r="Z198" i="100"/>
  <c r="AE206" i="100"/>
  <c r="AC210" i="100"/>
  <c r="AC212" i="100"/>
  <c r="AK212" i="100"/>
  <c r="AK216" i="100"/>
  <c r="AA219" i="100"/>
  <c r="AI220" i="100"/>
  <c r="AI219" i="100"/>
  <c r="AI217" i="100"/>
  <c r="Y225" i="100"/>
  <c r="Y228" i="100"/>
  <c r="AG225" i="100"/>
  <c r="AG228" i="100"/>
  <c r="AD228" i="100"/>
  <c r="AD225" i="100"/>
  <c r="AL228" i="100"/>
  <c r="AL227" i="100"/>
  <c r="AM231" i="100"/>
  <c r="AB235" i="100"/>
  <c r="AB233" i="100"/>
  <c r="AF238" i="100"/>
  <c r="AG244" i="100"/>
  <c r="R247" i="100"/>
  <c r="AM247" i="100" s="1"/>
  <c r="AM279" i="100"/>
  <c r="AJ282" i="100"/>
  <c r="AJ281" i="100"/>
  <c r="AJ283" i="100"/>
  <c r="AB285" i="100"/>
  <c r="AB288" i="100"/>
  <c r="AJ288" i="100"/>
  <c r="AJ287" i="100"/>
  <c r="AK21" i="111"/>
  <c r="AC21" i="111"/>
  <c r="AE21" i="111"/>
  <c r="W21" i="111"/>
  <c r="AG21" i="111"/>
  <c r="AI21" i="111"/>
  <c r="AG25" i="111"/>
  <c r="AK25" i="111"/>
  <c r="AE25" i="111"/>
  <c r="Y25" i="111"/>
  <c r="AA25" i="111"/>
  <c r="X46" i="111"/>
  <c r="AJ46" i="111"/>
  <c r="AF46" i="111"/>
  <c r="AB46" i="111"/>
  <c r="AK46" i="111"/>
  <c r="AG53" i="111"/>
  <c r="AA53" i="111"/>
  <c r="AE53" i="111"/>
  <c r="AC53" i="111"/>
  <c r="Y53" i="111"/>
  <c r="AK53" i="111"/>
  <c r="AB105" i="111"/>
  <c r="AF105" i="111"/>
  <c r="X105" i="111"/>
  <c r="AJ105" i="111"/>
  <c r="M20" i="102"/>
  <c r="E20" i="102"/>
  <c r="M19" i="102"/>
  <c r="E19" i="102"/>
  <c r="M18" i="102"/>
  <c r="E18" i="102"/>
  <c r="M17" i="102"/>
  <c r="E17" i="102"/>
  <c r="K20" i="102"/>
  <c r="P19" i="102"/>
  <c r="G19" i="102"/>
  <c r="K18" i="102"/>
  <c r="P17" i="102"/>
  <c r="G17" i="102"/>
  <c r="P20" i="102"/>
  <c r="G20" i="102"/>
  <c r="K19" i="102"/>
  <c r="P18" i="102"/>
  <c r="G18" i="102"/>
  <c r="K17" i="102"/>
  <c r="J20" i="102"/>
  <c r="R19" i="102"/>
  <c r="F19" i="102"/>
  <c r="N18" i="102"/>
  <c r="I17" i="102"/>
  <c r="Q20" i="102"/>
  <c r="D20" i="102"/>
  <c r="L19" i="102"/>
  <c r="H18" i="102"/>
  <c r="O17" i="102"/>
  <c r="C17" i="102"/>
  <c r="R20" i="102"/>
  <c r="Q19" i="102"/>
  <c r="Q18" i="102"/>
  <c r="Q17" i="102"/>
  <c r="P15" i="102"/>
  <c r="L20" i="102"/>
  <c r="H19" i="102"/>
  <c r="C18" i="102"/>
  <c r="N17" i="102"/>
  <c r="H20" i="102"/>
  <c r="C19" i="102"/>
  <c r="O18" i="102"/>
  <c r="J17" i="102"/>
  <c r="C20" i="102"/>
  <c r="O19" i="102"/>
  <c r="J18" i="102"/>
  <c r="F17" i="102"/>
  <c r="O20" i="102"/>
  <c r="I20" i="102"/>
  <c r="J19" i="102"/>
  <c r="L18" i="102"/>
  <c r="R17" i="102"/>
  <c r="D19" i="102"/>
  <c r="F18" i="102"/>
  <c r="H17" i="102"/>
  <c r="I18" i="102"/>
  <c r="K30" i="114"/>
  <c r="AD11" i="100"/>
  <c r="AL11" i="100"/>
  <c r="AE11" i="100"/>
  <c r="AN12" i="100"/>
  <c r="AF13" i="100"/>
  <c r="AN13" i="100"/>
  <c r="AC14" i="100"/>
  <c r="AK14" i="100"/>
  <c r="AD14" i="100"/>
  <c r="Z15" i="100"/>
  <c r="AH15" i="100"/>
  <c r="AH16" i="100"/>
  <c r="AB17" i="100"/>
  <c r="AJ17" i="100"/>
  <c r="AC17" i="100"/>
  <c r="Y18" i="100"/>
  <c r="AG18" i="100"/>
  <c r="AD19" i="100"/>
  <c r="AL19" i="100"/>
  <c r="AE19" i="100"/>
  <c r="AN20" i="100"/>
  <c r="AF21" i="100"/>
  <c r="AN21" i="100"/>
  <c r="AC22" i="100"/>
  <c r="AK22" i="100"/>
  <c r="AD22" i="100"/>
  <c r="Z23" i="100"/>
  <c r="AH23" i="100"/>
  <c r="AL24" i="100"/>
  <c r="AH26" i="100"/>
  <c r="AI57" i="100"/>
  <c r="AD58" i="100"/>
  <c r="AJ58" i="100"/>
  <c r="AB66" i="100"/>
  <c r="AJ66" i="100"/>
  <c r="AG67" i="100"/>
  <c r="AB74" i="100"/>
  <c r="AG75" i="100"/>
  <c r="AB82" i="100"/>
  <c r="AJ82" i="100"/>
  <c r="AG83" i="100"/>
  <c r="AB90" i="100"/>
  <c r="AG91" i="100"/>
  <c r="AD92" i="100"/>
  <c r="AF93" i="100"/>
  <c r="Z94" i="100"/>
  <c r="Y94" i="100"/>
  <c r="AI97" i="100"/>
  <c r="AA95" i="100"/>
  <c r="AD97" i="100"/>
  <c r="AL97" i="100"/>
  <c r="AA102" i="100"/>
  <c r="Z123" i="100"/>
  <c r="AD122" i="100"/>
  <c r="AD123" i="100"/>
  <c r="AD119" i="100"/>
  <c r="AD115" i="100"/>
  <c r="AH123" i="100"/>
  <c r="AH108" i="100"/>
  <c r="AL109" i="100"/>
  <c r="AL108" i="100"/>
  <c r="AL119" i="100"/>
  <c r="AL115" i="100"/>
  <c r="AD108" i="100"/>
  <c r="AB110" i="100"/>
  <c r="AF110" i="100"/>
  <c r="Z112" i="100"/>
  <c r="AH113" i="100"/>
  <c r="AL113" i="100"/>
  <c r="AA113" i="100"/>
  <c r="AC114" i="100"/>
  <c r="AH115" i="100"/>
  <c r="Y117" i="100"/>
  <c r="AC117" i="100"/>
  <c r="AG117" i="100"/>
  <c r="AH118" i="100"/>
  <c r="AC120" i="100"/>
  <c r="AG120" i="100"/>
  <c r="AN122" i="100"/>
  <c r="AN125" i="100"/>
  <c r="AF128" i="100"/>
  <c r="AJ130" i="100"/>
  <c r="Z146" i="100"/>
  <c r="AD146" i="100"/>
  <c r="AE149" i="100"/>
  <c r="AE148" i="100"/>
  <c r="AM149" i="100"/>
  <c r="AM148" i="100"/>
  <c r="Y150" i="100"/>
  <c r="AC150" i="100"/>
  <c r="AG150" i="100"/>
  <c r="AK150" i="100"/>
  <c r="Z159" i="100"/>
  <c r="AB174" i="100"/>
  <c r="AF174" i="100"/>
  <c r="AN174" i="100"/>
  <c r="AH184" i="100"/>
  <c r="AD185" i="100"/>
  <c r="Z187" i="100"/>
  <c r="AB191" i="100"/>
  <c r="AF191" i="100"/>
  <c r="AJ191" i="100"/>
  <c r="AN191" i="100"/>
  <c r="Y197" i="100"/>
  <c r="AC197" i="100"/>
  <c r="AG196" i="100"/>
  <c r="AG197" i="100"/>
  <c r="AK196" i="100"/>
  <c r="AK197" i="100"/>
  <c r="AM198" i="100"/>
  <c r="AF199" i="100"/>
  <c r="AC206" i="100"/>
  <c r="AN207" i="100"/>
  <c r="AN205" i="100"/>
  <c r="AI208" i="100"/>
  <c r="AA210" i="100"/>
  <c r="AM216" i="100"/>
  <c r="AC221" i="100"/>
  <c r="AA226" i="100"/>
  <c r="AA225" i="100"/>
  <c r="AM227" i="100"/>
  <c r="AH232" i="100"/>
  <c r="AF242" i="100"/>
  <c r="AF241" i="100"/>
  <c r="AF244" i="100"/>
  <c r="AF243" i="100"/>
  <c r="AG243" i="100"/>
  <c r="G250" i="100"/>
  <c r="AB250" i="100" s="1"/>
  <c r="AL253" i="100"/>
  <c r="AL254" i="100"/>
  <c r="AL256" i="100"/>
  <c r="AM264" i="100"/>
  <c r="AD269" i="100"/>
  <c r="AD272" i="100"/>
  <c r="AL269" i="100"/>
  <c r="AL270" i="100"/>
  <c r="Y277" i="100"/>
  <c r="Y280" i="100"/>
  <c r="AG280" i="100"/>
  <c r="AG277" i="100"/>
  <c r="AC278" i="100"/>
  <c r="AK277" i="100"/>
  <c r="AK278" i="100"/>
  <c r="AK279" i="100"/>
  <c r="AB282" i="100"/>
  <c r="AD284" i="100"/>
  <c r="AD285" i="100"/>
  <c r="AD288" i="100"/>
  <c r="AL285" i="100"/>
  <c r="AL286" i="100"/>
  <c r="AL288" i="100"/>
  <c r="AB287" i="100"/>
  <c r="AI292" i="100"/>
  <c r="AB11" i="111"/>
  <c r="AJ11" i="111"/>
  <c r="X21" i="111"/>
  <c r="AF21" i="111"/>
  <c r="AH21" i="111"/>
  <c r="AI25" i="111"/>
  <c r="AG46" i="111"/>
  <c r="AI53" i="111"/>
  <c r="AH105" i="111"/>
  <c r="D17" i="102"/>
  <c r="L55" i="105"/>
  <c r="D55" i="105"/>
  <c r="L54" i="105"/>
  <c r="D54" i="105"/>
  <c r="L53" i="105"/>
  <c r="D53" i="105"/>
  <c r="L52" i="105"/>
  <c r="D52" i="105"/>
  <c r="K55" i="105"/>
  <c r="P54" i="105"/>
  <c r="G54" i="105"/>
  <c r="K53" i="105"/>
  <c r="P52" i="105"/>
  <c r="G52" i="105"/>
  <c r="P55" i="105"/>
  <c r="F55" i="105"/>
  <c r="Q54" i="105"/>
  <c r="F54" i="105"/>
  <c r="Q53" i="105"/>
  <c r="G53" i="105"/>
  <c r="R52" i="105"/>
  <c r="H52" i="105"/>
  <c r="J55" i="105"/>
  <c r="K54" i="105"/>
  <c r="M53" i="105"/>
  <c r="M52" i="105"/>
  <c r="Q55" i="105"/>
  <c r="C55" i="105"/>
  <c r="H54" i="105"/>
  <c r="J53" i="105"/>
  <c r="O52" i="105"/>
  <c r="I55" i="105"/>
  <c r="N54" i="105"/>
  <c r="R53" i="105"/>
  <c r="E53" i="105"/>
  <c r="I52" i="105"/>
  <c r="M55" i="105"/>
  <c r="I54" i="105"/>
  <c r="F53" i="105"/>
  <c r="C52" i="105"/>
  <c r="G55" i="105"/>
  <c r="C54" i="105"/>
  <c r="Q52" i="105"/>
  <c r="P50" i="105"/>
  <c r="R54" i="105"/>
  <c r="O53" i="105"/>
  <c r="K52" i="105"/>
  <c r="M54" i="105"/>
  <c r="N52" i="105"/>
  <c r="R55" i="105"/>
  <c r="E54" i="105"/>
  <c r="F52" i="105"/>
  <c r="N55" i="105"/>
  <c r="N53" i="105"/>
  <c r="H55" i="105"/>
  <c r="J52" i="105"/>
  <c r="O54" i="105"/>
  <c r="P53" i="105"/>
  <c r="C53" i="105"/>
  <c r="E55" i="105"/>
  <c r="I53" i="105"/>
  <c r="AD19" i="109"/>
  <c r="AC65" i="100"/>
  <c r="AH70" i="100"/>
  <c r="AD74" i="100"/>
  <c r="AD77" i="100"/>
  <c r="AL77" i="100"/>
  <c r="AI79" i="100"/>
  <c r="AM83" i="100"/>
  <c r="AD99" i="100"/>
  <c r="AD101" i="100"/>
  <c r="AL101" i="100"/>
  <c r="AF112" i="100"/>
  <c r="Z113" i="100"/>
  <c r="AF123" i="100"/>
  <c r="AD125" i="100"/>
  <c r="AL125" i="100"/>
  <c r="AB126" i="100"/>
  <c r="AJ126" i="100"/>
  <c r="AN126" i="100"/>
  <c r="AJ132" i="100"/>
  <c r="AN132" i="100"/>
  <c r="AE135" i="100"/>
  <c r="AE137" i="100"/>
  <c r="AI137" i="100"/>
  <c r="AK143" i="100"/>
  <c r="AK142" i="100"/>
  <c r="AG141" i="100"/>
  <c r="AJ152" i="100"/>
  <c r="AJ154" i="100"/>
  <c r="AN155" i="100"/>
  <c r="AC153" i="100"/>
  <c r="AA154" i="100"/>
  <c r="AE154" i="100"/>
  <c r="AH159" i="100"/>
  <c r="AL169" i="100"/>
  <c r="AH175" i="100"/>
  <c r="AL185" i="100"/>
  <c r="AH191" i="100"/>
  <c r="AA199" i="100"/>
  <c r="AH208" i="100"/>
  <c r="AD209" i="100"/>
  <c r="AB210" i="100"/>
  <c r="AD215" i="100"/>
  <c r="AB218" i="100"/>
  <c r="AB220" i="100"/>
  <c r="AJ220" i="100"/>
  <c r="AK222" i="100"/>
  <c r="AD222" i="100"/>
  <c r="AL224" i="100"/>
  <c r="AL221" i="100"/>
  <c r="AC227" i="100"/>
  <c r="AK227" i="100"/>
  <c r="AM228" i="100"/>
  <c r="Y229" i="100"/>
  <c r="Y232" i="100"/>
  <c r="AG232" i="100"/>
  <c r="AG229" i="100"/>
  <c r="AG230" i="100"/>
  <c r="AL234" i="100"/>
  <c r="AL233" i="100"/>
  <c r="AL235" i="100"/>
  <c r="Z238" i="100"/>
  <c r="Z240" i="100"/>
  <c r="AH238" i="100"/>
  <c r="AH237" i="100"/>
  <c r="AA239" i="100"/>
  <c r="Y243" i="100"/>
  <c r="AN247" i="100"/>
  <c r="H251" i="100"/>
  <c r="H250" i="100"/>
  <c r="P250" i="100"/>
  <c r="AK250" i="100" s="1"/>
  <c r="AI249" i="100"/>
  <c r="AF250" i="100"/>
  <c r="AF249" i="100"/>
  <c r="AA253" i="100"/>
  <c r="AA254" i="100"/>
  <c r="AI253" i="100"/>
  <c r="AI254" i="100"/>
  <c r="AB255" i="100"/>
  <c r="Y260" i="100"/>
  <c r="AG260" i="100"/>
  <c r="AE264" i="100"/>
  <c r="AH265" i="100"/>
  <c r="AH268" i="100"/>
  <c r="AH267" i="100"/>
  <c r="Z268" i="100"/>
  <c r="AB270" i="100"/>
  <c r="AK271" i="100"/>
  <c r="AK270" i="100"/>
  <c r="AD286" i="100"/>
  <c r="AD287" i="100"/>
  <c r="AL287" i="100"/>
  <c r="AA292" i="100"/>
  <c r="AA16" i="111"/>
  <c r="AI16" i="111"/>
  <c r="W36" i="111"/>
  <c r="AF36" i="111"/>
  <c r="AB36" i="111"/>
  <c r="Z36" i="111"/>
  <c r="AK47" i="111"/>
  <c r="Y75" i="111"/>
  <c r="AG92" i="111"/>
  <c r="Y92" i="111"/>
  <c r="AE92" i="111"/>
  <c r="W105" i="111"/>
  <c r="R76" i="109"/>
  <c r="J76" i="109"/>
  <c r="R75" i="109"/>
  <c r="J75" i="109"/>
  <c r="R74" i="109"/>
  <c r="J74" i="109"/>
  <c r="R73" i="109"/>
  <c r="J73" i="109"/>
  <c r="R69" i="109"/>
  <c r="J69" i="109"/>
  <c r="P68" i="109"/>
  <c r="H68" i="109"/>
  <c r="N67" i="109"/>
  <c r="F67" i="109"/>
  <c r="L66" i="109"/>
  <c r="D66" i="109"/>
  <c r="K76" i="109"/>
  <c r="Q75" i="109"/>
  <c r="H75" i="109"/>
  <c r="O74" i="109"/>
  <c r="F74" i="109"/>
  <c r="M73" i="109"/>
  <c r="D73" i="109"/>
  <c r="Q69" i="109"/>
  <c r="H69" i="109"/>
  <c r="K68" i="109"/>
  <c r="M67" i="109"/>
  <c r="D67" i="109"/>
  <c r="P66" i="109"/>
  <c r="G66" i="109"/>
  <c r="N76" i="109"/>
  <c r="D76" i="109"/>
  <c r="I75" i="109"/>
  <c r="N74" i="109"/>
  <c r="D74" i="109"/>
  <c r="I73" i="109"/>
  <c r="K69" i="109"/>
  <c r="I68" i="109"/>
  <c r="R67" i="109"/>
  <c r="H67" i="109"/>
  <c r="Q66" i="109"/>
  <c r="F66" i="109"/>
  <c r="P76" i="109"/>
  <c r="E76" i="109"/>
  <c r="G75" i="109"/>
  <c r="L74" i="109"/>
  <c r="P73" i="109"/>
  <c r="E73" i="109"/>
  <c r="M69" i="109"/>
  <c r="R68" i="109"/>
  <c r="F68" i="109"/>
  <c r="L67" i="109"/>
  <c r="H66" i="109"/>
  <c r="I76" i="109"/>
  <c r="N75" i="109"/>
  <c r="C75" i="109"/>
  <c r="G74" i="109"/>
  <c r="K73" i="109"/>
  <c r="F69" i="109"/>
  <c r="M68" i="109"/>
  <c r="G67" i="109"/>
  <c r="M66" i="109"/>
  <c r="C76" i="109"/>
  <c r="D75" i="109"/>
  <c r="C74" i="109"/>
  <c r="C73" i="109"/>
  <c r="D69" i="109"/>
  <c r="Q68" i="109"/>
  <c r="C68" i="109"/>
  <c r="P67" i="109"/>
  <c r="N66" i="109"/>
  <c r="P64" i="109"/>
  <c r="L76" i="109"/>
  <c r="L75" i="109"/>
  <c r="K74" i="109"/>
  <c r="L73" i="109"/>
  <c r="L69" i="109"/>
  <c r="J68" i="109"/>
  <c r="I67" i="109"/>
  <c r="E66" i="109"/>
  <c r="O75" i="109"/>
  <c r="I74" i="109"/>
  <c r="F73" i="109"/>
  <c r="L68" i="109"/>
  <c r="O66" i="109"/>
  <c r="H76" i="109"/>
  <c r="E75" i="109"/>
  <c r="O73" i="109"/>
  <c r="I69" i="109"/>
  <c r="K67" i="109"/>
  <c r="C66" i="109"/>
  <c r="Q76" i="109"/>
  <c r="F75" i="109"/>
  <c r="H73" i="109"/>
  <c r="G68" i="109"/>
  <c r="I66" i="109"/>
  <c r="M76" i="109"/>
  <c r="P74" i="109"/>
  <c r="P69" i="109"/>
  <c r="D68" i="109"/>
  <c r="O67" i="109"/>
  <c r="F76" i="109"/>
  <c r="H74" i="109"/>
  <c r="N69" i="109"/>
  <c r="E67" i="109"/>
  <c r="M74" i="109"/>
  <c r="C69" i="109"/>
  <c r="N68" i="109"/>
  <c r="Q67" i="109"/>
  <c r="O76" i="109"/>
  <c r="Q73" i="109"/>
  <c r="C67" i="109"/>
  <c r="R66" i="109"/>
  <c r="P75" i="109"/>
  <c r="G73" i="109"/>
  <c r="J66" i="109"/>
  <c r="G69" i="109"/>
  <c r="O68" i="109"/>
  <c r="J67" i="109"/>
  <c r="K66" i="109"/>
  <c r="M75" i="109"/>
  <c r="Q74" i="109"/>
  <c r="E68" i="109"/>
  <c r="O69" i="109"/>
  <c r="L55" i="108"/>
  <c r="D55" i="108"/>
  <c r="L54" i="108"/>
  <c r="D54" i="108"/>
  <c r="L53" i="108"/>
  <c r="D53" i="108"/>
  <c r="L52" i="108"/>
  <c r="D52" i="108"/>
  <c r="O55" i="108"/>
  <c r="F55" i="108"/>
  <c r="J54" i="108"/>
  <c r="O53" i="108"/>
  <c r="F53" i="108"/>
  <c r="J52" i="108"/>
  <c r="M55" i="108"/>
  <c r="N54" i="108"/>
  <c r="C54" i="108"/>
  <c r="N53" i="108"/>
  <c r="C53" i="108"/>
  <c r="O52" i="108"/>
  <c r="E52" i="108"/>
  <c r="I55" i="108"/>
  <c r="Q54" i="108"/>
  <c r="F54" i="108"/>
  <c r="M53" i="108"/>
  <c r="I52" i="108"/>
  <c r="P50" i="108"/>
  <c r="P55" i="108"/>
  <c r="C55" i="108"/>
  <c r="K54" i="108"/>
  <c r="H53" i="108"/>
  <c r="J55" i="108"/>
  <c r="I54" i="108"/>
  <c r="J53" i="108"/>
  <c r="M52" i="108"/>
  <c r="R55" i="108"/>
  <c r="R54" i="108"/>
  <c r="R53" i="108"/>
  <c r="R52" i="108"/>
  <c r="F52" i="108"/>
  <c r="N55" i="108"/>
  <c r="E54" i="108"/>
  <c r="P53" i="108"/>
  <c r="G52" i="108"/>
  <c r="E55" i="108"/>
  <c r="O54" i="108"/>
  <c r="E53" i="108"/>
  <c r="P52" i="108"/>
  <c r="G53" i="108"/>
  <c r="K52" i="108"/>
  <c r="C52" i="108"/>
  <c r="K55" i="108"/>
  <c r="P54" i="108"/>
  <c r="H55" i="108"/>
  <c r="G54" i="108"/>
  <c r="Q53" i="108"/>
  <c r="N52" i="108"/>
  <c r="G55" i="108"/>
  <c r="Q52" i="108"/>
  <c r="K53" i="108"/>
  <c r="H54" i="108"/>
  <c r="Q55" i="108"/>
  <c r="I53" i="108"/>
  <c r="AC73" i="100"/>
  <c r="AH78" i="100"/>
  <c r="AD82" i="100"/>
  <c r="AD85" i="100"/>
  <c r="AL85" i="100"/>
  <c r="AI87" i="100"/>
  <c r="AM91" i="100"/>
  <c r="AH92" i="100"/>
  <c r="AD93" i="100"/>
  <c r="AL93" i="100"/>
  <c r="AA94" i="100"/>
  <c r="AA96" i="100"/>
  <c r="AI96" i="100"/>
  <c r="AF97" i="100"/>
  <c r="AN97" i="100"/>
  <c r="AJ98" i="100"/>
  <c r="AF99" i="100"/>
  <c r="AN99" i="100"/>
  <c r="AN100" i="100"/>
  <c r="Y112" i="100"/>
  <c r="AA119" i="100"/>
  <c r="AI125" i="100"/>
  <c r="AC126" i="100"/>
  <c r="AG126" i="100"/>
  <c r="AC134" i="100"/>
  <c r="AC132" i="100"/>
  <c r="AG134" i="100"/>
  <c r="AG135" i="100"/>
  <c r="AK134" i="100"/>
  <c r="AB133" i="100"/>
  <c r="AF133" i="100"/>
  <c r="AJ133" i="100"/>
  <c r="AB137" i="100"/>
  <c r="AB136" i="100"/>
  <c r="AF136" i="100"/>
  <c r="AJ137" i="100"/>
  <c r="AN137" i="100"/>
  <c r="AN136" i="100"/>
  <c r="AH141" i="100"/>
  <c r="AC143" i="100"/>
  <c r="AB147" i="100"/>
  <c r="AF147" i="100"/>
  <c r="AJ147" i="100"/>
  <c r="Z148" i="100"/>
  <c r="Y151" i="100"/>
  <c r="AC152" i="100"/>
  <c r="AG152" i="100"/>
  <c r="AM152" i="100"/>
  <c r="AE152" i="100"/>
  <c r="AM153" i="100"/>
  <c r="AH157" i="100"/>
  <c r="AF165" i="100"/>
  <c r="AF164" i="100"/>
  <c r="AJ165" i="100"/>
  <c r="AJ164" i="100"/>
  <c r="AH173" i="100"/>
  <c r="AF181" i="100"/>
  <c r="AF180" i="100"/>
  <c r="AJ181" i="100"/>
  <c r="AJ180" i="100"/>
  <c r="AH189" i="100"/>
  <c r="AB196" i="100"/>
  <c r="AB199" i="100"/>
  <c r="AF196" i="100"/>
  <c r="AN196" i="100"/>
  <c r="AN198" i="100"/>
  <c r="AN199" i="100"/>
  <c r="AC199" i="100"/>
  <c r="AK199" i="100"/>
  <c r="Z206" i="100"/>
  <c r="AH206" i="100"/>
  <c r="Y207" i="100"/>
  <c r="AG207" i="100"/>
  <c r="AF208" i="100"/>
  <c r="AN208" i="100"/>
  <c r="AD210" i="100"/>
  <c r="AL210" i="100"/>
  <c r="AC211" i="100"/>
  <c r="AK211" i="100"/>
  <c r="AD212" i="100"/>
  <c r="Z214" i="100"/>
  <c r="AH214" i="100"/>
  <c r="AN215" i="100"/>
  <c r="AE217" i="100"/>
  <c r="AE220" i="100"/>
  <c r="AE219" i="100"/>
  <c r="AM217" i="100"/>
  <c r="AM220" i="100"/>
  <c r="AD218" i="100"/>
  <c r="AL218" i="100"/>
  <c r="AF218" i="100"/>
  <c r="AL220" i="100"/>
  <c r="AN222" i="100"/>
  <c r="AE227" i="100"/>
  <c r="AA229" i="100"/>
  <c r="AA230" i="100"/>
  <c r="AI229" i="100"/>
  <c r="Z236" i="100"/>
  <c r="AH236" i="100"/>
  <c r="AA237" i="100"/>
  <c r="AA238" i="100"/>
  <c r="AI237" i="100"/>
  <c r="AI238" i="100"/>
  <c r="AJ237" i="100"/>
  <c r="AI239" i="100"/>
  <c r="Y242" i="100"/>
  <c r="AG242" i="100"/>
  <c r="AA243" i="100"/>
  <c r="AI243" i="100"/>
  <c r="O246" i="100"/>
  <c r="AA248" i="100"/>
  <c r="AK253" i="100"/>
  <c r="AJ254" i="100"/>
  <c r="AD255" i="100"/>
  <c r="AL255" i="100"/>
  <c r="AJ255" i="100"/>
  <c r="AF257" i="100"/>
  <c r="AF260" i="100"/>
  <c r="AN260" i="100"/>
  <c r="AN258" i="100"/>
  <c r="AA260" i="100"/>
  <c r="AI260" i="100"/>
  <c r="AD260" i="100"/>
  <c r="AC261" i="100"/>
  <c r="AL262" i="100"/>
  <c r="Z265" i="100"/>
  <c r="AA266" i="100"/>
  <c r="AB267" i="100"/>
  <c r="AD270" i="100"/>
  <c r="AG273" i="100"/>
  <c r="Y274" i="100"/>
  <c r="Y275" i="100"/>
  <c r="AI275" i="100"/>
  <c r="AN278" i="100"/>
  <c r="AK282" i="100"/>
  <c r="AK281" i="100"/>
  <c r="AF287" i="100"/>
  <c r="AN287" i="100"/>
  <c r="Z290" i="100"/>
  <c r="Z289" i="100"/>
  <c r="AB291" i="100"/>
  <c r="AJ291" i="100"/>
  <c r="AA296" i="100"/>
  <c r="AD296" i="100"/>
  <c r="X36" i="111"/>
  <c r="AE39" i="111"/>
  <c r="W39" i="111"/>
  <c r="AH39" i="111"/>
  <c r="AH49" i="111"/>
  <c r="AE55" i="111"/>
  <c r="AG55" i="111"/>
  <c r="AC55" i="111"/>
  <c r="AA55" i="111"/>
  <c r="W55" i="111"/>
  <c r="X66" i="111"/>
  <c r="AF66" i="111"/>
  <c r="AJ66" i="111"/>
  <c r="AA75" i="111"/>
  <c r="AI75" i="111"/>
  <c r="AH81" i="111"/>
  <c r="AB89" i="111"/>
  <c r="AK89" i="111"/>
  <c r="X89" i="111"/>
  <c r="AC92" i="111"/>
  <c r="Z94" i="111"/>
  <c r="AG105" i="111"/>
  <c r="E74" i="109"/>
  <c r="AG34" i="110"/>
  <c r="Y34" i="110"/>
  <c r="AG33" i="110"/>
  <c r="Y33" i="110"/>
  <c r="AG32" i="110"/>
  <c r="Y32" i="110"/>
  <c r="AG31" i="110"/>
  <c r="Y31" i="110"/>
  <c r="AD34" i="110"/>
  <c r="U34" i="110"/>
  <c r="AI33" i="110"/>
  <c r="Z33" i="110"/>
  <c r="AD32" i="110"/>
  <c r="U32" i="110"/>
  <c r="AI31" i="110"/>
  <c r="Z31" i="110"/>
  <c r="AF34" i="110"/>
  <c r="V34" i="110"/>
  <c r="AF33" i="110"/>
  <c r="V33" i="110"/>
  <c r="AH32" i="110"/>
  <c r="W32" i="110"/>
  <c r="AH31" i="110"/>
  <c r="W31" i="110"/>
  <c r="AH29" i="110"/>
  <c r="AE34" i="110"/>
  <c r="AB33" i="110"/>
  <c r="AJ32" i="110"/>
  <c r="X32" i="110"/>
  <c r="AE31" i="110"/>
  <c r="Z34" i="110"/>
  <c r="AD33" i="110"/>
  <c r="AI32" i="110"/>
  <c r="AA31" i="110"/>
  <c r="AH34" i="110"/>
  <c r="AH33" i="110"/>
  <c r="AF32" i="110"/>
  <c r="AJ31" i="110"/>
  <c r="X34" i="110"/>
  <c r="X33" i="110"/>
  <c r="AA32" i="110"/>
  <c r="AB31" i="110"/>
  <c r="AA34" i="110"/>
  <c r="AB32" i="110"/>
  <c r="AJ34" i="110"/>
  <c r="AA33" i="110"/>
  <c r="AC31" i="110"/>
  <c r="AI34" i="110"/>
  <c r="U31" i="110"/>
  <c r="W33" i="110"/>
  <c r="AC32" i="110"/>
  <c r="AF31" i="110"/>
  <c r="AC34" i="110"/>
  <c r="AE33" i="110"/>
  <c r="Z32" i="110"/>
  <c r="V31" i="110"/>
  <c r="W34" i="110"/>
  <c r="U33" i="110"/>
  <c r="X31" i="110"/>
  <c r="V32" i="110"/>
  <c r="AC33" i="110"/>
  <c r="AB34" i="110"/>
  <c r="AE32" i="110"/>
  <c r="AJ33" i="110"/>
  <c r="AD61" i="100"/>
  <c r="AL61" i="100"/>
  <c r="AI63" i="100"/>
  <c r="AM67" i="100"/>
  <c r="AC81" i="100"/>
  <c r="AH86" i="100"/>
  <c r="AD90" i="100"/>
  <c r="AC94" i="100"/>
  <c r="AK94" i="100"/>
  <c r="AC95" i="100"/>
  <c r="Z97" i="100"/>
  <c r="AH97" i="100"/>
  <c r="AD100" i="100"/>
  <c r="Z101" i="100"/>
  <c r="AH101" i="100"/>
  <c r="AC119" i="100"/>
  <c r="AK119" i="100"/>
  <c r="AB123" i="100"/>
  <c r="AB125" i="100"/>
  <c r="AL126" i="100"/>
  <c r="Y137" i="100"/>
  <c r="AA151" i="100"/>
  <c r="AL152" i="100"/>
  <c r="AL153" i="100"/>
  <c r="Z152" i="100"/>
  <c r="Y153" i="100"/>
  <c r="AG154" i="100"/>
  <c r="AK154" i="100"/>
  <c r="AF155" i="100"/>
  <c r="AL155" i="100"/>
  <c r="AB157" i="100"/>
  <c r="AF157" i="100"/>
  <c r="AF156" i="100"/>
  <c r="AJ157" i="100"/>
  <c r="AJ156" i="100"/>
  <c r="AN157" i="100"/>
  <c r="AD156" i="100"/>
  <c r="AB167" i="100"/>
  <c r="AF167" i="100"/>
  <c r="AN167" i="100"/>
  <c r="AB173" i="100"/>
  <c r="AF173" i="100"/>
  <c r="AF172" i="100"/>
  <c r="AJ173" i="100"/>
  <c r="AJ172" i="100"/>
  <c r="AN173" i="100"/>
  <c r="AD172" i="100"/>
  <c r="AB183" i="100"/>
  <c r="AF183" i="100"/>
  <c r="AN183" i="100"/>
  <c r="AB189" i="100"/>
  <c r="AF189" i="100"/>
  <c r="AF188" i="100"/>
  <c r="AJ189" i="100"/>
  <c r="AJ188" i="100"/>
  <c r="AN189" i="100"/>
  <c r="AD188" i="100"/>
  <c r="AD205" i="100"/>
  <c r="AH205" i="100"/>
  <c r="AB205" i="100"/>
  <c r="AJ206" i="100"/>
  <c r="AD206" i="100"/>
  <c r="AI207" i="100"/>
  <c r="AF209" i="100"/>
  <c r="AK213" i="100"/>
  <c r="AB214" i="100"/>
  <c r="Z216" i="100"/>
  <c r="AH216" i="100"/>
  <c r="AG218" i="100"/>
  <c r="AN219" i="100"/>
  <c r="AF220" i="100"/>
  <c r="Z222" i="100"/>
  <c r="Z224" i="100"/>
  <c r="AH222" i="100"/>
  <c r="AH221" i="100"/>
  <c r="AA223" i="100"/>
  <c r="AI223" i="100"/>
  <c r="AC223" i="100"/>
  <c r="AD227" i="100"/>
  <c r="Y227" i="100"/>
  <c r="AG227" i="100"/>
  <c r="AA228" i="100"/>
  <c r="AI228" i="100"/>
  <c r="AC230" i="100"/>
  <c r="AK230" i="100"/>
  <c r="Z234" i="100"/>
  <c r="Z233" i="100"/>
  <c r="AH234" i="100"/>
  <c r="AD235" i="100"/>
  <c r="AB236" i="100"/>
  <c r="AJ236" i="100"/>
  <c r="AE236" i="100"/>
  <c r="AK239" i="100"/>
  <c r="AD238" i="100"/>
  <c r="AL240" i="100"/>
  <c r="AL237" i="100"/>
  <c r="AC243" i="100"/>
  <c r="AK243" i="100"/>
  <c r="Y246" i="100"/>
  <c r="AC248" i="100"/>
  <c r="AE249" i="100"/>
  <c r="L250" i="100"/>
  <c r="AE250" i="100"/>
  <c r="AM249" i="100"/>
  <c r="AM251" i="100"/>
  <c r="AI251" i="100"/>
  <c r="AL252" i="100"/>
  <c r="AF255" i="100"/>
  <c r="AN255" i="100"/>
  <c r="AH260" i="100"/>
  <c r="AM263" i="100"/>
  <c r="AA264" i="100"/>
  <c r="AI264" i="100"/>
  <c r="AA274" i="100"/>
  <c r="AF277" i="100"/>
  <c r="AF279" i="100"/>
  <c r="AJ280" i="100"/>
  <c r="AL283" i="100"/>
  <c r="AF284" i="100"/>
  <c r="Z286" i="100"/>
  <c r="AH286" i="100"/>
  <c r="AJ290" i="100"/>
  <c r="AJ289" i="100"/>
  <c r="AM292" i="100"/>
  <c r="AC296" i="100"/>
  <c r="AK296" i="100"/>
  <c r="AC11" i="111"/>
  <c r="X26" i="111"/>
  <c r="AG26" i="111"/>
  <c r="AA26" i="111"/>
  <c r="AJ36" i="111"/>
  <c r="W46" i="111"/>
  <c r="AE46" i="111"/>
  <c r="AG47" i="111"/>
  <c r="AK88" i="111"/>
  <c r="AC88" i="111"/>
  <c r="Z92" i="111"/>
  <c r="AH92" i="111"/>
  <c r="AI92" i="111"/>
  <c r="X101" i="111"/>
  <c r="AA101" i="111"/>
  <c r="AJ101" i="111"/>
  <c r="G76" i="109"/>
  <c r="H52" i="108"/>
  <c r="M54" i="108"/>
  <c r="AE27" i="110"/>
  <c r="W27" i="110"/>
  <c r="AE26" i="110"/>
  <c r="W26" i="110"/>
  <c r="AE25" i="110"/>
  <c r="W25" i="110"/>
  <c r="AE24" i="110"/>
  <c r="W24" i="110"/>
  <c r="AG27" i="110"/>
  <c r="X27" i="110"/>
  <c r="AB26" i="110"/>
  <c r="AG25" i="110"/>
  <c r="X25" i="110"/>
  <c r="AB24" i="110"/>
  <c r="AJ27" i="110"/>
  <c r="Z27" i="110"/>
  <c r="AC26" i="110"/>
  <c r="AF25" i="110"/>
  <c r="U25" i="110"/>
  <c r="AI24" i="110"/>
  <c r="Y24" i="110"/>
  <c r="AA27" i="110"/>
  <c r="AA26" i="110"/>
  <c r="AC25" i="110"/>
  <c r="AD24" i="110"/>
  <c r="AC27" i="110"/>
  <c r="AD26" i="110"/>
  <c r="AB25" i="110"/>
  <c r="AA24" i="110"/>
  <c r="AI27" i="110"/>
  <c r="U27" i="110"/>
  <c r="AI26" i="110"/>
  <c r="V26" i="110"/>
  <c r="AJ25" i="110"/>
  <c r="V25" i="110"/>
  <c r="AH24" i="110"/>
  <c r="U24" i="110"/>
  <c r="AH22" i="110"/>
  <c r="AG26" i="110"/>
  <c r="Z25" i="110"/>
  <c r="AJ24" i="110"/>
  <c r="AD27" i="110"/>
  <c r="X26" i="110"/>
  <c r="AI25" i="110"/>
  <c r="Z24" i="110"/>
  <c r="Y26" i="110"/>
  <c r="AH25" i="110"/>
  <c r="Y27" i="110"/>
  <c r="AJ26" i="110"/>
  <c r="AC24" i="110"/>
  <c r="X24" i="110"/>
  <c r="AF27" i="110"/>
  <c r="V27" i="110"/>
  <c r="AF26" i="110"/>
  <c r="AB27" i="110"/>
  <c r="Z26" i="110"/>
  <c r="AD25" i="110"/>
  <c r="Y25" i="110"/>
  <c r="AF24" i="110"/>
  <c r="AG24" i="110"/>
  <c r="AH27" i="110"/>
  <c r="U26" i="110"/>
  <c r="AH26" i="110"/>
  <c r="V24" i="110"/>
  <c r="AH62" i="100"/>
  <c r="AD66" i="100"/>
  <c r="AD69" i="100"/>
  <c r="AL69" i="100"/>
  <c r="AI71" i="100"/>
  <c r="AM75" i="100"/>
  <c r="AC89" i="100"/>
  <c r="AA93" i="100"/>
  <c r="Z93" i="100"/>
  <c r="AE94" i="100"/>
  <c r="AM96" i="100"/>
  <c r="AM97" i="100"/>
  <c r="AF98" i="100"/>
  <c r="AE112" i="100"/>
  <c r="AI112" i="100"/>
  <c r="AM112" i="100"/>
  <c r="AL123" i="100"/>
  <c r="AG125" i="100"/>
  <c r="AK125" i="100"/>
  <c r="AA126" i="100"/>
  <c r="AE129" i="100"/>
  <c r="AM129" i="100"/>
  <c r="AA132" i="100"/>
  <c r="AE132" i="100"/>
  <c r="AL137" i="100"/>
  <c r="Y142" i="100"/>
  <c r="AB148" i="100"/>
  <c r="AB151" i="100"/>
  <c r="AN148" i="100"/>
  <c r="AN150" i="100"/>
  <c r="AN151" i="100"/>
  <c r="AC151" i="100"/>
  <c r="AK151" i="100"/>
  <c r="AA153" i="100"/>
  <c r="AI153" i="100"/>
  <c r="AE153" i="100"/>
  <c r="AB154" i="100"/>
  <c r="Z155" i="100"/>
  <c r="AH156" i="100"/>
  <c r="AB163" i="100"/>
  <c r="AF163" i="100"/>
  <c r="AJ163" i="100"/>
  <c r="Z164" i="100"/>
  <c r="AD167" i="100"/>
  <c r="AL167" i="100"/>
  <c r="AL164" i="100"/>
  <c r="AH172" i="100"/>
  <c r="AB179" i="100"/>
  <c r="AF179" i="100"/>
  <c r="AJ179" i="100"/>
  <c r="Z180" i="100"/>
  <c r="AD183" i="100"/>
  <c r="AL183" i="100"/>
  <c r="AL180" i="100"/>
  <c r="AH188" i="100"/>
  <c r="AB195" i="100"/>
  <c r="AF195" i="100"/>
  <c r="AJ195" i="100"/>
  <c r="AD196" i="100"/>
  <c r="AL199" i="100"/>
  <c r="Y199" i="100"/>
  <c r="AF205" i="100"/>
  <c r="AL206" i="100"/>
  <c r="AB208" i="100"/>
  <c r="AJ209" i="100"/>
  <c r="AB209" i="100"/>
  <c r="Z210" i="100"/>
  <c r="AF212" i="100"/>
  <c r="AN212" i="100"/>
  <c r="AE216" i="100"/>
  <c r="AM213" i="100"/>
  <c r="AD214" i="100"/>
  <c r="AL214" i="100"/>
  <c r="AB215" i="100"/>
  <c r="Z218" i="100"/>
  <c r="AH218" i="100"/>
  <c r="Y218" i="100"/>
  <c r="AH219" i="100"/>
  <c r="Z220" i="100"/>
  <c r="AJ221" i="100"/>
  <c r="AJ224" i="100"/>
  <c r="AB222" i="100"/>
  <c r="AJ223" i="100"/>
  <c r="Z226" i="100"/>
  <c r="Z225" i="100"/>
  <c r="Z227" i="100"/>
  <c r="AA227" i="100"/>
  <c r="AI227" i="100"/>
  <c r="AM229" i="100"/>
  <c r="AM230" i="100"/>
  <c r="AA236" i="100"/>
  <c r="AA234" i="100"/>
  <c r="AL236" i="100"/>
  <c r="AI236" i="100"/>
  <c r="AN238" i="100"/>
  <c r="AC242" i="100"/>
  <c r="AK242" i="100"/>
  <c r="AE243" i="100"/>
  <c r="G247" i="100"/>
  <c r="Z247" i="100"/>
  <c r="G246" i="100"/>
  <c r="AJ247" i="100"/>
  <c r="AM248" i="100"/>
  <c r="AG249" i="100"/>
  <c r="F251" i="100"/>
  <c r="AA251" i="100" s="1"/>
  <c r="AG254" i="100"/>
  <c r="AG253" i="100"/>
  <c r="AA256" i="100"/>
  <c r="AM260" i="100"/>
  <c r="Y264" i="100"/>
  <c r="AG264" i="100"/>
  <c r="AG261" i="100"/>
  <c r="AK264" i="100"/>
  <c r="AL267" i="100"/>
  <c r="AN267" i="100"/>
  <c r="AF268" i="100"/>
  <c r="Z270" i="100"/>
  <c r="AH270" i="100"/>
  <c r="AI273" i="100"/>
  <c r="AM275" i="100"/>
  <c r="AB277" i="100"/>
  <c r="AB286" i="100"/>
  <c r="AD291" i="100"/>
  <c r="AD292" i="100"/>
  <c r="Y292" i="100"/>
  <c r="AG292" i="100"/>
  <c r="AJ294" i="100"/>
  <c r="AJ293" i="100"/>
  <c r="AE296" i="100"/>
  <c r="AM296" i="100"/>
  <c r="Y21" i="111"/>
  <c r="AB26" i="111"/>
  <c r="AK49" i="111"/>
  <c r="AC49" i="111"/>
  <c r="Y49" i="111"/>
  <c r="AB70" i="111"/>
  <c r="AK70" i="111"/>
  <c r="AF88" i="111"/>
  <c r="Y88" i="111"/>
  <c r="AB92" i="111"/>
  <c r="AJ92" i="111"/>
  <c r="AE94" i="111"/>
  <c r="AH94" i="111"/>
  <c r="AC94" i="111"/>
  <c r="AA94" i="111"/>
  <c r="AB101" i="111"/>
  <c r="AC105" i="111"/>
  <c r="AH107" i="111"/>
  <c r="W107" i="111"/>
  <c r="AJ107" i="111"/>
  <c r="AE20" i="102"/>
  <c r="W20" i="102"/>
  <c r="AE19" i="102"/>
  <c r="W19" i="102"/>
  <c r="AE18" i="102"/>
  <c r="W18" i="102"/>
  <c r="AE17" i="102"/>
  <c r="W17" i="102"/>
  <c r="AF20" i="102"/>
  <c r="V20" i="102"/>
  <c r="AJ19" i="102"/>
  <c r="AA19" i="102"/>
  <c r="AF18" i="102"/>
  <c r="V18" i="102"/>
  <c r="AJ17" i="102"/>
  <c r="AA17" i="102"/>
  <c r="AJ20" i="102"/>
  <c r="AA20" i="102"/>
  <c r="AF19" i="102"/>
  <c r="V19" i="102"/>
  <c r="AJ18" i="102"/>
  <c r="AA18" i="102"/>
  <c r="AF17" i="102"/>
  <c r="V17" i="102"/>
  <c r="Y15" i="102"/>
  <c r="Y20" i="102"/>
  <c r="AG19" i="102"/>
  <c r="AB18" i="102"/>
  <c r="AI17" i="102"/>
  <c r="X17" i="102"/>
  <c r="AD20" i="102"/>
  <c r="Z19" i="102"/>
  <c r="AH18" i="102"/>
  <c r="U18" i="102"/>
  <c r="AC17" i="102"/>
  <c r="AI20" i="102"/>
  <c r="AI19" i="102"/>
  <c r="AI18" i="102"/>
  <c r="AH17" i="102"/>
  <c r="AG20" i="102"/>
  <c r="AB19" i="102"/>
  <c r="X18" i="102"/>
  <c r="AB20" i="102"/>
  <c r="X19" i="102"/>
  <c r="AD17" i="102"/>
  <c r="X20" i="102"/>
  <c r="AD18" i="102"/>
  <c r="Z17" i="102"/>
  <c r="AG17" i="102"/>
  <c r="AC18" i="102"/>
  <c r="AC19" i="102"/>
  <c r="Z20" i="102"/>
  <c r="AE221" i="100"/>
  <c r="AM221" i="100"/>
  <c r="AM222" i="100"/>
  <c r="AC222" i="100"/>
  <c r="AF224" i="100"/>
  <c r="AN224" i="100"/>
  <c r="AL225" i="100"/>
  <c r="AN228" i="100"/>
  <c r="AD229" i="100"/>
  <c r="AI234" i="100"/>
  <c r="AB241" i="100"/>
  <c r="Z246" i="100"/>
  <c r="Z250" i="100"/>
  <c r="AF251" i="100"/>
  <c r="AE252" i="100"/>
  <c r="Y255" i="100"/>
  <c r="AG255" i="100"/>
  <c r="AC260" i="100"/>
  <c r="AK260" i="100"/>
  <c r="AK257" i="100"/>
  <c r="AC257" i="100"/>
  <c r="AN259" i="100"/>
  <c r="AN263" i="100"/>
  <c r="AA267" i="100"/>
  <c r="AI265" i="100"/>
  <c r="AA265" i="100"/>
  <c r="Y266" i="100"/>
  <c r="Y265" i="100"/>
  <c r="AA269" i="100"/>
  <c r="AI269" i="100"/>
  <c r="AI271" i="100"/>
  <c r="AC272" i="100"/>
  <c r="AA273" i="100"/>
  <c r="AF275" i="100"/>
  <c r="Z277" i="100"/>
  <c r="AG281" i="100"/>
  <c r="AC283" i="100"/>
  <c r="AK283" i="100"/>
  <c r="AM286" i="100"/>
  <c r="AK287" i="100"/>
  <c r="AG289" i="100"/>
  <c r="W9" i="111"/>
  <c r="AE9" i="111"/>
  <c r="X10" i="111"/>
  <c r="AB10" i="111"/>
  <c r="AA13" i="111"/>
  <c r="AC16" i="111"/>
  <c r="W26" i="111"/>
  <c r="AE26" i="111"/>
  <c r="W27" i="111"/>
  <c r="AE27" i="111"/>
  <c r="X47" i="111"/>
  <c r="AJ50" i="111"/>
  <c r="AI66" i="111"/>
  <c r="W70" i="111"/>
  <c r="AE70" i="111"/>
  <c r="X75" i="111"/>
  <c r="AK77" i="111"/>
  <c r="AE77" i="111"/>
  <c r="AI77" i="111"/>
  <c r="X88" i="111"/>
  <c r="W89" i="111"/>
  <c r="Y94" i="111"/>
  <c r="AI96" i="111"/>
  <c r="AK100" i="111"/>
  <c r="AC101" i="111"/>
  <c r="AM135" i="100"/>
  <c r="AA138" i="100"/>
  <c r="AE138" i="100"/>
  <c r="AM142" i="100"/>
  <c r="AB143" i="100"/>
  <c r="AF143" i="100"/>
  <c r="AE143" i="100"/>
  <c r="AE150" i="100"/>
  <c r="AI150" i="100"/>
  <c r="AH153" i="100"/>
  <c r="AN154" i="100"/>
  <c r="AB155" i="100"/>
  <c r="AE198" i="100"/>
  <c r="AI198" i="100"/>
  <c r="AK205" i="100"/>
  <c r="AG206" i="100"/>
  <c r="Z208" i="100"/>
  <c r="AM210" i="100"/>
  <c r="AM211" i="100"/>
  <c r="AB212" i="100"/>
  <c r="AJ212" i="100"/>
  <c r="AC214" i="100"/>
  <c r="Y215" i="100"/>
  <c r="AG215" i="100"/>
  <c r="AD216" i="100"/>
  <c r="AA217" i="100"/>
  <c r="AA220" i="100"/>
  <c r="Y224" i="100"/>
  <c r="Y221" i="100"/>
  <c r="AG224" i="100"/>
  <c r="AE222" i="100"/>
  <c r="AG222" i="100"/>
  <c r="AJ225" i="100"/>
  <c r="AD226" i="100"/>
  <c r="AL226" i="100"/>
  <c r="AJ227" i="100"/>
  <c r="AH228" i="100"/>
  <c r="AJ229" i="100"/>
  <c r="AL229" i="100"/>
  <c r="AJ231" i="100"/>
  <c r="AE233" i="100"/>
  <c r="AM233" i="100"/>
  <c r="AC234" i="100"/>
  <c r="AE234" i="100"/>
  <c r="AA235" i="100"/>
  <c r="AM236" i="100"/>
  <c r="AE237" i="100"/>
  <c r="AM237" i="100"/>
  <c r="AM238" i="100"/>
  <c r="AC238" i="100"/>
  <c r="AF240" i="100"/>
  <c r="AN240" i="100"/>
  <c r="AL241" i="100"/>
  <c r="Z243" i="100"/>
  <c r="AN244" i="100"/>
  <c r="AD246" i="100"/>
  <c r="AL246" i="100"/>
  <c r="AF248" i="100"/>
  <c r="AN248" i="100"/>
  <c r="S250" i="100"/>
  <c r="AL249" i="100"/>
  <c r="AL251" i="100"/>
  <c r="Y252" i="100"/>
  <c r="AA255" i="100"/>
  <c r="AE257" i="100"/>
  <c r="AE258" i="100"/>
  <c r="AM257" i="100"/>
  <c r="Z259" i="100"/>
  <c r="AH259" i="100"/>
  <c r="AL261" i="100"/>
  <c r="AC265" i="100"/>
  <c r="AK268" i="100"/>
  <c r="AA270" i="100"/>
  <c r="Y271" i="100"/>
  <c r="AG271" i="100"/>
  <c r="AE272" i="100"/>
  <c r="AM272" i="100"/>
  <c r="AC276" i="100"/>
  <c r="AK276" i="100"/>
  <c r="AK273" i="100"/>
  <c r="AC273" i="100"/>
  <c r="AN275" i="100"/>
  <c r="AF276" i="100"/>
  <c r="AN279" i="100"/>
  <c r="AA283" i="100"/>
  <c r="AI281" i="100"/>
  <c r="AA281" i="100"/>
  <c r="Y282" i="100"/>
  <c r="Y281" i="100"/>
  <c r="AG282" i="100"/>
  <c r="AA285" i="100"/>
  <c r="AI285" i="100"/>
  <c r="AI287" i="100"/>
  <c r="AC288" i="100"/>
  <c r="AA289" i="100"/>
  <c r="AF291" i="100"/>
  <c r="Z293" i="100"/>
  <c r="AF295" i="100"/>
  <c r="Z10" i="111"/>
  <c r="AE16" i="111"/>
  <c r="Y26" i="111"/>
  <c r="AB34" i="111"/>
  <c r="AF34" i="111"/>
  <c r="AJ34" i="111"/>
  <c r="Y36" i="111"/>
  <c r="AG36" i="111"/>
  <c r="AA46" i="111"/>
  <c r="AI46" i="111"/>
  <c r="Z47" i="111"/>
  <c r="X50" i="111"/>
  <c r="Y55" i="111"/>
  <c r="AI61" i="111"/>
  <c r="AC66" i="111"/>
  <c r="AG70" i="111"/>
  <c r="Z75" i="111"/>
  <c r="AF77" i="111"/>
  <c r="W81" i="111"/>
  <c r="Z88" i="111"/>
  <c r="AG89" i="111"/>
  <c r="AI94" i="111"/>
  <c r="X96" i="111"/>
  <c r="Y100" i="111"/>
  <c r="W101" i="111"/>
  <c r="AE101" i="111"/>
  <c r="W102" i="111"/>
  <c r="AA102" i="111"/>
  <c r="AA104" i="111"/>
  <c r="AE107" i="111"/>
  <c r="AE34" i="102"/>
  <c r="W34" i="102"/>
  <c r="AE33" i="102"/>
  <c r="W33" i="102"/>
  <c r="AE32" i="102"/>
  <c r="W32" i="102"/>
  <c r="AE31" i="102"/>
  <c r="W31" i="102"/>
  <c r="AF34" i="102"/>
  <c r="V34" i="102"/>
  <c r="AJ33" i="102"/>
  <c r="AA33" i="102"/>
  <c r="AF32" i="102"/>
  <c r="V32" i="102"/>
  <c r="AJ31" i="102"/>
  <c r="AA31" i="102"/>
  <c r="AJ34" i="102"/>
  <c r="AA34" i="102"/>
  <c r="AF33" i="102"/>
  <c r="V33" i="102"/>
  <c r="AJ32" i="102"/>
  <c r="AA32" i="102"/>
  <c r="AF31" i="102"/>
  <c r="V31" i="102"/>
  <c r="Y29" i="102"/>
  <c r="Z34" i="102"/>
  <c r="AH33" i="102"/>
  <c r="U33" i="102"/>
  <c r="AC32" i="102"/>
  <c r="Y31" i="102"/>
  <c r="AG34" i="102"/>
  <c r="AB33" i="102"/>
  <c r="AI32" i="102"/>
  <c r="X32" i="102"/>
  <c r="AD31" i="102"/>
  <c r="X34" i="102"/>
  <c r="Z33" i="102"/>
  <c r="AB32" i="102"/>
  <c r="AC31" i="102"/>
  <c r="AB34" i="102"/>
  <c r="AC33" i="102"/>
  <c r="Z32" i="102"/>
  <c r="Z31" i="102"/>
  <c r="U34" i="102"/>
  <c r="X33" i="102"/>
  <c r="U32" i="102"/>
  <c r="U31" i="102"/>
  <c r="AD33" i="102"/>
  <c r="AH34" i="102"/>
  <c r="R20" i="107"/>
  <c r="J20" i="107"/>
  <c r="R19" i="107"/>
  <c r="J19" i="107"/>
  <c r="R18" i="107"/>
  <c r="J18" i="107"/>
  <c r="R17" i="107"/>
  <c r="J17" i="107"/>
  <c r="L20" i="107"/>
  <c r="C20" i="107"/>
  <c r="P19" i="107"/>
  <c r="G19" i="107"/>
  <c r="L18" i="107"/>
  <c r="C18" i="107"/>
  <c r="P17" i="107"/>
  <c r="G17" i="107"/>
  <c r="M20" i="107"/>
  <c r="M19" i="107"/>
  <c r="C19" i="107"/>
  <c r="N18" i="107"/>
  <c r="D18" i="107"/>
  <c r="N17" i="107"/>
  <c r="D17" i="107"/>
  <c r="K20" i="107"/>
  <c r="H19" i="107"/>
  <c r="P18" i="107"/>
  <c r="E18" i="107"/>
  <c r="L17" i="107"/>
  <c r="P15" i="107"/>
  <c r="Q20" i="107"/>
  <c r="F20" i="107"/>
  <c r="N19" i="107"/>
  <c r="I18" i="107"/>
  <c r="F17" i="107"/>
  <c r="D20" i="107"/>
  <c r="D19" i="107"/>
  <c r="C17" i="107"/>
  <c r="I20" i="107"/>
  <c r="K19" i="107"/>
  <c r="K18" i="107"/>
  <c r="K17" i="107"/>
  <c r="P20" i="107"/>
  <c r="F19" i="107"/>
  <c r="Q18" i="107"/>
  <c r="H17" i="107"/>
  <c r="N20" i="107"/>
  <c r="M18" i="107"/>
  <c r="G20" i="107"/>
  <c r="Q19" i="107"/>
  <c r="G18" i="107"/>
  <c r="Q17" i="107"/>
  <c r="O20" i="107"/>
  <c r="O19" i="107"/>
  <c r="E20" i="107"/>
  <c r="I19" i="107"/>
  <c r="H18" i="107"/>
  <c r="M17" i="107"/>
  <c r="E17" i="107"/>
  <c r="E19" i="107"/>
  <c r="AI93" i="100"/>
  <c r="AE97" i="100"/>
  <c r="AJ102" i="100"/>
  <c r="AC109" i="100"/>
  <c r="AM111" i="100"/>
  <c r="AA114" i="100"/>
  <c r="AI114" i="100"/>
  <c r="AB115" i="100"/>
  <c r="AF115" i="100"/>
  <c r="Z118" i="100"/>
  <c r="AF119" i="100"/>
  <c r="AA122" i="100"/>
  <c r="AE122" i="100"/>
  <c r="AD131" i="100"/>
  <c r="AD130" i="100"/>
  <c r="AD128" i="100"/>
  <c r="Y133" i="100"/>
  <c r="AG133" i="100"/>
  <c r="AK133" i="100"/>
  <c r="Y135" i="100"/>
  <c r="Z137" i="100"/>
  <c r="AJ138" i="100"/>
  <c r="AN138" i="100"/>
  <c r="Z139" i="100"/>
  <c r="AD139" i="100"/>
  <c r="AF141" i="100"/>
  <c r="AF140" i="100"/>
  <c r="AJ141" i="100"/>
  <c r="AJ140" i="100"/>
  <c r="AH149" i="100"/>
  <c r="AJ151" i="100"/>
  <c r="AJ199" i="100"/>
  <c r="AM207" i="100"/>
  <c r="AK210" i="100"/>
  <c r="Y211" i="100"/>
  <c r="AI215" i="100"/>
  <c r="AF216" i="100"/>
  <c r="AN216" i="100"/>
  <c r="AC220" i="100"/>
  <c r="AK220" i="100"/>
  <c r="AC217" i="100"/>
  <c r="AK218" i="100"/>
  <c r="AM219" i="100"/>
  <c r="AA221" i="100"/>
  <c r="AI221" i="100"/>
  <c r="AI222" i="100"/>
  <c r="AH225" i="100"/>
  <c r="AF226" i="100"/>
  <c r="AB228" i="100"/>
  <c r="AJ228" i="100"/>
  <c r="Z231" i="100"/>
  <c r="AD231" i="100"/>
  <c r="AB232" i="100"/>
  <c r="Y233" i="100"/>
  <c r="AC235" i="100"/>
  <c r="AK235" i="100"/>
  <c r="Y240" i="100"/>
  <c r="Y237" i="100"/>
  <c r="AG240" i="100"/>
  <c r="AE238" i="100"/>
  <c r="AG238" i="100"/>
  <c r="AD242" i="100"/>
  <c r="AL242" i="100"/>
  <c r="AJ243" i="100"/>
  <c r="AH244" i="100"/>
  <c r="AH246" i="100"/>
  <c r="Y247" i="100"/>
  <c r="AH248" i="100"/>
  <c r="Z251" i="100"/>
  <c r="AI252" i="100"/>
  <c r="Y256" i="100"/>
  <c r="AM254" i="100"/>
  <c r="AK255" i="100"/>
  <c r="AI256" i="100"/>
  <c r="AG257" i="100"/>
  <c r="AJ257" i="100"/>
  <c r="AF261" i="100"/>
  <c r="AJ261" i="100"/>
  <c r="AE265" i="100"/>
  <c r="AM265" i="100"/>
  <c r="AM266" i="100"/>
  <c r="AE266" i="100"/>
  <c r="Y268" i="100"/>
  <c r="AG269" i="100"/>
  <c r="AA271" i="100"/>
  <c r="AE273" i="100"/>
  <c r="AE274" i="100"/>
  <c r="AM273" i="100"/>
  <c r="AJ274" i="100"/>
  <c r="Z275" i="100"/>
  <c r="AH275" i="100"/>
  <c r="AL277" i="100"/>
  <c r="AJ278" i="100"/>
  <c r="Z279" i="100"/>
  <c r="AC281" i="100"/>
  <c r="AK284" i="100"/>
  <c r="AE284" i="100"/>
  <c r="AA286" i="100"/>
  <c r="Y287" i="100"/>
  <c r="AG287" i="100"/>
  <c r="AE288" i="100"/>
  <c r="AM288" i="100"/>
  <c r="AC292" i="100"/>
  <c r="AK292" i="100"/>
  <c r="AK289" i="100"/>
  <c r="AC289" i="100"/>
  <c r="AN291" i="100"/>
  <c r="AF292" i="100"/>
  <c r="AN295" i="100"/>
  <c r="Y11" i="111"/>
  <c r="AG11" i="111"/>
  <c r="AE13" i="111"/>
  <c r="AJ14" i="111"/>
  <c r="Y16" i="111"/>
  <c r="AG16" i="111"/>
  <c r="Z17" i="111"/>
  <c r="AI26" i="111"/>
  <c r="Z27" i="111"/>
  <c r="X33" i="111"/>
  <c r="Y33" i="111"/>
  <c r="X34" i="111"/>
  <c r="AI36" i="111"/>
  <c r="AI41" i="111"/>
  <c r="AG45" i="111"/>
  <c r="AC45" i="111"/>
  <c r="AK45" i="111"/>
  <c r="AC46" i="111"/>
  <c r="AB47" i="111"/>
  <c r="AI55" i="111"/>
  <c r="AF61" i="111"/>
  <c r="W66" i="111"/>
  <c r="AE66" i="111"/>
  <c r="AA70" i="111"/>
  <c r="AI70" i="111"/>
  <c r="AG73" i="111"/>
  <c r="AE73" i="111"/>
  <c r="AJ75" i="111"/>
  <c r="Z77" i="111"/>
  <c r="AC77" i="111"/>
  <c r="AA89" i="111"/>
  <c r="AI89" i="111"/>
  <c r="X91" i="111"/>
  <c r="Z91" i="111"/>
  <c r="Z96" i="111"/>
  <c r="Z100" i="111"/>
  <c r="AH100" i="111"/>
  <c r="Y101" i="111"/>
  <c r="Y102" i="111"/>
  <c r="Y107" i="111"/>
  <c r="AG107" i="111"/>
  <c r="AD32" i="102"/>
  <c r="AI33" i="102"/>
  <c r="Q41" i="102"/>
  <c r="I41" i="102"/>
  <c r="Q40" i="102"/>
  <c r="I40" i="102"/>
  <c r="Q39" i="102"/>
  <c r="I39" i="102"/>
  <c r="Q38" i="102"/>
  <c r="I38" i="102"/>
  <c r="O41" i="102"/>
  <c r="F41" i="102"/>
  <c r="K40" i="102"/>
  <c r="O39" i="102"/>
  <c r="F39" i="102"/>
  <c r="K38" i="102"/>
  <c r="K41" i="102"/>
  <c r="O40" i="102"/>
  <c r="F40" i="102"/>
  <c r="K39" i="102"/>
  <c r="O38" i="102"/>
  <c r="F38" i="102"/>
  <c r="R41" i="102"/>
  <c r="E41" i="102"/>
  <c r="G40" i="102"/>
  <c r="H39" i="102"/>
  <c r="J38" i="102"/>
  <c r="P36" i="102"/>
  <c r="L41" i="102"/>
  <c r="M40" i="102"/>
  <c r="N39" i="102"/>
  <c r="C39" i="102"/>
  <c r="P38" i="102"/>
  <c r="D38" i="102"/>
  <c r="H41" i="102"/>
  <c r="E40" i="102"/>
  <c r="D39" i="102"/>
  <c r="N38" i="102"/>
  <c r="C41" i="102"/>
  <c r="P40" i="102"/>
  <c r="L39" i="102"/>
  <c r="C38" i="102"/>
  <c r="P41" i="102"/>
  <c r="L40" i="102"/>
  <c r="G39" i="102"/>
  <c r="R38" i="102"/>
  <c r="M39" i="102"/>
  <c r="M41" i="102"/>
  <c r="M48" i="102"/>
  <c r="E48" i="102"/>
  <c r="M47" i="102"/>
  <c r="E47" i="102"/>
  <c r="M46" i="102"/>
  <c r="E46" i="102"/>
  <c r="M45" i="102"/>
  <c r="E45" i="102"/>
  <c r="K48" i="102"/>
  <c r="P47" i="102"/>
  <c r="G47" i="102"/>
  <c r="K46" i="102"/>
  <c r="P45" i="102"/>
  <c r="G45" i="102"/>
  <c r="P48" i="102"/>
  <c r="G48" i="102"/>
  <c r="K47" i="102"/>
  <c r="P46" i="102"/>
  <c r="G46" i="102"/>
  <c r="K45" i="102"/>
  <c r="N48" i="102"/>
  <c r="I47" i="102"/>
  <c r="Q46" i="102"/>
  <c r="D46" i="102"/>
  <c r="L45" i="102"/>
  <c r="P43" i="102"/>
  <c r="H48" i="102"/>
  <c r="O47" i="102"/>
  <c r="C47" i="102"/>
  <c r="J46" i="102"/>
  <c r="R45" i="102"/>
  <c r="F45" i="102"/>
  <c r="J48" i="102"/>
  <c r="J47" i="102"/>
  <c r="I46" i="102"/>
  <c r="I45" i="102"/>
  <c r="C48" i="102"/>
  <c r="Q47" i="102"/>
  <c r="L46" i="102"/>
  <c r="D45" i="102"/>
  <c r="Q48" i="102"/>
  <c r="L47" i="102"/>
  <c r="F46" i="102"/>
  <c r="N46" i="102"/>
  <c r="R48" i="102"/>
  <c r="I17" i="107"/>
  <c r="O18" i="107"/>
  <c r="N13" i="107"/>
  <c r="F13" i="107"/>
  <c r="N12" i="107"/>
  <c r="F12" i="107"/>
  <c r="N11" i="107"/>
  <c r="F11" i="107"/>
  <c r="N10" i="107"/>
  <c r="F10" i="107"/>
  <c r="P13" i="107"/>
  <c r="G13" i="107"/>
  <c r="K12" i="107"/>
  <c r="P11" i="107"/>
  <c r="G11" i="107"/>
  <c r="K10" i="107"/>
  <c r="I13" i="107"/>
  <c r="I12" i="107"/>
  <c r="J11" i="107"/>
  <c r="J10" i="107"/>
  <c r="P8" i="107"/>
  <c r="L13" i="107"/>
  <c r="H12" i="107"/>
  <c r="Q11" i="107"/>
  <c r="D11" i="107"/>
  <c r="M10" i="107"/>
  <c r="R13" i="107"/>
  <c r="E13" i="107"/>
  <c r="O12" i="107"/>
  <c r="C12" i="107"/>
  <c r="K11" i="107"/>
  <c r="R10" i="107"/>
  <c r="G10" i="107"/>
  <c r="J13" i="107"/>
  <c r="L12" i="107"/>
  <c r="M11" i="107"/>
  <c r="P10" i="107"/>
  <c r="Q13" i="107"/>
  <c r="R12" i="107"/>
  <c r="D12" i="107"/>
  <c r="E11" i="107"/>
  <c r="H10" i="107"/>
  <c r="H13" i="107"/>
  <c r="E12" i="107"/>
  <c r="C13" i="107"/>
  <c r="R11" i="107"/>
  <c r="O10" i="107"/>
  <c r="P12" i="107"/>
  <c r="L11" i="107"/>
  <c r="I10" i="107"/>
  <c r="C11" i="107"/>
  <c r="Q12" i="107"/>
  <c r="R48" i="107"/>
  <c r="J48" i="107"/>
  <c r="R47" i="107"/>
  <c r="J47" i="107"/>
  <c r="R46" i="107"/>
  <c r="J46" i="107"/>
  <c r="R45" i="107"/>
  <c r="J45" i="107"/>
  <c r="N48" i="107"/>
  <c r="E48" i="107"/>
  <c r="I47" i="107"/>
  <c r="N46" i="107"/>
  <c r="E46" i="107"/>
  <c r="I45" i="107"/>
  <c r="P43" i="107"/>
  <c r="P48" i="107"/>
  <c r="F48" i="107"/>
  <c r="P47" i="107"/>
  <c r="F47" i="107"/>
  <c r="Q46" i="107"/>
  <c r="G46" i="107"/>
  <c r="Q45" i="107"/>
  <c r="G45" i="107"/>
  <c r="L48" i="107"/>
  <c r="H47" i="107"/>
  <c r="P46" i="107"/>
  <c r="D46" i="107"/>
  <c r="M45" i="107"/>
  <c r="G48" i="107"/>
  <c r="N47" i="107"/>
  <c r="C47" i="107"/>
  <c r="K46" i="107"/>
  <c r="F45" i="107"/>
  <c r="H48" i="107"/>
  <c r="K47" i="107"/>
  <c r="L46" i="107"/>
  <c r="O45" i="107"/>
  <c r="O48" i="107"/>
  <c r="Q47" i="107"/>
  <c r="C46" i="107"/>
  <c r="H45" i="107"/>
  <c r="O47" i="107"/>
  <c r="O46" i="107"/>
  <c r="N45" i="107"/>
  <c r="M48" i="107"/>
  <c r="L47" i="107"/>
  <c r="I46" i="107"/>
  <c r="K45" i="107"/>
  <c r="I48" i="107"/>
  <c r="E47" i="107"/>
  <c r="F46" i="107"/>
  <c r="D45" i="107"/>
  <c r="H46" i="107"/>
  <c r="C48" i="107"/>
  <c r="K20" i="110"/>
  <c r="C20" i="110"/>
  <c r="K19" i="110"/>
  <c r="C19" i="110"/>
  <c r="J20" i="110"/>
  <c r="O19" i="110"/>
  <c r="F19" i="110"/>
  <c r="K18" i="110"/>
  <c r="C18" i="110"/>
  <c r="K17" i="110"/>
  <c r="C17" i="110"/>
  <c r="N20" i="110"/>
  <c r="D20" i="110"/>
  <c r="N19" i="110"/>
  <c r="D19" i="110"/>
  <c r="O18" i="110"/>
  <c r="F18" i="110"/>
  <c r="J17" i="110"/>
  <c r="O20" i="110"/>
  <c r="J19" i="110"/>
  <c r="R18" i="110"/>
  <c r="H18" i="110"/>
  <c r="R17" i="110"/>
  <c r="H17" i="110"/>
  <c r="P15" i="110"/>
  <c r="H20" i="110"/>
  <c r="M19" i="110"/>
  <c r="Q18" i="110"/>
  <c r="E18" i="110"/>
  <c r="N17" i="110"/>
  <c r="P20" i="110"/>
  <c r="G19" i="110"/>
  <c r="L18" i="110"/>
  <c r="G17" i="110"/>
  <c r="E20" i="110"/>
  <c r="Q19" i="110"/>
  <c r="M18" i="110"/>
  <c r="M17" i="110"/>
  <c r="L20" i="110"/>
  <c r="H19" i="110"/>
  <c r="D18" i="110"/>
  <c r="E17" i="110"/>
  <c r="Q20" i="110"/>
  <c r="I18" i="110"/>
  <c r="Q17" i="110"/>
  <c r="F20" i="110"/>
  <c r="L19" i="110"/>
  <c r="I17" i="110"/>
  <c r="F17" i="110"/>
  <c r="R20" i="110"/>
  <c r="R19" i="110"/>
  <c r="I20" i="110"/>
  <c r="I19" i="110"/>
  <c r="N18" i="110"/>
  <c r="P19" i="110"/>
  <c r="J18" i="110"/>
  <c r="P17" i="110"/>
  <c r="AJ9" i="111"/>
  <c r="AH10" i="111"/>
  <c r="AH17" i="111"/>
  <c r="AH19" i="111"/>
  <c r="Z21" i="111"/>
  <c r="W25" i="111"/>
  <c r="AC26" i="111"/>
  <c r="AC34" i="111"/>
  <c r="AE36" i="111"/>
  <c r="Y39" i="111"/>
  <c r="Y46" i="111"/>
  <c r="AA49" i="111"/>
  <c r="AG50" i="111"/>
  <c r="AI52" i="111"/>
  <c r="Z67" i="111"/>
  <c r="AG69" i="111"/>
  <c r="AB73" i="111"/>
  <c r="Z81" i="111"/>
  <c r="AH88" i="111"/>
  <c r="AJ94" i="111"/>
  <c r="AF96" i="111"/>
  <c r="AI101" i="111"/>
  <c r="AG102" i="111"/>
  <c r="AA105" i="111"/>
  <c r="AI105" i="111"/>
  <c r="AC107" i="111"/>
  <c r="AE48" i="102"/>
  <c r="W48" i="102"/>
  <c r="AE47" i="102"/>
  <c r="W47" i="102"/>
  <c r="AE46" i="102"/>
  <c r="W46" i="102"/>
  <c r="AE45" i="102"/>
  <c r="W45" i="102"/>
  <c r="AF48" i="102"/>
  <c r="V48" i="102"/>
  <c r="AJ47" i="102"/>
  <c r="AA47" i="102"/>
  <c r="AF46" i="102"/>
  <c r="V46" i="102"/>
  <c r="AJ45" i="102"/>
  <c r="AA45" i="102"/>
  <c r="AJ48" i="102"/>
  <c r="AA48" i="102"/>
  <c r="AF47" i="102"/>
  <c r="V47" i="102"/>
  <c r="AJ46" i="102"/>
  <c r="AA46" i="102"/>
  <c r="AF45" i="102"/>
  <c r="V45" i="102"/>
  <c r="Y43" i="102"/>
  <c r="AB48" i="102"/>
  <c r="AI47" i="102"/>
  <c r="X47" i="102"/>
  <c r="AD46" i="102"/>
  <c r="Z45" i="102"/>
  <c r="AH48" i="102"/>
  <c r="U48" i="102"/>
  <c r="AC47" i="102"/>
  <c r="Y46" i="102"/>
  <c r="AG45" i="102"/>
  <c r="AC48" i="102"/>
  <c r="AB47" i="102"/>
  <c r="AB46" i="102"/>
  <c r="AB45" i="102"/>
  <c r="U45" i="102"/>
  <c r="Z46" i="102"/>
  <c r="AG47" i="102"/>
  <c r="R55" i="102"/>
  <c r="J55" i="102"/>
  <c r="R54" i="102"/>
  <c r="J54" i="102"/>
  <c r="R53" i="102"/>
  <c r="J53" i="102"/>
  <c r="R52" i="102"/>
  <c r="M55" i="102"/>
  <c r="D55" i="102"/>
  <c r="Q54" i="102"/>
  <c r="H54" i="102"/>
  <c r="M53" i="102"/>
  <c r="D53" i="102"/>
  <c r="Q52" i="102"/>
  <c r="I52" i="102"/>
  <c r="H55" i="102"/>
  <c r="I54" i="102"/>
  <c r="I53" i="102"/>
  <c r="K52" i="102"/>
  <c r="N55" i="102"/>
  <c r="C55" i="102"/>
  <c r="N54" i="102"/>
  <c r="D54" i="102"/>
  <c r="O53" i="102"/>
  <c r="E53" i="102"/>
  <c r="O52" i="102"/>
  <c r="F52" i="102"/>
  <c r="K55" i="102"/>
  <c r="F54" i="102"/>
  <c r="P53" i="102"/>
  <c r="L52" i="102"/>
  <c r="Q55" i="102"/>
  <c r="E55" i="102"/>
  <c r="M54" i="102"/>
  <c r="H53" i="102"/>
  <c r="E52" i="102"/>
  <c r="O55" i="102"/>
  <c r="C54" i="102"/>
  <c r="K53" i="102"/>
  <c r="C52" i="102"/>
  <c r="M52" i="102"/>
  <c r="C53" i="102"/>
  <c r="L55" i="102"/>
  <c r="AJ69" i="102"/>
  <c r="AB69" i="102"/>
  <c r="AJ68" i="102"/>
  <c r="AB68" i="102"/>
  <c r="AJ67" i="102"/>
  <c r="AB67" i="102"/>
  <c r="AJ66" i="102"/>
  <c r="AB66" i="102"/>
  <c r="Y64" i="102"/>
  <c r="AH69" i="102"/>
  <c r="Y69" i="102"/>
  <c r="AD68" i="102"/>
  <c r="U68" i="102"/>
  <c r="AH67" i="102"/>
  <c r="Y67" i="102"/>
  <c r="AD66" i="102"/>
  <c r="U66" i="102"/>
  <c r="AC69" i="102"/>
  <c r="AC68" i="102"/>
  <c r="AD67" i="102"/>
  <c r="AE66" i="102"/>
  <c r="AG69" i="102"/>
  <c r="W69" i="102"/>
  <c r="AH68" i="102"/>
  <c r="X68" i="102"/>
  <c r="AI67" i="102"/>
  <c r="X67" i="102"/>
  <c r="AI66" i="102"/>
  <c r="Y66" i="102"/>
  <c r="AI69" i="102"/>
  <c r="U69" i="102"/>
  <c r="Y68" i="102"/>
  <c r="AC67" i="102"/>
  <c r="AG66" i="102"/>
  <c r="AA69" i="102"/>
  <c r="AF68" i="102"/>
  <c r="V67" i="102"/>
  <c r="Z66" i="102"/>
  <c r="AE68" i="102"/>
  <c r="Z67" i="102"/>
  <c r="V66" i="102"/>
  <c r="AE69" i="102"/>
  <c r="Z68" i="102"/>
  <c r="U67" i="102"/>
  <c r="X66" i="102"/>
  <c r="AA68" i="102"/>
  <c r="L13" i="105"/>
  <c r="D13" i="105"/>
  <c r="L12" i="105"/>
  <c r="D12" i="105"/>
  <c r="L11" i="105"/>
  <c r="D11" i="105"/>
  <c r="L10" i="105"/>
  <c r="D10" i="105"/>
  <c r="Q13" i="105"/>
  <c r="H13" i="105"/>
  <c r="M12" i="105"/>
  <c r="C12" i="105"/>
  <c r="Q11" i="105"/>
  <c r="H11" i="105"/>
  <c r="M10" i="105"/>
  <c r="C10" i="105"/>
  <c r="P13" i="105"/>
  <c r="F13" i="105"/>
  <c r="Q12" i="105"/>
  <c r="G12" i="105"/>
  <c r="R11" i="105"/>
  <c r="G11" i="105"/>
  <c r="R10" i="105"/>
  <c r="H10" i="105"/>
  <c r="K13" i="105"/>
  <c r="K12" i="105"/>
  <c r="M11" i="105"/>
  <c r="N10" i="105"/>
  <c r="O13" i="105"/>
  <c r="F12" i="105"/>
  <c r="J11" i="105"/>
  <c r="O10" i="105"/>
  <c r="P8" i="105"/>
  <c r="I13" i="105"/>
  <c r="N12" i="105"/>
  <c r="P11" i="105"/>
  <c r="C11" i="105"/>
  <c r="G10" i="105"/>
  <c r="C13" i="105"/>
  <c r="P12" i="105"/>
  <c r="K11" i="105"/>
  <c r="F10" i="105"/>
  <c r="R13" i="105"/>
  <c r="J12" i="105"/>
  <c r="F11" i="105"/>
  <c r="O11" i="105"/>
  <c r="H12" i="105"/>
  <c r="C10" i="107"/>
  <c r="I11" i="107"/>
  <c r="K13" i="107"/>
  <c r="C45" i="107"/>
  <c r="K48" i="107"/>
  <c r="AB41" i="109"/>
  <c r="AH40" i="109"/>
  <c r="Z40" i="109"/>
  <c r="AF39" i="109"/>
  <c r="X39" i="109"/>
  <c r="AD38" i="109"/>
  <c r="V38" i="109"/>
  <c r="AE41" i="109"/>
  <c r="V41" i="109"/>
  <c r="AG40" i="109"/>
  <c r="X40" i="109"/>
  <c r="AA39" i="109"/>
  <c r="AC38" i="109"/>
  <c r="AC41" i="109"/>
  <c r="AB40" i="109"/>
  <c r="Z39" i="109"/>
  <c r="Y38" i="109"/>
  <c r="AF36" i="109"/>
  <c r="AH41" i="109"/>
  <c r="W41" i="109"/>
  <c r="AC40" i="109"/>
  <c r="AH39" i="109"/>
  <c r="V39" i="109"/>
  <c r="AB38" i="109"/>
  <c r="AA41" i="109"/>
  <c r="V40" i="109"/>
  <c r="AC39" i="109"/>
  <c r="AH38" i="109"/>
  <c r="W38" i="109"/>
  <c r="AF41" i="109"/>
  <c r="AD40" i="109"/>
  <c r="AB39" i="109"/>
  <c r="Z38" i="109"/>
  <c r="X41" i="109"/>
  <c r="U40" i="109"/>
  <c r="AG38" i="109"/>
  <c r="Z41" i="109"/>
  <c r="W39" i="109"/>
  <c r="AF38" i="109"/>
  <c r="Y40" i="109"/>
  <c r="AG39" i="109"/>
  <c r="U38" i="109"/>
  <c r="Y39" i="109"/>
  <c r="AE38" i="109"/>
  <c r="AG41" i="109"/>
  <c r="X38" i="109"/>
  <c r="Y41" i="109"/>
  <c r="AF40" i="109"/>
  <c r="AE39" i="109"/>
  <c r="AA40" i="109"/>
  <c r="U41" i="109"/>
  <c r="M66" i="110"/>
  <c r="E10" i="107"/>
  <c r="O13" i="107"/>
  <c r="L45" i="107"/>
  <c r="D47" i="107"/>
  <c r="N48" i="109"/>
  <c r="F48" i="109"/>
  <c r="L47" i="109"/>
  <c r="D47" i="109"/>
  <c r="R46" i="109"/>
  <c r="J46" i="109"/>
  <c r="P45" i="109"/>
  <c r="H45" i="109"/>
  <c r="P43" i="109"/>
  <c r="O48" i="109"/>
  <c r="E48" i="109"/>
  <c r="Q47" i="109"/>
  <c r="H47" i="109"/>
  <c r="K46" i="109"/>
  <c r="M45" i="109"/>
  <c r="D45" i="109"/>
  <c r="R48" i="109"/>
  <c r="H48" i="109"/>
  <c r="P47" i="109"/>
  <c r="F47" i="109"/>
  <c r="O46" i="109"/>
  <c r="E46" i="109"/>
  <c r="N45" i="109"/>
  <c r="C45" i="109"/>
  <c r="P48" i="109"/>
  <c r="C48" i="109"/>
  <c r="J47" i="109"/>
  <c r="P46" i="109"/>
  <c r="D46" i="109"/>
  <c r="J45" i="109"/>
  <c r="J48" i="109"/>
  <c r="O47" i="109"/>
  <c r="C47" i="109"/>
  <c r="I46" i="109"/>
  <c r="Q45" i="109"/>
  <c r="E45" i="109"/>
  <c r="Q48" i="109"/>
  <c r="N47" i="109"/>
  <c r="M46" i="109"/>
  <c r="K45" i="109"/>
  <c r="I48" i="109"/>
  <c r="G47" i="109"/>
  <c r="F46" i="109"/>
  <c r="G48" i="109"/>
  <c r="R47" i="109"/>
  <c r="C46" i="109"/>
  <c r="L45" i="109"/>
  <c r="E47" i="109"/>
  <c r="N46" i="109"/>
  <c r="M48" i="109"/>
  <c r="K48" i="109"/>
  <c r="K47" i="109"/>
  <c r="L46" i="109"/>
  <c r="O45" i="109"/>
  <c r="AJ13" i="108"/>
  <c r="AI12" i="108"/>
  <c r="AH11" i="108"/>
  <c r="AG10" i="108"/>
  <c r="AG13" i="108"/>
  <c r="AG11" i="108"/>
  <c r="U13" i="108"/>
  <c r="AF12" i="108"/>
  <c r="AI11" i="108"/>
  <c r="AJ10" i="108"/>
  <c r="AH13" i="108"/>
  <c r="AG12" i="108"/>
  <c r="AE11" i="108"/>
  <c r="AE10" i="108"/>
  <c r="AH8" i="108"/>
  <c r="AJ11" i="108"/>
  <c r="AJ12" i="108"/>
  <c r="AH10" i="108"/>
  <c r="AI13" i="108"/>
  <c r="AE13" i="108"/>
  <c r="AH12" i="108"/>
  <c r="U12" i="108"/>
  <c r="AF11" i="108"/>
  <c r="AF13" i="108"/>
  <c r="AE12" i="108"/>
  <c r="U11" i="108"/>
  <c r="AI10" i="108"/>
  <c r="U10" i="108"/>
  <c r="D17" i="110"/>
  <c r="E19" i="110"/>
  <c r="Q69" i="110"/>
  <c r="I69" i="110"/>
  <c r="Q68" i="110"/>
  <c r="I68" i="110"/>
  <c r="Q67" i="110"/>
  <c r="I67" i="110"/>
  <c r="Q66" i="110"/>
  <c r="I66" i="110"/>
  <c r="N69" i="110"/>
  <c r="E69" i="110"/>
  <c r="J68" i="110"/>
  <c r="N67" i="110"/>
  <c r="E67" i="110"/>
  <c r="J66" i="110"/>
  <c r="L69" i="110"/>
  <c r="M68" i="110"/>
  <c r="C68" i="110"/>
  <c r="M67" i="110"/>
  <c r="C67" i="110"/>
  <c r="N66" i="110"/>
  <c r="D66" i="110"/>
  <c r="O69" i="110"/>
  <c r="C69" i="110"/>
  <c r="N68" i="110"/>
  <c r="K67" i="110"/>
  <c r="H66" i="110"/>
  <c r="P64" i="110"/>
  <c r="R69" i="110"/>
  <c r="D69" i="110"/>
  <c r="L68" i="110"/>
  <c r="H67" i="110"/>
  <c r="R66" i="110"/>
  <c r="E66" i="110"/>
  <c r="G69" i="110"/>
  <c r="O68" i="110"/>
  <c r="G67" i="110"/>
  <c r="O66" i="110"/>
  <c r="M69" i="110"/>
  <c r="F68" i="110"/>
  <c r="P67" i="110"/>
  <c r="G66" i="110"/>
  <c r="E68" i="110"/>
  <c r="L67" i="110"/>
  <c r="P66" i="110"/>
  <c r="J69" i="110"/>
  <c r="P68" i="110"/>
  <c r="F66" i="110"/>
  <c r="D68" i="110"/>
  <c r="F67" i="110"/>
  <c r="K66" i="110"/>
  <c r="P69" i="110"/>
  <c r="R68" i="110"/>
  <c r="H69" i="110"/>
  <c r="G68" i="110"/>
  <c r="D67" i="110"/>
  <c r="K68" i="110"/>
  <c r="J67" i="110"/>
  <c r="K69" i="110"/>
  <c r="P48" i="105"/>
  <c r="H48" i="105"/>
  <c r="P47" i="105"/>
  <c r="H47" i="105"/>
  <c r="P46" i="105"/>
  <c r="H46" i="105"/>
  <c r="P45" i="105"/>
  <c r="H45" i="105"/>
  <c r="P43" i="105"/>
  <c r="O48" i="105"/>
  <c r="F48" i="105"/>
  <c r="K47" i="105"/>
  <c r="O46" i="105"/>
  <c r="F46" i="105"/>
  <c r="K45" i="105"/>
  <c r="L48" i="105"/>
  <c r="M47" i="105"/>
  <c r="C47" i="105"/>
  <c r="M46" i="105"/>
  <c r="C46" i="105"/>
  <c r="N45" i="105"/>
  <c r="D45" i="105"/>
  <c r="R48" i="105"/>
  <c r="G48" i="105"/>
  <c r="R47" i="105"/>
  <c r="G47" i="105"/>
  <c r="I46" i="105"/>
  <c r="I45" i="105"/>
  <c r="J48" i="105"/>
  <c r="N47" i="105"/>
  <c r="R46" i="105"/>
  <c r="D46" i="105"/>
  <c r="G45" i="105"/>
  <c r="Q48" i="105"/>
  <c r="C48" i="105"/>
  <c r="F47" i="105"/>
  <c r="K46" i="105"/>
  <c r="O45" i="105"/>
  <c r="Q45" i="105"/>
  <c r="I47" i="105"/>
  <c r="M48" i="105"/>
  <c r="P62" i="105"/>
  <c r="H62" i="105"/>
  <c r="P61" i="105"/>
  <c r="H61" i="105"/>
  <c r="P60" i="105"/>
  <c r="H60" i="105"/>
  <c r="P59" i="105"/>
  <c r="H59" i="105"/>
  <c r="P57" i="105"/>
  <c r="Q62" i="105"/>
  <c r="G62" i="105"/>
  <c r="L61" i="105"/>
  <c r="C61" i="105"/>
  <c r="Q60" i="105"/>
  <c r="G60" i="105"/>
  <c r="L59" i="105"/>
  <c r="C59" i="105"/>
  <c r="J62" i="105"/>
  <c r="J61" i="105"/>
  <c r="K60" i="105"/>
  <c r="K59" i="105"/>
  <c r="N62" i="105"/>
  <c r="D62" i="105"/>
  <c r="O61" i="105"/>
  <c r="E61" i="105"/>
  <c r="O60" i="105"/>
  <c r="E60" i="105"/>
  <c r="Q59" i="105"/>
  <c r="F59" i="105"/>
  <c r="R62" i="105"/>
  <c r="C62" i="105"/>
  <c r="I61" i="105"/>
  <c r="N60" i="105"/>
  <c r="G59" i="105"/>
  <c r="K62" i="105"/>
  <c r="Q61" i="105"/>
  <c r="I60" i="105"/>
  <c r="N59" i="105"/>
  <c r="O59" i="105"/>
  <c r="L60" i="105"/>
  <c r="G61" i="105"/>
  <c r="F62" i="105"/>
  <c r="AF41" i="108"/>
  <c r="X41" i="108"/>
  <c r="AF40" i="108"/>
  <c r="X40" i="108"/>
  <c r="AF39" i="108"/>
  <c r="X39" i="108"/>
  <c r="AF38" i="108"/>
  <c r="X38" i="108"/>
  <c r="AI41" i="108"/>
  <c r="Z41" i="108"/>
  <c r="AD40" i="108"/>
  <c r="U40" i="108"/>
  <c r="AI39" i="108"/>
  <c r="Z39" i="108"/>
  <c r="AD38" i="108"/>
  <c r="U38" i="108"/>
  <c r="AH36" i="108"/>
  <c r="AC41" i="108"/>
  <c r="AC40" i="108"/>
  <c r="AD39" i="108"/>
  <c r="AE38" i="108"/>
  <c r="AD41" i="108"/>
  <c r="Z40" i="108"/>
  <c r="AH39" i="108"/>
  <c r="V39" i="108"/>
  <c r="AC38" i="108"/>
  <c r="AJ41" i="108"/>
  <c r="W41" i="108"/>
  <c r="AG40" i="108"/>
  <c r="AB39" i="108"/>
  <c r="AJ38" i="108"/>
  <c r="Y38" i="108"/>
  <c r="AB41" i="108"/>
  <c r="AI40" i="108"/>
  <c r="Y39" i="108"/>
  <c r="AB38" i="108"/>
  <c r="U41" i="108"/>
  <c r="AA40" i="108"/>
  <c r="AG39" i="108"/>
  <c r="V38" i="108"/>
  <c r="AG41" i="108"/>
  <c r="AH40" i="108"/>
  <c r="AA41" i="108"/>
  <c r="AB40" i="108"/>
  <c r="AE39" i="108"/>
  <c r="AH38" i="108"/>
  <c r="V41" i="108"/>
  <c r="W40" i="108"/>
  <c r="AA39" i="108"/>
  <c r="AA38" i="108"/>
  <c r="AI38" i="108"/>
  <c r="Y41" i="108"/>
  <c r="AD13" i="105"/>
  <c r="V13" i="105"/>
  <c r="AD12" i="105"/>
  <c r="V12" i="105"/>
  <c r="AD11" i="105"/>
  <c r="V11" i="105"/>
  <c r="AD10" i="105"/>
  <c r="V10" i="105"/>
  <c r="AB13" i="105"/>
  <c r="AG12" i="105"/>
  <c r="X12" i="105"/>
  <c r="AB11" i="105"/>
  <c r="AG10" i="105"/>
  <c r="X10" i="105"/>
  <c r="AC13" i="105"/>
  <c r="AC12" i="105"/>
  <c r="AE11" i="105"/>
  <c r="AE10" i="105"/>
  <c r="AH13" i="105"/>
  <c r="X13" i="105"/>
  <c r="AI12" i="105"/>
  <c r="Y12" i="105"/>
  <c r="AI11" i="105"/>
  <c r="Y11" i="105"/>
  <c r="AJ10" i="105"/>
  <c r="Z10" i="105"/>
  <c r="AH8" i="105"/>
  <c r="AF13" i="105"/>
  <c r="AJ12" i="105"/>
  <c r="U12" i="105"/>
  <c r="Z11" i="105"/>
  <c r="AC10" i="105"/>
  <c r="Y13" i="105"/>
  <c r="AB12" i="105"/>
  <c r="AG11" i="105"/>
  <c r="W10" i="105"/>
  <c r="U10" i="105"/>
  <c r="AA11" i="105"/>
  <c r="AF12" i="105"/>
  <c r="AJ13" i="105"/>
  <c r="AD27" i="105"/>
  <c r="V27" i="105"/>
  <c r="AD26" i="105"/>
  <c r="V26" i="105"/>
  <c r="AD25" i="105"/>
  <c r="V25" i="105"/>
  <c r="AD24" i="105"/>
  <c r="V24" i="105"/>
  <c r="AC27" i="105"/>
  <c r="AH26" i="105"/>
  <c r="Y26" i="105"/>
  <c r="AC25" i="105"/>
  <c r="AH24" i="105"/>
  <c r="Y24" i="105"/>
  <c r="AI27" i="105"/>
  <c r="Y27" i="105"/>
  <c r="AJ26" i="105"/>
  <c r="Z26" i="105"/>
  <c r="AJ25" i="105"/>
  <c r="Z25" i="105"/>
  <c r="AA24" i="105"/>
  <c r="AE27" i="105"/>
  <c r="AE26" i="105"/>
  <c r="AF25" i="105"/>
  <c r="U25" i="105"/>
  <c r="AF24" i="105"/>
  <c r="U24" i="105"/>
  <c r="AA27" i="105"/>
  <c r="AF26" i="105"/>
  <c r="AI25" i="105"/>
  <c r="W25" i="105"/>
  <c r="Z24" i="105"/>
  <c r="AH27" i="105"/>
  <c r="U27" i="105"/>
  <c r="X26" i="105"/>
  <c r="AB25" i="105"/>
  <c r="AG24" i="105"/>
  <c r="AH22" i="105"/>
  <c r="AJ24" i="105"/>
  <c r="P34" i="105"/>
  <c r="H34" i="105"/>
  <c r="P33" i="105"/>
  <c r="H33" i="105"/>
  <c r="P32" i="105"/>
  <c r="H32" i="105"/>
  <c r="P31" i="105"/>
  <c r="H31" i="105"/>
  <c r="P29" i="105"/>
  <c r="N34" i="105"/>
  <c r="E34" i="105"/>
  <c r="J33" i="105"/>
  <c r="N32" i="105"/>
  <c r="E32" i="105"/>
  <c r="J31" i="105"/>
  <c r="O34" i="105"/>
  <c r="D34" i="105"/>
  <c r="O33" i="105"/>
  <c r="E33" i="105"/>
  <c r="Q32" i="105"/>
  <c r="F32" i="105"/>
  <c r="Q31" i="105"/>
  <c r="F31" i="105"/>
  <c r="J34" i="105"/>
  <c r="K33" i="105"/>
  <c r="K32" i="105"/>
  <c r="L31" i="105"/>
  <c r="M34" i="105"/>
  <c r="I33" i="105"/>
  <c r="D32" i="105"/>
  <c r="N31" i="105"/>
  <c r="G34" i="105"/>
  <c r="Q33" i="105"/>
  <c r="C33" i="105"/>
  <c r="L32" i="105"/>
  <c r="G31" i="105"/>
  <c r="M31" i="105"/>
  <c r="G32" i="105"/>
  <c r="R33" i="105"/>
  <c r="K34" i="105"/>
  <c r="L41" i="105"/>
  <c r="D41" i="105"/>
  <c r="L40" i="105"/>
  <c r="D40" i="105"/>
  <c r="L39" i="105"/>
  <c r="D39" i="105"/>
  <c r="L38" i="105"/>
  <c r="D38" i="105"/>
  <c r="J41" i="105"/>
  <c r="O40" i="105"/>
  <c r="F40" i="105"/>
  <c r="J39" i="105"/>
  <c r="O38" i="105"/>
  <c r="F38" i="105"/>
  <c r="R41" i="105"/>
  <c r="H41" i="105"/>
  <c r="I40" i="105"/>
  <c r="I39" i="105"/>
  <c r="J38" i="105"/>
  <c r="P36" i="105"/>
  <c r="N41" i="105"/>
  <c r="C41" i="105"/>
  <c r="N40" i="105"/>
  <c r="C40" i="105"/>
  <c r="O39" i="105"/>
  <c r="E39" i="105"/>
  <c r="P38" i="105"/>
  <c r="E38" i="105"/>
  <c r="P41" i="105"/>
  <c r="G40" i="105"/>
  <c r="K39" i="105"/>
  <c r="N38" i="105"/>
  <c r="I41" i="105"/>
  <c r="M40" i="105"/>
  <c r="Q39" i="105"/>
  <c r="C39" i="105"/>
  <c r="H38" i="105"/>
  <c r="Q38" i="105"/>
  <c r="R39" i="105"/>
  <c r="F41" i="105"/>
  <c r="C45" i="105"/>
  <c r="G46" i="105"/>
  <c r="L47" i="105"/>
  <c r="R60" i="105"/>
  <c r="M61" i="105"/>
  <c r="L62" i="105"/>
  <c r="R76" i="105"/>
  <c r="J76" i="105"/>
  <c r="R75" i="105"/>
  <c r="J75" i="105"/>
  <c r="R74" i="105"/>
  <c r="J74" i="105"/>
  <c r="R73" i="105"/>
  <c r="J73" i="105"/>
  <c r="P71" i="105"/>
  <c r="M76" i="105"/>
  <c r="D76" i="105"/>
  <c r="K75" i="105"/>
  <c r="Q74" i="105"/>
  <c r="H74" i="105"/>
  <c r="O73" i="105"/>
  <c r="F73" i="105"/>
  <c r="I76" i="105"/>
  <c r="O75" i="105"/>
  <c r="E75" i="105"/>
  <c r="K74" i="105"/>
  <c r="P73" i="105"/>
  <c r="E73" i="105"/>
  <c r="H76" i="105"/>
  <c r="M75" i="105"/>
  <c r="P74" i="105"/>
  <c r="E74" i="105"/>
  <c r="I73" i="105"/>
  <c r="O76" i="105"/>
  <c r="C76" i="105"/>
  <c r="G75" i="105"/>
  <c r="L74" i="105"/>
  <c r="N73" i="105"/>
  <c r="C73" i="105"/>
  <c r="F76" i="105"/>
  <c r="F75" i="105"/>
  <c r="F74" i="105"/>
  <c r="G73" i="105"/>
  <c r="N76" i="105"/>
  <c r="N75" i="105"/>
  <c r="N74" i="105"/>
  <c r="M73" i="105"/>
  <c r="G74" i="105"/>
  <c r="L75" i="105"/>
  <c r="Q76" i="105"/>
  <c r="AJ20" i="107"/>
  <c r="AB20" i="107"/>
  <c r="AJ19" i="107"/>
  <c r="AB19" i="107"/>
  <c r="AJ18" i="107"/>
  <c r="AB18" i="107"/>
  <c r="AJ17" i="107"/>
  <c r="AB17" i="107"/>
  <c r="AH15" i="107"/>
  <c r="AF20" i="107"/>
  <c r="W20" i="107"/>
  <c r="AA19" i="107"/>
  <c r="AF18" i="107"/>
  <c r="W18" i="107"/>
  <c r="AA17" i="107"/>
  <c r="AI20" i="107"/>
  <c r="Y20" i="107"/>
  <c r="AI19" i="107"/>
  <c r="Y19" i="107"/>
  <c r="Z18" i="107"/>
  <c r="Z17" i="107"/>
  <c r="Z20" i="107"/>
  <c r="AG19" i="107"/>
  <c r="V19" i="107"/>
  <c r="AD18" i="107"/>
  <c r="Y17" i="107"/>
  <c r="AE20" i="107"/>
  <c r="AC19" i="107"/>
  <c r="AI18" i="107"/>
  <c r="X18" i="107"/>
  <c r="AF17" i="107"/>
  <c r="U17" i="107"/>
  <c r="U20" i="107"/>
  <c r="U19" i="107"/>
  <c r="U18" i="107"/>
  <c r="AI17" i="107"/>
  <c r="V17" i="107"/>
  <c r="AC20" i="107"/>
  <c r="AD19" i="107"/>
  <c r="AC18" i="107"/>
  <c r="AD17" i="107"/>
  <c r="X17" i="107"/>
  <c r="AH18" i="107"/>
  <c r="X19" i="107"/>
  <c r="AH20" i="107"/>
  <c r="AJ24" i="107"/>
  <c r="V25" i="107"/>
  <c r="X31" i="107"/>
  <c r="AI33" i="107"/>
  <c r="I38" i="107"/>
  <c r="J39" i="107"/>
  <c r="O40" i="107"/>
  <c r="Q17" i="109"/>
  <c r="J18" i="109"/>
  <c r="F19" i="109"/>
  <c r="V40" i="108"/>
  <c r="AH41" i="108"/>
  <c r="AF62" i="102"/>
  <c r="X62" i="102"/>
  <c r="AF61" i="102"/>
  <c r="X61" i="102"/>
  <c r="AF60" i="102"/>
  <c r="X60" i="102"/>
  <c r="AF59" i="102"/>
  <c r="X59" i="102"/>
  <c r="AC62" i="102"/>
  <c r="AH61" i="102"/>
  <c r="Y61" i="102"/>
  <c r="AC60" i="102"/>
  <c r="AH59" i="102"/>
  <c r="Y59" i="102"/>
  <c r="AI62" i="102"/>
  <c r="Y62" i="102"/>
  <c r="AJ61" i="102"/>
  <c r="Z61" i="102"/>
  <c r="AJ60" i="102"/>
  <c r="Z60" i="102"/>
  <c r="AA59" i="102"/>
  <c r="AD62" i="102"/>
  <c r="AD61" i="102"/>
  <c r="AE60" i="102"/>
  <c r="U60" i="102"/>
  <c r="AE59" i="102"/>
  <c r="U59" i="102"/>
  <c r="AA62" i="102"/>
  <c r="AE61" i="102"/>
  <c r="AI60" i="102"/>
  <c r="V60" i="102"/>
  <c r="Z59" i="102"/>
  <c r="AH62" i="102"/>
  <c r="U62" i="102"/>
  <c r="W61" i="102"/>
  <c r="AB60" i="102"/>
  <c r="AG59" i="102"/>
  <c r="Y57" i="102"/>
  <c r="AJ59" i="102"/>
  <c r="R69" i="102"/>
  <c r="J69" i="102"/>
  <c r="R68" i="102"/>
  <c r="J68" i="102"/>
  <c r="R67" i="102"/>
  <c r="J67" i="102"/>
  <c r="R66" i="102"/>
  <c r="J66" i="102"/>
  <c r="N69" i="102"/>
  <c r="E69" i="102"/>
  <c r="I68" i="102"/>
  <c r="N67" i="102"/>
  <c r="E67" i="102"/>
  <c r="I66" i="102"/>
  <c r="P64" i="102"/>
  <c r="P69" i="102"/>
  <c r="F69" i="102"/>
  <c r="P68" i="102"/>
  <c r="F68" i="102"/>
  <c r="Q67" i="102"/>
  <c r="G67" i="102"/>
  <c r="Q66" i="102"/>
  <c r="G66" i="102"/>
  <c r="K69" i="102"/>
  <c r="L68" i="102"/>
  <c r="L67" i="102"/>
  <c r="M66" i="102"/>
  <c r="C66" i="102"/>
  <c r="D69" i="102"/>
  <c r="H68" i="102"/>
  <c r="M67" i="102"/>
  <c r="P66" i="102"/>
  <c r="D66" i="102"/>
  <c r="L69" i="102"/>
  <c r="O68" i="102"/>
  <c r="C68" i="102"/>
  <c r="F67" i="102"/>
  <c r="K66" i="102"/>
  <c r="D67" i="102"/>
  <c r="K68" i="102"/>
  <c r="O69" i="102"/>
  <c r="P76" i="102"/>
  <c r="H76" i="102"/>
  <c r="P75" i="102"/>
  <c r="H75" i="102"/>
  <c r="P74" i="102"/>
  <c r="H74" i="102"/>
  <c r="P73" i="102"/>
  <c r="H73" i="102"/>
  <c r="N76" i="102"/>
  <c r="E76" i="102"/>
  <c r="L75" i="102"/>
  <c r="C75" i="102"/>
  <c r="J74" i="102"/>
  <c r="Q73" i="102"/>
  <c r="G73" i="102"/>
  <c r="R76" i="102"/>
  <c r="G76" i="102"/>
  <c r="M75" i="102"/>
  <c r="R74" i="102"/>
  <c r="G74" i="102"/>
  <c r="M73" i="102"/>
  <c r="C73" i="102"/>
  <c r="L76" i="102"/>
  <c r="R75" i="102"/>
  <c r="G75" i="102"/>
  <c r="M74" i="102"/>
  <c r="C74" i="102"/>
  <c r="I73" i="102"/>
  <c r="F76" i="102"/>
  <c r="I75" i="102"/>
  <c r="K74" i="102"/>
  <c r="L73" i="102"/>
  <c r="M76" i="102"/>
  <c r="O75" i="102"/>
  <c r="Q74" i="102"/>
  <c r="D74" i="102"/>
  <c r="E73" i="102"/>
  <c r="R73" i="102"/>
  <c r="E75" i="102"/>
  <c r="I76" i="102"/>
  <c r="AA10" i="105"/>
  <c r="AF11" i="105"/>
  <c r="W13" i="105"/>
  <c r="W24" i="105"/>
  <c r="X25" i="105"/>
  <c r="W26" i="105"/>
  <c r="X27" i="105"/>
  <c r="R31" i="105"/>
  <c r="J32" i="105"/>
  <c r="D33" i="105"/>
  <c r="Q34" i="105"/>
  <c r="F39" i="105"/>
  <c r="H40" i="105"/>
  <c r="K41" i="105"/>
  <c r="F45" i="105"/>
  <c r="L46" i="105"/>
  <c r="Q47" i="105"/>
  <c r="D48" i="105"/>
  <c r="E59" i="105"/>
  <c r="C60" i="105"/>
  <c r="R61" i="105"/>
  <c r="O62" i="105"/>
  <c r="AF27" i="107"/>
  <c r="X27" i="107"/>
  <c r="AF26" i="107"/>
  <c r="X26" i="107"/>
  <c r="AF25" i="107"/>
  <c r="X25" i="107"/>
  <c r="AF24" i="107"/>
  <c r="X24" i="107"/>
  <c r="AB27" i="107"/>
  <c r="AG26" i="107"/>
  <c r="W26" i="107"/>
  <c r="AB25" i="107"/>
  <c r="AG24" i="107"/>
  <c r="W24" i="107"/>
  <c r="AC27" i="107"/>
  <c r="AC26" i="107"/>
  <c r="AD25" i="107"/>
  <c r="AD24" i="107"/>
  <c r="AJ27" i="107"/>
  <c r="Y27" i="107"/>
  <c r="AH26" i="107"/>
  <c r="U26" i="107"/>
  <c r="AC25" i="107"/>
  <c r="Z24" i="107"/>
  <c r="AE27" i="107"/>
  <c r="AA26" i="107"/>
  <c r="AI25" i="107"/>
  <c r="W25" i="107"/>
  <c r="AE24" i="107"/>
  <c r="AG27" i="107"/>
  <c r="AE26" i="107"/>
  <c r="AG25" i="107"/>
  <c r="AH24" i="107"/>
  <c r="W27" i="107"/>
  <c r="Y26" i="107"/>
  <c r="Y25" i="107"/>
  <c r="Y24" i="107"/>
  <c r="U24" i="107"/>
  <c r="AA25" i="107"/>
  <c r="AJ26" i="107"/>
  <c r="V27" i="107"/>
  <c r="AJ34" i="107"/>
  <c r="AB34" i="107"/>
  <c r="AJ33" i="107"/>
  <c r="AB33" i="107"/>
  <c r="AJ32" i="107"/>
  <c r="AB32" i="107"/>
  <c r="AJ31" i="107"/>
  <c r="AB31" i="107"/>
  <c r="AH29" i="107"/>
  <c r="AG34" i="107"/>
  <c r="X34" i="107"/>
  <c r="AC33" i="107"/>
  <c r="AG32" i="107"/>
  <c r="X32" i="107"/>
  <c r="AC31" i="107"/>
  <c r="AE34" i="107"/>
  <c r="U34" i="107"/>
  <c r="AF33" i="107"/>
  <c r="V33" i="107"/>
  <c r="AF32" i="107"/>
  <c r="V32" i="107"/>
  <c r="AG31" i="107"/>
  <c r="W31" i="107"/>
  <c r="AA34" i="107"/>
  <c r="Y33" i="107"/>
  <c r="AI32" i="107"/>
  <c r="W32" i="107"/>
  <c r="AF31" i="107"/>
  <c r="U31" i="107"/>
  <c r="AH34" i="107"/>
  <c r="V34" i="107"/>
  <c r="AE33" i="107"/>
  <c r="AC32" i="107"/>
  <c r="Z31" i="107"/>
  <c r="Z34" i="107"/>
  <c r="AH33" i="107"/>
  <c r="Z32" i="107"/>
  <c r="AH31" i="107"/>
  <c r="AI34" i="107"/>
  <c r="Z33" i="107"/>
  <c r="AH32" i="107"/>
  <c r="Y31" i="107"/>
  <c r="AD31" i="107"/>
  <c r="Y32" i="107"/>
  <c r="U33" i="107"/>
  <c r="N41" i="107"/>
  <c r="F41" i="107"/>
  <c r="N40" i="107"/>
  <c r="F40" i="107"/>
  <c r="N39" i="107"/>
  <c r="F39" i="107"/>
  <c r="N38" i="107"/>
  <c r="F38" i="107"/>
  <c r="R41" i="107"/>
  <c r="I41" i="107"/>
  <c r="M40" i="107"/>
  <c r="D40" i="107"/>
  <c r="R39" i="107"/>
  <c r="I39" i="107"/>
  <c r="M38" i="107"/>
  <c r="D38" i="107"/>
  <c r="L41" i="107"/>
  <c r="L40" i="107"/>
  <c r="M39" i="107"/>
  <c r="C39" i="107"/>
  <c r="O38" i="107"/>
  <c r="C38" i="107"/>
  <c r="M41" i="107"/>
  <c r="I40" i="107"/>
  <c r="Q39" i="107"/>
  <c r="E39" i="107"/>
  <c r="L38" i="107"/>
  <c r="G41" i="107"/>
  <c r="P40" i="107"/>
  <c r="C40" i="107"/>
  <c r="K39" i="107"/>
  <c r="H38" i="107"/>
  <c r="J41" i="107"/>
  <c r="K40" i="107"/>
  <c r="O39" i="107"/>
  <c r="R38" i="107"/>
  <c r="Q41" i="107"/>
  <c r="C41" i="107"/>
  <c r="E40" i="107"/>
  <c r="G39" i="107"/>
  <c r="J38" i="107"/>
  <c r="P38" i="107"/>
  <c r="P39" i="107"/>
  <c r="R40" i="107"/>
  <c r="R20" i="109"/>
  <c r="J20" i="109"/>
  <c r="P19" i="109"/>
  <c r="H19" i="109"/>
  <c r="N18" i="109"/>
  <c r="F18" i="109"/>
  <c r="L17" i="109"/>
  <c r="D17" i="109"/>
  <c r="O20" i="109"/>
  <c r="F20" i="109"/>
  <c r="R19" i="109"/>
  <c r="I19" i="109"/>
  <c r="K18" i="109"/>
  <c r="N17" i="109"/>
  <c r="E17" i="109"/>
  <c r="L20" i="109"/>
  <c r="K19" i="109"/>
  <c r="I18" i="109"/>
  <c r="R17" i="109"/>
  <c r="H17" i="109"/>
  <c r="Q20" i="109"/>
  <c r="G20" i="109"/>
  <c r="O19" i="109"/>
  <c r="E19" i="109"/>
  <c r="O18" i="109"/>
  <c r="D18" i="109"/>
  <c r="M17" i="109"/>
  <c r="N20" i="109"/>
  <c r="Q19" i="109"/>
  <c r="C19" i="109"/>
  <c r="R18" i="109"/>
  <c r="E18" i="109"/>
  <c r="G17" i="109"/>
  <c r="H20" i="109"/>
  <c r="J19" i="109"/>
  <c r="L18" i="109"/>
  <c r="O17" i="109"/>
  <c r="P15" i="109"/>
  <c r="L19" i="109"/>
  <c r="C18" i="109"/>
  <c r="P17" i="109"/>
  <c r="I20" i="109"/>
  <c r="M18" i="109"/>
  <c r="F17" i="109"/>
  <c r="Q18" i="109"/>
  <c r="M19" i="109"/>
  <c r="E20" i="109"/>
  <c r="W39" i="108"/>
  <c r="AE40" i="108"/>
  <c r="AF62" i="108"/>
  <c r="X62" i="108"/>
  <c r="AF61" i="108"/>
  <c r="X61" i="108"/>
  <c r="AF60" i="108"/>
  <c r="X60" i="108"/>
  <c r="AF59" i="108"/>
  <c r="X59" i="108"/>
  <c r="AC62" i="108"/>
  <c r="AH61" i="108"/>
  <c r="Y61" i="108"/>
  <c r="AC60" i="108"/>
  <c r="AH59" i="108"/>
  <c r="Y59" i="108"/>
  <c r="AA62" i="108"/>
  <c r="AB61" i="108"/>
  <c r="AB60" i="108"/>
  <c r="AC59" i="108"/>
  <c r="AG62" i="108"/>
  <c r="U62" i="108"/>
  <c r="AC61" i="108"/>
  <c r="AJ60" i="108"/>
  <c r="Y60" i="108"/>
  <c r="AG59" i="108"/>
  <c r="U59" i="108"/>
  <c r="Z62" i="108"/>
  <c r="AI61" i="108"/>
  <c r="V61" i="108"/>
  <c r="AE60" i="108"/>
  <c r="AA59" i="108"/>
  <c r="AH57" i="108"/>
  <c r="AJ62" i="108"/>
  <c r="V62" i="108"/>
  <c r="U61" i="108"/>
  <c r="V60" i="108"/>
  <c r="V59" i="108"/>
  <c r="AD62" i="108"/>
  <c r="AD61" i="108"/>
  <c r="AD60" i="108"/>
  <c r="AD59" i="108"/>
  <c r="AE61" i="108"/>
  <c r="W60" i="108"/>
  <c r="AJ59" i="108"/>
  <c r="AB62" i="108"/>
  <c r="AH60" i="108"/>
  <c r="Z59" i="108"/>
  <c r="W62" i="108"/>
  <c r="AJ61" i="108"/>
  <c r="U60" i="108"/>
  <c r="AE59" i="108"/>
  <c r="AA61" i="108"/>
  <c r="W59" i="108"/>
  <c r="AI62" i="108"/>
  <c r="W61" i="108"/>
  <c r="AI60" i="108"/>
  <c r="O62" i="110"/>
  <c r="G62" i="110"/>
  <c r="O61" i="110"/>
  <c r="G61" i="110"/>
  <c r="O60" i="110"/>
  <c r="G60" i="110"/>
  <c r="O59" i="110"/>
  <c r="G59" i="110"/>
  <c r="K62" i="110"/>
  <c r="P61" i="110"/>
  <c r="F61" i="110"/>
  <c r="K60" i="110"/>
  <c r="P59" i="110"/>
  <c r="F59" i="110"/>
  <c r="P57" i="110"/>
  <c r="L62" i="110"/>
  <c r="L61" i="110"/>
  <c r="M60" i="110"/>
  <c r="C60" i="110"/>
  <c r="M59" i="110"/>
  <c r="C59" i="110"/>
  <c r="M62" i="110"/>
  <c r="I61" i="110"/>
  <c r="Q60" i="110"/>
  <c r="E60" i="110"/>
  <c r="L59" i="110"/>
  <c r="Q62" i="110"/>
  <c r="D62" i="110"/>
  <c r="H61" i="110"/>
  <c r="L60" i="110"/>
  <c r="R59" i="110"/>
  <c r="D59" i="110"/>
  <c r="H62" i="110"/>
  <c r="J61" i="110"/>
  <c r="I60" i="110"/>
  <c r="J59" i="110"/>
  <c r="P62" i="110"/>
  <c r="Q61" i="110"/>
  <c r="R60" i="110"/>
  <c r="R62" i="110"/>
  <c r="E61" i="110"/>
  <c r="I59" i="110"/>
  <c r="F62" i="110"/>
  <c r="R61" i="110"/>
  <c r="H60" i="110"/>
  <c r="C61" i="110"/>
  <c r="F60" i="110"/>
  <c r="K59" i="110"/>
  <c r="J62" i="110"/>
  <c r="N61" i="110"/>
  <c r="P60" i="110"/>
  <c r="Q59" i="110"/>
  <c r="I62" i="110"/>
  <c r="K61" i="110"/>
  <c r="J60" i="110"/>
  <c r="H59" i="110"/>
  <c r="C62" i="110"/>
  <c r="D61" i="110"/>
  <c r="Z122" i="100"/>
  <c r="AH122" i="100"/>
  <c r="AD136" i="100"/>
  <c r="AL136" i="100"/>
  <c r="AA142" i="100"/>
  <c r="AI142" i="100"/>
  <c r="AA146" i="100"/>
  <c r="AI146" i="100"/>
  <c r="Z154" i="100"/>
  <c r="AH154" i="100"/>
  <c r="AA158" i="100"/>
  <c r="AI158" i="100"/>
  <c r="AA162" i="100"/>
  <c r="AI162" i="100"/>
  <c r="AA166" i="100"/>
  <c r="AI166" i="100"/>
  <c r="AA170" i="100"/>
  <c r="AI170" i="100"/>
  <c r="AA174" i="100"/>
  <c r="AI174" i="100"/>
  <c r="AA178" i="100"/>
  <c r="AI178" i="100"/>
  <c r="AA182" i="100"/>
  <c r="AI182" i="100"/>
  <c r="AA186" i="100"/>
  <c r="AI186" i="100"/>
  <c r="AA190" i="100"/>
  <c r="AI190" i="100"/>
  <c r="AA194" i="100"/>
  <c r="AI194" i="100"/>
  <c r="AD221" i="100"/>
  <c r="AI226" i="100"/>
  <c r="AE230" i="100"/>
  <c r="AJ235" i="100"/>
  <c r="AF239" i="100"/>
  <c r="AE255" i="100"/>
  <c r="AD258" i="100"/>
  <c r="AL258" i="100"/>
  <c r="Z262" i="100"/>
  <c r="AH262" i="100"/>
  <c r="AC269" i="100"/>
  <c r="AH274" i="100"/>
  <c r="AC275" i="100"/>
  <c r="AK275" i="100"/>
  <c r="AA277" i="100"/>
  <c r="AI277" i="100"/>
  <c r="AD278" i="100"/>
  <c r="Y279" i="100"/>
  <c r="AG279" i="100"/>
  <c r="AI283" i="100"/>
  <c r="AE287" i="100"/>
  <c r="AD290" i="100"/>
  <c r="AL290" i="100"/>
  <c r="Z294" i="100"/>
  <c r="AH294" i="100"/>
  <c r="AI11" i="111"/>
  <c r="W37" i="111"/>
  <c r="AA41" i="111"/>
  <c r="AI47" i="111"/>
  <c r="W73" i="111"/>
  <c r="AA77" i="111"/>
  <c r="AI86" i="111"/>
  <c r="W108" i="111"/>
  <c r="AH48" i="105"/>
  <c r="Z48" i="105"/>
  <c r="AH47" i="105"/>
  <c r="Z47" i="105"/>
  <c r="AH46" i="105"/>
  <c r="Z46" i="105"/>
  <c r="AH45" i="105"/>
  <c r="Z45" i="105"/>
  <c r="AJ48" i="105"/>
  <c r="AA48" i="105"/>
  <c r="AE47" i="105"/>
  <c r="V47" i="105"/>
  <c r="AJ46" i="105"/>
  <c r="AA46" i="105"/>
  <c r="AE45" i="105"/>
  <c r="V45" i="105"/>
  <c r="AH43" i="105"/>
  <c r="AI48" i="105"/>
  <c r="X48" i="105"/>
  <c r="AJ47" i="105"/>
  <c r="Y47" i="105"/>
  <c r="Y46" i="105"/>
  <c r="AA45" i="105"/>
  <c r="AD48" i="105"/>
  <c r="AD47" i="105"/>
  <c r="AE46" i="105"/>
  <c r="U46" i="105"/>
  <c r="AF45" i="105"/>
  <c r="U45" i="105"/>
  <c r="AD45" i="105"/>
  <c r="AB46" i="105"/>
  <c r="W47" i="105"/>
  <c r="AF48" i="105"/>
  <c r="AF48" i="109"/>
  <c r="X48" i="109"/>
  <c r="AD47" i="109"/>
  <c r="V47" i="109"/>
  <c r="AB46" i="109"/>
  <c r="AH45" i="109"/>
  <c r="Z45" i="109"/>
  <c r="Z48" i="109"/>
  <c r="AB47" i="109"/>
  <c r="AE46" i="109"/>
  <c r="V46" i="109"/>
  <c r="AG45" i="109"/>
  <c r="X45" i="109"/>
  <c r="AD48" i="109"/>
  <c r="AC47" i="109"/>
  <c r="AA46" i="109"/>
  <c r="AA45" i="109"/>
  <c r="AC48" i="109"/>
  <c r="X47" i="109"/>
  <c r="AD46" i="109"/>
  <c r="W45" i="109"/>
  <c r="W48" i="109"/>
  <c r="AE47" i="109"/>
  <c r="X46" i="109"/>
  <c r="AD45" i="109"/>
  <c r="AH48" i="109"/>
  <c r="AG47" i="109"/>
  <c r="AF46" i="109"/>
  <c r="AC45" i="109"/>
  <c r="AA48" i="109"/>
  <c r="Y47" i="109"/>
  <c r="W46" i="109"/>
  <c r="U45" i="109"/>
  <c r="AF43" i="109"/>
  <c r="Y45" i="109"/>
  <c r="AA47" i="109"/>
  <c r="U48" i="109"/>
  <c r="AB55" i="109"/>
  <c r="AH54" i="109"/>
  <c r="Z54" i="109"/>
  <c r="AF53" i="109"/>
  <c r="X53" i="109"/>
  <c r="AD52" i="109"/>
  <c r="V52" i="109"/>
  <c r="AD55" i="109"/>
  <c r="U55" i="109"/>
  <c r="AF54" i="109"/>
  <c r="W54" i="109"/>
  <c r="Z53" i="109"/>
  <c r="AB52" i="109"/>
  <c r="AE55" i="109"/>
  <c r="AC54" i="109"/>
  <c r="AB53" i="109"/>
  <c r="Z52" i="109"/>
  <c r="X55" i="109"/>
  <c r="AG54" i="109"/>
  <c r="U54" i="109"/>
  <c r="AD53" i="109"/>
  <c r="AA52" i="109"/>
  <c r="AC55" i="109"/>
  <c r="AA54" i="109"/>
  <c r="W53" i="109"/>
  <c r="AG52" i="109"/>
  <c r="U52" i="109"/>
  <c r="AF55" i="109"/>
  <c r="V54" i="109"/>
  <c r="AC53" i="109"/>
  <c r="W55" i="109"/>
  <c r="AD54" i="109"/>
  <c r="U53" i="109"/>
  <c r="AC52" i="109"/>
  <c r="AF50" i="109"/>
  <c r="AE52" i="109"/>
  <c r="Y53" i="109"/>
  <c r="R27" i="108"/>
  <c r="J27" i="108"/>
  <c r="R26" i="108"/>
  <c r="J26" i="108"/>
  <c r="R25" i="108"/>
  <c r="J25" i="108"/>
  <c r="R24" i="108"/>
  <c r="J24" i="108"/>
  <c r="Q27" i="108"/>
  <c r="H27" i="108"/>
  <c r="M26" i="108"/>
  <c r="D26" i="108"/>
  <c r="Q25" i="108"/>
  <c r="H25" i="108"/>
  <c r="M24" i="108"/>
  <c r="D24" i="108"/>
  <c r="M27" i="108"/>
  <c r="C27" i="108"/>
  <c r="N26" i="108"/>
  <c r="C26" i="108"/>
  <c r="N25" i="108"/>
  <c r="D25" i="108"/>
  <c r="O24" i="108"/>
  <c r="E24" i="108"/>
  <c r="K27" i="108"/>
  <c r="G26" i="108"/>
  <c r="O25" i="108"/>
  <c r="C25" i="108"/>
  <c r="K24" i="108"/>
  <c r="P27" i="108"/>
  <c r="E27" i="108"/>
  <c r="L26" i="108"/>
  <c r="I25" i="108"/>
  <c r="Q24" i="108"/>
  <c r="F24" i="108"/>
  <c r="E26" i="108"/>
  <c r="G25" i="108"/>
  <c r="I24" i="108"/>
  <c r="P22" i="108"/>
  <c r="I27" i="108"/>
  <c r="K26" i="108"/>
  <c r="P25" i="108"/>
  <c r="L24" i="108"/>
  <c r="L25" i="108"/>
  <c r="O26" i="108"/>
  <c r="N27" i="108"/>
  <c r="AD55" i="108"/>
  <c r="V55" i="108"/>
  <c r="AD54" i="108"/>
  <c r="V54" i="108"/>
  <c r="AD53" i="108"/>
  <c r="V53" i="108"/>
  <c r="AD52" i="108"/>
  <c r="V52" i="108"/>
  <c r="AI55" i="108"/>
  <c r="Z55" i="108"/>
  <c r="AE54" i="108"/>
  <c r="U54" i="108"/>
  <c r="AI53" i="108"/>
  <c r="Z53" i="108"/>
  <c r="AE52" i="108"/>
  <c r="U52" i="108"/>
  <c r="AH50" i="108"/>
  <c r="AJ55" i="108"/>
  <c r="Y55" i="108"/>
  <c r="AJ54" i="108"/>
  <c r="Z54" i="108"/>
  <c r="AA53" i="108"/>
  <c r="AA52" i="108"/>
  <c r="AH55" i="108"/>
  <c r="W55" i="108"/>
  <c r="AF54" i="108"/>
  <c r="AB53" i="108"/>
  <c r="AI52" i="108"/>
  <c r="X52" i="108"/>
  <c r="AC55" i="108"/>
  <c r="Y54" i="108"/>
  <c r="AG53" i="108"/>
  <c r="U53" i="108"/>
  <c r="AC52" i="108"/>
  <c r="AB55" i="108"/>
  <c r="AB54" i="108"/>
  <c r="AC53" i="108"/>
  <c r="AB52" i="108"/>
  <c r="AI54" i="108"/>
  <c r="AJ53" i="108"/>
  <c r="AJ52" i="108"/>
  <c r="AA54" i="108"/>
  <c r="Z52" i="108"/>
  <c r="AA55" i="108"/>
  <c r="Y53" i="108"/>
  <c r="Y52" i="108"/>
  <c r="W53" i="108"/>
  <c r="J74" i="110"/>
  <c r="N76" i="110"/>
  <c r="F76" i="110"/>
  <c r="N75" i="110"/>
  <c r="F75" i="110"/>
  <c r="N74" i="110"/>
  <c r="F74" i="110"/>
  <c r="N73" i="110"/>
  <c r="F73" i="110"/>
  <c r="M76" i="110"/>
  <c r="D76" i="110"/>
  <c r="K75" i="110"/>
  <c r="R74" i="110"/>
  <c r="I74" i="110"/>
  <c r="P73" i="110"/>
  <c r="G73" i="110"/>
  <c r="L76" i="110"/>
  <c r="R75" i="110"/>
  <c r="H75" i="110"/>
  <c r="M74" i="110"/>
  <c r="C74" i="110"/>
  <c r="I73" i="110"/>
  <c r="K76" i="110"/>
  <c r="P75" i="110"/>
  <c r="D75" i="110"/>
  <c r="H74" i="110"/>
  <c r="L73" i="110"/>
  <c r="P71" i="110"/>
  <c r="J76" i="110"/>
  <c r="M75" i="110"/>
  <c r="P74" i="110"/>
  <c r="R73" i="110"/>
  <c r="D73" i="110"/>
  <c r="I76" i="110"/>
  <c r="J75" i="110"/>
  <c r="K74" i="110"/>
  <c r="K73" i="110"/>
  <c r="R76" i="110"/>
  <c r="C76" i="110"/>
  <c r="C75" i="110"/>
  <c r="D74" i="110"/>
  <c r="C73" i="110"/>
  <c r="G76" i="110"/>
  <c r="Q74" i="110"/>
  <c r="M73" i="110"/>
  <c r="Q76" i="110"/>
  <c r="L75" i="110"/>
  <c r="G74" i="110"/>
  <c r="Q75" i="110"/>
  <c r="E74" i="110"/>
  <c r="P76" i="110"/>
  <c r="E75" i="110"/>
  <c r="H73" i="110"/>
  <c r="O74" i="110"/>
  <c r="AC113" i="100"/>
  <c r="AK113" i="100"/>
  <c r="Y115" i="100"/>
  <c r="AG115" i="100"/>
  <c r="AD118" i="100"/>
  <c r="AL118" i="100"/>
  <c r="Z132" i="100"/>
  <c r="AH132" i="100"/>
  <c r="AC141" i="100"/>
  <c r="AK141" i="100"/>
  <c r="Y143" i="100"/>
  <c r="AG143" i="100"/>
  <c r="Y147" i="100"/>
  <c r="AG147" i="100"/>
  <c r="AD150" i="100"/>
  <c r="AL150" i="100"/>
  <c r="Y159" i="100"/>
  <c r="AG159" i="100"/>
  <c r="Y163" i="100"/>
  <c r="AG163" i="100"/>
  <c r="Y167" i="100"/>
  <c r="AG167" i="100"/>
  <c r="Y171" i="100"/>
  <c r="AG171" i="100"/>
  <c r="Y175" i="100"/>
  <c r="AG175" i="100"/>
  <c r="Y179" i="100"/>
  <c r="AG179" i="100"/>
  <c r="Y183" i="100"/>
  <c r="AG183" i="100"/>
  <c r="Y187" i="100"/>
  <c r="AG187" i="100"/>
  <c r="Y191" i="100"/>
  <c r="AG191" i="100"/>
  <c r="Y195" i="100"/>
  <c r="AG195" i="100"/>
  <c r="AD198" i="100"/>
  <c r="AL198" i="100"/>
  <c r="AJ219" i="100"/>
  <c r="AF223" i="100"/>
  <c r="AF232" i="100"/>
  <c r="AN232" i="100"/>
  <c r="AH233" i="100"/>
  <c r="AD237" i="100"/>
  <c r="AI242" i="100"/>
  <c r="I251" i="100"/>
  <c r="I250" i="100"/>
  <c r="AB249" i="100"/>
  <c r="AC253" i="100"/>
  <c r="AH258" i="100"/>
  <c r="AC259" i="100"/>
  <c r="AK259" i="100"/>
  <c r="AA261" i="100"/>
  <c r="AI261" i="100"/>
  <c r="AD262" i="100"/>
  <c r="Y263" i="100"/>
  <c r="AG263" i="100"/>
  <c r="AI267" i="100"/>
  <c r="AE271" i="100"/>
  <c r="AD274" i="100"/>
  <c r="AL274" i="100"/>
  <c r="Z278" i="100"/>
  <c r="AH278" i="100"/>
  <c r="AC285" i="100"/>
  <c r="AH290" i="100"/>
  <c r="AC291" i="100"/>
  <c r="AK291" i="100"/>
  <c r="AA293" i="100"/>
  <c r="AI293" i="100"/>
  <c r="AD294" i="100"/>
  <c r="Y295" i="100"/>
  <c r="AG295" i="100"/>
  <c r="W17" i="111"/>
  <c r="AH18" i="111"/>
  <c r="AA21" i="111"/>
  <c r="AI27" i="111"/>
  <c r="W53" i="111"/>
  <c r="AH54" i="111"/>
  <c r="AA61" i="111"/>
  <c r="AI67" i="111"/>
  <c r="W92" i="111"/>
  <c r="AH93" i="111"/>
  <c r="AA96" i="111"/>
  <c r="AI102" i="111"/>
  <c r="Q13" i="102"/>
  <c r="I13" i="102"/>
  <c r="Q12" i="102"/>
  <c r="I12" i="102"/>
  <c r="Q11" i="102"/>
  <c r="I11" i="102"/>
  <c r="Q10" i="102"/>
  <c r="I10" i="102"/>
  <c r="O13" i="102"/>
  <c r="F13" i="102"/>
  <c r="K12" i="102"/>
  <c r="O11" i="102"/>
  <c r="F11" i="102"/>
  <c r="K10" i="102"/>
  <c r="K13" i="102"/>
  <c r="O12" i="102"/>
  <c r="F12" i="102"/>
  <c r="K11" i="102"/>
  <c r="O10" i="102"/>
  <c r="G10" i="102"/>
  <c r="E11" i="102"/>
  <c r="R11" i="102"/>
  <c r="D12" i="102"/>
  <c r="P12" i="102"/>
  <c r="C13" i="102"/>
  <c r="N13" i="102"/>
  <c r="Q27" i="102"/>
  <c r="I27" i="102"/>
  <c r="Q26" i="102"/>
  <c r="I26" i="102"/>
  <c r="Q25" i="102"/>
  <c r="I25" i="102"/>
  <c r="Q24" i="102"/>
  <c r="I24" i="102"/>
  <c r="O27" i="102"/>
  <c r="F27" i="102"/>
  <c r="K26" i="102"/>
  <c r="O25" i="102"/>
  <c r="F25" i="102"/>
  <c r="K24" i="102"/>
  <c r="K27" i="102"/>
  <c r="O26" i="102"/>
  <c r="F26" i="102"/>
  <c r="K25" i="102"/>
  <c r="O24" i="102"/>
  <c r="F24" i="102"/>
  <c r="H24" i="102"/>
  <c r="G25" i="102"/>
  <c r="E26" i="102"/>
  <c r="R26" i="102"/>
  <c r="D27" i="102"/>
  <c r="P27" i="102"/>
  <c r="M34" i="102"/>
  <c r="E34" i="102"/>
  <c r="M33" i="102"/>
  <c r="E33" i="102"/>
  <c r="M32" i="102"/>
  <c r="E32" i="102"/>
  <c r="M31" i="102"/>
  <c r="E31" i="102"/>
  <c r="K34" i="102"/>
  <c r="P33" i="102"/>
  <c r="G33" i="102"/>
  <c r="K32" i="102"/>
  <c r="P31" i="102"/>
  <c r="G31" i="102"/>
  <c r="P34" i="102"/>
  <c r="G34" i="102"/>
  <c r="K33" i="102"/>
  <c r="P32" i="102"/>
  <c r="G32" i="102"/>
  <c r="K31" i="102"/>
  <c r="J31" i="102"/>
  <c r="C32" i="102"/>
  <c r="O32" i="102"/>
  <c r="H33" i="102"/>
  <c r="L34" i="102"/>
  <c r="AD41" i="105"/>
  <c r="V41" i="105"/>
  <c r="AD40" i="105"/>
  <c r="V40" i="105"/>
  <c r="AD39" i="105"/>
  <c r="V39" i="105"/>
  <c r="AD38" i="105"/>
  <c r="V38" i="105"/>
  <c r="AE41" i="105"/>
  <c r="U41" i="105"/>
  <c r="AI40" i="105"/>
  <c r="Z40" i="105"/>
  <c r="AE39" i="105"/>
  <c r="U39" i="105"/>
  <c r="AI38" i="105"/>
  <c r="Z38" i="105"/>
  <c r="AF41" i="105"/>
  <c r="AF40" i="105"/>
  <c r="U40" i="105"/>
  <c r="AG39" i="105"/>
  <c r="W39" i="105"/>
  <c r="AG38" i="105"/>
  <c r="W38" i="105"/>
  <c r="AJ41" i="105"/>
  <c r="Z41" i="105"/>
  <c r="AA40" i="105"/>
  <c r="AA39" i="105"/>
  <c r="AB38" i="105"/>
  <c r="AE38" i="105"/>
  <c r="Z39" i="105"/>
  <c r="W40" i="105"/>
  <c r="AJ40" i="105"/>
  <c r="AG41" i="105"/>
  <c r="X45" i="105"/>
  <c r="AG46" i="105"/>
  <c r="AC47" i="105"/>
  <c r="Y48" i="105"/>
  <c r="AD55" i="105"/>
  <c r="V55" i="105"/>
  <c r="AD54" i="105"/>
  <c r="V54" i="105"/>
  <c r="AD53" i="105"/>
  <c r="V53" i="105"/>
  <c r="AD52" i="105"/>
  <c r="V52" i="105"/>
  <c r="AF55" i="105"/>
  <c r="W55" i="105"/>
  <c r="AJ54" i="105"/>
  <c r="AA54" i="105"/>
  <c r="AF53" i="105"/>
  <c r="W53" i="105"/>
  <c r="AJ52" i="105"/>
  <c r="AA52" i="105"/>
  <c r="AB55" i="105"/>
  <c r="AC54" i="105"/>
  <c r="AC53" i="105"/>
  <c r="AE52" i="105"/>
  <c r="AH55" i="105"/>
  <c r="X55" i="105"/>
  <c r="AH54" i="105"/>
  <c r="X54" i="105"/>
  <c r="AI53" i="105"/>
  <c r="Y53" i="105"/>
  <c r="AI52" i="105"/>
  <c r="Y52" i="105"/>
  <c r="AH50" i="105"/>
  <c r="AF52" i="105"/>
  <c r="AA53" i="105"/>
  <c r="W54" i="105"/>
  <c r="AG55" i="105"/>
  <c r="N27" i="107"/>
  <c r="F27" i="107"/>
  <c r="N26" i="107"/>
  <c r="F26" i="107"/>
  <c r="N25" i="107"/>
  <c r="F25" i="107"/>
  <c r="N24" i="107"/>
  <c r="F24" i="107"/>
  <c r="Q27" i="107"/>
  <c r="H27" i="107"/>
  <c r="L26" i="107"/>
  <c r="C26" i="107"/>
  <c r="Q25" i="107"/>
  <c r="H25" i="107"/>
  <c r="L24" i="107"/>
  <c r="C24" i="107"/>
  <c r="P27" i="107"/>
  <c r="E27" i="107"/>
  <c r="Q26" i="107"/>
  <c r="G26" i="107"/>
  <c r="R25" i="107"/>
  <c r="G25" i="107"/>
  <c r="R24" i="107"/>
  <c r="H24" i="107"/>
  <c r="K27" i="107"/>
  <c r="H26" i="107"/>
  <c r="O25" i="107"/>
  <c r="C25" i="107"/>
  <c r="K24" i="107"/>
  <c r="P22" i="107"/>
  <c r="R27" i="107"/>
  <c r="D27" i="107"/>
  <c r="M26" i="107"/>
  <c r="J25" i="107"/>
  <c r="Q24" i="107"/>
  <c r="E24" i="107"/>
  <c r="O24" i="107"/>
  <c r="M25" i="107"/>
  <c r="O26" i="107"/>
  <c r="M27" i="107"/>
  <c r="N55" i="107"/>
  <c r="F55" i="107"/>
  <c r="N54" i="107"/>
  <c r="F54" i="107"/>
  <c r="N53" i="107"/>
  <c r="F53" i="107"/>
  <c r="N52" i="107"/>
  <c r="F52" i="107"/>
  <c r="J55" i="107"/>
  <c r="O54" i="107"/>
  <c r="E54" i="107"/>
  <c r="J53" i="107"/>
  <c r="O52" i="107"/>
  <c r="E52" i="107"/>
  <c r="I55" i="107"/>
  <c r="J54" i="107"/>
  <c r="K53" i="107"/>
  <c r="K52" i="107"/>
  <c r="K55" i="107"/>
  <c r="R54" i="107"/>
  <c r="G54" i="107"/>
  <c r="O53" i="107"/>
  <c r="C53" i="107"/>
  <c r="J52" i="107"/>
  <c r="P50" i="107"/>
  <c r="P55" i="107"/>
  <c r="D55" i="107"/>
  <c r="L54" i="107"/>
  <c r="H53" i="107"/>
  <c r="Q52" i="107"/>
  <c r="D52" i="107"/>
  <c r="M52" i="107"/>
  <c r="I53" i="107"/>
  <c r="C54" i="107"/>
  <c r="O55" i="107"/>
  <c r="L76" i="107"/>
  <c r="D76" i="107"/>
  <c r="L75" i="107"/>
  <c r="D75" i="107"/>
  <c r="L74" i="107"/>
  <c r="D74" i="107"/>
  <c r="L73" i="107"/>
  <c r="D73" i="107"/>
  <c r="N69" i="107"/>
  <c r="F69" i="107"/>
  <c r="N68" i="107"/>
  <c r="F68" i="107"/>
  <c r="N67" i="107"/>
  <c r="F67" i="107"/>
  <c r="N66" i="107"/>
  <c r="F66" i="107"/>
  <c r="K76" i="107"/>
  <c r="R75" i="107"/>
  <c r="I75" i="107"/>
  <c r="P74" i="107"/>
  <c r="G74" i="107"/>
  <c r="N73" i="107"/>
  <c r="E73" i="107"/>
  <c r="K69" i="107"/>
  <c r="P68" i="107"/>
  <c r="G68" i="107"/>
  <c r="K67" i="107"/>
  <c r="P66" i="107"/>
  <c r="G66" i="107"/>
  <c r="Q76" i="107"/>
  <c r="G76" i="107"/>
  <c r="M75" i="107"/>
  <c r="R74" i="107"/>
  <c r="H74" i="107"/>
  <c r="M73" i="107"/>
  <c r="P69" i="107"/>
  <c r="E69" i="107"/>
  <c r="Q68" i="107"/>
  <c r="E68" i="107"/>
  <c r="Q67" i="107"/>
  <c r="G67" i="107"/>
  <c r="R66" i="107"/>
  <c r="H66" i="107"/>
  <c r="M76" i="107"/>
  <c r="Q75" i="107"/>
  <c r="G75" i="107"/>
  <c r="M74" i="107"/>
  <c r="R73" i="107"/>
  <c r="H73" i="107"/>
  <c r="J69" i="107"/>
  <c r="K68" i="107"/>
  <c r="F76" i="107"/>
  <c r="H75" i="107"/>
  <c r="J74" i="107"/>
  <c r="K73" i="107"/>
  <c r="R69" i="107"/>
  <c r="D69" i="107"/>
  <c r="I68" i="107"/>
  <c r="O67" i="107"/>
  <c r="C67" i="107"/>
  <c r="K66" i="107"/>
  <c r="P64" i="107"/>
  <c r="N76" i="107"/>
  <c r="O75" i="107"/>
  <c r="Q74" i="107"/>
  <c r="C74" i="107"/>
  <c r="F73" i="107"/>
  <c r="L69" i="107"/>
  <c r="O68" i="107"/>
  <c r="I67" i="107"/>
  <c r="Q66" i="107"/>
  <c r="D66" i="107"/>
  <c r="M66" i="107"/>
  <c r="M67" i="107"/>
  <c r="R68" i="107"/>
  <c r="C69" i="107"/>
  <c r="G73" i="107"/>
  <c r="I74" i="107"/>
  <c r="K75" i="107"/>
  <c r="O76" i="107"/>
  <c r="Z46" i="109"/>
  <c r="AE48" i="109"/>
  <c r="AH53" i="109"/>
  <c r="AE54" i="109"/>
  <c r="Z55" i="109"/>
  <c r="D27" i="108"/>
  <c r="AH53" i="108"/>
  <c r="AG54" i="108"/>
  <c r="AE55" i="108"/>
  <c r="E73" i="110"/>
  <c r="I75" i="110"/>
  <c r="N62" i="102"/>
  <c r="F62" i="102"/>
  <c r="N61" i="102"/>
  <c r="F61" i="102"/>
  <c r="N60" i="102"/>
  <c r="F60" i="102"/>
  <c r="N59" i="102"/>
  <c r="F59" i="102"/>
  <c r="R62" i="102"/>
  <c r="I62" i="102"/>
  <c r="M61" i="102"/>
  <c r="D61" i="102"/>
  <c r="R60" i="102"/>
  <c r="I60" i="102"/>
  <c r="M59" i="102"/>
  <c r="D59" i="102"/>
  <c r="I59" i="102"/>
  <c r="H60" i="102"/>
  <c r="H61" i="102"/>
  <c r="R61" i="102"/>
  <c r="G62" i="102"/>
  <c r="Q62" i="102"/>
  <c r="L27" i="105"/>
  <c r="D27" i="105"/>
  <c r="L26" i="105"/>
  <c r="D26" i="105"/>
  <c r="L25" i="105"/>
  <c r="D25" i="105"/>
  <c r="L24" i="105"/>
  <c r="D24" i="105"/>
  <c r="R27" i="105"/>
  <c r="I27" i="105"/>
  <c r="N26" i="105"/>
  <c r="E26" i="105"/>
  <c r="R25" i="105"/>
  <c r="I25" i="105"/>
  <c r="N24" i="105"/>
  <c r="E24" i="105"/>
  <c r="I24" i="105"/>
  <c r="H25" i="105"/>
  <c r="H26" i="105"/>
  <c r="R26" i="105"/>
  <c r="G27" i="105"/>
  <c r="Q27" i="105"/>
  <c r="R41" i="109"/>
  <c r="J41" i="109"/>
  <c r="P40" i="109"/>
  <c r="H40" i="109"/>
  <c r="N39" i="109"/>
  <c r="F39" i="109"/>
  <c r="L38" i="109"/>
  <c r="D38" i="109"/>
  <c r="K41" i="109"/>
  <c r="M40" i="109"/>
  <c r="D40" i="109"/>
  <c r="P39" i="109"/>
  <c r="G39" i="109"/>
  <c r="R38" i="109"/>
  <c r="I38" i="109"/>
  <c r="P36" i="109"/>
  <c r="P41" i="109"/>
  <c r="F41" i="109"/>
  <c r="O40" i="109"/>
  <c r="E40" i="109"/>
  <c r="M39" i="109"/>
  <c r="C39" i="109"/>
  <c r="M38" i="109"/>
  <c r="H41" i="109"/>
  <c r="N40" i="109"/>
  <c r="I39" i="109"/>
  <c r="O38" i="109"/>
  <c r="C38" i="109"/>
  <c r="N41" i="109"/>
  <c r="C41" i="109"/>
  <c r="I40" i="109"/>
  <c r="O39" i="109"/>
  <c r="H38" i="109"/>
  <c r="P38" i="109"/>
  <c r="R39" i="109"/>
  <c r="C40" i="109"/>
  <c r="E41" i="109"/>
  <c r="AF62" i="109"/>
  <c r="X62" i="109"/>
  <c r="AD61" i="109"/>
  <c r="V61" i="109"/>
  <c r="AB60" i="109"/>
  <c r="AH59" i="109"/>
  <c r="Z59" i="109"/>
  <c r="AH62" i="109"/>
  <c r="Y62" i="109"/>
  <c r="AA61" i="109"/>
  <c r="AD60" i="109"/>
  <c r="U60" i="109"/>
  <c r="AF59" i="109"/>
  <c r="W59" i="109"/>
  <c r="AE62" i="109"/>
  <c r="U62" i="109"/>
  <c r="AE61" i="109"/>
  <c r="AC60" i="109"/>
  <c r="AB59" i="109"/>
  <c r="AD62" i="109"/>
  <c r="Y61" i="109"/>
  <c r="AF60" i="109"/>
  <c r="Y59" i="109"/>
  <c r="Z62" i="109"/>
  <c r="AF61" i="109"/>
  <c r="Y60" i="109"/>
  <c r="AE59" i="109"/>
  <c r="AD59" i="109"/>
  <c r="AE60" i="109"/>
  <c r="AB61" i="109"/>
  <c r="AB62" i="109"/>
  <c r="AD34" i="108"/>
  <c r="V34" i="108"/>
  <c r="AD33" i="108"/>
  <c r="V33" i="108"/>
  <c r="AD32" i="108"/>
  <c r="V32" i="108"/>
  <c r="AD31" i="108"/>
  <c r="V31" i="108"/>
  <c r="AF34" i="108"/>
  <c r="W34" i="108"/>
  <c r="AJ33" i="108"/>
  <c r="AA33" i="108"/>
  <c r="AF32" i="108"/>
  <c r="W32" i="108"/>
  <c r="AJ31" i="108"/>
  <c r="AA31" i="108"/>
  <c r="AA34" i="108"/>
  <c r="AB33" i="108"/>
  <c r="AB32" i="108"/>
  <c r="AC31" i="108"/>
  <c r="AH34" i="108"/>
  <c r="U34" i="108"/>
  <c r="AE33" i="108"/>
  <c r="Z32" i="108"/>
  <c r="AH31" i="108"/>
  <c r="W31" i="108"/>
  <c r="AB34" i="108"/>
  <c r="AI33" i="108"/>
  <c r="X33" i="108"/>
  <c r="AG32" i="108"/>
  <c r="AB31" i="108"/>
  <c r="AE31" i="108"/>
  <c r="Y32" i="108"/>
  <c r="W33" i="108"/>
  <c r="AJ34" i="108"/>
  <c r="R48" i="108"/>
  <c r="J48" i="108"/>
  <c r="R47" i="108"/>
  <c r="L48" i="108"/>
  <c r="C48" i="108"/>
  <c r="P47" i="108"/>
  <c r="H47" i="108"/>
  <c r="P46" i="108"/>
  <c r="H46" i="108"/>
  <c r="P45" i="108"/>
  <c r="H45" i="108"/>
  <c r="K48" i="108"/>
  <c r="L47" i="108"/>
  <c r="C47" i="108"/>
  <c r="Q46" i="108"/>
  <c r="G46" i="108"/>
  <c r="L45" i="108"/>
  <c r="C45" i="108"/>
  <c r="O48" i="108"/>
  <c r="D48" i="108"/>
  <c r="N47" i="108"/>
  <c r="D47" i="108"/>
  <c r="O46" i="108"/>
  <c r="E46" i="108"/>
  <c r="I45" i="108"/>
  <c r="N48" i="108"/>
  <c r="J47" i="108"/>
  <c r="J46" i="108"/>
  <c r="K45" i="108"/>
  <c r="G48" i="108"/>
  <c r="Q47" i="108"/>
  <c r="E47" i="108"/>
  <c r="N46" i="108"/>
  <c r="C46" i="108"/>
  <c r="Q45" i="108"/>
  <c r="E45" i="108"/>
  <c r="G45" i="108"/>
  <c r="L46" i="108"/>
  <c r="M48" i="108"/>
  <c r="AD245" i="100"/>
  <c r="AK249" i="100"/>
  <c r="AB252" i="100"/>
  <c r="AJ252" i="100"/>
  <c r="AK252" i="100"/>
  <c r="AF256" i="100"/>
  <c r="AN256" i="100"/>
  <c r="AB260" i="100"/>
  <c r="AJ260" i="100"/>
  <c r="AF264" i="100"/>
  <c r="AN264" i="100"/>
  <c r="AB268" i="100"/>
  <c r="AJ268" i="100"/>
  <c r="AF272" i="100"/>
  <c r="AN272" i="100"/>
  <c r="AB276" i="100"/>
  <c r="AJ276" i="100"/>
  <c r="AF280" i="100"/>
  <c r="AN280" i="100"/>
  <c r="AB284" i="100"/>
  <c r="AJ284" i="100"/>
  <c r="AF288" i="100"/>
  <c r="AN288" i="100"/>
  <c r="AB292" i="100"/>
  <c r="AJ292" i="100"/>
  <c r="AF296" i="100"/>
  <c r="AN296" i="100"/>
  <c r="X9" i="111"/>
  <c r="AF9" i="111"/>
  <c r="AB13" i="111"/>
  <c r="AJ13" i="111"/>
  <c r="X17" i="111"/>
  <c r="AF17" i="111"/>
  <c r="AB21" i="111"/>
  <c r="AJ21" i="111"/>
  <c r="X25" i="111"/>
  <c r="AF25" i="111"/>
  <c r="AB33" i="111"/>
  <c r="AJ33" i="111"/>
  <c r="X37" i="111"/>
  <c r="AF37" i="111"/>
  <c r="AB41" i="111"/>
  <c r="AJ41" i="111"/>
  <c r="X45" i="111"/>
  <c r="AF45" i="111"/>
  <c r="AB49" i="111"/>
  <c r="AJ49" i="111"/>
  <c r="X53" i="111"/>
  <c r="AF53" i="111"/>
  <c r="AB61" i="111"/>
  <c r="AJ61" i="111"/>
  <c r="X65" i="111"/>
  <c r="AF65" i="111"/>
  <c r="AB69" i="111"/>
  <c r="AJ69" i="111"/>
  <c r="X73" i="111"/>
  <c r="AF73" i="111"/>
  <c r="AB77" i="111"/>
  <c r="AJ77" i="111"/>
  <c r="X81" i="111"/>
  <c r="AF81" i="111"/>
  <c r="AB88" i="111"/>
  <c r="AJ88" i="111"/>
  <c r="X92" i="111"/>
  <c r="AF92" i="111"/>
  <c r="AB96" i="111"/>
  <c r="AJ96" i="111"/>
  <c r="X100" i="111"/>
  <c r="AF100" i="111"/>
  <c r="AB104" i="111"/>
  <c r="AJ104" i="111"/>
  <c r="X108" i="111"/>
  <c r="AF108" i="111"/>
  <c r="C59" i="102"/>
  <c r="O59" i="102"/>
  <c r="C60" i="102"/>
  <c r="M60" i="102"/>
  <c r="L61" i="102"/>
  <c r="L62" i="102"/>
  <c r="AH20" i="105"/>
  <c r="Z20" i="105"/>
  <c r="AH19" i="105"/>
  <c r="Z19" i="105"/>
  <c r="AH18" i="105"/>
  <c r="Z18" i="105"/>
  <c r="AH17" i="105"/>
  <c r="Z17" i="105"/>
  <c r="AG20" i="105"/>
  <c r="X20" i="105"/>
  <c r="AC19" i="105"/>
  <c r="AG18" i="105"/>
  <c r="X18" i="105"/>
  <c r="AC17" i="105"/>
  <c r="W17" i="105"/>
  <c r="AG17" i="105"/>
  <c r="V18" i="105"/>
  <c r="AF18" i="105"/>
  <c r="V19" i="105"/>
  <c r="AF19" i="105"/>
  <c r="U20" i="105"/>
  <c r="AE20" i="105"/>
  <c r="C24" i="105"/>
  <c r="O24" i="105"/>
  <c r="C25" i="105"/>
  <c r="N25" i="105"/>
  <c r="M26" i="105"/>
  <c r="M27" i="105"/>
  <c r="AD69" i="105"/>
  <c r="V69" i="105"/>
  <c r="AD68" i="105"/>
  <c r="V68" i="105"/>
  <c r="AD67" i="105"/>
  <c r="V67" i="105"/>
  <c r="AD66" i="105"/>
  <c r="V66" i="105"/>
  <c r="AH62" i="105"/>
  <c r="Z62" i="105"/>
  <c r="AH61" i="105"/>
  <c r="Z61" i="105"/>
  <c r="AH60" i="105"/>
  <c r="Z60" i="105"/>
  <c r="AH59" i="105"/>
  <c r="Z59" i="105"/>
  <c r="AG69" i="105"/>
  <c r="X69" i="105"/>
  <c r="AB68" i="105"/>
  <c r="AG67" i="105"/>
  <c r="X67" i="105"/>
  <c r="AB66" i="105"/>
  <c r="AB62" i="105"/>
  <c r="AF61" i="105"/>
  <c r="W61" i="105"/>
  <c r="AB60" i="105"/>
  <c r="AF59" i="105"/>
  <c r="W59" i="105"/>
  <c r="AE69" i="105"/>
  <c r="AF68" i="105"/>
  <c r="U68" i="105"/>
  <c r="AF67" i="105"/>
  <c r="U67" i="105"/>
  <c r="AG66" i="105"/>
  <c r="W66" i="105"/>
  <c r="X59" i="105"/>
  <c r="AI59" i="105"/>
  <c r="W60" i="105"/>
  <c r="AG60" i="105"/>
  <c r="V61" i="105"/>
  <c r="AG61" i="105"/>
  <c r="V62" i="105"/>
  <c r="AF62" i="105"/>
  <c r="AA66" i="105"/>
  <c r="AC67" i="105"/>
  <c r="AG68" i="105"/>
  <c r="U69" i="105"/>
  <c r="AH69" i="105"/>
  <c r="AF13" i="107"/>
  <c r="X13" i="107"/>
  <c r="AF12" i="107"/>
  <c r="X12" i="107"/>
  <c r="AF11" i="107"/>
  <c r="X11" i="107"/>
  <c r="AF10" i="107"/>
  <c r="X10" i="107"/>
  <c r="AJ13" i="107"/>
  <c r="AA13" i="107"/>
  <c r="AE12" i="107"/>
  <c r="V12" i="107"/>
  <c r="AJ11" i="107"/>
  <c r="AA11" i="107"/>
  <c r="AE10" i="107"/>
  <c r="V10" i="107"/>
  <c r="AH8" i="107"/>
  <c r="AE13" i="107"/>
  <c r="U13" i="107"/>
  <c r="AG12" i="107"/>
  <c r="U12" i="107"/>
  <c r="AG11" i="107"/>
  <c r="V11" i="107"/>
  <c r="AH10" i="107"/>
  <c r="W10" i="107"/>
  <c r="AA10" i="107"/>
  <c r="AD11" i="107"/>
  <c r="W12" i="107"/>
  <c r="AI12" i="107"/>
  <c r="Z13" i="107"/>
  <c r="AF41" i="107"/>
  <c r="X41" i="107"/>
  <c r="AF40" i="107"/>
  <c r="X40" i="107"/>
  <c r="AF39" i="107"/>
  <c r="X39" i="107"/>
  <c r="AF38" i="107"/>
  <c r="X38" i="107"/>
  <c r="AC41" i="107"/>
  <c r="AH40" i="107"/>
  <c r="Y40" i="107"/>
  <c r="AC39" i="107"/>
  <c r="AH38" i="107"/>
  <c r="Y38" i="107"/>
  <c r="AI41" i="107"/>
  <c r="Y41" i="107"/>
  <c r="AJ40" i="107"/>
  <c r="Z40" i="107"/>
  <c r="AJ39" i="107"/>
  <c r="Z39" i="107"/>
  <c r="AA38" i="107"/>
  <c r="AB38" i="107"/>
  <c r="AE39" i="107"/>
  <c r="V40" i="107"/>
  <c r="AI40" i="107"/>
  <c r="AA41" i="107"/>
  <c r="AJ48" i="107"/>
  <c r="AB48" i="107"/>
  <c r="AJ47" i="107"/>
  <c r="AB47" i="107"/>
  <c r="AJ46" i="107"/>
  <c r="AB46" i="107"/>
  <c r="AJ45" i="107"/>
  <c r="AB45" i="107"/>
  <c r="AH43" i="107"/>
  <c r="AH48" i="107"/>
  <c r="Y48" i="107"/>
  <c r="AD47" i="107"/>
  <c r="U47" i="107"/>
  <c r="AH46" i="107"/>
  <c r="Y46" i="107"/>
  <c r="AD45" i="107"/>
  <c r="U45" i="107"/>
  <c r="AC48" i="107"/>
  <c r="AC47" i="107"/>
  <c r="AD46" i="107"/>
  <c r="AE45" i="107"/>
  <c r="Z45" i="107"/>
  <c r="AE46" i="107"/>
  <c r="W47" i="107"/>
  <c r="AH47" i="107"/>
  <c r="Z48" i="107"/>
  <c r="N13" i="109"/>
  <c r="F13" i="109"/>
  <c r="L12" i="109"/>
  <c r="D12" i="109"/>
  <c r="R11" i="109"/>
  <c r="J11" i="109"/>
  <c r="P10" i="109"/>
  <c r="H10" i="109"/>
  <c r="P8" i="109"/>
  <c r="K13" i="109"/>
  <c r="N12" i="109"/>
  <c r="E12" i="109"/>
  <c r="P11" i="109"/>
  <c r="G11" i="109"/>
  <c r="J10" i="109"/>
  <c r="J13" i="109"/>
  <c r="I12" i="109"/>
  <c r="H11" i="109"/>
  <c r="Q10" i="109"/>
  <c r="F10" i="109"/>
  <c r="P13" i="109"/>
  <c r="E13" i="109"/>
  <c r="O12" i="109"/>
  <c r="C12" i="109"/>
  <c r="M11" i="109"/>
  <c r="C11" i="109"/>
  <c r="L10" i="109"/>
  <c r="K10" i="109"/>
  <c r="E11" i="109"/>
  <c r="K12" i="109"/>
  <c r="D13" i="109"/>
  <c r="R13" i="109"/>
  <c r="N34" i="109"/>
  <c r="F34" i="109"/>
  <c r="L33" i="109"/>
  <c r="D33" i="109"/>
  <c r="R32" i="109"/>
  <c r="J32" i="109"/>
  <c r="P31" i="109"/>
  <c r="H31" i="109"/>
  <c r="P29" i="109"/>
  <c r="P34" i="109"/>
  <c r="G34" i="109"/>
  <c r="R33" i="109"/>
  <c r="I33" i="109"/>
  <c r="L32" i="109"/>
  <c r="C32" i="109"/>
  <c r="N31" i="109"/>
  <c r="E31" i="109"/>
  <c r="O34" i="109"/>
  <c r="D34" i="109"/>
  <c r="N33" i="109"/>
  <c r="C33" i="109"/>
  <c r="M32" i="109"/>
  <c r="K31" i="109"/>
  <c r="L34" i="109"/>
  <c r="G33" i="109"/>
  <c r="N32" i="109"/>
  <c r="G31" i="109"/>
  <c r="H34" i="109"/>
  <c r="M33" i="109"/>
  <c r="G32" i="109"/>
  <c r="M31" i="109"/>
  <c r="L31" i="109"/>
  <c r="H32" i="109"/>
  <c r="E33" i="109"/>
  <c r="Q34" i="109"/>
  <c r="G38" i="109"/>
  <c r="J39" i="109"/>
  <c r="K40" i="109"/>
  <c r="M41" i="109"/>
  <c r="V59" i="109"/>
  <c r="W60" i="109"/>
  <c r="U61" i="109"/>
  <c r="Q13" i="108"/>
  <c r="I13" i="108"/>
  <c r="P12" i="108"/>
  <c r="H12" i="108"/>
  <c r="O11" i="108"/>
  <c r="G11" i="108"/>
  <c r="N10" i="108"/>
  <c r="F10" i="108"/>
  <c r="M13" i="108"/>
  <c r="D13" i="108"/>
  <c r="R12" i="108"/>
  <c r="I12" i="108"/>
  <c r="M11" i="108"/>
  <c r="D11" i="108"/>
  <c r="R10" i="108"/>
  <c r="I10" i="108"/>
  <c r="P8" i="108"/>
  <c r="H13" i="108"/>
  <c r="K12" i="108"/>
  <c r="L11" i="108"/>
  <c r="O10" i="108"/>
  <c r="D10" i="108"/>
  <c r="K13" i="108"/>
  <c r="J12" i="108"/>
  <c r="I11" i="108"/>
  <c r="H10" i="108"/>
  <c r="P13" i="108"/>
  <c r="E13" i="108"/>
  <c r="O12" i="108"/>
  <c r="D12" i="108"/>
  <c r="P11" i="108"/>
  <c r="C11" i="108"/>
  <c r="M10" i="108"/>
  <c r="P10" i="108"/>
  <c r="H11" i="108"/>
  <c r="Q12" i="108"/>
  <c r="J13" i="108"/>
  <c r="O20" i="108"/>
  <c r="G20" i="108"/>
  <c r="N19" i="108"/>
  <c r="F19" i="108"/>
  <c r="M18" i="108"/>
  <c r="E18" i="108"/>
  <c r="L17" i="108"/>
  <c r="D17" i="108"/>
  <c r="P20" i="108"/>
  <c r="F20" i="108"/>
  <c r="K19" i="108"/>
  <c r="P18" i="108"/>
  <c r="G18" i="108"/>
  <c r="K17" i="108"/>
  <c r="M20" i="108"/>
  <c r="C20" i="108"/>
  <c r="P19" i="108"/>
  <c r="E19" i="108"/>
  <c r="R18" i="108"/>
  <c r="H18" i="108"/>
  <c r="I17" i="108"/>
  <c r="R20" i="108"/>
  <c r="E20" i="108"/>
  <c r="Q19" i="108"/>
  <c r="D19" i="108"/>
  <c r="O18" i="108"/>
  <c r="C18" i="108"/>
  <c r="O17" i="108"/>
  <c r="C17" i="108"/>
  <c r="K20" i="108"/>
  <c r="J19" i="108"/>
  <c r="J18" i="108"/>
  <c r="H17" i="108"/>
  <c r="G17" i="108"/>
  <c r="N18" i="108"/>
  <c r="G19" i="108"/>
  <c r="L20" i="108"/>
  <c r="U31" i="108"/>
  <c r="AH32" i="108"/>
  <c r="AF33" i="108"/>
  <c r="AC34" i="108"/>
  <c r="O45" i="108"/>
  <c r="D46" i="108"/>
  <c r="K47" i="108"/>
  <c r="E48" i="108"/>
  <c r="AC20" i="110"/>
  <c r="U20" i="110"/>
  <c r="AC19" i="110"/>
  <c r="U19" i="110"/>
  <c r="AC18" i="110"/>
  <c r="U18" i="110"/>
  <c r="AE20" i="110"/>
  <c r="V20" i="110"/>
  <c r="AI19" i="110"/>
  <c r="Z19" i="110"/>
  <c r="AE18" i="110"/>
  <c r="V18" i="110"/>
  <c r="AC17" i="110"/>
  <c r="U17" i="110"/>
  <c r="AJ20" i="110"/>
  <c r="Z20" i="110"/>
  <c r="AA19" i="110"/>
  <c r="AA18" i="110"/>
  <c r="AE17" i="110"/>
  <c r="V17" i="110"/>
  <c r="AH15" i="110"/>
  <c r="AB20" i="110"/>
  <c r="AJ19" i="110"/>
  <c r="X19" i="110"/>
  <c r="AG18" i="110"/>
  <c r="AF17" i="110"/>
  <c r="X20" i="110"/>
  <c r="AD19" i="110"/>
  <c r="AH18" i="110"/>
  <c r="AA17" i="110"/>
  <c r="AF20" i="110"/>
  <c r="AH19" i="110"/>
  <c r="V19" i="110"/>
  <c r="Z18" i="110"/>
  <c r="AH17" i="110"/>
  <c r="W17" i="110"/>
  <c r="W20" i="110"/>
  <c r="AF18" i="110"/>
  <c r="AD17" i="110"/>
  <c r="AG20" i="110"/>
  <c r="AB19" i="110"/>
  <c r="X18" i="110"/>
  <c r="X17" i="110"/>
  <c r="AI18" i="110"/>
  <c r="Y19" i="110"/>
  <c r="O34" i="110"/>
  <c r="G34" i="110"/>
  <c r="O33" i="110"/>
  <c r="G33" i="110"/>
  <c r="O32" i="110"/>
  <c r="G32" i="110"/>
  <c r="O31" i="110"/>
  <c r="G31" i="110"/>
  <c r="J34" i="110"/>
  <c r="N33" i="110"/>
  <c r="E33" i="110"/>
  <c r="J32" i="110"/>
  <c r="N31" i="110"/>
  <c r="E31" i="110"/>
  <c r="I34" i="110"/>
  <c r="J33" i="110"/>
  <c r="K32" i="110"/>
  <c r="K31" i="110"/>
  <c r="Q34" i="110"/>
  <c r="E34" i="110"/>
  <c r="M33" i="110"/>
  <c r="I32" i="110"/>
  <c r="R31" i="110"/>
  <c r="F31" i="110"/>
  <c r="K34" i="110"/>
  <c r="P33" i="110"/>
  <c r="R32" i="110"/>
  <c r="E32" i="110"/>
  <c r="J31" i="110"/>
  <c r="P29" i="110"/>
  <c r="N34" i="110"/>
  <c r="Q33" i="110"/>
  <c r="P32" i="110"/>
  <c r="Q31" i="110"/>
  <c r="F34" i="110"/>
  <c r="H33" i="110"/>
  <c r="H32" i="110"/>
  <c r="I31" i="110"/>
  <c r="C34" i="110"/>
  <c r="L33" i="110"/>
  <c r="D32" i="110"/>
  <c r="P31" i="110"/>
  <c r="M34" i="110"/>
  <c r="D33" i="110"/>
  <c r="N32" i="110"/>
  <c r="D31" i="110"/>
  <c r="M32" i="110"/>
  <c r="I33" i="110"/>
  <c r="D34" i="110"/>
  <c r="AB69" i="109"/>
  <c r="AH68" i="109"/>
  <c r="Z68" i="109"/>
  <c r="AF67" i="109"/>
  <c r="X67" i="109"/>
  <c r="AD66" i="109"/>
  <c r="V66" i="109"/>
  <c r="AC69" i="109"/>
  <c r="AE68" i="109"/>
  <c r="V68" i="109"/>
  <c r="AH67" i="109"/>
  <c r="Y67" i="109"/>
  <c r="AA66" i="109"/>
  <c r="AG69" i="109"/>
  <c r="W69" i="109"/>
  <c r="AF68" i="109"/>
  <c r="U68" i="109"/>
  <c r="AD67" i="109"/>
  <c r="AC66" i="109"/>
  <c r="Z66" i="109"/>
  <c r="U67" i="109"/>
  <c r="AG67" i="109"/>
  <c r="AA68" i="109"/>
  <c r="U69" i="109"/>
  <c r="AF69" i="109"/>
  <c r="N62" i="108"/>
  <c r="F62" i="108"/>
  <c r="N61" i="108"/>
  <c r="F61" i="108"/>
  <c r="N60" i="108"/>
  <c r="F60" i="108"/>
  <c r="N59" i="108"/>
  <c r="F59" i="108"/>
  <c r="P57" i="108"/>
  <c r="R62" i="108"/>
  <c r="I62" i="108"/>
  <c r="M61" i="108"/>
  <c r="D61" i="108"/>
  <c r="R60" i="108"/>
  <c r="I60" i="108"/>
  <c r="M59" i="108"/>
  <c r="D59" i="108"/>
  <c r="O62" i="108"/>
  <c r="D62" i="108"/>
  <c r="P61" i="108"/>
  <c r="E61" i="108"/>
  <c r="P60" i="108"/>
  <c r="E60" i="108"/>
  <c r="Q59" i="108"/>
  <c r="G59" i="108"/>
  <c r="G62" i="108"/>
  <c r="O61" i="108"/>
  <c r="K60" i="108"/>
  <c r="H59" i="108"/>
  <c r="L62" i="108"/>
  <c r="I61" i="108"/>
  <c r="Q60" i="108"/>
  <c r="D60" i="108"/>
  <c r="L59" i="108"/>
  <c r="K59" i="108"/>
  <c r="L60" i="108"/>
  <c r="K61" i="108"/>
  <c r="K62" i="108"/>
  <c r="AG62" i="110"/>
  <c r="Y62" i="110"/>
  <c r="AG61" i="110"/>
  <c r="Y61" i="110"/>
  <c r="AG60" i="110"/>
  <c r="Y60" i="110"/>
  <c r="AG59" i="110"/>
  <c r="Y59" i="110"/>
  <c r="AE62" i="110"/>
  <c r="V62" i="110"/>
  <c r="AJ61" i="110"/>
  <c r="AA61" i="110"/>
  <c r="AE60" i="110"/>
  <c r="V60" i="110"/>
  <c r="AJ59" i="110"/>
  <c r="AA59" i="110"/>
  <c r="AI62" i="110"/>
  <c r="X62" i="110"/>
  <c r="AI61" i="110"/>
  <c r="X61" i="110"/>
  <c r="AJ60" i="110"/>
  <c r="Z60" i="110"/>
  <c r="Z59" i="110"/>
  <c r="AA62" i="110"/>
  <c r="AH61" i="110"/>
  <c r="V61" i="110"/>
  <c r="AD60" i="110"/>
  <c r="AB59" i="110"/>
  <c r="AH57" i="110"/>
  <c r="AF62" i="110"/>
  <c r="W61" i="110"/>
  <c r="AB60" i="110"/>
  <c r="AF59" i="110"/>
  <c r="Z62" i="110"/>
  <c r="AB61" i="110"/>
  <c r="AA60" i="110"/>
  <c r="AC59" i="110"/>
  <c r="AH62" i="110"/>
  <c r="AF61" i="110"/>
  <c r="AI60" i="110"/>
  <c r="AI59" i="110"/>
  <c r="U59" i="110"/>
  <c r="V59" i="110"/>
  <c r="AF60" i="110"/>
  <c r="AC62" i="110"/>
  <c r="AF55" i="107"/>
  <c r="X55" i="107"/>
  <c r="AF54" i="107"/>
  <c r="X54" i="107"/>
  <c r="AF53" i="107"/>
  <c r="X53" i="107"/>
  <c r="AF52" i="107"/>
  <c r="X52" i="107"/>
  <c r="AD55" i="107"/>
  <c r="U55" i="107"/>
  <c r="AI54" i="107"/>
  <c r="Z54" i="107"/>
  <c r="AD53" i="107"/>
  <c r="U53" i="107"/>
  <c r="AI52" i="107"/>
  <c r="Z52" i="107"/>
  <c r="W52" i="107"/>
  <c r="AH52" i="107"/>
  <c r="W53" i="107"/>
  <c r="AH53" i="107"/>
  <c r="V54" i="107"/>
  <c r="AG54" i="107"/>
  <c r="V55" i="107"/>
  <c r="AG55" i="107"/>
  <c r="R27" i="109"/>
  <c r="J27" i="109"/>
  <c r="P26" i="109"/>
  <c r="H26" i="109"/>
  <c r="N25" i="109"/>
  <c r="F25" i="109"/>
  <c r="L24" i="109"/>
  <c r="D24" i="109"/>
  <c r="L27" i="109"/>
  <c r="C27" i="109"/>
  <c r="N26" i="109"/>
  <c r="E26" i="109"/>
  <c r="Q25" i="109"/>
  <c r="H25" i="109"/>
  <c r="J24" i="109"/>
  <c r="N27" i="109"/>
  <c r="D27" i="109"/>
  <c r="L26" i="109"/>
  <c r="K25" i="109"/>
  <c r="I24" i="109"/>
  <c r="P22" i="109"/>
  <c r="K24" i="109"/>
  <c r="M25" i="109"/>
  <c r="D26" i="109"/>
  <c r="Q26" i="109"/>
  <c r="H27" i="109"/>
  <c r="N62" i="109"/>
  <c r="F62" i="109"/>
  <c r="L61" i="109"/>
  <c r="D61" i="109"/>
  <c r="R60" i="109"/>
  <c r="J60" i="109"/>
  <c r="P59" i="109"/>
  <c r="H59" i="109"/>
  <c r="P57" i="109"/>
  <c r="M62" i="109"/>
  <c r="D62" i="109"/>
  <c r="P61" i="109"/>
  <c r="G61" i="109"/>
  <c r="I60" i="109"/>
  <c r="L59" i="109"/>
  <c r="C59" i="109"/>
  <c r="I62" i="109"/>
  <c r="R61" i="109"/>
  <c r="H61" i="109"/>
  <c r="P60" i="109"/>
  <c r="F60" i="109"/>
  <c r="O59" i="109"/>
  <c r="E59" i="109"/>
  <c r="K59" i="109"/>
  <c r="E60" i="109"/>
  <c r="Q60" i="109"/>
  <c r="K61" i="109"/>
  <c r="E62" i="109"/>
  <c r="Q62" i="109"/>
  <c r="U66" i="109"/>
  <c r="AG66" i="109"/>
  <c r="AA67" i="109"/>
  <c r="AG68" i="109"/>
  <c r="Z69" i="109"/>
  <c r="AJ27" i="108"/>
  <c r="AB27" i="108"/>
  <c r="AJ26" i="108"/>
  <c r="AB26" i="108"/>
  <c r="AJ25" i="108"/>
  <c r="AB25" i="108"/>
  <c r="AJ24" i="108"/>
  <c r="AB24" i="108"/>
  <c r="AC27" i="108"/>
  <c r="AG26" i="108"/>
  <c r="X26" i="108"/>
  <c r="AC25" i="108"/>
  <c r="AG24" i="108"/>
  <c r="X24" i="108"/>
  <c r="AI27" i="108"/>
  <c r="Y27" i="108"/>
  <c r="Z26" i="108"/>
  <c r="Z25" i="108"/>
  <c r="AA24" i="108"/>
  <c r="Y24" i="108"/>
  <c r="AD25" i="108"/>
  <c r="U26" i="108"/>
  <c r="AF26" i="108"/>
  <c r="X27" i="108"/>
  <c r="L34" i="108"/>
  <c r="D34" i="108"/>
  <c r="L33" i="108"/>
  <c r="D33" i="108"/>
  <c r="L32" i="108"/>
  <c r="D32" i="108"/>
  <c r="L31" i="108"/>
  <c r="D31" i="108"/>
  <c r="K34" i="108"/>
  <c r="P33" i="108"/>
  <c r="G33" i="108"/>
  <c r="K32" i="108"/>
  <c r="P31" i="108"/>
  <c r="G31" i="108"/>
  <c r="P29" i="108"/>
  <c r="O34" i="108"/>
  <c r="E34" i="108"/>
  <c r="O33" i="108"/>
  <c r="E33" i="108"/>
  <c r="P32" i="108"/>
  <c r="F32" i="108"/>
  <c r="Q31" i="108"/>
  <c r="F31" i="108"/>
  <c r="I31" i="108"/>
  <c r="M32" i="108"/>
  <c r="C33" i="108"/>
  <c r="Q33" i="108"/>
  <c r="H34" i="108"/>
  <c r="AE59" i="110"/>
  <c r="U60" i="110"/>
  <c r="AD61" i="110"/>
  <c r="M76" i="108"/>
  <c r="E76" i="108"/>
  <c r="M75" i="108"/>
  <c r="E75" i="108"/>
  <c r="M74" i="108"/>
  <c r="E74" i="108"/>
  <c r="M73" i="108"/>
  <c r="E73" i="108"/>
  <c r="J76" i="108"/>
  <c r="Q75" i="108"/>
  <c r="H75" i="108"/>
  <c r="O74" i="108"/>
  <c r="F74" i="108"/>
  <c r="L73" i="108"/>
  <c r="C73" i="108"/>
  <c r="P76" i="108"/>
  <c r="F76" i="108"/>
  <c r="K75" i="108"/>
  <c r="Q74" i="108"/>
  <c r="G74" i="108"/>
  <c r="K73" i="108"/>
  <c r="P71" i="108"/>
  <c r="N73" i="108"/>
  <c r="I74" i="108"/>
  <c r="D75" i="108"/>
  <c r="P75" i="108"/>
  <c r="L76" i="108"/>
  <c r="AC48" i="110"/>
  <c r="U48" i="110"/>
  <c r="AC47" i="110"/>
  <c r="U47" i="110"/>
  <c r="AC46" i="110"/>
  <c r="U46" i="110"/>
  <c r="AC45" i="110"/>
  <c r="U45" i="110"/>
  <c r="AJ48" i="110"/>
  <c r="AA48" i="110"/>
  <c r="AF47" i="110"/>
  <c r="W47" i="110"/>
  <c r="AJ46" i="110"/>
  <c r="AA46" i="110"/>
  <c r="AF45" i="110"/>
  <c r="W45" i="110"/>
  <c r="AG48" i="110"/>
  <c r="W48" i="110"/>
  <c r="AH47" i="110"/>
  <c r="X47" i="110"/>
  <c r="AH46" i="110"/>
  <c r="X46" i="110"/>
  <c r="AI45" i="110"/>
  <c r="Y45" i="110"/>
  <c r="AF48" i="110"/>
  <c r="AB47" i="110"/>
  <c r="Y46" i="110"/>
  <c r="AG45" i="110"/>
  <c r="X48" i="110"/>
  <c r="AA47" i="110"/>
  <c r="AF46" i="110"/>
  <c r="X45" i="110"/>
  <c r="AD45" i="110"/>
  <c r="AD46" i="110"/>
  <c r="AD47" i="110"/>
  <c r="AB48" i="110"/>
  <c r="AE55" i="110"/>
  <c r="W55" i="110"/>
  <c r="AE54" i="110"/>
  <c r="W54" i="110"/>
  <c r="AE53" i="110"/>
  <c r="W53" i="110"/>
  <c r="AE52" i="110"/>
  <c r="W52" i="110"/>
  <c r="AC55" i="110"/>
  <c r="AH54" i="110"/>
  <c r="Y54" i="110"/>
  <c r="AC53" i="110"/>
  <c r="AH52" i="110"/>
  <c r="Y52" i="110"/>
  <c r="AH55" i="110"/>
  <c r="X55" i="110"/>
  <c r="AA54" i="110"/>
  <c r="AD53" i="110"/>
  <c r="AG52" i="110"/>
  <c r="V52" i="110"/>
  <c r="AD55" i="110"/>
  <c r="AF54" i="110"/>
  <c r="AH53" i="110"/>
  <c r="V53" i="110"/>
  <c r="AJ52" i="110"/>
  <c r="X52" i="110"/>
  <c r="AF55" i="110"/>
  <c r="AD54" i="110"/>
  <c r="AF53" i="110"/>
  <c r="AC52" i="110"/>
  <c r="Y53" i="110"/>
  <c r="Z54" i="110"/>
  <c r="AA55" i="110"/>
  <c r="AA10" i="102"/>
  <c r="AI10" i="102"/>
  <c r="AA11" i="102"/>
  <c r="AI11" i="102"/>
  <c r="AA12" i="102"/>
  <c r="AI12" i="102"/>
  <c r="AA13" i="102"/>
  <c r="AA24" i="102"/>
  <c r="AI24" i="102"/>
  <c r="AA25" i="102"/>
  <c r="AI25" i="102"/>
  <c r="AA26" i="102"/>
  <c r="AI26" i="102"/>
  <c r="AA27" i="102"/>
  <c r="AA38" i="102"/>
  <c r="AI38" i="102"/>
  <c r="AA39" i="102"/>
  <c r="AI39" i="102"/>
  <c r="AA40" i="102"/>
  <c r="AI40" i="102"/>
  <c r="AA41" i="102"/>
  <c r="AJ55" i="102"/>
  <c r="AB55" i="102"/>
  <c r="AJ54" i="102"/>
  <c r="AB54" i="102"/>
  <c r="AJ53" i="102"/>
  <c r="AB53" i="102"/>
  <c r="AJ52" i="102"/>
  <c r="AB52" i="102"/>
  <c r="AC52" i="102"/>
  <c r="X53" i="102"/>
  <c r="AG53" i="102"/>
  <c r="AC54" i="102"/>
  <c r="X55" i="102"/>
  <c r="AG55" i="102"/>
  <c r="P20" i="105"/>
  <c r="H20" i="105"/>
  <c r="P19" i="105"/>
  <c r="H19" i="105"/>
  <c r="P18" i="105"/>
  <c r="H18" i="105"/>
  <c r="P17" i="105"/>
  <c r="H17" i="105"/>
  <c r="P15" i="105"/>
  <c r="I17" i="105"/>
  <c r="R17" i="105"/>
  <c r="D18" i="105"/>
  <c r="M18" i="105"/>
  <c r="I19" i="105"/>
  <c r="R19" i="105"/>
  <c r="D20" i="105"/>
  <c r="M20" i="105"/>
  <c r="AH34" i="105"/>
  <c r="Z34" i="105"/>
  <c r="AH33" i="105"/>
  <c r="Z33" i="105"/>
  <c r="AH32" i="105"/>
  <c r="Z32" i="105"/>
  <c r="AH31" i="105"/>
  <c r="Z31" i="105"/>
  <c r="U31" i="105"/>
  <c r="AD31" i="105"/>
  <c r="Y32" i="105"/>
  <c r="AI32" i="105"/>
  <c r="U33" i="105"/>
  <c r="AD33" i="105"/>
  <c r="Y34" i="105"/>
  <c r="AI34" i="105"/>
  <c r="L69" i="105"/>
  <c r="D69" i="105"/>
  <c r="L68" i="105"/>
  <c r="D68" i="105"/>
  <c r="L67" i="105"/>
  <c r="D67" i="105"/>
  <c r="L66" i="105"/>
  <c r="D66" i="105"/>
  <c r="H66" i="105"/>
  <c r="Q66" i="105"/>
  <c r="C67" i="105"/>
  <c r="M67" i="105"/>
  <c r="H68" i="105"/>
  <c r="Q68" i="105"/>
  <c r="C69" i="105"/>
  <c r="M69" i="105"/>
  <c r="R34" i="107"/>
  <c r="J34" i="107"/>
  <c r="R33" i="107"/>
  <c r="J33" i="107"/>
  <c r="R32" i="107"/>
  <c r="J32" i="107"/>
  <c r="R31" i="107"/>
  <c r="J31" i="107"/>
  <c r="H31" i="107"/>
  <c r="Q31" i="107"/>
  <c r="D32" i="107"/>
  <c r="M32" i="107"/>
  <c r="H33" i="107"/>
  <c r="Q33" i="107"/>
  <c r="D34" i="107"/>
  <c r="M34" i="107"/>
  <c r="AJ62" i="107"/>
  <c r="AB62" i="107"/>
  <c r="AJ61" i="107"/>
  <c r="AB61" i="107"/>
  <c r="AJ60" i="107"/>
  <c r="AB60" i="107"/>
  <c r="AJ59" i="107"/>
  <c r="AB59" i="107"/>
  <c r="AH57" i="107"/>
  <c r="V59" i="107"/>
  <c r="AE59" i="107"/>
  <c r="Z60" i="107"/>
  <c r="AI60" i="107"/>
  <c r="V61" i="107"/>
  <c r="AE61" i="107"/>
  <c r="Z62" i="107"/>
  <c r="AI62" i="107"/>
  <c r="AF13" i="109"/>
  <c r="X13" i="109"/>
  <c r="AD12" i="109"/>
  <c r="V12" i="109"/>
  <c r="AB11" i="109"/>
  <c r="AH10" i="109"/>
  <c r="Z10" i="109"/>
  <c r="U10" i="109"/>
  <c r="AD10" i="109"/>
  <c r="AA11" i="109"/>
  <c r="Y12" i="109"/>
  <c r="AH12" i="109"/>
  <c r="V13" i="109"/>
  <c r="AE13" i="109"/>
  <c r="AF34" i="109"/>
  <c r="X34" i="109"/>
  <c r="AD33" i="109"/>
  <c r="V33" i="109"/>
  <c r="AB32" i="109"/>
  <c r="AH31" i="109"/>
  <c r="Z31" i="109"/>
  <c r="AA34" i="109"/>
  <c r="AC33" i="109"/>
  <c r="AF32" i="109"/>
  <c r="W32" i="109"/>
  <c r="Y31" i="109"/>
  <c r="W31" i="109"/>
  <c r="AG31" i="109"/>
  <c r="Y32" i="109"/>
  <c r="Z33" i="109"/>
  <c r="AB34" i="109"/>
  <c r="AH20" i="108"/>
  <c r="AG19" i="108"/>
  <c r="AF18" i="108"/>
  <c r="AE17" i="108"/>
  <c r="AJ20" i="108"/>
  <c r="AE19" i="108"/>
  <c r="AJ18" i="108"/>
  <c r="AF17" i="108"/>
  <c r="U17" i="108"/>
  <c r="AI20" i="108"/>
  <c r="N41" i="108"/>
  <c r="F41" i="108"/>
  <c r="N40" i="108"/>
  <c r="F40" i="108"/>
  <c r="N39" i="108"/>
  <c r="F39" i="108"/>
  <c r="N38" i="108"/>
  <c r="F38" i="108"/>
  <c r="P36" i="108"/>
  <c r="O41" i="108"/>
  <c r="E41" i="108"/>
  <c r="J40" i="108"/>
  <c r="O39" i="108"/>
  <c r="E39" i="108"/>
  <c r="J38" i="108"/>
  <c r="H38" i="108"/>
  <c r="R38" i="108"/>
  <c r="H39" i="108"/>
  <c r="R39" i="108"/>
  <c r="G40" i="108"/>
  <c r="Q40" i="108"/>
  <c r="G41" i="108"/>
  <c r="Q41" i="108"/>
  <c r="G73" i="108"/>
  <c r="R73" i="108"/>
  <c r="N74" i="108"/>
  <c r="J75" i="108"/>
  <c r="G76" i="108"/>
  <c r="R76" i="108"/>
  <c r="V45" i="110"/>
  <c r="V46" i="110"/>
  <c r="AJ47" i="110"/>
  <c r="AI48" i="110"/>
  <c r="AB52" i="110"/>
  <c r="AG53" i="110"/>
  <c r="AI54" i="110"/>
  <c r="U55" i="110"/>
  <c r="AJ55" i="110"/>
  <c r="AB27" i="109"/>
  <c r="AH26" i="109"/>
  <c r="Z26" i="109"/>
  <c r="AF25" i="109"/>
  <c r="X25" i="109"/>
  <c r="AD24" i="109"/>
  <c r="V24" i="109"/>
  <c r="U24" i="109"/>
  <c r="AE24" i="109"/>
  <c r="AB25" i="109"/>
  <c r="Y26" i="109"/>
  <c r="W27" i="109"/>
  <c r="AF27" i="109"/>
  <c r="R55" i="109"/>
  <c r="J55" i="109"/>
  <c r="P54" i="109"/>
  <c r="H54" i="109"/>
  <c r="N53" i="109"/>
  <c r="F53" i="109"/>
  <c r="L52" i="109"/>
  <c r="D52" i="109"/>
  <c r="H52" i="109"/>
  <c r="Q52" i="109"/>
  <c r="E53" i="109"/>
  <c r="O53" i="109"/>
  <c r="C54" i="109"/>
  <c r="L54" i="109"/>
  <c r="I55" i="109"/>
  <c r="P69" i="108"/>
  <c r="H69" i="108"/>
  <c r="P68" i="108"/>
  <c r="H68" i="108"/>
  <c r="P67" i="108"/>
  <c r="H67" i="108"/>
  <c r="P66" i="108"/>
  <c r="H66" i="108"/>
  <c r="K69" i="108"/>
  <c r="O68" i="108"/>
  <c r="F68" i="108"/>
  <c r="K67" i="108"/>
  <c r="O66" i="108"/>
  <c r="F66" i="108"/>
  <c r="P64" i="108"/>
  <c r="G66" i="108"/>
  <c r="R66" i="108"/>
  <c r="D67" i="108"/>
  <c r="N67" i="108"/>
  <c r="K68" i="108"/>
  <c r="G69" i="108"/>
  <c r="R69" i="108"/>
  <c r="K48" i="110"/>
  <c r="C48" i="110"/>
  <c r="K47" i="110"/>
  <c r="C47" i="110"/>
  <c r="K46" i="110"/>
  <c r="C46" i="110"/>
  <c r="K45" i="110"/>
  <c r="C45" i="110"/>
  <c r="P48" i="110"/>
  <c r="G48" i="110"/>
  <c r="L47" i="110"/>
  <c r="P46" i="110"/>
  <c r="G46" i="110"/>
  <c r="L45" i="110"/>
  <c r="J48" i="110"/>
  <c r="J47" i="110"/>
  <c r="L46" i="110"/>
  <c r="M45" i="110"/>
  <c r="R48" i="110"/>
  <c r="F48" i="110"/>
  <c r="O47" i="110"/>
  <c r="D47" i="110"/>
  <c r="J46" i="110"/>
  <c r="R45" i="110"/>
  <c r="G45" i="110"/>
  <c r="P43" i="110"/>
  <c r="H45" i="110"/>
  <c r="D46" i="110"/>
  <c r="Q46" i="110"/>
  <c r="M47" i="110"/>
  <c r="H48" i="110"/>
  <c r="AJ48" i="108"/>
  <c r="AB48" i="108"/>
  <c r="AJ47" i="108"/>
  <c r="AB47" i="108"/>
  <c r="Z45" i="108"/>
  <c r="AH45" i="108"/>
  <c r="Z46" i="108"/>
  <c r="AH46" i="108"/>
  <c r="AA47" i="108"/>
  <c r="W48" i="108"/>
  <c r="AF48" i="108"/>
  <c r="Q13" i="110"/>
  <c r="I13" i="110"/>
  <c r="Q12" i="110"/>
  <c r="I12" i="110"/>
  <c r="Q11" i="110"/>
  <c r="I11" i="110"/>
  <c r="Q10" i="110"/>
  <c r="I10" i="110"/>
  <c r="G10" i="110"/>
  <c r="P10" i="110"/>
  <c r="C11" i="110"/>
  <c r="L11" i="110"/>
  <c r="G12" i="110"/>
  <c r="P12" i="110"/>
  <c r="C13" i="110"/>
  <c r="L13" i="110"/>
  <c r="Z66" i="108"/>
  <c r="AH66" i="108"/>
  <c r="Z67" i="108"/>
  <c r="AH67" i="108"/>
  <c r="Z68" i="108"/>
  <c r="AH68" i="108"/>
  <c r="Z69" i="108"/>
  <c r="AA10" i="110"/>
  <c r="AI10" i="110"/>
  <c r="AA11" i="110"/>
  <c r="AI11" i="110"/>
  <c r="AA12" i="110"/>
  <c r="AI12" i="110"/>
  <c r="AA13" i="110"/>
  <c r="AI69" i="110"/>
  <c r="AA69" i="110"/>
  <c r="AI68" i="110"/>
  <c r="AA68" i="110"/>
  <c r="AI67" i="110"/>
  <c r="AA67" i="110"/>
  <c r="AI66" i="110"/>
  <c r="AA66" i="110"/>
  <c r="AH64" i="110"/>
  <c r="U66" i="110"/>
  <c r="AD66" i="110"/>
  <c r="Y67" i="110"/>
  <c r="AH67" i="110"/>
  <c r="U68" i="110"/>
  <c r="AD68" i="110"/>
  <c r="Y69" i="110"/>
  <c r="AH69" i="110"/>
  <c r="E24" i="110"/>
  <c r="M24" i="110"/>
  <c r="E25" i="110"/>
  <c r="M25" i="110"/>
  <c r="E26" i="110"/>
  <c r="M26" i="110"/>
  <c r="E27" i="110"/>
  <c r="E52" i="110"/>
  <c r="M52" i="110"/>
  <c r="E53" i="110"/>
  <c r="M53" i="110"/>
  <c r="E54" i="110"/>
  <c r="M54" i="110"/>
  <c r="E55" i="110"/>
  <c r="H17" i="81"/>
  <c r="J18" i="81"/>
  <c r="C21" i="81"/>
  <c r="E23" i="81"/>
  <c r="H25" i="81"/>
  <c r="J26" i="81"/>
  <c r="C34" i="81"/>
  <c r="L34" i="81"/>
  <c r="C38" i="81"/>
  <c r="K55" i="81"/>
  <c r="G58" i="81"/>
  <c r="F58" i="81"/>
  <c r="C59" i="81"/>
  <c r="F67" i="81"/>
  <c r="D67" i="81"/>
  <c r="E67" i="81" s="1"/>
  <c r="G67" i="81"/>
  <c r="K70" i="81"/>
  <c r="D21" i="81"/>
  <c r="K32" i="81"/>
  <c r="M32" i="81" s="1"/>
  <c r="D34" i="81"/>
  <c r="F37" i="81"/>
  <c r="H37" i="81" s="1"/>
  <c r="D38" i="81"/>
  <c r="K39" i="81"/>
  <c r="M39" i="81" s="1"/>
  <c r="C39" i="81"/>
  <c r="E39" i="81" s="1"/>
  <c r="G39" i="81"/>
  <c r="K45" i="81"/>
  <c r="M45" i="81" s="1"/>
  <c r="C45" i="81"/>
  <c r="E45" i="81" s="1"/>
  <c r="K46" i="81"/>
  <c r="D56" i="81"/>
  <c r="E56" i="81" s="1"/>
  <c r="J56" i="81"/>
  <c r="I56" i="81"/>
  <c r="D59" i="81"/>
  <c r="E59" i="81" s="1"/>
  <c r="E21" i="81"/>
  <c r="G40" i="81"/>
  <c r="D40" i="81"/>
  <c r="L40" i="81"/>
  <c r="M40" i="81" s="1"/>
  <c r="L46" i="81"/>
  <c r="C18" i="81"/>
  <c r="D19" i="81"/>
  <c r="G21" i="81"/>
  <c r="C26" i="81"/>
  <c r="K30" i="81"/>
  <c r="D32" i="81"/>
  <c r="E32" i="81" s="1"/>
  <c r="G34" i="81"/>
  <c r="H34" i="81" s="1"/>
  <c r="F38" i="81"/>
  <c r="H38" i="81" s="1"/>
  <c r="C40" i="81"/>
  <c r="K41" i="81"/>
  <c r="M41" i="81" s="1"/>
  <c r="C41" i="81"/>
  <c r="C46" i="81"/>
  <c r="I66" i="81"/>
  <c r="G66" i="81"/>
  <c r="F66" i="81"/>
  <c r="C17" i="81"/>
  <c r="D18" i="81"/>
  <c r="E19" i="81"/>
  <c r="G20" i="81"/>
  <c r="H21" i="81"/>
  <c r="C25" i="81"/>
  <c r="D26" i="81"/>
  <c r="C30" i="81"/>
  <c r="L30" i="81"/>
  <c r="I37" i="81"/>
  <c r="J37" i="81" s="1"/>
  <c r="F39" i="81"/>
  <c r="D41" i="81"/>
  <c r="E41" i="81" s="1"/>
  <c r="H42" i="81"/>
  <c r="L42" i="81"/>
  <c r="M42" i="81" s="1"/>
  <c r="F45" i="81"/>
  <c r="D46" i="81"/>
  <c r="F54" i="81"/>
  <c r="F56" i="81"/>
  <c r="K62" i="81"/>
  <c r="K63" i="81"/>
  <c r="C66" i="81"/>
  <c r="E78" i="81"/>
  <c r="C78" i="81"/>
  <c r="G78" i="81"/>
  <c r="D78" i="81"/>
  <c r="D17" i="81"/>
  <c r="E18" i="81"/>
  <c r="G19" i="81"/>
  <c r="J21" i="81"/>
  <c r="D25" i="81"/>
  <c r="E26" i="81"/>
  <c r="D30" i="81"/>
  <c r="E30" i="81" s="1"/>
  <c r="J31" i="81"/>
  <c r="G32" i="81"/>
  <c r="H32" i="81" s="1"/>
  <c r="I34" i="81"/>
  <c r="J34" i="81" s="1"/>
  <c r="G36" i="81"/>
  <c r="F36" i="81"/>
  <c r="J36" i="81" s="1"/>
  <c r="L36" i="81"/>
  <c r="M36" i="81" s="1"/>
  <c r="I38" i="81"/>
  <c r="F40" i="81"/>
  <c r="G45" i="81"/>
  <c r="F46" i="81"/>
  <c r="H46" i="81" s="1"/>
  <c r="G48" i="81"/>
  <c r="H48" i="81" s="1"/>
  <c r="I48" i="81"/>
  <c r="J48" i="81" s="1"/>
  <c r="L48" i="81"/>
  <c r="M48" i="81" s="1"/>
  <c r="G54" i="81"/>
  <c r="H54" i="81" s="1"/>
  <c r="G56" i="81"/>
  <c r="H57" i="81"/>
  <c r="D66" i="81"/>
  <c r="D68" i="81"/>
  <c r="C68" i="81"/>
  <c r="G68" i="81"/>
  <c r="F68" i="81"/>
  <c r="D16" i="81"/>
  <c r="E17" i="81"/>
  <c r="G18" i="81"/>
  <c r="H19" i="81"/>
  <c r="J20" i="81"/>
  <c r="C23" i="81"/>
  <c r="D24" i="81"/>
  <c r="E25" i="81"/>
  <c r="G26" i="81"/>
  <c r="C36" i="81"/>
  <c r="E36" i="81" s="1"/>
  <c r="K38" i="81"/>
  <c r="I39" i="81"/>
  <c r="F41" i="81"/>
  <c r="H41" i="81" s="1"/>
  <c r="D42" i="81"/>
  <c r="E42" i="81" s="1"/>
  <c r="K43" i="81"/>
  <c r="M43" i="81" s="1"/>
  <c r="C43" i="81"/>
  <c r="E43" i="81" s="1"/>
  <c r="I45" i="81"/>
  <c r="C48" i="81"/>
  <c r="E48" i="81" s="1"/>
  <c r="I54" i="81"/>
  <c r="K54" i="81" s="1"/>
  <c r="D60" i="81"/>
  <c r="E60" i="81" s="1"/>
  <c r="F60" i="81"/>
  <c r="H60" i="81" s="1"/>
  <c r="J66" i="81"/>
  <c r="H26" i="81"/>
  <c r="K34" i="81"/>
  <c r="K37" i="81"/>
  <c r="M37" i="81" s="1"/>
  <c r="C37" i="81"/>
  <c r="D37" i="81"/>
  <c r="L38" i="81"/>
  <c r="I40" i="81"/>
  <c r="I46" i="81"/>
  <c r="F59" i="81"/>
  <c r="G59" i="81"/>
  <c r="H59" i="81" s="1"/>
  <c r="E86" i="81"/>
  <c r="C86" i="81"/>
  <c r="G86" i="81"/>
  <c r="D86" i="81"/>
  <c r="I64" i="81"/>
  <c r="C77" i="81"/>
  <c r="I77" i="81" s="1"/>
  <c r="F79" i="81"/>
  <c r="G80" i="81"/>
  <c r="H80" i="81" s="1"/>
  <c r="C85" i="81"/>
  <c r="F85" i="81" s="1"/>
  <c r="F87" i="81"/>
  <c r="G88" i="81"/>
  <c r="H88" i="81" s="1"/>
  <c r="C93" i="81"/>
  <c r="F93" i="81" s="1"/>
  <c r="K44" i="81"/>
  <c r="M44" i="81" s="1"/>
  <c r="K47" i="81"/>
  <c r="C47" i="81"/>
  <c r="E47" i="81" s="1"/>
  <c r="L47" i="81"/>
  <c r="J64" i="81"/>
  <c r="C76" i="81"/>
  <c r="F76" i="81" s="1"/>
  <c r="D77" i="81"/>
  <c r="G79" i="81"/>
  <c r="H79" i="81" s="1"/>
  <c r="I79" i="81" s="1"/>
  <c r="C84" i="81"/>
  <c r="F84" i="81" s="1"/>
  <c r="D85" i="81"/>
  <c r="G87" i="81"/>
  <c r="H87" i="81" s="1"/>
  <c r="I87" i="81" s="1"/>
  <c r="C92" i="81"/>
  <c r="F92" i="81" s="1"/>
  <c r="D93" i="81"/>
  <c r="E6" i="95"/>
  <c r="C80" i="81"/>
  <c r="F80" i="81" s="1"/>
  <c r="D81" i="81"/>
  <c r="C88" i="81"/>
  <c r="F88" i="81" s="1"/>
  <c r="D89" i="81"/>
  <c r="D79" i="81"/>
  <c r="G81" i="81"/>
  <c r="H81" i="81" s="1"/>
  <c r="I81" i="81" s="1"/>
  <c r="D87" i="81"/>
  <c r="G89" i="81"/>
  <c r="H89" i="81" s="1"/>
  <c r="I89" i="81" s="1"/>
  <c r="E11" i="95"/>
  <c r="E27" i="95"/>
  <c r="E35" i="95"/>
  <c r="E34" i="95"/>
  <c r="K27" i="95"/>
  <c r="E33" i="95"/>
  <c r="E15" i="95"/>
  <c r="E30" i="98" l="1"/>
  <c r="G46" i="98"/>
  <c r="J46" i="81"/>
  <c r="J40" i="81"/>
  <c r="AB122" i="98"/>
  <c r="AI116" i="101"/>
  <c r="AE102" i="101"/>
  <c r="AF114" i="98"/>
  <c r="AH122" i="98"/>
  <c r="AE122" i="98"/>
  <c r="AF121" i="101"/>
  <c r="Z100" i="98"/>
  <c r="AF108" i="98"/>
  <c r="AJ108" i="98"/>
  <c r="X113" i="98"/>
  <c r="C89" i="98"/>
  <c r="AJ251" i="100"/>
  <c r="AG248" i="100"/>
  <c r="AG123" i="101"/>
  <c r="AK109" i="101"/>
  <c r="AK122" i="98"/>
  <c r="AG122" i="98"/>
  <c r="AG101" i="98"/>
  <c r="AD120" i="98"/>
  <c r="Z110" i="101"/>
  <c r="V113" i="98"/>
  <c r="X99" i="98"/>
  <c r="AI99" i="98"/>
  <c r="AE113" i="98"/>
  <c r="AI106" i="98"/>
  <c r="AE99" i="98"/>
  <c r="AI113" i="98"/>
  <c r="I89" i="98"/>
  <c r="L89" i="98"/>
  <c r="AE246" i="100"/>
  <c r="AI248" i="100"/>
  <c r="V124" i="101"/>
  <c r="AJ99" i="98"/>
  <c r="K66" i="81"/>
  <c r="H45" i="81"/>
  <c r="M30" i="81"/>
  <c r="J38" i="81"/>
  <c r="J45" i="81"/>
  <c r="J39" i="81"/>
  <c r="E66" i="81"/>
  <c r="E34" i="81"/>
  <c r="AA250" i="100"/>
  <c r="AC112" i="98"/>
  <c r="AG100" i="98"/>
  <c r="AB120" i="98"/>
  <c r="AH122" i="101"/>
  <c r="AJ115" i="101"/>
  <c r="AD108" i="101"/>
  <c r="AF101" i="101"/>
  <c r="AA252" i="100"/>
  <c r="AA249" i="100"/>
  <c r="X107" i="98"/>
  <c r="AD100" i="98"/>
  <c r="AK112" i="98"/>
  <c r="AC121" i="101"/>
  <c r="Z122" i="98"/>
  <c r="AB101" i="98"/>
  <c r="Y122" i="101"/>
  <c r="AA115" i="101"/>
  <c r="AC108" i="101"/>
  <c r="W101" i="101"/>
  <c r="X124" i="101"/>
  <c r="AE248" i="100"/>
  <c r="AC251" i="100"/>
  <c r="AH112" i="98"/>
  <c r="AF115" i="101"/>
  <c r="AH108" i="101"/>
  <c r="AJ101" i="101"/>
  <c r="G90" i="101"/>
  <c r="AF122" i="98"/>
  <c r="AH106" i="98"/>
  <c r="AD113" i="98"/>
  <c r="AD105" i="98"/>
  <c r="AB114" i="98"/>
  <c r="AA101" i="98"/>
  <c r="Y108" i="98"/>
  <c r="W115" i="98"/>
  <c r="AC101" i="98"/>
  <c r="AA108" i="98"/>
  <c r="Y115" i="98"/>
  <c r="W101" i="98"/>
  <c r="AC108" i="98"/>
  <c r="AA115" i="98"/>
  <c r="AC120" i="98"/>
  <c r="W120" i="98"/>
  <c r="Y120" i="98"/>
  <c r="Y99" i="98"/>
  <c r="AI250" i="100"/>
  <c r="K64" i="81"/>
  <c r="AB107" i="98"/>
  <c r="AD248" i="100"/>
  <c r="M47" i="81"/>
  <c r="I80" i="81"/>
  <c r="H58" i="81"/>
  <c r="Q91" i="98"/>
  <c r="C91" i="98"/>
  <c r="D89" i="98"/>
  <c r="W105" i="98"/>
  <c r="AD124" i="101"/>
  <c r="V100" i="98"/>
  <c r="X122" i="98"/>
  <c r="W124" i="101"/>
  <c r="Y117" i="101"/>
  <c r="AA110" i="101"/>
  <c r="AC103" i="101"/>
  <c r="Z108" i="98"/>
  <c r="AH114" i="98"/>
  <c r="AA122" i="98"/>
  <c r="AJ113" i="98"/>
  <c r="Z124" i="101"/>
  <c r="AB117" i="101"/>
  <c r="V110" i="101"/>
  <c r="X103" i="101"/>
  <c r="AE123" i="101"/>
  <c r="AG116" i="101"/>
  <c r="AI109" i="101"/>
  <c r="AK102" i="101"/>
  <c r="H68" i="81"/>
  <c r="H36" i="81"/>
  <c r="AI246" i="100"/>
  <c r="I32" i="106"/>
  <c r="I37" i="106"/>
  <c r="I27" i="106"/>
  <c r="I16" i="106"/>
  <c r="I15" i="106"/>
  <c r="I47" i="106"/>
  <c r="G9" i="87"/>
  <c r="E9" i="87" s="1"/>
  <c r="I28" i="106"/>
  <c r="I7" i="106"/>
  <c r="G17" i="87"/>
  <c r="I40" i="106"/>
  <c r="I43" i="106"/>
  <c r="G6" i="87"/>
  <c r="H6" i="87" s="1"/>
  <c r="I44" i="106"/>
  <c r="I39" i="106"/>
  <c r="G18" i="87"/>
  <c r="H18" i="87" s="1"/>
  <c r="G14" i="87"/>
  <c r="H14" i="87" s="1"/>
  <c r="I49" i="106"/>
  <c r="I14" i="106"/>
  <c r="I46" i="106"/>
  <c r="I38" i="106"/>
  <c r="I13" i="106"/>
  <c r="I22" i="106"/>
  <c r="G20" i="87"/>
  <c r="H20" i="87" s="1"/>
  <c r="G16" i="87"/>
  <c r="E16" i="87" s="1"/>
  <c r="I33" i="106"/>
  <c r="I31" i="106"/>
  <c r="I21" i="106"/>
  <c r="I11" i="106"/>
  <c r="G13" i="87"/>
  <c r="E13" i="87" s="1"/>
  <c r="I36" i="106"/>
  <c r="I35" i="106"/>
  <c r="G22" i="87"/>
  <c r="I6" i="106"/>
  <c r="I29" i="106"/>
  <c r="I18" i="106"/>
  <c r="G10" i="87"/>
  <c r="H10" i="87" s="1"/>
  <c r="I10" i="106"/>
  <c r="I26" i="106"/>
  <c r="G7" i="87"/>
  <c r="H7" i="87" s="1"/>
  <c r="G11" i="87"/>
  <c r="E11" i="87" s="1"/>
  <c r="I45" i="106"/>
  <c r="I19" i="106"/>
  <c r="I8" i="106"/>
  <c r="I42" i="106"/>
  <c r="I24" i="106"/>
  <c r="I30" i="106"/>
  <c r="I25" i="106"/>
  <c r="I34" i="106"/>
  <c r="G15" i="87"/>
  <c r="H15" i="87" s="1"/>
  <c r="G19" i="87"/>
  <c r="E19" i="87" s="1"/>
  <c r="I41" i="106"/>
  <c r="I23" i="106"/>
  <c r="I12" i="106"/>
  <c r="I48" i="106"/>
  <c r="I20" i="106"/>
  <c r="F77" i="81"/>
  <c r="J41" i="81"/>
  <c r="AB251" i="100"/>
  <c r="D91" i="98"/>
  <c r="V121" i="101"/>
  <c r="X114" i="101"/>
  <c r="Z107" i="101"/>
  <c r="AB100" i="101"/>
  <c r="AB115" i="98"/>
  <c r="AC114" i="98"/>
  <c r="AF106" i="98"/>
  <c r="AD115" i="98"/>
  <c r="AD107" i="98"/>
  <c r="AJ98" i="98"/>
  <c r="AI98" i="98"/>
  <c r="AG105" i="98"/>
  <c r="AE112" i="98"/>
  <c r="AK98" i="98"/>
  <c r="AI105" i="98"/>
  <c r="AG112" i="98"/>
  <c r="AE98" i="98"/>
  <c r="AK105" i="98"/>
  <c r="AI112" i="98"/>
  <c r="AK123" i="101"/>
  <c r="AH120" i="98"/>
  <c r="AK121" i="98"/>
  <c r="AE121" i="98"/>
  <c r="AG121" i="98"/>
  <c r="AD121" i="98"/>
  <c r="AF98" i="98"/>
  <c r="Z121" i="101"/>
  <c r="AB114" i="101"/>
  <c r="V107" i="101"/>
  <c r="X100" i="101"/>
  <c r="G36" i="82"/>
  <c r="F36" i="82"/>
  <c r="G40" i="82"/>
  <c r="F40" i="82"/>
  <c r="Z98" i="98"/>
  <c r="J90" i="101"/>
  <c r="G28" i="82"/>
  <c r="F28" i="82"/>
  <c r="K27" i="82"/>
  <c r="J27" i="82"/>
  <c r="G25" i="82"/>
  <c r="F25" i="82"/>
  <c r="AK246" i="100"/>
  <c r="AK248" i="100"/>
  <c r="AH107" i="98"/>
  <c r="AF123" i="101"/>
  <c r="AB113" i="98"/>
  <c r="H91" i="98"/>
  <c r="AE121" i="101"/>
  <c r="AG114" i="101"/>
  <c r="AI107" i="101"/>
  <c r="AK100" i="101"/>
  <c r="Q89" i="101"/>
  <c r="N89" i="101"/>
  <c r="L90" i="101"/>
  <c r="I93" i="81"/>
  <c r="H56" i="81"/>
  <c r="H39" i="81"/>
  <c r="I76" i="81"/>
  <c r="I92" i="81"/>
  <c r="AB247" i="100"/>
  <c r="N89" i="98"/>
  <c r="AJ250" i="100"/>
  <c r="AJ249" i="100"/>
  <c r="AM246" i="100"/>
  <c r="AG246" i="100"/>
  <c r="AC115" i="98"/>
  <c r="E89" i="98"/>
  <c r="AF117" i="101"/>
  <c r="AH110" i="101"/>
  <c r="AJ103" i="101"/>
  <c r="AJ114" i="98"/>
  <c r="AB98" i="98"/>
  <c r="AD98" i="98"/>
  <c r="Z107" i="98"/>
  <c r="AG98" i="98"/>
  <c r="W108" i="98"/>
  <c r="AD99" i="98"/>
  <c r="AD112" i="98"/>
  <c r="AA99" i="98"/>
  <c r="Y106" i="98"/>
  <c r="W113" i="98"/>
  <c r="AC99" i="98"/>
  <c r="AA106" i="98"/>
  <c r="Y113" i="98"/>
  <c r="W99" i="98"/>
  <c r="AC106" i="98"/>
  <c r="AA113" i="98"/>
  <c r="AC123" i="101"/>
  <c r="AD119" i="98"/>
  <c r="AD106" i="98"/>
  <c r="X119" i="98"/>
  <c r="AA121" i="98"/>
  <c r="AC122" i="98"/>
  <c r="W122" i="98"/>
  <c r="Y122" i="98"/>
  <c r="Z119" i="98"/>
  <c r="AH124" i="101"/>
  <c r="AJ117" i="101"/>
  <c r="AD110" i="101"/>
  <c r="AF103" i="101"/>
  <c r="B35" i="82"/>
  <c r="C35" i="82"/>
  <c r="C42" i="82"/>
  <c r="B42" i="82"/>
  <c r="V114" i="98"/>
  <c r="K91" i="98"/>
  <c r="AG121" i="101"/>
  <c r="AI114" i="101"/>
  <c r="AK107" i="101"/>
  <c r="AE100" i="101"/>
  <c r="F20" i="82"/>
  <c r="G20" i="82"/>
  <c r="K26" i="82"/>
  <c r="J26" i="82"/>
  <c r="AK247" i="100"/>
  <c r="AB105" i="98"/>
  <c r="X123" i="101"/>
  <c r="AJ112" i="98"/>
  <c r="F89" i="98"/>
  <c r="W121" i="101"/>
  <c r="Y114" i="101"/>
  <c r="AA107" i="101"/>
  <c r="AC100" i="101"/>
  <c r="I89" i="101"/>
  <c r="M90" i="101"/>
  <c r="AD123" i="101"/>
  <c r="AC124" i="101"/>
  <c r="E90" i="101"/>
  <c r="I85" i="81"/>
  <c r="E46" i="81"/>
  <c r="AN250" i="100"/>
  <c r="AN249" i="100"/>
  <c r="AN252" i="100"/>
  <c r="AK251" i="100"/>
  <c r="Z99" i="98"/>
  <c r="X100" i="98"/>
  <c r="AJ105" i="98"/>
  <c r="G42" i="82"/>
  <c r="F42" i="82"/>
  <c r="G38" i="82"/>
  <c r="F38" i="82"/>
  <c r="G43" i="82"/>
  <c r="F43" i="82"/>
  <c r="AF113" i="98"/>
  <c r="Y121" i="101"/>
  <c r="AA114" i="101"/>
  <c r="AC107" i="101"/>
  <c r="W100" i="101"/>
  <c r="F27" i="82"/>
  <c r="G27" i="82"/>
  <c r="G24" i="82"/>
  <c r="F24" i="82"/>
  <c r="AI245" i="100"/>
  <c r="V101" i="98"/>
  <c r="AF122" i="101"/>
  <c r="Q90" i="101"/>
  <c r="V108" i="98"/>
  <c r="AE124" i="101"/>
  <c r="AG117" i="101"/>
  <c r="AI110" i="101"/>
  <c r="AK103" i="101"/>
  <c r="H17" i="87"/>
  <c r="E17" i="87"/>
  <c r="Z114" i="98"/>
  <c r="AF101" i="98"/>
  <c r="M89" i="101"/>
  <c r="AI121" i="98"/>
  <c r="M38" i="81"/>
  <c r="H66" i="81"/>
  <c r="M46" i="81"/>
  <c r="K56" i="81"/>
  <c r="H67" i="81"/>
  <c r="M34" i="81"/>
  <c r="AC252" i="100"/>
  <c r="AC250" i="100"/>
  <c r="AC249" i="100"/>
  <c r="AE247" i="100"/>
  <c r="AN251" i="100"/>
  <c r="AF116" i="101"/>
  <c r="AH109" i="101"/>
  <c r="AJ102" i="101"/>
  <c r="X112" i="98"/>
  <c r="AB112" i="98"/>
  <c r="AJ100" i="98"/>
  <c r="AK113" i="98"/>
  <c r="AA100" i="98"/>
  <c r="Y107" i="98"/>
  <c r="W114" i="98"/>
  <c r="AC100" i="98"/>
  <c r="AA107" i="98"/>
  <c r="Y114" i="98"/>
  <c r="W100" i="98"/>
  <c r="AC107" i="98"/>
  <c r="AA114" i="98"/>
  <c r="AC122" i="101"/>
  <c r="F90" i="101"/>
  <c r="W107" i="98"/>
  <c r="AC119" i="98"/>
  <c r="W119" i="98"/>
  <c r="Y119" i="98"/>
  <c r="AH98" i="98"/>
  <c r="AH123" i="101"/>
  <c r="AJ116" i="101"/>
  <c r="AD109" i="101"/>
  <c r="AF102" i="101"/>
  <c r="G35" i="82"/>
  <c r="F35" i="82"/>
  <c r="C37" i="82"/>
  <c r="B37" i="82"/>
  <c r="C36" i="82"/>
  <c r="B36" i="82"/>
  <c r="AD108" i="98"/>
  <c r="AG124" i="101"/>
  <c r="AI117" i="101"/>
  <c r="AK110" i="101"/>
  <c r="AE103" i="101"/>
  <c r="C89" i="101"/>
  <c r="K29" i="82"/>
  <c r="J29" i="82"/>
  <c r="K25" i="82"/>
  <c r="J25" i="82"/>
  <c r="Z121" i="98"/>
  <c r="AF100" i="98"/>
  <c r="I90" i="101"/>
  <c r="AE107" i="98"/>
  <c r="V122" i="98"/>
  <c r="AF124" i="101"/>
  <c r="G21" i="101"/>
  <c r="G23" i="101" s="1"/>
  <c r="I88" i="81"/>
  <c r="H86" i="81"/>
  <c r="I86" i="81" s="1"/>
  <c r="F86" i="81"/>
  <c r="E37" i="81"/>
  <c r="F78" i="81"/>
  <c r="H78" i="81"/>
  <c r="I78" i="81" s="1"/>
  <c r="E38" i="81"/>
  <c r="P89" i="98"/>
  <c r="M89" i="98"/>
  <c r="V123" i="101"/>
  <c r="X116" i="101"/>
  <c r="Z109" i="101"/>
  <c r="AB102" i="101"/>
  <c r="O90" i="101"/>
  <c r="C21" i="87"/>
  <c r="B6" i="87"/>
  <c r="AB106" i="98"/>
  <c r="Z101" i="98"/>
  <c r="AH113" i="98"/>
  <c r="AD101" i="98"/>
  <c r="AD114" i="98"/>
  <c r="AI100" i="98"/>
  <c r="AG107" i="98"/>
  <c r="AE114" i="98"/>
  <c r="AK100" i="98"/>
  <c r="AI107" i="98"/>
  <c r="AG114" i="98"/>
  <c r="AE100" i="98"/>
  <c r="AK107" i="98"/>
  <c r="AI114" i="98"/>
  <c r="AK121" i="101"/>
  <c r="X121" i="98"/>
  <c r="AK119" i="98"/>
  <c r="AE119" i="98"/>
  <c r="AG119" i="98"/>
  <c r="N91" i="98"/>
  <c r="X106" i="98"/>
  <c r="Z123" i="101"/>
  <c r="AB116" i="101"/>
  <c r="V109" i="101"/>
  <c r="X102" i="101"/>
  <c r="G39" i="82"/>
  <c r="F39" i="82"/>
  <c r="B41" i="82"/>
  <c r="C41" i="82"/>
  <c r="C40" i="82"/>
  <c r="B40" i="82"/>
  <c r="V106" i="98"/>
  <c r="Y124" i="101"/>
  <c r="AA117" i="101"/>
  <c r="AC110" i="101"/>
  <c r="W103" i="101"/>
  <c r="J21" i="82"/>
  <c r="K21" i="82"/>
  <c r="F22" i="82"/>
  <c r="G22" i="82"/>
  <c r="AC246" i="100"/>
  <c r="AI120" i="98"/>
  <c r="Y98" i="98"/>
  <c r="R89" i="101"/>
  <c r="AJ122" i="98"/>
  <c r="X105" i="98"/>
  <c r="Z115" i="98"/>
  <c r="F89" i="101"/>
  <c r="E40" i="81"/>
  <c r="AD250" i="100"/>
  <c r="AD252" i="100"/>
  <c r="AD249" i="100"/>
  <c r="AJ107" i="98"/>
  <c r="X101" i="98"/>
  <c r="AF105" i="98"/>
  <c r="X115" i="98"/>
  <c r="AF121" i="98"/>
  <c r="AH119" i="98"/>
  <c r="AJ121" i="98"/>
  <c r="AH105" i="98"/>
  <c r="B43" i="82"/>
  <c r="C43" i="82"/>
  <c r="F44" i="82"/>
  <c r="G44" i="82"/>
  <c r="C44" i="82"/>
  <c r="B44" i="82"/>
  <c r="AE105" i="98"/>
  <c r="G23" i="82"/>
  <c r="F23" i="82"/>
  <c r="G26" i="82"/>
  <c r="F26" i="82"/>
  <c r="K23" i="82"/>
  <c r="J23" i="82"/>
  <c r="AA245" i="100"/>
  <c r="AJ115" i="98"/>
  <c r="J91" i="98"/>
  <c r="X121" i="101"/>
  <c r="J89" i="101"/>
  <c r="V121" i="98"/>
  <c r="AB100" i="98"/>
  <c r="W123" i="101"/>
  <c r="Y116" i="101"/>
  <c r="AA109" i="101"/>
  <c r="AC102" i="101"/>
  <c r="AH108" i="98"/>
  <c r="V120" i="98"/>
  <c r="E68" i="81"/>
  <c r="H40" i="81"/>
  <c r="I84" i="81"/>
  <c r="AD251" i="100"/>
  <c r="E91" i="98"/>
  <c r="G91" i="98"/>
  <c r="AM245" i="100"/>
  <c r="AG245" i="100"/>
  <c r="AI122" i="98"/>
  <c r="V122" i="101"/>
  <c r="X115" i="101"/>
  <c r="Z108" i="101"/>
  <c r="AB101" i="101"/>
  <c r="X120" i="98"/>
  <c r="X108" i="98"/>
  <c r="AJ101" i="98"/>
  <c r="X114" i="98"/>
  <c r="W106" i="98"/>
  <c r="AH115" i="98"/>
  <c r="Z106" i="98"/>
  <c r="AK115" i="98"/>
  <c r="AI101" i="98"/>
  <c r="AG108" i="98"/>
  <c r="AE115" i="98"/>
  <c r="AK101" i="98"/>
  <c r="AI108" i="98"/>
  <c r="AG115" i="98"/>
  <c r="AE101" i="98"/>
  <c r="AK108" i="98"/>
  <c r="AI115" i="98"/>
  <c r="R91" i="98"/>
  <c r="AB119" i="98"/>
  <c r="AA120" i="98"/>
  <c r="AD122" i="98"/>
  <c r="AK120" i="98"/>
  <c r="AE120" i="98"/>
  <c r="AG120" i="98"/>
  <c r="Z122" i="101"/>
  <c r="AB115" i="101"/>
  <c r="V108" i="101"/>
  <c r="X101" i="101"/>
  <c r="K90" i="101"/>
  <c r="B38" i="82"/>
  <c r="C38" i="82"/>
  <c r="G37" i="82"/>
  <c r="F37" i="82"/>
  <c r="AB121" i="98"/>
  <c r="Y101" i="98"/>
  <c r="Y123" i="101"/>
  <c r="AA116" i="101"/>
  <c r="AC109" i="101"/>
  <c r="W102" i="101"/>
  <c r="J24" i="82"/>
  <c r="K24" i="82"/>
  <c r="K28" i="82"/>
  <c r="J28" i="82"/>
  <c r="F29" i="82"/>
  <c r="G29" i="82"/>
  <c r="AC113" i="98"/>
  <c r="H89" i="98"/>
  <c r="AF120" i="98"/>
  <c r="AH99" i="98"/>
  <c r="AE122" i="101"/>
  <c r="AG115" i="101"/>
  <c r="AI108" i="101"/>
  <c r="AK101" i="101"/>
  <c r="P90" i="101"/>
  <c r="V107" i="98"/>
  <c r="Z112" i="98"/>
  <c r="AB245" i="100"/>
  <c r="AB246" i="100"/>
  <c r="AB248" i="100"/>
  <c r="AG250" i="100"/>
  <c r="AG251" i="100"/>
  <c r="AG252" i="100"/>
  <c r="AJ246" i="100"/>
  <c r="AJ245" i="100"/>
  <c r="F91" i="98"/>
  <c r="M91" i="98"/>
  <c r="O91" i="98"/>
  <c r="I91" i="98"/>
  <c r="P91" i="98"/>
  <c r="AE245" i="100"/>
  <c r="AI247" i="100"/>
  <c r="Z120" i="98"/>
  <c r="AG99" i="98"/>
  <c r="AD121" i="101"/>
  <c r="AF114" i="101"/>
  <c r="AH107" i="101"/>
  <c r="AJ100" i="101"/>
  <c r="AF119" i="98"/>
  <c r="Z105" i="98"/>
  <c r="AK114" i="98"/>
  <c r="AJ106" i="98"/>
  <c r="X98" i="98"/>
  <c r="AF107" i="98"/>
  <c r="AA98" i="98"/>
  <c r="Y105" i="98"/>
  <c r="W112" i="98"/>
  <c r="AC98" i="98"/>
  <c r="AA105" i="98"/>
  <c r="Y112" i="98"/>
  <c r="W98" i="98"/>
  <c r="AC105" i="98"/>
  <c r="AA112" i="98"/>
  <c r="C90" i="98"/>
  <c r="R89" i="98"/>
  <c r="V115" i="98"/>
  <c r="AH121" i="98"/>
  <c r="AA119" i="98"/>
  <c r="AC121" i="98"/>
  <c r="W121" i="98"/>
  <c r="Y121" i="98"/>
  <c r="V99" i="98"/>
  <c r="AH121" i="101"/>
  <c r="AJ114" i="101"/>
  <c r="AD107" i="101"/>
  <c r="AF100" i="101"/>
  <c r="C90" i="101"/>
  <c r="G41" i="82"/>
  <c r="F41" i="82"/>
  <c r="B39" i="82"/>
  <c r="C39" i="82"/>
  <c r="AJ120" i="98"/>
  <c r="AH100" i="98"/>
  <c r="AG122" i="101"/>
  <c r="AI115" i="101"/>
  <c r="AK108" i="101"/>
  <c r="AE101" i="101"/>
  <c r="R90" i="101"/>
  <c r="G21" i="82"/>
  <c r="F21" i="82"/>
  <c r="J20" i="82"/>
  <c r="K20" i="82"/>
  <c r="J22" i="82"/>
  <c r="K22" i="82"/>
  <c r="AB108" i="98"/>
  <c r="AJ248" i="100"/>
  <c r="AF115" i="98"/>
  <c r="V98" i="98"/>
  <c r="W122" i="101"/>
  <c r="Y115" i="101"/>
  <c r="AA108" i="101"/>
  <c r="AC101" i="101"/>
  <c r="H90" i="101"/>
  <c r="H12" i="87"/>
  <c r="E12" i="87"/>
  <c r="H8" i="87"/>
  <c r="E8" i="87"/>
  <c r="V112" i="98"/>
  <c r="AB99" i="98"/>
  <c r="AK124" i="101"/>
  <c r="H19" i="87" l="1"/>
  <c r="E15" i="87"/>
  <c r="E10" i="87"/>
  <c r="H13" i="87"/>
  <c r="E7" i="87"/>
  <c r="H11" i="87"/>
  <c r="G21" i="87"/>
  <c r="E14" i="87"/>
  <c r="H9" i="87"/>
  <c r="E18" i="87"/>
  <c r="H16" i="87"/>
  <c r="E6" i="87"/>
  <c r="E20" i="8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<sst xmlns="http://schemas.openxmlformats.org/spreadsheetml/2006/main" count="6700" uniqueCount="1476">
  <si>
    <t>Workload Measurement Overview Report</t>
  </si>
  <si>
    <t>contents (click to jump to):</t>
  </si>
  <si>
    <t>FAQs</t>
  </si>
  <si>
    <t>team overview</t>
  </si>
  <si>
    <t>NPS East Midlands Region</t>
  </si>
  <si>
    <t>NPS Greater Manchester</t>
  </si>
  <si>
    <t>NPS Kent Surrey Sussex Region</t>
  </si>
  <si>
    <t>NPS North West Region</t>
  </si>
  <si>
    <t>NPS West Midlands Region</t>
  </si>
  <si>
    <t>NPS Yorkshire and The Humber</t>
  </si>
  <si>
    <t>Brighton and East Sussex</t>
  </si>
  <si>
    <t>Barking and Dagenham and Havering</t>
  </si>
  <si>
    <t>County Durham and Darlington</t>
  </si>
  <si>
    <t>Barnsley and Rotherham</t>
  </si>
  <si>
    <t>Extremism Unit EE</t>
  </si>
  <si>
    <t>Bolton 2</t>
  </si>
  <si>
    <t>SXE-Brighton</t>
  </si>
  <si>
    <t>Blackburn 1</t>
  </si>
  <si>
    <t>Cambridgeshire and Peterborough</t>
  </si>
  <si>
    <t>Bury and Rochdale</t>
  </si>
  <si>
    <t>East Kent</t>
  </si>
  <si>
    <t>Brent</t>
  </si>
  <si>
    <t>Gateshead and South Tyneside</t>
  </si>
  <si>
    <t>Central Lancashire</t>
  </si>
  <si>
    <t>Cwm Taf Morgannwg</t>
  </si>
  <si>
    <t>Bradford and Calderdale</t>
  </si>
  <si>
    <t>SXE-Eastbourne</t>
  </si>
  <si>
    <t>Blackburn 2</t>
  </si>
  <si>
    <t>Camden, Islington</t>
  </si>
  <si>
    <t>Cheshire East</t>
  </si>
  <si>
    <t>East Berkshire</t>
  </si>
  <si>
    <t>Cornwall and Isles of Scilly</t>
  </si>
  <si>
    <t>Dyfed Powys</t>
  </si>
  <si>
    <t>Bury 2</t>
  </si>
  <si>
    <t>SXE-Hastings</t>
  </si>
  <si>
    <t>Chorley</t>
  </si>
  <si>
    <t>IOM Birmingham Team</t>
  </si>
  <si>
    <t>Leicester, Leicestershire and Rutland</t>
  </si>
  <si>
    <t>West Kent</t>
  </si>
  <si>
    <t>North Tyneside and Northumberland</t>
  </si>
  <si>
    <t>Cheshire West</t>
  </si>
  <si>
    <t>Gwent</t>
  </si>
  <si>
    <t>Dudley and Sandwell</t>
  </si>
  <si>
    <t>Hull and East Riding</t>
  </si>
  <si>
    <t>Rochdale 2</t>
  </si>
  <si>
    <t>KTE-Canterbury</t>
  </si>
  <si>
    <t>Preston 1</t>
  </si>
  <si>
    <t>Oldham</t>
  </si>
  <si>
    <t>West Sussex</t>
  </si>
  <si>
    <t>Ealing and Hillingdon</t>
  </si>
  <si>
    <t>Redcar, Cleveland and Middlesbrough</t>
  </si>
  <si>
    <t>North Wales</t>
  </si>
  <si>
    <t>Herefordshire, Shropshire and Telford</t>
  </si>
  <si>
    <t>Cheetham 1</t>
  </si>
  <si>
    <t>KTE-South East Kent</t>
  </si>
  <si>
    <t>Preston 2</t>
  </si>
  <si>
    <t>Default Designated Transfer Team</t>
  </si>
  <si>
    <t>Nottingham City</t>
  </si>
  <si>
    <t>Hertfordshire</t>
  </si>
  <si>
    <t>Public Protection Community</t>
  </si>
  <si>
    <t>Enfield and Haringey</t>
  </si>
  <si>
    <t>Stockton and Hartlepool</t>
  </si>
  <si>
    <t>East Lancashire</t>
  </si>
  <si>
    <t>Miles Platting 1</t>
  </si>
  <si>
    <t>KTE-Thanet</t>
  </si>
  <si>
    <t>Skelmersdale</t>
  </si>
  <si>
    <t>Halton and Warrington</t>
  </si>
  <si>
    <t>Oxfordshire</t>
  </si>
  <si>
    <t>Swansea, Neath Port-Talbot</t>
  </si>
  <si>
    <t>Coalville Loughb'h Melton Mowbray (County North)</t>
  </si>
  <si>
    <t>Longsight 1</t>
  </si>
  <si>
    <t>Stockport and Trafford</t>
  </si>
  <si>
    <t>Greenwich and Bexley</t>
  </si>
  <si>
    <t>Knowsley and St Helens</t>
  </si>
  <si>
    <t>West Berkshire</t>
  </si>
  <si>
    <t>Staffordshire and Stoke</t>
  </si>
  <si>
    <t>Moss Side 1</t>
  </si>
  <si>
    <t>Suffolk</t>
  </si>
  <si>
    <t>Hackney and City</t>
  </si>
  <si>
    <t>Swindon and Wiltshire</t>
  </si>
  <si>
    <t>Walsall and Wolverhampton</t>
  </si>
  <si>
    <t>Wythenshawe 1</t>
  </si>
  <si>
    <t>Inactive Team(N54)</t>
  </si>
  <si>
    <t>Chester</t>
  </si>
  <si>
    <t>Hammersmith, Fulham, Kensington, Chelsea and Westminster</t>
  </si>
  <si>
    <t>EXN-Mid Essex OM1</t>
  </si>
  <si>
    <t>Oldham 2</t>
  </si>
  <si>
    <t>KTW-Dartford and Gravesham</t>
  </si>
  <si>
    <t>Northwich</t>
  </si>
  <si>
    <t>Harrow and Barnet</t>
  </si>
  <si>
    <t>Merseyside Resettle</t>
  </si>
  <si>
    <t>EXN-North East Essex OM1</t>
  </si>
  <si>
    <t>MAPPT - MAPPA and Public Protection Team</t>
  </si>
  <si>
    <t>KTW-Medway</t>
  </si>
  <si>
    <t>Barrow</t>
  </si>
  <si>
    <t>NPS Awaiting Allocation Bradford and Calderdale</t>
  </si>
  <si>
    <t>North West Lancashire</t>
  </si>
  <si>
    <t>EXN-West Essex OM1</t>
  </si>
  <si>
    <t>Salford 1</t>
  </si>
  <si>
    <t>KTW-Mid Kent</t>
  </si>
  <si>
    <t>Carlisle 1</t>
  </si>
  <si>
    <t>Kingston, Richmond and Hounslow</t>
  </si>
  <si>
    <t>Sefton</t>
  </si>
  <si>
    <t>EXS-SEE and Southend OM1</t>
  </si>
  <si>
    <t>Salford 2</t>
  </si>
  <si>
    <t>SXW-Crawley</t>
  </si>
  <si>
    <t>Carlisle 2</t>
  </si>
  <si>
    <t>EXS-SEE and Southend OM2</t>
  </si>
  <si>
    <t>Stockport 3</t>
  </si>
  <si>
    <t>SXW-Littlehampton</t>
  </si>
  <si>
    <t>Kendal</t>
  </si>
  <si>
    <t>Lewisham and Bromley</t>
  </si>
  <si>
    <t>EXS-South Essex OM</t>
  </si>
  <si>
    <t>Stockport 4</t>
  </si>
  <si>
    <t>SXW-Worthing</t>
  </si>
  <si>
    <t>Workington</t>
  </si>
  <si>
    <t>NPS Awaiting Allocation Doncaster</t>
  </si>
  <si>
    <t>EXS-Thurrock OM</t>
  </si>
  <si>
    <t>Burnley 1</t>
  </si>
  <si>
    <t>Trafford 1</t>
  </si>
  <si>
    <t>Burnley 2</t>
  </si>
  <si>
    <t>Bicester PPU</t>
  </si>
  <si>
    <t>Tameside 1</t>
  </si>
  <si>
    <t>Halton</t>
  </si>
  <si>
    <t>Oxford PPU</t>
  </si>
  <si>
    <t>Redbridge and Waltham Forest</t>
  </si>
  <si>
    <t>Tameside 2</t>
  </si>
  <si>
    <t>Warrington</t>
  </si>
  <si>
    <t>Wigan 2</t>
  </si>
  <si>
    <t>Knowsley 1</t>
  </si>
  <si>
    <t>Tower Hamlets</t>
  </si>
  <si>
    <t>Knowsley 2</t>
  </si>
  <si>
    <t>Wandsworth, Merton and Sutton</t>
  </si>
  <si>
    <t>Knowsley 3</t>
  </si>
  <si>
    <t>Inactive Team(N55)</t>
  </si>
  <si>
    <t>Knowsley 4</t>
  </si>
  <si>
    <t>West Midlands Private Prisons</t>
  </si>
  <si>
    <t>PDU Management Nottinghamshire</t>
  </si>
  <si>
    <t>SFK-Bury St Edmunds</t>
  </si>
  <si>
    <t>St Helens 1</t>
  </si>
  <si>
    <t>SFK-Ipswich</t>
  </si>
  <si>
    <t>St Helens 2</t>
  </si>
  <si>
    <t>SFK-Lowestoft</t>
  </si>
  <si>
    <t>Liverpool North 1</t>
  </si>
  <si>
    <t>Liverpool North 2</t>
  </si>
  <si>
    <t>Liverpool North 3</t>
  </si>
  <si>
    <t>Liverpool North 4</t>
  </si>
  <si>
    <t>Liverpool North 5</t>
  </si>
  <si>
    <t>Liverpool North Unallocated</t>
  </si>
  <si>
    <t>Liverpool South 1</t>
  </si>
  <si>
    <t>Liverpool South 2</t>
  </si>
  <si>
    <t>Liverpool South 3</t>
  </si>
  <si>
    <t>Inactive Team(N03)</t>
  </si>
  <si>
    <t>Liverpool South 4</t>
  </si>
  <si>
    <t>Liverpool South 5</t>
  </si>
  <si>
    <t>Blackpool 1</t>
  </si>
  <si>
    <t>Blackpool 2</t>
  </si>
  <si>
    <t>Blackpool 3</t>
  </si>
  <si>
    <t>NPS Awaiting Allocation Sheffield</t>
  </si>
  <si>
    <t>Lancaster</t>
  </si>
  <si>
    <t>Sefton 2</t>
  </si>
  <si>
    <t>Sefton 3</t>
  </si>
  <si>
    <t>Sefton 4</t>
  </si>
  <si>
    <t>Inactive Team(N07)</t>
  </si>
  <si>
    <t>Sefton IOM</t>
  </si>
  <si>
    <t>Merseyside Womens Services</t>
  </si>
  <si>
    <t>Wirral 1</t>
  </si>
  <si>
    <t>Wirral 2</t>
  </si>
  <si>
    <t>Wirral 3</t>
  </si>
  <si>
    <t>Wirral 4</t>
  </si>
  <si>
    <t>Wirral 5</t>
  </si>
  <si>
    <t>Wirral 6</t>
  </si>
  <si>
    <t>Hmp Belmarsh</t>
  </si>
  <si>
    <t>sentence type</t>
  </si>
  <si>
    <t>cluster</t>
  </si>
  <si>
    <t>grade</t>
  </si>
  <si>
    <t>B1</t>
  </si>
  <si>
    <t>B2</t>
  </si>
  <si>
    <t>C1</t>
  </si>
  <si>
    <t>C2</t>
  </si>
  <si>
    <t>D1</t>
  </si>
  <si>
    <t>D2</t>
  </si>
  <si>
    <t>untiered</t>
  </si>
  <si>
    <t>overall</t>
  </si>
  <si>
    <t>PO</t>
  </si>
  <si>
    <t>PSO</t>
  </si>
  <si>
    <t>TPO</t>
  </si>
  <si>
    <t>SPO</t>
  </si>
  <si>
    <t>LDU cluster</t>
  </si>
  <si>
    <t>team</t>
  </si>
  <si>
    <t>offender manager</t>
  </si>
  <si>
    <t>grade code</t>
  </si>
  <si>
    <t>capacity percentage</t>
  </si>
  <si>
    <t>capacity points</t>
  </si>
  <si>
    <t>remaining points</t>
  </si>
  <si>
    <t>contracted hours</t>
  </si>
  <si>
    <t>reduction hours</t>
  </si>
  <si>
    <t>total cases</t>
  </si>
  <si>
    <t>CMS points</t>
  </si>
  <si>
    <t>CMS percentage</t>
  </si>
  <si>
    <t>Division</t>
  </si>
  <si>
    <t>Cluster</t>
  </si>
  <si>
    <t>PO capacity</t>
  </si>
  <si>
    <t>PSO capacity</t>
  </si>
  <si>
    <t>PO/PSO range</t>
  </si>
  <si>
    <t>PSO  CMS % of overall available capacity</t>
  </si>
  <si>
    <t>TPO CMS % of overall available</t>
  </si>
  <si>
    <t>reason</t>
  </si>
  <si>
    <t>hours</t>
  </si>
  <si>
    <t>start date</t>
  </si>
  <si>
    <t>end date</t>
  </si>
  <si>
    <t>status</t>
  </si>
  <si>
    <t>additional notes</t>
  </si>
  <si>
    <t>PQiP21 6-18</t>
  </si>
  <si>
    <t>Mentoring-early 1</t>
  </si>
  <si>
    <t>Mentoring-mid 1</t>
  </si>
  <si>
    <t>Trade Union Facility Time</t>
  </si>
  <si>
    <t>Other</t>
  </si>
  <si>
    <t>PQiP15 0-6</t>
  </si>
  <si>
    <t>PQiP21 18-21</t>
  </si>
  <si>
    <t>Disability</t>
  </si>
  <si>
    <t>PQiP15 12-15</t>
  </si>
  <si>
    <t>PQiP21 0-6</t>
  </si>
  <si>
    <t>Level 4 and Level 5 Access</t>
  </si>
  <si>
    <t>PQiP15 6-12</t>
  </si>
  <si>
    <t>Split Role</t>
  </si>
  <si>
    <t>Court Duty</t>
  </si>
  <si>
    <t>PSO Learning &amp; Development</t>
  </si>
  <si>
    <t>NQO</t>
  </si>
  <si>
    <t>Mentoring-mid 2</t>
  </si>
  <si>
    <t>Long Term Sickness Absence</t>
  </si>
  <si>
    <t>VQ3</t>
  </si>
  <si>
    <t>Maternity Leave</t>
  </si>
  <si>
    <t>Phased Return to Work</t>
  </si>
  <si>
    <t>Pregnancy</t>
  </si>
  <si>
    <t>Co-Worked Cases</t>
  </si>
  <si>
    <t>national frequency of applied active caseload reductions</t>
  </si>
  <si>
    <t>reduction reason</t>
  </si>
  <si>
    <t>NPS wide reduction in hours</t>
  </si>
  <si>
    <t>% of total reduction in hours</t>
  </si>
  <si>
    <t>Adoption Leave</t>
  </si>
  <si>
    <t>Groups (Group supervision)</t>
  </si>
  <si>
    <t>Groups (Induction)</t>
  </si>
  <si>
    <t>Level 4 or 5 Access</t>
  </si>
  <si>
    <t>Mentoring-Early 2</t>
  </si>
  <si>
    <t>Mentoring -Mid 2</t>
  </si>
  <si>
    <t>Mentoring-Early 3</t>
  </si>
  <si>
    <t>Mentoring-Mid 3</t>
  </si>
  <si>
    <t>OM Custody</t>
  </si>
  <si>
    <t>Other Paid Leave (e.g. Jury Service)</t>
  </si>
  <si>
    <t>Other Unpaid Leave</t>
  </si>
  <si>
    <t>Pre Sentence Reports â€“ Court Duty / Sessional</t>
  </si>
  <si>
    <t xml:space="preserve">PQiP21 18-21 </t>
  </si>
  <si>
    <t>Special Leave</t>
  </si>
  <si>
    <t>SPOC Lead</t>
  </si>
  <si>
    <t>Total frequency of active caseload reductions nationally</t>
  </si>
  <si>
    <t>Grand Total Hours</t>
  </si>
  <si>
    <t xml:space="preserve">Frequently Asked Questions
</t>
  </si>
  <si>
    <t>OM capacity in use</t>
  </si>
  <si>
    <t>PO capacity in use</t>
  </si>
  <si>
    <t>PSO capacity in use</t>
  </si>
  <si>
    <t>TPO capacity in use</t>
  </si>
  <si>
    <t>all OM capacity in use</t>
  </si>
  <si>
    <t>PSO CMS % of capacity  in use (see FAQ page)</t>
  </si>
  <si>
    <t>PSO  CMS % of overall available capacity (see FAQ page)</t>
  </si>
  <si>
    <t>TPO CMS % of capacity  in use (see FAQ page)</t>
  </si>
  <si>
    <t>TPO CMS % of overall capacity (see FAQ page)</t>
  </si>
  <si>
    <t>NPS average</t>
  </si>
  <si>
    <t>variance</t>
  </si>
  <si>
    <t>capacity over 110% and under 90%</t>
  </si>
  <si>
    <t>total POs present on WMT</t>
  </si>
  <si>
    <t>frequency of POs above 110% capacity</t>
  </si>
  <si>
    <t>percentage of POs above 110% capacity</t>
  </si>
  <si>
    <t>total PSOs present on WMT</t>
  </si>
  <si>
    <t>frequency of PSOs above 110% capacity</t>
  </si>
  <si>
    <t>percentage of PSOs above 110% capacity</t>
  </si>
  <si>
    <t>frequency of PSOs below 90% capacity</t>
  </si>
  <si>
    <t>percentage of PSOs below 90% capacity</t>
  </si>
  <si>
    <t>total TPOs present on WMT</t>
  </si>
  <si>
    <t>frequency of TPOs above 110% capacity</t>
  </si>
  <si>
    <t>percentage of TPOs above 110% capacity</t>
  </si>
  <si>
    <t>NPS total</t>
  </si>
  <si>
    <t>N/A</t>
  </si>
  <si>
    <t>unallocated cases</t>
  </si>
  <si>
    <t>held by SPOs</t>
  </si>
  <si>
    <t>held by 'DMY' profiles</t>
  </si>
  <si>
    <t>Sum of 'DMY' and profiles held by SPOs</t>
  </si>
  <si>
    <t>total cases overall</t>
  </si>
  <si>
    <t>SUM of 'DMY' and SPO held profiles  as % of total cases</t>
  </si>
  <si>
    <t>untiered cases</t>
  </si>
  <si>
    <t>reductions as % of contract hours</t>
  </si>
  <si>
    <t>PO contract hours</t>
  </si>
  <si>
    <t xml:space="preserve">PO reduction hours </t>
  </si>
  <si>
    <t>PO reductions as % of contract hours</t>
  </si>
  <si>
    <t>PSO contract hours</t>
  </si>
  <si>
    <t xml:space="preserve">PSO reduction hours </t>
  </si>
  <si>
    <t>PSO reductions as % of contract hours</t>
  </si>
  <si>
    <t>TPO contract hours</t>
  </si>
  <si>
    <t xml:space="preserve">TPO reduction hours </t>
  </si>
  <si>
    <t>TPO reductions as % of contract hours</t>
  </si>
  <si>
    <t>NPS</t>
  </si>
  <si>
    <t>division level applied active caseload reductions</t>
  </si>
  <si>
    <t>division reductions summary</t>
  </si>
  <si>
    <t>reason for reduction</t>
  </si>
  <si>
    <t>frequency of application of reduction</t>
  </si>
  <si>
    <t>hours of reduction applied by reason</t>
  </si>
  <si>
    <t>total frequency of applied reductions within division</t>
  </si>
  <si>
    <t>total division reduction in hours</t>
  </si>
  <si>
    <t>total division contracted hours</t>
  </si>
  <si>
    <t>reduction as % of total division contract hours</t>
  </si>
  <si>
    <t>variance on national reductions as % of contract hours</t>
  </si>
  <si>
    <t>Mentoring-Mid 2</t>
  </si>
  <si>
    <t>Pre Sentence Reports ‚Äì Court Duty / Sessional</t>
  </si>
  <si>
    <t>total cases within the division by tier and sentence type</t>
  </si>
  <si>
    <t>custody</t>
  </si>
  <si>
    <t>licence</t>
  </si>
  <si>
    <t>community</t>
  </si>
  <si>
    <t>ratio of total cases within the division by tier and sentence type</t>
  </si>
  <si>
    <t>national average</t>
  </si>
  <si>
    <t>tiering assumptions of caseload by percent</t>
  </si>
  <si>
    <t>Role</t>
  </si>
  <si>
    <t>PSO &amp; TPO (combined)</t>
  </si>
  <si>
    <t>allocation of community order/SSO cases by grade</t>
  </si>
  <si>
    <t>divisional allocation of community cases by grade as percentage</t>
  </si>
  <si>
    <t>staff grade</t>
  </si>
  <si>
    <t>allocation of licence cases by grade</t>
  </si>
  <si>
    <t>divisional allocation of licence cases by grade as percentage</t>
  </si>
  <si>
    <t>allocation of custody cases by grade</t>
  </si>
  <si>
    <t>divisional allocation of custody cases by grade as percentage</t>
  </si>
  <si>
    <t>overall allocation of cases by grade</t>
  </si>
  <si>
    <t xml:space="preserve"> divisional overall allocation of cases by grade as percentage</t>
  </si>
  <si>
    <t>PSO CMS % of capacity in use (see FAQ page)</t>
  </si>
  <si>
    <t>held by unallocated profiles</t>
  </si>
  <si>
    <t>total cases that require allocation</t>
  </si>
  <si>
    <t>unallocated cases as % of total cases</t>
  </si>
  <si>
    <t xml:space="preserve">untiered cases </t>
  </si>
  <si>
    <t>cluster level applied active caseload reductions</t>
  </si>
  <si>
    <t>cluster reductions summary</t>
  </si>
  <si>
    <t>total frequency of applied reductions within cluster</t>
  </si>
  <si>
    <t>total cluster reduction in hours</t>
  </si>
  <si>
    <t>total cluster contracted hours</t>
  </si>
  <si>
    <t>reductions as % of total cluster contract hours</t>
  </si>
  <si>
    <t>total cases within the cluster by tier and sentence type</t>
  </si>
  <si>
    <t>ratio of total cases within the cluster by tier and sentence type</t>
  </si>
  <si>
    <t>cluster allocation of community cases by grade as percentage</t>
  </si>
  <si>
    <t>cluster allocation of licence cases by grade as percentage</t>
  </si>
  <si>
    <t xml:space="preserve"> Team Overview
</t>
  </si>
  <si>
    <t>`</t>
  </si>
  <si>
    <t>team level applied active caseload reductions</t>
  </si>
  <si>
    <t>team reductions summary</t>
  </si>
  <si>
    <t>total frequency of applied reductions within team</t>
  </si>
  <si>
    <t>total team reduction in hours</t>
  </si>
  <si>
    <t>total team contracted hours</t>
  </si>
  <si>
    <t>reductions as % of total team contract hours</t>
  </si>
  <si>
    <t>role</t>
  </si>
  <si>
    <t>overall caseload allocation by grade</t>
  </si>
  <si>
    <t>overall caseload allocation by grade as percentage</t>
  </si>
  <si>
    <t>total</t>
  </si>
  <si>
    <t>total (including unallocated cases)</t>
  </si>
  <si>
    <t>allocation of cases in the community by grade</t>
  </si>
  <si>
    <t>allocation of cases in the community by grade as percentage</t>
  </si>
  <si>
    <t>allocation of cases in custody by grade</t>
  </si>
  <si>
    <t>allocation of cases in custody by grade as percentage</t>
  </si>
  <si>
    <t>total cases within cluster (including dummy officers):</t>
  </si>
  <si>
    <t>total cases within cluster including dummy officers):</t>
  </si>
  <si>
    <t>total cases within cluster (including dummy officers:</t>
  </si>
  <si>
    <t>total custody cases within cluster (including dummy officers):</t>
  </si>
  <si>
    <t>total custody cases within cluster including dummy officers):</t>
  </si>
  <si>
    <t>total cases in the community within cluster (including dummy officers):</t>
  </si>
  <si>
    <t>total cases in the community within cluster including dummy officers):</t>
  </si>
  <si>
    <t>total cases in the community within cluster as percentage (including dummy officers):</t>
  </si>
  <si>
    <t>OM Capacity In Use</t>
  </si>
  <si>
    <t xml:space="preserve">  Cluster Level Capacities, Reduction of Hours and Unallocated Cases</t>
  </si>
  <si>
    <t>PO capacity (in use)</t>
  </si>
  <si>
    <t>PSO capacity (in use)</t>
  </si>
  <si>
    <t>TPO capacity (in use)</t>
  </si>
  <si>
    <t>London</t>
  </si>
  <si>
    <t>Midlands</t>
  </si>
  <si>
    <t>North East</t>
  </si>
  <si>
    <t>North West</t>
  </si>
  <si>
    <t>South East and Eastern</t>
  </si>
  <si>
    <t>South West and South Central</t>
  </si>
  <si>
    <t>Wales</t>
  </si>
  <si>
    <t>total cluster POs present on WMT</t>
  </si>
  <si>
    <t>frequency of cluster POs above 110% capacity</t>
  </si>
  <si>
    <t>percentage of cluster POs above 110% capacity</t>
  </si>
  <si>
    <t>total cluster PSOs present on WMT</t>
  </si>
  <si>
    <t>frequency of cluster PSOs above 110% capacity</t>
  </si>
  <si>
    <t>percentage of cluster PSOs above 110% capacity</t>
  </si>
  <si>
    <t>frequency of cluster PSOs below 90% capacity</t>
  </si>
  <si>
    <t>percentage of cluster PSOs below 90% capacity</t>
  </si>
  <si>
    <t>total cluster TPOs present on WMT</t>
  </si>
  <si>
    <t>frequency of cluster TPOs above 110% capacity</t>
  </si>
  <si>
    <t>percentage of cluster TPOs above 110% capacity</t>
  </si>
  <si>
    <t>total active cases by cluster</t>
  </si>
  <si>
    <t>dummy officers</t>
  </si>
  <si>
    <t>cases held by dummy officers</t>
  </si>
  <si>
    <t>% of active cases held by dummy officers</t>
  </si>
  <si>
    <t>cases held by SPOs</t>
  </si>
  <si>
    <t>cases that require allocation as % of total</t>
  </si>
  <si>
    <t>PO to PSO capacity range</t>
  </si>
  <si>
    <t>capacity</t>
  </si>
  <si>
    <t>incidence of PO grade staff over 110% capacity</t>
  </si>
  <si>
    <t>incidence of PSO grade staff over 110% capacity</t>
  </si>
  <si>
    <t>incidence of TPO grade staff over 110% capacity</t>
  </si>
  <si>
    <t>incidence of PSO grade staff below 90% capacity</t>
  </si>
  <si>
    <t>Unallocated Cases</t>
  </si>
  <si>
    <t>other unallocated profiles</t>
  </si>
  <si>
    <t>total unallocated</t>
  </si>
  <si>
    <t>cases</t>
  </si>
  <si>
    <t>% of total</t>
  </si>
  <si>
    <t>national number of applied active caseload reductions (top 15 displayed)</t>
  </si>
  <si>
    <t>national sum hours of applied active caseload reductions (top 15 displayed)</t>
  </si>
  <si>
    <t>as percentage of total reduction hours</t>
  </si>
  <si>
    <t>total number of top fifteen active caseload reductions as above</t>
  </si>
  <si>
    <t>total sum hours of top fifteen active caseload reductions as above</t>
  </si>
  <si>
    <t>total number of all active caseload reductions nationally</t>
  </si>
  <si>
    <t>total sum hours of all active caseload reductions nationally</t>
  </si>
  <si>
    <t>Cluster Reasons for Reduction</t>
  </si>
  <si>
    <t>totals</t>
  </si>
  <si>
    <t>reduction in hours</t>
  </si>
  <si>
    <t>reductions as % of contracted hours</t>
  </si>
  <si>
    <t>Caseload Data</t>
  </si>
  <si>
    <t>Allocation By Tier Data Last Updated</t>
  </si>
  <si>
    <t xml:space="preserve"> </t>
  </si>
  <si>
    <t xml:space="preserve">                          Capacity Data</t>
  </si>
  <si>
    <t xml:space="preserve">                                         Reductions Data</t>
  </si>
  <si>
    <t xml:space="preserve">                   Regional Overview
</t>
  </si>
  <si>
    <t xml:space="preserve">                  PDU Overview
</t>
  </si>
  <si>
    <t>Regional Reductions as % of Contracted Hours</t>
  </si>
  <si>
    <t>NPS Region</t>
  </si>
  <si>
    <t>NPS Regions Reasons for Reduction</t>
  </si>
  <si>
    <t>Region</t>
  </si>
  <si>
    <t>total region POs present on WMT</t>
  </si>
  <si>
    <t>percentage of region POs above 110% capacity</t>
  </si>
  <si>
    <t>region highest capacity individual PO</t>
  </si>
  <si>
    <t>total region PSOs present on WMT</t>
  </si>
  <si>
    <t>frequency of region PSOs above 110% capacity</t>
  </si>
  <si>
    <t>percentage of region PSOs over 110% capacity</t>
  </si>
  <si>
    <t>region highest capacity individual PSO</t>
  </si>
  <si>
    <t>total region TPOs present on WMT</t>
  </si>
  <si>
    <t>frequency of region TPOs above 110% capacity</t>
  </si>
  <si>
    <t>percentage of region TPOs over 110% capacity</t>
  </si>
  <si>
    <t>region highest capacity individual TPO</t>
  </si>
  <si>
    <t>frequency of region PSOs below 90% capacity</t>
  </si>
  <si>
    <t>percentage of region PSOs below 90% capacity</t>
  </si>
  <si>
    <t xml:space="preserve">  Over Capacity Offender Managers By Region</t>
  </si>
  <si>
    <t>region</t>
  </si>
  <si>
    <t xml:space="preserve">Regional Allocation of Cases in the Community as Percentage
</t>
  </si>
  <si>
    <t xml:space="preserve">              Regional Allocation of Cases in the Community</t>
  </si>
  <si>
    <t>Regional Allocation of Custody Cases as Percentage</t>
  </si>
  <si>
    <t xml:space="preserve">Regional Allocation of Custody Cases
</t>
  </si>
  <si>
    <t xml:space="preserve">Regional Overall Allocation of Cases as Percentage
</t>
  </si>
  <si>
    <t>Regional Overall Allocation of Cases</t>
  </si>
  <si>
    <t>PDU overview</t>
  </si>
  <si>
    <t>PDU capacity top ten rankings</t>
  </si>
  <si>
    <t>PDU reasons for reduction</t>
  </si>
  <si>
    <t>Regional overview</t>
  </si>
  <si>
    <t>Regional capacities</t>
  </si>
  <si>
    <t>Regional capacities, unallocated cases and reductions in hours</t>
  </si>
  <si>
    <t>Regional over-capacity ratios</t>
  </si>
  <si>
    <t>Regional reasons for reduction</t>
  </si>
  <si>
    <t>Regional reduction in hours</t>
  </si>
  <si>
    <t>Regional overall allocation of cases</t>
  </si>
  <si>
    <t>Regional overall allocation of cases as percentage</t>
  </si>
  <si>
    <t>Regional allocation of custody cases as percentage</t>
  </si>
  <si>
    <t>Regional allocation of cases in the comunity</t>
  </si>
  <si>
    <t>Regional allocation of cases in the community as percentage</t>
  </si>
  <si>
    <t>National caseload allocation by tier</t>
  </si>
  <si>
    <t>National breakdown ratios of caseload allocation by tier</t>
  </si>
  <si>
    <t>Please select your region in the cell below:</t>
  </si>
  <si>
    <t>Please select your region in the cell below, and your cluster in the box below that:</t>
  </si>
  <si>
    <t>Please select your region in the cell below, and your team in the box below that:</t>
  </si>
  <si>
    <t>PDU</t>
  </si>
  <si>
    <t>PDU Top Ten Cluster OM Capacity Rankings</t>
  </si>
  <si>
    <t>highest capacity PO PDU</t>
  </si>
  <si>
    <t>lowest capacity PSO PDU</t>
  </si>
  <si>
    <t>PDU with greatest range between PO and PSO capacity (average PO capacity minus average PSO capacity)</t>
  </si>
  <si>
    <t>PDU with highest capacity of PSO CMS activity as percentage of overall available capacity (most use of PSO CMS)</t>
  </si>
  <si>
    <t>PDU with lowest capacity of PSO CMS activity as percentage of overall available capacity (least use of PSO CMS)</t>
  </si>
  <si>
    <t>PDU with highest capacity of TPO CMS activity as percentage of overall available capacity (most use of TPO CMS)</t>
  </si>
  <si>
    <t>PDU with lowest capacity of TPO CMS activity as percentage of overall available capacity (least use of TPO CMS)</t>
  </si>
  <si>
    <t>regional level - number of applied active caseload reductions</t>
  </si>
  <si>
    <t>regional level - hours of reduction by reason</t>
  </si>
  <si>
    <t>total regional contracted hours</t>
  </si>
  <si>
    <t>% of total regional contracted hours</t>
  </si>
  <si>
    <t>overall total cases within regions by tier</t>
  </si>
  <si>
    <t>overall total cases within regions by tier as percentage</t>
  </si>
  <si>
    <t>total custody cases within regions by tier</t>
  </si>
  <si>
    <t>ratios of total custody cases within regions by tier</t>
  </si>
  <si>
    <t>total licence cases within regions by tier</t>
  </si>
  <si>
    <t>ratios of total licence cases within regions by tier</t>
  </si>
  <si>
    <t>total community cases within regions by tier</t>
  </si>
  <si>
    <t>ratios of total community cases within regions by tier</t>
  </si>
  <si>
    <t>Regional allocation of custody cases</t>
  </si>
  <si>
    <t>Public Protection London</t>
  </si>
  <si>
    <t>PSO PQiP 0-4mths</t>
  </si>
  <si>
    <t>MARAC SPOC</t>
  </si>
  <si>
    <t>PSO PQiP 10-13 mths</t>
  </si>
  <si>
    <t>PSO PQiP 5-9 mths</t>
  </si>
  <si>
    <t>Learning &amp; Development</t>
  </si>
  <si>
    <t>A3</t>
  </si>
  <si>
    <t>A2</t>
  </si>
  <si>
    <t>A1</t>
  </si>
  <si>
    <t>A0</t>
  </si>
  <si>
    <t>B3</t>
  </si>
  <si>
    <t>C3</t>
  </si>
  <si>
    <t>C0</t>
  </si>
  <si>
    <t>D0</t>
  </si>
  <si>
    <t>D3</t>
  </si>
  <si>
    <t>B0</t>
  </si>
  <si>
    <t>Overall</t>
  </si>
  <si>
    <t>C$luster alloC$ation of C$ustody C$ases by grade as perC$entage</t>
  </si>
  <si>
    <t xml:space="preserve"> C$luster overall alloC$ation of C$ases by grade as perC$entage</t>
  </si>
  <si>
    <t>CPA Cheshire and Gtr Manchester</t>
  </si>
  <si>
    <t>CPA Cumbria and Lancashire</t>
  </si>
  <si>
    <t>CPA Derby Leics Notts Rutland</t>
  </si>
  <si>
    <t>CPA Humber Lincs &amp; N Yorks</t>
  </si>
  <si>
    <t>CPA Kent Surrey and Sussex</t>
  </si>
  <si>
    <t>CPA Merseyside</t>
  </si>
  <si>
    <t>CPA South Yorkshire</t>
  </si>
  <si>
    <t>CPA Staffs and West Mids</t>
  </si>
  <si>
    <t>CPA Warwickshire and West Mercia</t>
  </si>
  <si>
    <t>CPA West Yorkshire</t>
  </si>
  <si>
    <t xml:space="preserve">CRC Cumbria &amp; Lancashire </t>
  </si>
  <si>
    <t>Derbyshire Cluster</t>
  </si>
  <si>
    <t>All H, L &amp; NY</t>
  </si>
  <si>
    <t>South Yorkshire CRC</t>
  </si>
  <si>
    <t>Birmingham Cluster</t>
  </si>
  <si>
    <t>Headquarters CGM CRC</t>
  </si>
  <si>
    <t>Leicestershire Cluster</t>
  </si>
  <si>
    <t>Greater Lincolnshire</t>
  </si>
  <si>
    <t>Surrey&amp;Sussex Probation Trust</t>
  </si>
  <si>
    <t>East</t>
  </si>
  <si>
    <t>West Yorkshire All Boroughs</t>
  </si>
  <si>
    <t>MST</t>
  </si>
  <si>
    <t>Nottinghamshire Cluster</t>
  </si>
  <si>
    <t>Hull &amp; East Riding</t>
  </si>
  <si>
    <t>Coventry &amp; Solihull Cluster</t>
  </si>
  <si>
    <t>West Yorkshire CRC Cluster</t>
  </si>
  <si>
    <t>OR</t>
  </si>
  <si>
    <t>West</t>
  </si>
  <si>
    <t>Staffordshire Cluster</t>
  </si>
  <si>
    <t>York &amp; North Yorkshire</t>
  </si>
  <si>
    <t>ST</t>
  </si>
  <si>
    <t>CRC: Barrow NC 1</t>
  </si>
  <si>
    <t>CRC - DBS City CP</t>
  </si>
  <si>
    <t>DTV Durham</t>
  </si>
  <si>
    <t>HMP Hull</t>
  </si>
  <si>
    <t>Community - Liverpool</t>
  </si>
  <si>
    <t>Gateshead LMC</t>
  </si>
  <si>
    <t>Barnsley IOM</t>
  </si>
  <si>
    <t>Birmingham 1</t>
  </si>
  <si>
    <t>CRC: Carlisle LMC 1</t>
  </si>
  <si>
    <t>Derby City Hub</t>
  </si>
  <si>
    <t>DTV Hartlepool</t>
  </si>
  <si>
    <t>HMP Humber</t>
  </si>
  <si>
    <t>Community - Liverpool and Sefton</t>
  </si>
  <si>
    <t>Hub Practitioner</t>
  </si>
  <si>
    <t>Barnsley LMC</t>
  </si>
  <si>
    <t>Birmingham 2</t>
  </si>
  <si>
    <t>North &amp; East Warwickshire</t>
  </si>
  <si>
    <t>CRC: Kendal NC 1</t>
  </si>
  <si>
    <t>Derby City &amp; Ilkeston</t>
  </si>
  <si>
    <t>DTV Durham IOM</t>
  </si>
  <si>
    <t>Flex Team 7 Boston Skegness and Spalding</t>
  </si>
  <si>
    <t>Engagement - Liverpool</t>
  </si>
  <si>
    <t>Newcastle LMC</t>
  </si>
  <si>
    <t>Doncaster IOM</t>
  </si>
  <si>
    <t>Birmingham 3</t>
  </si>
  <si>
    <t>UPW Warwickshire</t>
  </si>
  <si>
    <t>CRC: Workington NC 1</t>
  </si>
  <si>
    <t>Derby City IOM-SMU</t>
  </si>
  <si>
    <t>DTV Redcar, Cleveland and Middlesbrough IOM</t>
  </si>
  <si>
    <t>Flex Team 8 Grimsby</t>
  </si>
  <si>
    <t>Resettlement - Liverpool</t>
  </si>
  <si>
    <t>North Tyneside LMC</t>
  </si>
  <si>
    <t>Doncaster LMC</t>
  </si>
  <si>
    <t>Birmingham 4</t>
  </si>
  <si>
    <t>DUPLICATE OFFENDER RECORDS</t>
  </si>
  <si>
    <t>CRC: Hub Team</t>
  </si>
  <si>
    <t>Derby City &amp; Swadlincote</t>
  </si>
  <si>
    <t>DTV Stockton and Hartlepool IOM</t>
  </si>
  <si>
    <t>Flex Team 9 Grimsby</t>
  </si>
  <si>
    <t>Resettlement - Liverpool and Sefton</t>
  </si>
  <si>
    <t>Northumberland LMC</t>
  </si>
  <si>
    <t>Hub - Barnsley</t>
  </si>
  <si>
    <t>Birmingham IOM Team</t>
  </si>
  <si>
    <t>Redditch CRC (Clive Road)</t>
  </si>
  <si>
    <t>Bfd Community 1</t>
  </si>
  <si>
    <t>CRC: Hub UPW Completed</t>
  </si>
  <si>
    <t>Chesterfield Community Hub</t>
  </si>
  <si>
    <t>DTV Middlesbrough</t>
  </si>
  <si>
    <t>Flex Team 6 Scunthorpe and Gainsborough</t>
  </si>
  <si>
    <t>Ashford Rehabilitation</t>
  </si>
  <si>
    <t>Women - Liverpool and Sefton</t>
  </si>
  <si>
    <t>South Tyneside LMC</t>
  </si>
  <si>
    <t>Hub - Doncaster</t>
  </si>
  <si>
    <t>Birmingham Young Adults</t>
  </si>
  <si>
    <t>Shropshire &amp; Telford</t>
  </si>
  <si>
    <t>Bfd Female</t>
  </si>
  <si>
    <t>CRC: Blackpool LMC 1</t>
  </si>
  <si>
    <t>CRC - DBS County CP North</t>
  </si>
  <si>
    <t>DTV Redcar and Cleveland</t>
  </si>
  <si>
    <t>Flex Team 5 Lincoln and Grantham</t>
  </si>
  <si>
    <t>Brighton Rehabilitation</t>
  </si>
  <si>
    <t>Community - Prescot</t>
  </si>
  <si>
    <t>Sunderland LMC</t>
  </si>
  <si>
    <t>Hub - Rotherham</t>
  </si>
  <si>
    <t>Womens Team</t>
  </si>
  <si>
    <t>South Central Worcestershire</t>
  </si>
  <si>
    <t>Bfd Resettlement 1</t>
  </si>
  <si>
    <t>CRC: Blackpool LMC 2</t>
  </si>
  <si>
    <t>CRC - DBS County CP West</t>
  </si>
  <si>
    <t>DTV South West Durham</t>
  </si>
  <si>
    <t>Flex Team 1 Hull</t>
  </si>
  <si>
    <t>Chatham Rehabilitation</t>
  </si>
  <si>
    <t>Engagement - Prescot</t>
  </si>
  <si>
    <t>Hub - Sheffield</t>
  </si>
  <si>
    <t>Black Country Women's Team</t>
  </si>
  <si>
    <t>UPW Herefordshire</t>
  </si>
  <si>
    <t>Bfd Resettlement 2</t>
  </si>
  <si>
    <t>CRC: Blackpool LMC 3</t>
  </si>
  <si>
    <t>CRC - DBS County North</t>
  </si>
  <si>
    <t>DTV Stockton</t>
  </si>
  <si>
    <t>Flex Team 2 Hull</t>
  </si>
  <si>
    <t>Crawley Rehabilitation</t>
  </si>
  <si>
    <t>Resettlement - Prescot</t>
  </si>
  <si>
    <t>Rotherham IOM</t>
  </si>
  <si>
    <t>Black Country Central</t>
  </si>
  <si>
    <t>UPW Telford &amp; Shropshire</t>
  </si>
  <si>
    <t>Calder Team</t>
  </si>
  <si>
    <t>CRC: Lancaster NC 1</t>
  </si>
  <si>
    <t>CRC - DBS County West OMU</t>
  </si>
  <si>
    <t>Flex Team 3 Hull</t>
  </si>
  <si>
    <t>Eastbourne Rehabilitation</t>
  </si>
  <si>
    <t>Women - Prescot</t>
  </si>
  <si>
    <t>Rotherham LMC</t>
  </si>
  <si>
    <t>Black Country Community Hub</t>
  </si>
  <si>
    <t>UPW Worcestershire</t>
  </si>
  <si>
    <t>Interventions Team</t>
  </si>
  <si>
    <t>CRC: Accrington LMC 1</t>
  </si>
  <si>
    <t>*CRC-LTS Business Support</t>
  </si>
  <si>
    <t>Gravesend Rehabilitation</t>
  </si>
  <si>
    <t>Sheffield IOM</t>
  </si>
  <si>
    <t>Dudley</t>
  </si>
  <si>
    <t>Kirklees Community</t>
  </si>
  <si>
    <t>CRC: Accrington LMC 2</t>
  </si>
  <si>
    <t>CRC-LTS Unpaid Work</t>
  </si>
  <si>
    <t>Guildford Rehabilitation</t>
  </si>
  <si>
    <t>Sheffield LMC</t>
  </si>
  <si>
    <t>Sandwell</t>
  </si>
  <si>
    <t>Kirklees Engagement</t>
  </si>
  <si>
    <t>CRC: Accrington LMC 3</t>
  </si>
  <si>
    <t>CRC - LLR East</t>
  </si>
  <si>
    <t>Hastings Rehabilitation</t>
  </si>
  <si>
    <t>Kirklees Female</t>
  </si>
  <si>
    <t>CRC: Accrington LMC 4</t>
  </si>
  <si>
    <t>CRC - LLR North</t>
  </si>
  <si>
    <t>Flex Team 10 Scarborough and Bridlington</t>
  </si>
  <si>
    <t>Littlehampton Rehabilitation</t>
  </si>
  <si>
    <t>Community - Wirral</t>
  </si>
  <si>
    <t>Wolverhampton</t>
  </si>
  <si>
    <t>Kirklees Resettlement</t>
  </si>
  <si>
    <t>CRC: Chorley NC</t>
  </si>
  <si>
    <t>CRC - LLR West</t>
  </si>
  <si>
    <t>Flex Team 14 Harrogate &amp; Skipton</t>
  </si>
  <si>
    <t>Maidstone Rehabilitation</t>
  </si>
  <si>
    <t>Engagement - Wirral</t>
  </si>
  <si>
    <t>Coventry Interventions Team</t>
  </si>
  <si>
    <t>Operational Support Team</t>
  </si>
  <si>
    <t>Wakefield Community</t>
  </si>
  <si>
    <t>CRC: Preston LMC 2</t>
  </si>
  <si>
    <t>CRC-LTS Priority IOM</t>
  </si>
  <si>
    <t>Flex Team 12 York &amp; Northallerton</t>
  </si>
  <si>
    <t>Ramsgate Rehabilitation</t>
  </si>
  <si>
    <t>Resettlement - Wirral</t>
  </si>
  <si>
    <t>Coventry IOM-SMU</t>
  </si>
  <si>
    <t>Wakefield Engagement</t>
  </si>
  <si>
    <t>CRC: Preston LMC 3</t>
  </si>
  <si>
    <t>Leicester Community Hub</t>
  </si>
  <si>
    <t>Flex Team 13 York &amp; Selby</t>
  </si>
  <si>
    <t>Redhill Rehabilitation</t>
  </si>
  <si>
    <t>Women - Wirral</t>
  </si>
  <si>
    <t>Solihull Early Interventions 4 CRC</t>
  </si>
  <si>
    <t>Unallocated Team(C16)</t>
  </si>
  <si>
    <t>Wakefield Female</t>
  </si>
  <si>
    <t>CRC: Skelmersdale NC</t>
  </si>
  <si>
    <t>CRC - NHS Nottingham City Unpaid Work</t>
  </si>
  <si>
    <t>Rehabilitation</t>
  </si>
  <si>
    <t>Bucks Male</t>
  </si>
  <si>
    <t>Wakefield Resettlement</t>
  </si>
  <si>
    <t>CRC - NHS Bassetlaw</t>
  </si>
  <si>
    <t>Rehabilitation Management</t>
  </si>
  <si>
    <t>IOM Stafford CRC</t>
  </si>
  <si>
    <t>Oxfordshire Male</t>
  </si>
  <si>
    <t>Leeds Community 1</t>
  </si>
  <si>
    <t>CRC - NHS Bassetlaw Unpaid Work</t>
  </si>
  <si>
    <t>Resettlement</t>
  </si>
  <si>
    <t>Leeds Community 2</t>
  </si>
  <si>
    <t>CRC - NHS Mansfield &amp; Ashfield</t>
  </si>
  <si>
    <t>Sittingbourne Rehabilitation</t>
  </si>
  <si>
    <t>Tamworth CRC</t>
  </si>
  <si>
    <t>Leeds Engagement</t>
  </si>
  <si>
    <t>CRC - NHS Mansfield &amp; Ashfield Unpaid Work</t>
  </si>
  <si>
    <t>Staines Rehabilitation</t>
  </si>
  <si>
    <t>Hanley Team 1</t>
  </si>
  <si>
    <t>Leeds Female</t>
  </si>
  <si>
    <t>CRC - NHS Newark &amp; Sherwood</t>
  </si>
  <si>
    <t>Tunbridge Wells Rehabilitation</t>
  </si>
  <si>
    <t>Hanley Team 2 - Leek</t>
  </si>
  <si>
    <t>Leeds Resettlement 1</t>
  </si>
  <si>
    <t>CRC - NHS Newark &amp; Sherwood Unpaid Work</t>
  </si>
  <si>
    <t>IOM North - Stoke CRC</t>
  </si>
  <si>
    <t>Leeds Resettlement 2</t>
  </si>
  <si>
    <t>CRC - NHS Nottingham City Hub</t>
  </si>
  <si>
    <t>CP - Birmingham</t>
  </si>
  <si>
    <t>CRC - NHS Nottingham City IOM</t>
  </si>
  <si>
    <t>CP - Coventry</t>
  </si>
  <si>
    <t>Nottingham City &amp; County South</t>
  </si>
  <si>
    <t>CP - Staffordshire</t>
  </si>
  <si>
    <t>CP - Tamworth</t>
  </si>
  <si>
    <t>CP - Black Country North</t>
  </si>
  <si>
    <t>CP - Black Country South</t>
  </si>
  <si>
    <t>Resettlement Admin Team</t>
  </si>
  <si>
    <t>Resettlement Management</t>
  </si>
  <si>
    <t>SSPT DUPLICATE OFFENDER RECORDS</t>
  </si>
  <si>
    <t>Flex Team 10</t>
  </si>
  <si>
    <t>Flex Team 11</t>
  </si>
  <si>
    <t>Flex Team 12</t>
  </si>
  <si>
    <t>Flex Team 13</t>
  </si>
  <si>
    <t>Flex Team 14</t>
  </si>
  <si>
    <t>IT Services &amp; Business Systems</t>
  </si>
  <si>
    <t>Flex Team 01</t>
  </si>
  <si>
    <t>Flex Team 02</t>
  </si>
  <si>
    <t>Flex Team 06</t>
  </si>
  <si>
    <t>Flex Team 07</t>
  </si>
  <si>
    <t>Flex Team 04</t>
  </si>
  <si>
    <t>Flex Team 05</t>
  </si>
  <si>
    <t>Flex Team 17</t>
  </si>
  <si>
    <t>Flex Team 18</t>
  </si>
  <si>
    <t>Flex Team 15</t>
  </si>
  <si>
    <t>Flex Team 16</t>
  </si>
  <si>
    <t>Flex Team 20</t>
  </si>
  <si>
    <t>Flex Team 19</t>
  </si>
  <si>
    <t>Flex Team 23</t>
  </si>
  <si>
    <t>Flex Team 24</t>
  </si>
  <si>
    <t>Flex Team 25</t>
  </si>
  <si>
    <t>Flex Team 21</t>
  </si>
  <si>
    <t>Flex Team 22</t>
  </si>
  <si>
    <t>Dudley &amp; Sandwell Cluster</t>
  </si>
  <si>
    <t>Unallocated Level(N54)</t>
  </si>
  <si>
    <t>Unallocated Level 2(N55)</t>
  </si>
  <si>
    <t>Inactive Level 2(N55)</t>
  </si>
  <si>
    <t>Unallocated Level2(N56)</t>
  </si>
  <si>
    <t>Unallocated Level2(N57)</t>
  </si>
  <si>
    <t>Portsmouth and IoW</t>
  </si>
  <si>
    <t>Southampton, Eastleigh and New Forest</t>
  </si>
  <si>
    <t>Inactive Team(N56)</t>
  </si>
  <si>
    <t>EXS-Felmores AP</t>
  </si>
  <si>
    <t>Unallocated Team(N56)</t>
  </si>
  <si>
    <t>Bolton 1</t>
  </si>
  <si>
    <t>Inactive Team(N57)</t>
  </si>
  <si>
    <t>Unallocated Team(N57)</t>
  </si>
  <si>
    <t>Bromley Service Centre</t>
  </si>
  <si>
    <t>New Case Allocation London</t>
  </si>
  <si>
    <t>Liverpool South IOM</t>
  </si>
  <si>
    <t>Slough OM1</t>
  </si>
  <si>
    <t>Slough OM2</t>
  </si>
  <si>
    <t>Reading OM3</t>
  </si>
  <si>
    <t>Derby City - N53</t>
  </si>
  <si>
    <t>Bedfordshire - N56</t>
  </si>
  <si>
    <t>Bolton - N50</t>
  </si>
  <si>
    <t>Blackburn and Darwen - N51</t>
  </si>
  <si>
    <t>Buckinghamshire and M Keynes - N59</t>
  </si>
  <si>
    <t>Bath and North Somerset - N58</t>
  </si>
  <si>
    <t>Cardiff and Vale - N03</t>
  </si>
  <si>
    <t>Birmingham Central and South - N52</t>
  </si>
  <si>
    <t>CHESHIRE - C07</t>
  </si>
  <si>
    <t>Central - C06</t>
  </si>
  <si>
    <t>Warwickshire - C12</t>
  </si>
  <si>
    <t>PSC - C05</t>
  </si>
  <si>
    <t>Derby City  - N53</t>
  </si>
  <si>
    <t>Other Third Party EM Supervision - N59</t>
  </si>
  <si>
    <t>Other Third Party EM Supervision - N58</t>
  </si>
  <si>
    <t>Central Birmingham Team 1 - N52</t>
  </si>
  <si>
    <t>NPS - YSS Barnsley OMU 1 - N55</t>
  </si>
  <si>
    <t>Leamington - C12</t>
  </si>
  <si>
    <t>CP Hub POD 1 - C05</t>
  </si>
  <si>
    <t>Derbyshire - N53</t>
  </si>
  <si>
    <t>Brent - N07</t>
  </si>
  <si>
    <t>Default Unallocated Borough - N54</t>
  </si>
  <si>
    <t>Default Unallocated Borough - N59</t>
  </si>
  <si>
    <t>Bristol and South Gloucestershire - N58</t>
  </si>
  <si>
    <t>Birmingham North, East and Solihull - N52</t>
  </si>
  <si>
    <t>Black Country - C11</t>
  </si>
  <si>
    <t>West Mercia - C12</t>
  </si>
  <si>
    <t>Buxton - N53</t>
  </si>
  <si>
    <t>BDS-Bedford OM1 - N56</t>
  </si>
  <si>
    <t>Bucks ACE - N59</t>
  </si>
  <si>
    <t>Central Birmingham Team 2 - N52</t>
  </si>
  <si>
    <t>NPS - YSS Barnsley OMU 2 - N55</t>
  </si>
  <si>
    <t>CP Hub POD 2 - C05</t>
  </si>
  <si>
    <t>Manchester North - N50</t>
  </si>
  <si>
    <t>Surrey - N57</t>
  </si>
  <si>
    <t>Coventry - N52</t>
  </si>
  <si>
    <t>Doncaster - N55</t>
  </si>
  <si>
    <t>PSC - C06</t>
  </si>
  <si>
    <t>Chesterfield - N53</t>
  </si>
  <si>
    <t>BDS-Luton OM1 - N56</t>
  </si>
  <si>
    <t>Bolton NPS Admin - N50</t>
  </si>
  <si>
    <t>Bucks PPU - N59</t>
  </si>
  <si>
    <t>NPS - YSS Rotherham OMU 1 - N55</t>
  </si>
  <si>
    <t>CP Hub POD 3 - C05</t>
  </si>
  <si>
    <t>Lincolnshire East and West - N53</t>
  </si>
  <si>
    <t>Essex North - N56</t>
  </si>
  <si>
    <t>Manchester South - N50</t>
  </si>
  <si>
    <t>Croydon - N07</t>
  </si>
  <si>
    <t>Newcastle Upon Tyne - N54</t>
  </si>
  <si>
    <t>Hampshire North and East - N59</t>
  </si>
  <si>
    <t>Devon and Torbay - N58</t>
  </si>
  <si>
    <t>PSC - C04</t>
  </si>
  <si>
    <t>Ilkeston - N53</t>
  </si>
  <si>
    <t>BDS-Luton OM2 - N56</t>
  </si>
  <si>
    <t>Milton Keynes PPU - N59</t>
  </si>
  <si>
    <t>Multi-Agency Gang Unit (MAGU) - N52</t>
  </si>
  <si>
    <t>NPS - YSS Rotherham OMU 2 - N55</t>
  </si>
  <si>
    <t>Hereford - C12</t>
  </si>
  <si>
    <t>Essex South - N56</t>
  </si>
  <si>
    <t>Cumbria - N51</t>
  </si>
  <si>
    <t>Dorset - N58</t>
  </si>
  <si>
    <t>PSC - C07</t>
  </si>
  <si>
    <t>CBS-Cambridge - N56</t>
  </si>
  <si>
    <t>Default Designated Transfer Team - N59</t>
  </si>
  <si>
    <t>South Birmingham Team 1 - N52</t>
  </si>
  <si>
    <t>Bradford NPS OMU 1 (BNA) - N55</t>
  </si>
  <si>
    <t>UPW North Hub - C16</t>
  </si>
  <si>
    <t>Nottinghamshire - N53</t>
  </si>
  <si>
    <t>Hertfordshire - N56</t>
  </si>
  <si>
    <t>Salford - N50</t>
  </si>
  <si>
    <t>Gloucestershire - N58</t>
  </si>
  <si>
    <t>Personality Disorder Projects - N52</t>
  </si>
  <si>
    <t>Kirklees - N55</t>
  </si>
  <si>
    <t>Unpaid Work - C11</t>
  </si>
  <si>
    <t>Leicester City 1 - N53</t>
  </si>
  <si>
    <t>CBS-Huntingdon - N56</t>
  </si>
  <si>
    <t>Bracknell OM - N59</t>
  </si>
  <si>
    <t>South Birmingham Team 2 - N52</t>
  </si>
  <si>
    <t>Bradford NPS OMU 2 (BNB) - N55</t>
  </si>
  <si>
    <t>Norfolk - N56</t>
  </si>
  <si>
    <t>Plymouth - N58</t>
  </si>
  <si>
    <t>Public Protection Community - N52</t>
  </si>
  <si>
    <t>Leeds - N55</t>
  </si>
  <si>
    <t>WBB - C07</t>
  </si>
  <si>
    <t>Leicester City 2 - N53</t>
  </si>
  <si>
    <t>CBS-Peterborough - N56</t>
  </si>
  <si>
    <t>Default Designated Transfer Team - N54</t>
  </si>
  <si>
    <t>Crewe - N51</t>
  </si>
  <si>
    <t>South Birmingham Team 3 - N52</t>
  </si>
  <si>
    <t>Bradford NPS OMU 4 YOT (BND) - N55</t>
  </si>
  <si>
    <t>Northamptonshire - N56</t>
  </si>
  <si>
    <t>Tameside - N50</t>
  </si>
  <si>
    <t>Sunderland - N54</t>
  </si>
  <si>
    <t>North and North East Lincs - N55</t>
  </si>
  <si>
    <t>Leicester City 3 - N53</t>
  </si>
  <si>
    <t>Default Designated Transfer Team - N56</t>
  </si>
  <si>
    <t>SRY-Guildford - N57</t>
  </si>
  <si>
    <t>Macclesfield - N51</t>
  </si>
  <si>
    <t>Offender Management - East - N58</t>
  </si>
  <si>
    <t>East Birmingham - N52</t>
  </si>
  <si>
    <t>Bradford NPS OMU 5 (BNE) - N55</t>
  </si>
  <si>
    <t>Public Protection Residential - N56</t>
  </si>
  <si>
    <t>Wigan - N50</t>
  </si>
  <si>
    <t>Liverpool North - N51</t>
  </si>
  <si>
    <t>Somerset - N58</t>
  </si>
  <si>
    <t>North Yorkshire - N55</t>
  </si>
  <si>
    <t>Leicester City PQUIP - N53</t>
  </si>
  <si>
    <t>SRY-Redhill - N57</t>
  </si>
  <si>
    <t>NPS Aldershot, Farnborough - N59</t>
  </si>
  <si>
    <t>Offender Management - West - N58</t>
  </si>
  <si>
    <t>North Birmingham Team 1 - N52</t>
  </si>
  <si>
    <t>Calderdale NPS OMU 1 (CNA) - N55</t>
  </si>
  <si>
    <t>Liverpool South - N51</t>
  </si>
  <si>
    <t>Warwickshire - N52</t>
  </si>
  <si>
    <t>Sheffield - N55</t>
  </si>
  <si>
    <t>Leicester City PSOs - N53</t>
  </si>
  <si>
    <t>SRY-Staines - N57</t>
  </si>
  <si>
    <t>NPS Andover, Basingstoke, Winchester - N59</t>
  </si>
  <si>
    <t>North Birmingham Team 3 - N52</t>
  </si>
  <si>
    <t>Headquarters - N07</t>
  </si>
  <si>
    <t>Merseyside Resettle - N51</t>
  </si>
  <si>
    <t>Worcestershire - N52</t>
  </si>
  <si>
    <t>Leicester City Resettlement - N53</t>
  </si>
  <si>
    <t>NPS Havant, Fareham - N59</t>
  </si>
  <si>
    <t>OM - North Devon - N58</t>
  </si>
  <si>
    <t>Solihull - N52</t>
  </si>
  <si>
    <t>NPS - YSS Doncaster OMU 1 - N55</t>
  </si>
  <si>
    <t>CP Hub POD 1 - C04</t>
  </si>
  <si>
    <t>CP Hub Pod 1 - C06</t>
  </si>
  <si>
    <t>Wakefield - N55</t>
  </si>
  <si>
    <t>Leicestershire Priority IOM - N53</t>
  </si>
  <si>
    <t>OM - Torbay - N58</t>
  </si>
  <si>
    <t>NPS - YSS Doncaster OMU 2 - N55</t>
  </si>
  <si>
    <t>CP Hub POD 2 - C04</t>
  </si>
  <si>
    <t>CP Hub Pod 2 - C06</t>
  </si>
  <si>
    <t>Lambeth - N07</t>
  </si>
  <si>
    <t>York - N55</t>
  </si>
  <si>
    <t>Boston - N53</t>
  </si>
  <si>
    <t>OM1 - Exeter - N58</t>
  </si>
  <si>
    <t>Dudley Team 1 - N52</t>
  </si>
  <si>
    <t>NPS - YSS Doncaster OMU 3 - N55</t>
  </si>
  <si>
    <t>CP Hub POD 3 - C04</t>
  </si>
  <si>
    <t>CP Hub Pod 3 - C06</t>
  </si>
  <si>
    <t>Walsall - C11</t>
  </si>
  <si>
    <t>Wirral - N51</t>
  </si>
  <si>
    <t>Grantham - N53</t>
  </si>
  <si>
    <t>Oxon ACE - N59</t>
  </si>
  <si>
    <t>Dudley Team 2 - N52</t>
  </si>
  <si>
    <t>CP Hub Pod 1 - C20</t>
  </si>
  <si>
    <t>Newham - N07</t>
  </si>
  <si>
    <t>Lincoln - N53</t>
  </si>
  <si>
    <t>Portsmouth and Isle of Wight OM Team 1 - N59</t>
  </si>
  <si>
    <t>Sandwell Team 1 - N52</t>
  </si>
  <si>
    <t>NPS - EYK BEV PPU1 - N55</t>
  </si>
  <si>
    <t>CP Hub Pod 2 - C20</t>
  </si>
  <si>
    <t>Public Protection Community - N07</t>
  </si>
  <si>
    <t>Skegness - N53</t>
  </si>
  <si>
    <t>HFS-East Herts - N56</t>
  </si>
  <si>
    <t>Portsmouth and Isle of Wight OM Team 2 - N59</t>
  </si>
  <si>
    <t>Sandwell Team 2 - N52</t>
  </si>
  <si>
    <t>NPS - EYK BRI PPU2 - N55</t>
  </si>
  <si>
    <t>CP Hub Pod 3 - C20</t>
  </si>
  <si>
    <t>Nottingham City North - N53</t>
  </si>
  <si>
    <t>HFS-Mid Herts - N56</t>
  </si>
  <si>
    <t>NPS New Forest, Eastleigh - N59</t>
  </si>
  <si>
    <t>Sandwell Team 4 PQUIP - N52</t>
  </si>
  <si>
    <t>NPS - EYK GOOLE PPU3 - N55</t>
  </si>
  <si>
    <t>CP Hub POD 1 - C07</t>
  </si>
  <si>
    <t>Nottingham City South - N53</t>
  </si>
  <si>
    <t>HFS-North Herts - N56</t>
  </si>
  <si>
    <t>NPS Southampton OM Team 1 - N59</t>
  </si>
  <si>
    <t>Offender Management - Plymouth - N58</t>
  </si>
  <si>
    <t>Hereford - N52</t>
  </si>
  <si>
    <t>NPS - HUL Public Protection Unit 1 - N55</t>
  </si>
  <si>
    <t>CP Hub POD 2 - C07</t>
  </si>
  <si>
    <t>CRC - Programmes - C04</t>
  </si>
  <si>
    <t>Solihull IOM CRC - C11</t>
  </si>
  <si>
    <t>Southwark - N07</t>
  </si>
  <si>
    <t>Nottinghamshire IOM - N53</t>
  </si>
  <si>
    <t>HFS-South and West Herts - N56</t>
  </si>
  <si>
    <t>NPS Southampton OM Team 2 - N59</t>
  </si>
  <si>
    <t>Shrewsbury - N52</t>
  </si>
  <si>
    <t>NPS - HUL Public Protection Unit 2 - N55</t>
  </si>
  <si>
    <t>CP Hub POD 3 - C07</t>
  </si>
  <si>
    <t>Nottinghamshire South - N53</t>
  </si>
  <si>
    <t>Reading OM1 - N59</t>
  </si>
  <si>
    <t>Telford - N52</t>
  </si>
  <si>
    <t>NPS - HUL Public Protection Unit 3 - N55</t>
  </si>
  <si>
    <t>Stafford CRC - C11</t>
  </si>
  <si>
    <t>UPW South Hub - C16</t>
  </si>
  <si>
    <t>Bassetlaw (Worksop) - N53</t>
  </si>
  <si>
    <t>Reading OM2 - N59</t>
  </si>
  <si>
    <t>PROSPER West Midlands - N52</t>
  </si>
  <si>
    <t>NPS Awaiting Allocation Hull - N55</t>
  </si>
  <si>
    <t>Mansfield and Ashfield - N53</t>
  </si>
  <si>
    <t>NFK-Norwich - N56</t>
  </si>
  <si>
    <t>NTH-Northampton - N56</t>
  </si>
  <si>
    <t>West Berks ACE - N59</t>
  </si>
  <si>
    <t>Cannock - N52</t>
  </si>
  <si>
    <t>Kirklees NPS OMU 1 (KNA) - N55</t>
  </si>
  <si>
    <t>NTH-Wellingborough - N56</t>
  </si>
  <si>
    <t>Merseyside SO IOM - N51</t>
  </si>
  <si>
    <t>South East Staffordshire - N52</t>
  </si>
  <si>
    <t>Kirklees NPS OMU 2 (KNB) - N55</t>
  </si>
  <si>
    <t>Stafford - N52</t>
  </si>
  <si>
    <t>Leeds NPS OMU 1 (LNA) - N55</t>
  </si>
  <si>
    <t>Unallocated Team(N02) - N54</t>
  </si>
  <si>
    <t>Stoke Allocations - N52</t>
  </si>
  <si>
    <t>Leeds NPS OMU 2 (LNB) - N55</t>
  </si>
  <si>
    <t>Stoke Team 1 - N52</t>
  </si>
  <si>
    <t>Leeds NPS OMU 3 (LNC) - N55</t>
  </si>
  <si>
    <t>Stoke Team 2 - N52</t>
  </si>
  <si>
    <t>Leeds NPS OMU 5 (LNE) - N55</t>
  </si>
  <si>
    <t>CRC-LTS Unpaid Work - C08</t>
  </si>
  <si>
    <t>Stoke Team 3 - N52</t>
  </si>
  <si>
    <t>Leeds NPS OMU 6 (LNF) - N55</t>
  </si>
  <si>
    <t>CRC - NHS Nottingham City Unpaid Work - C08</t>
  </si>
  <si>
    <t>Walsall Team 1 - N52</t>
  </si>
  <si>
    <t>Leeds NPS OMU 7 (LNG) - N55</t>
  </si>
  <si>
    <t>Walsall Team 2 - N52</t>
  </si>
  <si>
    <t>NPS - GRI PPU1 - N55</t>
  </si>
  <si>
    <t>Wolverhampton Team 1 - N52</t>
  </si>
  <si>
    <t>NPS - GRI PPU2 - N55</t>
  </si>
  <si>
    <t>Wolverhampton Team 2 - N52</t>
  </si>
  <si>
    <t>NPS - SCU PPU1 - N55</t>
  </si>
  <si>
    <t>Leamington - N52</t>
  </si>
  <si>
    <t>NPS Awaiting Allocation Grimsby - N55</t>
  </si>
  <si>
    <t>Nuneaton and Rugby - N52</t>
  </si>
  <si>
    <t>NPS - YSN Harrogate PP OMU - N55</t>
  </si>
  <si>
    <t>Kidderminster - N52</t>
  </si>
  <si>
    <t>NPS - YSN Northallerton PP OMU - N55</t>
  </si>
  <si>
    <t>Redditch - N52</t>
  </si>
  <si>
    <t>NPS - YSN Scarborough PP OMU - N55</t>
  </si>
  <si>
    <t>Worcester - N52</t>
  </si>
  <si>
    <t>NPS - YSN Skipton PP OMU - N55</t>
  </si>
  <si>
    <t>NPS - YSS Sheffield OMU 1 - N55</t>
  </si>
  <si>
    <t>NPS - YSS Sheffield OMU 2 - N55</t>
  </si>
  <si>
    <t>NPS - YSS Sheffield OMU 3 - N55</t>
  </si>
  <si>
    <t>Unallocated - C21</t>
  </si>
  <si>
    <t>NPS - YSS Sheffield OMU 4 - N55</t>
  </si>
  <si>
    <t>Unallocated Team(N02) - N55</t>
  </si>
  <si>
    <t>Wakefield NPS OMU 1 (WNA) - N55</t>
  </si>
  <si>
    <t>Wakefield NPS OMU2 (WNB) - N55</t>
  </si>
  <si>
    <t>NPS - YSN York PP OMU - N55</t>
  </si>
  <si>
    <t>East of England</t>
  </si>
  <si>
    <t>Inactive Level 2(N56)</t>
  </si>
  <si>
    <t>Corporate Services - N56</t>
  </si>
  <si>
    <t>Unpaid Work and Attendance Centres - N56</t>
  </si>
  <si>
    <t xml:space="preserve">National Breakdown Ratios of Caseload Allocation by Tier
</t>
  </si>
  <si>
    <t>t</t>
  </si>
  <si>
    <t>Wellbeing/Work-life balance</t>
  </si>
  <si>
    <t>Admin Hub CBS</t>
  </si>
  <si>
    <t>TVCorporate Team</t>
  </si>
  <si>
    <t>Programmes TV</t>
  </si>
  <si>
    <t>TV Allocation Hub</t>
  </si>
  <si>
    <t>DTV Admin</t>
  </si>
  <si>
    <t>DTV Programmes</t>
  </si>
  <si>
    <t>DTV UPW Projects Team</t>
  </si>
  <si>
    <t>DTV UPW Introduction</t>
  </si>
  <si>
    <t>DTV Quality and Development</t>
  </si>
  <si>
    <t>DTV Performance &amp; ICT</t>
  </si>
  <si>
    <t>DTV Interventions</t>
  </si>
  <si>
    <t>Admin Hub BDS</t>
  </si>
  <si>
    <t>Admin Hub HFS</t>
  </si>
  <si>
    <t>Admin Hub NTH</t>
  </si>
  <si>
    <t>BDS-Bedford IOM</t>
  </si>
  <si>
    <t>BDS-Luton IOM</t>
  </si>
  <si>
    <t>BDS-Resettlement Prisons</t>
  </si>
  <si>
    <t>BDS-Luton OM3</t>
  </si>
  <si>
    <t>BDS-Resettlement OM</t>
  </si>
  <si>
    <t>HFS-East Herts OM2</t>
  </si>
  <si>
    <t>HFS-North Herts OM2</t>
  </si>
  <si>
    <t>HFS-IOM</t>
  </si>
  <si>
    <t>HFS-South and West Herts OM2</t>
  </si>
  <si>
    <t>NTH-Kettering OM2</t>
  </si>
  <si>
    <t>NTH-Wellingborough OM2</t>
  </si>
  <si>
    <t>NTH-Northampton OM2</t>
  </si>
  <si>
    <t>NTH-Resettlement OM</t>
  </si>
  <si>
    <t>NTH-Mentors</t>
  </si>
  <si>
    <t>BDS-Accredited Programmes</t>
  </si>
  <si>
    <t>BDS-Str Interventions</t>
  </si>
  <si>
    <t>CBS-Accredited Programmes</t>
  </si>
  <si>
    <t>CBS-Str Interventions</t>
  </si>
  <si>
    <t>HFS-Str Interventions</t>
  </si>
  <si>
    <t>HFS- Accredited Programmes</t>
  </si>
  <si>
    <t>NTH-Accredited Programmes</t>
  </si>
  <si>
    <t>NTH-Str Interventions</t>
  </si>
  <si>
    <t>ADMIN Interventions</t>
  </si>
  <si>
    <t>BDS-UPW Supervisors</t>
  </si>
  <si>
    <t>CBS-UPW Supervisors</t>
  </si>
  <si>
    <t>HFS-UPW Supervisors</t>
  </si>
  <si>
    <t>NTH-UPW Supervisors</t>
  </si>
  <si>
    <t>BDS-UPW Proj Bedford</t>
  </si>
  <si>
    <t>BDS-UPW Proj Luton</t>
  </si>
  <si>
    <t>BDS-UPW Proj Cambridge</t>
  </si>
  <si>
    <t>CBS-UPW Proj Huntingdon</t>
  </si>
  <si>
    <t>CBS-UPW Proj Peterborough</t>
  </si>
  <si>
    <t>CBS-UPW Proj Wisbech</t>
  </si>
  <si>
    <t>HFS-UPW Proj Chesnut</t>
  </si>
  <si>
    <t>HFS-UPW Proj Hemel Hempstead</t>
  </si>
  <si>
    <t>HFS-UPW Proj St Albans</t>
  </si>
  <si>
    <t>HFS-UPW Proj Stevenage</t>
  </si>
  <si>
    <t>NTH-UPW Proj Kettering</t>
  </si>
  <si>
    <t>NTH-UPW Proj Northampton</t>
  </si>
  <si>
    <t>NTH-UPW Proj Wellingborough</t>
  </si>
  <si>
    <t>UPW Projects EE</t>
  </si>
  <si>
    <t>NTH-Partner Link</t>
  </si>
  <si>
    <t>HFS-Partner Link</t>
  </si>
  <si>
    <t>CBS-Partner Link</t>
  </si>
  <si>
    <t>BDS-Partner Link</t>
  </si>
  <si>
    <t>NTH-UPW SA OM1</t>
  </si>
  <si>
    <t>HFS-UPW SA OM1</t>
  </si>
  <si>
    <t>BDS-UPW SA OM1</t>
  </si>
  <si>
    <t>CBS-UPS SA OM1</t>
  </si>
  <si>
    <t>Accredited Programmes and Structured Interventions</t>
  </si>
  <si>
    <t xml:space="preserve">Headquarters </t>
  </si>
  <si>
    <t>NFK-King's Lynn OM2</t>
  </si>
  <si>
    <t>NFK-Resetllement OM</t>
  </si>
  <si>
    <t>NFK-Mainstream</t>
  </si>
  <si>
    <t>NFK-Resettlement</t>
  </si>
  <si>
    <t>SKF-Bury St Edmunds</t>
  </si>
  <si>
    <t>SFK Ipswich OM2</t>
  </si>
  <si>
    <t>SKF-Lowestroft OM2</t>
  </si>
  <si>
    <t>SFK Resettlement</t>
  </si>
  <si>
    <t>SFK Resettlement OM</t>
  </si>
  <si>
    <t>SFK-Mentors</t>
  </si>
  <si>
    <t>SFK-Mainstream</t>
  </si>
  <si>
    <t>NFK-SA UPW OM1</t>
  </si>
  <si>
    <t>NFK-UPW Supervision</t>
  </si>
  <si>
    <t>NFK-UPW Proj King's</t>
  </si>
  <si>
    <t>NFK-UPW Proj Norwich</t>
  </si>
  <si>
    <t>NFK-Accredited Program</t>
  </si>
  <si>
    <t>NFK-Str Interventions</t>
  </si>
  <si>
    <t>NFK-Partner Link</t>
  </si>
  <si>
    <t>SKF-Partner Link</t>
  </si>
  <si>
    <t>SFK-Partner Link</t>
  </si>
  <si>
    <t>SFK-SA UPW OM1</t>
  </si>
  <si>
    <t>SFK-UPW Supervisior</t>
  </si>
  <si>
    <t>SFK-UPW Proj Ipswich</t>
  </si>
  <si>
    <t>SFK- Accredited Programmes</t>
  </si>
  <si>
    <t>SFK-Str Interventions</t>
  </si>
  <si>
    <t>Admin Hub NFK</t>
  </si>
  <si>
    <t>NS Executive Team</t>
  </si>
  <si>
    <t>Admin Hub SFK</t>
  </si>
  <si>
    <t>Unpaid Work and Attendance Centres - N54</t>
  </si>
  <si>
    <t>DTV UPW and Enforcement</t>
  </si>
  <si>
    <t>DTV TTG Durham</t>
  </si>
  <si>
    <t>DTV Redcar Middlesbrough</t>
  </si>
  <si>
    <t>HMP Winchester 2</t>
  </si>
  <si>
    <t>HMP Coldingley</t>
  </si>
  <si>
    <t>HIoW IRT</t>
  </si>
  <si>
    <t>Network Developer</t>
  </si>
  <si>
    <t>CP South East</t>
  </si>
  <si>
    <t>CP South West</t>
  </si>
  <si>
    <t>CP North</t>
  </si>
  <si>
    <t>P3 Team</t>
  </si>
  <si>
    <t>Havant</t>
  </si>
  <si>
    <t>Fareham</t>
  </si>
  <si>
    <t>Unpaid Work and Attendance Centres - N59</t>
  </si>
  <si>
    <t>Performance And Quality</t>
  </si>
  <si>
    <t>North East Region</t>
  </si>
  <si>
    <t>Inactive Level 2(N54)</t>
  </si>
  <si>
    <t>South Central</t>
  </si>
  <si>
    <t>All South Central</t>
  </si>
  <si>
    <t>Corporate Services - N59</t>
  </si>
  <si>
    <t>Awaiting Allocation County Durham Darlington</t>
  </si>
  <si>
    <t>Darlington - N54</t>
  </si>
  <si>
    <t>DTV Durham - N54</t>
  </si>
  <si>
    <t>DTV Durham IOM - N54</t>
  </si>
  <si>
    <t>DTV South West Durham - N54</t>
  </si>
  <si>
    <t>Durham Central</t>
  </si>
  <si>
    <t>Durham West</t>
  </si>
  <si>
    <t>Newton Aycliffe</t>
  </si>
  <si>
    <t>Peterlee</t>
  </si>
  <si>
    <t>Awaiting Allocation Gateshead and S Tyneside</t>
  </si>
  <si>
    <t>Gateshead - N54</t>
  </si>
  <si>
    <t>Gateshead 2</t>
  </si>
  <si>
    <t>NBR Gateshead LMC - N54</t>
  </si>
  <si>
    <t>NBR South Tyneside LMC - N54</t>
  </si>
  <si>
    <t>South Tyneside</t>
  </si>
  <si>
    <t>NBR Newcastle LMC - N54</t>
  </si>
  <si>
    <t>Newcastle OMU2</t>
  </si>
  <si>
    <t>Newcastle OMU3</t>
  </si>
  <si>
    <t>Awaiting Allocation N Tyneside Northumberland</t>
  </si>
  <si>
    <t>NBR North Tyneside LMC - N54</t>
  </si>
  <si>
    <t>NBR Northumberland LMC - N54</t>
  </si>
  <si>
    <t>North Tyneside</t>
  </si>
  <si>
    <t>Northumberland</t>
  </si>
  <si>
    <t>DTV Middlesbrough - N54</t>
  </si>
  <si>
    <t>DTV Redcar and Cleveland - N54</t>
  </si>
  <si>
    <t>DTV Redcar, Middlesbrough and Cleveland IOM - N54</t>
  </si>
  <si>
    <t>Middlesbrough - N54</t>
  </si>
  <si>
    <t>Middlesbrough OMU2</t>
  </si>
  <si>
    <t>South Bank - N54</t>
  </si>
  <si>
    <t>DTV Hartlepool - N54</t>
  </si>
  <si>
    <t>DTV Stockton - N54</t>
  </si>
  <si>
    <t>DTV Stockton and Hartlepool IOM - N54</t>
  </si>
  <si>
    <t>Hartlepool - N54</t>
  </si>
  <si>
    <t>Stockton</t>
  </si>
  <si>
    <t>NBR Sunderland LMC - N54</t>
  </si>
  <si>
    <t>Sunderland North</t>
  </si>
  <si>
    <t>Sunderland South</t>
  </si>
  <si>
    <t>Unallocated Team(N54)</t>
  </si>
  <si>
    <t>NBR UPW Hub Practitioner - N54</t>
  </si>
  <si>
    <t>Inactive Team(N59)</t>
  </si>
  <si>
    <t>Unallocated Team(N59)</t>
  </si>
  <si>
    <t>ZZ_Awaiting Reassignment - N59</t>
  </si>
  <si>
    <t>Bucks Male 1 - N59</t>
  </si>
  <si>
    <t>Bucks Male 2 - N59</t>
  </si>
  <si>
    <t>Bucks Women - N59</t>
  </si>
  <si>
    <t>Milton Keynes Male - N59</t>
  </si>
  <si>
    <t>Milton Keynes Women - N59</t>
  </si>
  <si>
    <t>PSC Allocation - N59</t>
  </si>
  <si>
    <t>TV Corporate Team - N59</t>
  </si>
  <si>
    <t>East Berks Male - N59</t>
  </si>
  <si>
    <t>East Berks Women - N59</t>
  </si>
  <si>
    <t>Aldershot, Farnborough</t>
  </si>
  <si>
    <t>Andover, Basingstoke, Winchester</t>
  </si>
  <si>
    <t>Havant, Fareham</t>
  </si>
  <si>
    <t>North Community Orders - N59</t>
  </si>
  <si>
    <t>North Engagement - N59</t>
  </si>
  <si>
    <t>North Resettlement - N59</t>
  </si>
  <si>
    <t>North Women - N59</t>
  </si>
  <si>
    <t>Oxon Male 1 - N59</t>
  </si>
  <si>
    <t>Oxon Male 2 - N59</t>
  </si>
  <si>
    <t>Oxon Women - N59</t>
  </si>
  <si>
    <t>East Community Orders - N59</t>
  </si>
  <si>
    <t>East Engagement - N59</t>
  </si>
  <si>
    <t>East Resettlement - N59</t>
  </si>
  <si>
    <t>East Women - N59</t>
  </si>
  <si>
    <t>IOW - N59</t>
  </si>
  <si>
    <t>New Forest, Eastleigh</t>
  </si>
  <si>
    <t>Southampton OM Team 1</t>
  </si>
  <si>
    <t>Southampton OM Team 2</t>
  </si>
  <si>
    <t>West Community Orders - N59</t>
  </si>
  <si>
    <t>West Engagement - N59</t>
  </si>
  <si>
    <t>West Resettlement - N59</t>
  </si>
  <si>
    <t>West Women - N59</t>
  </si>
  <si>
    <t>CP Hub Pod 1 - N59</t>
  </si>
  <si>
    <t>CP Hub Pod 2 - N59</t>
  </si>
  <si>
    <t>CP Hub Pod 3 - N59</t>
  </si>
  <si>
    <t>UPW North Hub - N59</t>
  </si>
  <si>
    <t>UPW South Hub - N59</t>
  </si>
  <si>
    <t>West Berks Male - N59</t>
  </si>
  <si>
    <t>West Berks Women - N59</t>
  </si>
  <si>
    <t>Inactive Level 2(N03)</t>
  </si>
  <si>
    <t>Unallocated Level 2(N03)</t>
  </si>
  <si>
    <t>South West</t>
  </si>
  <si>
    <t>All South West</t>
  </si>
  <si>
    <t>Accredited Programmes and Structured Interventions - N58</t>
  </si>
  <si>
    <t>Unpaid Work and Attendance Centres - N58</t>
  </si>
  <si>
    <t>Interventions - Bristol</t>
  </si>
  <si>
    <t>Inactive Team(N58)</t>
  </si>
  <si>
    <t>Unallocated Team(N58)</t>
  </si>
  <si>
    <t>ZZ_Awaiting Reassignment - N58</t>
  </si>
  <si>
    <t>SOM Banes</t>
  </si>
  <si>
    <t>SOM Banes 2</t>
  </si>
  <si>
    <t>SOM Nth Som</t>
  </si>
  <si>
    <t>SOM Nth Som 2</t>
  </si>
  <si>
    <t>BSG Bristol 1</t>
  </si>
  <si>
    <t>BSG Bristol 2</t>
  </si>
  <si>
    <t>BSG Bristol 3</t>
  </si>
  <si>
    <t>BSG Bristol IOM (IRiS)</t>
  </si>
  <si>
    <t>BSG Under 25</t>
  </si>
  <si>
    <t>OM - Camborne</t>
  </si>
  <si>
    <t>OM - St Austell</t>
  </si>
  <si>
    <t>OM2 North Devon</t>
  </si>
  <si>
    <t>OM2 Torbay</t>
  </si>
  <si>
    <t>OM3 Exeter</t>
  </si>
  <si>
    <t>Bournemouth OM and Ass</t>
  </si>
  <si>
    <t>OM - Dorchester</t>
  </si>
  <si>
    <t>OM - Poole 2</t>
  </si>
  <si>
    <t>Weymouth, Poole OM and Ass</t>
  </si>
  <si>
    <t>GCS Cheltenham and Tewkesbury</t>
  </si>
  <si>
    <t>GCS Cheltenham and Tewkesbury 2</t>
  </si>
  <si>
    <t>GCS Gloucester</t>
  </si>
  <si>
    <t>GCS Gloucester and Forest</t>
  </si>
  <si>
    <t>Offender Management - Plymouth 2</t>
  </si>
  <si>
    <t>SOM Bridgwater</t>
  </si>
  <si>
    <t>SOM Bridgwater 2</t>
  </si>
  <si>
    <t>SOM Taunton</t>
  </si>
  <si>
    <t>SOM Taunton 2</t>
  </si>
  <si>
    <t>SOM Yeovil</t>
  </si>
  <si>
    <t>SOM Yeovil 2</t>
  </si>
  <si>
    <t>WTS Chippenham</t>
  </si>
  <si>
    <t>WTS Chippenham 2</t>
  </si>
  <si>
    <t>WTS Salisbury</t>
  </si>
  <si>
    <t>WTS Salisbury 2</t>
  </si>
  <si>
    <t>WTS Swindon 1</t>
  </si>
  <si>
    <t>WTS Swindon 3</t>
  </si>
  <si>
    <t>Plymouth - CP Team</t>
  </si>
  <si>
    <t>Cardiff - East Team</t>
  </si>
  <si>
    <t>Cardiff - IOM Wisdom Team</t>
  </si>
  <si>
    <t>Cardiff - North Team</t>
  </si>
  <si>
    <t>Cardiff - South Team</t>
  </si>
  <si>
    <t>Cardiff - West Team</t>
  </si>
  <si>
    <t>Cardiff - Women's Pathfinder Team</t>
  </si>
  <si>
    <t>Cardiff and Vale - STS Team</t>
  </si>
  <si>
    <t>NPS - Cardiff - Team 3</t>
  </si>
  <si>
    <t>Vale - IOM Women Team</t>
  </si>
  <si>
    <t>Vale - Team</t>
  </si>
  <si>
    <t>Awaiting Allocation Cwm Taf Morgannwg</t>
  </si>
  <si>
    <t>Bridgend - IOM Team</t>
  </si>
  <si>
    <t>Bridgend - STS Team</t>
  </si>
  <si>
    <t>Bridgend - Team 1</t>
  </si>
  <si>
    <t>Bridgend - Team 2</t>
  </si>
  <si>
    <t>Merthyr - STS Team</t>
  </si>
  <si>
    <t>Merthyr - Team 1</t>
  </si>
  <si>
    <t>Merthyr - Team 2</t>
  </si>
  <si>
    <t>RCT - IOM Team</t>
  </si>
  <si>
    <t>RCT - STS Team</t>
  </si>
  <si>
    <t>RCT - Team 1</t>
  </si>
  <si>
    <t>RCT - Team 2</t>
  </si>
  <si>
    <t>RCT - Team 3</t>
  </si>
  <si>
    <t>Carmarthenshire - Team 1</t>
  </si>
  <si>
    <t>Carmarthenshire - Team 2</t>
  </si>
  <si>
    <t>Ceredigion - Team 1</t>
  </si>
  <si>
    <t>Pembrokeshire - Team 1</t>
  </si>
  <si>
    <t>Powys - Team 1</t>
  </si>
  <si>
    <t>Awaiting Allocation Gwent</t>
  </si>
  <si>
    <t>Caerphilly\Blaenau Gwent Team 1</t>
  </si>
  <si>
    <t>Caerphilly\Blaenau Gwent Team 2</t>
  </si>
  <si>
    <t>Caerphilly\Blaenau Gwent Team 3</t>
  </si>
  <si>
    <t>East Gwent Team</t>
  </si>
  <si>
    <t>Gwent - IOM Team</t>
  </si>
  <si>
    <t>Gwent - STS Team</t>
  </si>
  <si>
    <t>Newport - Team 1</t>
  </si>
  <si>
    <t>Newport - Team 2</t>
  </si>
  <si>
    <t>Newport - Team 3</t>
  </si>
  <si>
    <t>NPS - Newport - Team 9</t>
  </si>
  <si>
    <t>Conwy - Team 1</t>
  </si>
  <si>
    <t>Denbighshire - Team 1</t>
  </si>
  <si>
    <t>Flintshire - Team 1</t>
  </si>
  <si>
    <t>Gwynedd - Team 1</t>
  </si>
  <si>
    <t>North Wales - Central IOM STC Team</t>
  </si>
  <si>
    <t>North Wales - West IOM STC Team</t>
  </si>
  <si>
    <t>Wrexham - Team 1</t>
  </si>
  <si>
    <t>Ynys Mon - Team 1</t>
  </si>
  <si>
    <t>Awaiting Allocation Swansea Neath PT</t>
  </si>
  <si>
    <t>Swansea - Team 1</t>
  </si>
  <si>
    <t>Swansea - Team 2</t>
  </si>
  <si>
    <t>Swansea - Team 3</t>
  </si>
  <si>
    <t>Swansea - Team 4</t>
  </si>
  <si>
    <t>Swansea - Team 5</t>
  </si>
  <si>
    <t>Swansea - Team 6</t>
  </si>
  <si>
    <t>Unallocated Team(N03)</t>
  </si>
  <si>
    <t xml:space="preserve">South West </t>
  </si>
  <si>
    <t>Inactive Level 2(N07)</t>
  </si>
  <si>
    <t>Hmp Downview</t>
  </si>
  <si>
    <t>Other Third Party EM Supervision - N07</t>
  </si>
  <si>
    <t>Unallocated Team(N07)</t>
  </si>
  <si>
    <t>WAN PQIP</t>
  </si>
  <si>
    <t>All London</t>
  </si>
  <si>
    <t>Accredited Programmes and Structured Interventions - N07</t>
  </si>
  <si>
    <t>Corporate Services - N07</t>
  </si>
  <si>
    <t>Commumity Integration</t>
  </si>
  <si>
    <t>Unpaid Work and Attendance Centres - N07</t>
  </si>
  <si>
    <t>ZZ_Awaiting Reassignment - N07</t>
  </si>
  <si>
    <t>Awaiting Allocation BARKING DAGENHAM HAVERING</t>
  </si>
  <si>
    <t>BDH 1 - N07</t>
  </si>
  <si>
    <t>BDH 2 - N07</t>
  </si>
  <si>
    <t>BDH 3</t>
  </si>
  <si>
    <t>BDH 4</t>
  </si>
  <si>
    <t>BDH 5</t>
  </si>
  <si>
    <t>Awaiting Allocation BRENT</t>
  </si>
  <si>
    <t>BRE 3</t>
  </si>
  <si>
    <t>BRE 4</t>
  </si>
  <si>
    <t>Willesden MC</t>
  </si>
  <si>
    <t>Awaiting Allocation CAMDEN</t>
  </si>
  <si>
    <t>Awaiting Allocation ISLINGTON</t>
  </si>
  <si>
    <t>CAI 1 - N07</t>
  </si>
  <si>
    <t>CAI 2 - N07</t>
  </si>
  <si>
    <t>CAI 3</t>
  </si>
  <si>
    <t>CAI 4</t>
  </si>
  <si>
    <t>CAI 5</t>
  </si>
  <si>
    <t>CAI 6</t>
  </si>
  <si>
    <t>Low Risk Resettlement East</t>
  </si>
  <si>
    <t>Low Risk Resettlement North</t>
  </si>
  <si>
    <t>Low Risk Resettlement South</t>
  </si>
  <si>
    <t>Low Risk Resettlement West</t>
  </si>
  <si>
    <t>Awaiting Allocation CROYDON</t>
  </si>
  <si>
    <t>CRO 1 - N07</t>
  </si>
  <si>
    <t>CRO 2 - N07</t>
  </si>
  <si>
    <t>CRO 3</t>
  </si>
  <si>
    <t>CRO 4</t>
  </si>
  <si>
    <t>CRO 5</t>
  </si>
  <si>
    <t>CRO 6</t>
  </si>
  <si>
    <t>Awaiting Allocation EALING</t>
  </si>
  <si>
    <t>Awaiting Allocation HILLINGDON</t>
  </si>
  <si>
    <t>EAL 1 - N07</t>
  </si>
  <si>
    <t>EAL 2 - N07</t>
  </si>
  <si>
    <t>EAL 4</t>
  </si>
  <si>
    <t>EAL 5</t>
  </si>
  <si>
    <t>EHH PQIP</t>
  </si>
  <si>
    <t>HIL 1 - N07</t>
  </si>
  <si>
    <t>HIL 2 - N07</t>
  </si>
  <si>
    <t>HIL 3</t>
  </si>
  <si>
    <t>HIL 4</t>
  </si>
  <si>
    <t>Awaiting Allocation ENFIELD</t>
  </si>
  <si>
    <t>Awaiting Allocation HARINGEY</t>
  </si>
  <si>
    <t>ENF 3</t>
  </si>
  <si>
    <t>ENF 4</t>
  </si>
  <si>
    <t>Enfield</t>
  </si>
  <si>
    <t>HAR 1</t>
  </si>
  <si>
    <t>HAR 2</t>
  </si>
  <si>
    <t>HAR 3 - N07</t>
  </si>
  <si>
    <t>Awaiting Allocation BEXLEY</t>
  </si>
  <si>
    <t>Awaiting Allocation GREENWICH</t>
  </si>
  <si>
    <t>BEX 1 - N07</t>
  </si>
  <si>
    <t>BEX 2</t>
  </si>
  <si>
    <t>GRE 1 - N07</t>
  </si>
  <si>
    <t>GRE 2</t>
  </si>
  <si>
    <t>GRE 3</t>
  </si>
  <si>
    <t>Awaiting Allocation HACKNEY</t>
  </si>
  <si>
    <t>HAC 1 - N07</t>
  </si>
  <si>
    <t>HAC 2 - N07</t>
  </si>
  <si>
    <t>HAC 3</t>
  </si>
  <si>
    <t>HAC 4</t>
  </si>
  <si>
    <t>Awaiting Allocation HAMMERSMITH &amp; FULHAM</t>
  </si>
  <si>
    <t>Awaiting Allocation KENSINGTON CHELSEA WESTMIN</t>
  </si>
  <si>
    <t>HAF 1 - N07</t>
  </si>
  <si>
    <t>HAF 2</t>
  </si>
  <si>
    <t>HFKCW 1</t>
  </si>
  <si>
    <t>HFKCW 2</t>
  </si>
  <si>
    <t>HFKCW 3</t>
  </si>
  <si>
    <t>HFKCW 4</t>
  </si>
  <si>
    <t>KCW 1 - N07</t>
  </si>
  <si>
    <t>KCW 4</t>
  </si>
  <si>
    <t>KCW 5</t>
  </si>
  <si>
    <t>Awaiting Allocation BARNET</t>
  </si>
  <si>
    <t>BAR 2</t>
  </si>
  <si>
    <t>Barnet</t>
  </si>
  <si>
    <t>HRW 1 - N07</t>
  </si>
  <si>
    <t>HRW 3</t>
  </si>
  <si>
    <t>ACO CLUSTERS</t>
  </si>
  <si>
    <t>Awaiting Allocation HOUNSLOW</t>
  </si>
  <si>
    <t>Awaiting Allocation KINGSTON &amp; RICHMOND</t>
  </si>
  <si>
    <t>HOU 1 - N07</t>
  </si>
  <si>
    <t>HOU 2</t>
  </si>
  <si>
    <t>KAR 1 - N07</t>
  </si>
  <si>
    <t>KAR 3</t>
  </si>
  <si>
    <t>Awaiting Allocation LAMBETH</t>
  </si>
  <si>
    <t>LAM 1 - N07</t>
  </si>
  <si>
    <t>LAM 2 - N07</t>
  </si>
  <si>
    <t>LAM 3</t>
  </si>
  <si>
    <t>LAM 4</t>
  </si>
  <si>
    <t>LAM 5</t>
  </si>
  <si>
    <t>Awaiting Allocation BROMLEY</t>
  </si>
  <si>
    <t>Awaiting Allocation LEWISHAM</t>
  </si>
  <si>
    <t>BRO 1 - N07</t>
  </si>
  <si>
    <t>BRO 2</t>
  </si>
  <si>
    <t>LEW 1 - N07</t>
  </si>
  <si>
    <t>LEW 2 - N07</t>
  </si>
  <si>
    <t>LEW 3</t>
  </si>
  <si>
    <t>LEW 4</t>
  </si>
  <si>
    <t>Awaiting Allocation NEWHAM</t>
  </si>
  <si>
    <t>NEW 1 - N07</t>
  </si>
  <si>
    <t>NEW 2 - N07</t>
  </si>
  <si>
    <t>NEW 3</t>
  </si>
  <si>
    <t>NEW 4</t>
  </si>
  <si>
    <t>NEW 5</t>
  </si>
  <si>
    <t>FOREIGN NATIONALS UNIT</t>
  </si>
  <si>
    <t>Awaiting Allocation REDBRIDGE</t>
  </si>
  <si>
    <t>Awaiting Allocation WALTHAM FOREST</t>
  </si>
  <si>
    <t>RED 5</t>
  </si>
  <si>
    <t>RWF 1</t>
  </si>
  <si>
    <t>RWF 2</t>
  </si>
  <si>
    <t>RWF 3</t>
  </si>
  <si>
    <t>RWF 4</t>
  </si>
  <si>
    <t>WAF 3</t>
  </si>
  <si>
    <t>Awaiting Allocation SOUTHWARK</t>
  </si>
  <si>
    <t>SOU 1 - N07</t>
  </si>
  <si>
    <t>SOU 2 - N07</t>
  </si>
  <si>
    <t>SOU 3</t>
  </si>
  <si>
    <t>SOU 4</t>
  </si>
  <si>
    <t>SOU 5</t>
  </si>
  <si>
    <t>Awaiting Allocation TOWER HAMLETS</t>
  </si>
  <si>
    <t>TWR 1 - N07</t>
  </si>
  <si>
    <t>TWR 2 - N07</t>
  </si>
  <si>
    <t>TWR 3</t>
  </si>
  <si>
    <t>TWR 4</t>
  </si>
  <si>
    <t>Attendance Centre 1 - N07</t>
  </si>
  <si>
    <t>CP North East 1 - N07</t>
  </si>
  <si>
    <t>CP North East 2 - N07</t>
  </si>
  <si>
    <t>CP North East Legacy Caseload - N07</t>
  </si>
  <si>
    <t>CP South 1 - N07</t>
  </si>
  <si>
    <t>CP South 2 - N07</t>
  </si>
  <si>
    <t>CP South Legacy Caseload - N07</t>
  </si>
  <si>
    <t>CP West 1 - N07</t>
  </si>
  <si>
    <t>CP West 2 - N07</t>
  </si>
  <si>
    <t>CP West Legacy Caseload - N07</t>
  </si>
  <si>
    <t>SAC East - N07</t>
  </si>
  <si>
    <t>SAC North - N07</t>
  </si>
  <si>
    <t>SAC South - N07</t>
  </si>
  <si>
    <t>SAC West - N07</t>
  </si>
  <si>
    <t>WSAC - N07</t>
  </si>
  <si>
    <t>Awaiting Allocation MERTON</t>
  </si>
  <si>
    <t>MER 1</t>
  </si>
  <si>
    <t>MER2</t>
  </si>
  <si>
    <t>MER3</t>
  </si>
  <si>
    <t>SUT 1</t>
  </si>
  <si>
    <t>WAN 1 - N07</t>
  </si>
  <si>
    <t>WAN 3</t>
  </si>
  <si>
    <t>MARAC</t>
  </si>
  <si>
    <t>Pre Sentence Reports – Court Duty / Sessional</t>
  </si>
  <si>
    <r>
      <t>National Caseload Allocation by Tier</t>
    </r>
    <r>
      <rPr>
        <b/>
        <sz val="12"/>
        <color theme="0"/>
        <rFont val="Arial"/>
        <family val="2"/>
      </rPr>
      <t xml:space="preserve">
</t>
    </r>
    <r>
      <rPr>
        <sz val="12"/>
        <color theme="0"/>
        <rFont val="Arial"/>
        <family val="2"/>
      </rPr>
      <t>These summations do NOT include unallocated cases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</si>
</sst>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&quot;WMT Data As At: &quot;dd/mm/yyyy"/>
  </numFmts>
  <fonts count="87" x14ac:knownFonts="1">
    <font>
      <sz val="11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26"/>
      <color theme="0"/>
      <name val="Arial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b/>
      <sz val="16"/>
      <color rgb="FF7030A0"/>
      <name val="Arial"/>
      <family val="2"/>
    </font>
    <font>
      <b/>
      <sz val="12"/>
      <color rgb="FF7030A0"/>
      <name val="Arial"/>
      <family val="2"/>
    </font>
    <font>
      <b/>
      <sz val="18"/>
      <color theme="1"/>
      <name val="Arial"/>
      <family val="2"/>
    </font>
    <font>
      <b/>
      <sz val="11"/>
      <color theme="1"/>
      <name val="Times New Roman"/>
      <family val="1"/>
    </font>
    <font>
      <b/>
      <sz val="11"/>
      <color theme="0"/>
      <name val="Arial"/>
      <family val="2"/>
    </font>
    <font>
      <b/>
      <sz val="12"/>
      <name val="Arial"/>
      <family val="2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  <font>
      <u/>
      <sz val="11"/>
      <color theme="10"/>
      <name val="Times New Roman"/>
      <family val="2"/>
    </font>
    <font>
      <b/>
      <u/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u/>
      <sz val="12"/>
      <color theme="1"/>
      <name val="Arial"/>
      <family val="2"/>
    </font>
    <font>
      <b/>
      <sz val="2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b/>
      <sz val="14"/>
      <color theme="1"/>
      <name val="Arial"/>
      <family val="2"/>
    </font>
    <font>
      <sz val="36"/>
      <color theme="0"/>
      <name val="Arial"/>
      <family val="2"/>
    </font>
    <font>
      <b/>
      <sz val="20"/>
      <color theme="0"/>
      <name val="Arial"/>
      <family val="2"/>
    </font>
    <font>
      <b/>
      <sz val="10"/>
      <color rgb="FFFF00FF"/>
      <name val="Arial"/>
      <family val="2"/>
    </font>
    <font>
      <b/>
      <sz val="10"/>
      <color rgb="FF6600CC"/>
      <name val="Arial"/>
      <family val="2"/>
    </font>
    <font>
      <b/>
      <sz val="14"/>
      <color rgb="FF7030A0"/>
      <name val="Arial"/>
      <family val="2"/>
    </font>
    <font>
      <b/>
      <sz val="12"/>
      <color rgb="FFF2F2F2"/>
      <name val="Arial"/>
      <family val="2"/>
    </font>
    <font>
      <sz val="11"/>
      <color theme="0"/>
      <name val="Times New Roman"/>
      <family val="2"/>
    </font>
    <font>
      <sz val="12"/>
      <color theme="1"/>
      <name val="Times New Roman"/>
      <family val="2"/>
    </font>
    <font>
      <b/>
      <sz val="11"/>
      <color theme="0"/>
      <name val="Times New Roman"/>
      <family val="2"/>
    </font>
    <font>
      <sz val="11"/>
      <name val="Times New Roman"/>
      <family val="2"/>
    </font>
    <font>
      <sz val="18"/>
      <color theme="1"/>
      <name val="Arial"/>
      <family val="2"/>
    </font>
    <font>
      <sz val="14"/>
      <color theme="1"/>
      <name val="Arial"/>
      <family val="2"/>
    </font>
    <font>
      <sz val="14"/>
      <color theme="1"/>
      <name val="Times New Roman"/>
      <family val="2"/>
    </font>
    <font>
      <u/>
      <sz val="14"/>
      <color theme="10"/>
      <name val="Arial"/>
      <family val="2"/>
    </font>
    <font>
      <sz val="10"/>
      <color theme="1"/>
      <name val="Times New Roman"/>
      <family val="2"/>
    </font>
    <font>
      <b/>
      <sz val="10"/>
      <color rgb="FFF2F2F2"/>
      <name val="Arial"/>
      <family val="2"/>
    </font>
    <font>
      <b/>
      <sz val="18"/>
      <color theme="0"/>
      <name val="Arial"/>
      <family val="2"/>
    </font>
    <font>
      <b/>
      <sz val="18"/>
      <color theme="1"/>
      <name val="Times New Roman"/>
      <family val="2"/>
    </font>
    <font>
      <sz val="18"/>
      <color theme="1"/>
      <name val="Times New Roman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22"/>
      <color theme="0"/>
      <name val="Arial"/>
      <family val="2"/>
    </font>
    <font>
      <b/>
      <sz val="10"/>
      <color theme="1"/>
      <name val="Times New Roman"/>
      <family val="2"/>
    </font>
    <font>
      <b/>
      <sz val="10"/>
      <name val="Arial"/>
      <family val="2"/>
    </font>
    <font>
      <sz val="10"/>
      <name val="Times New Roman"/>
      <family val="2"/>
    </font>
    <font>
      <sz val="18"/>
      <color theme="0"/>
      <name val="Arial"/>
      <family val="2"/>
    </font>
    <font>
      <sz val="22"/>
      <color theme="0"/>
      <name val="Arial"/>
      <family val="2"/>
    </font>
    <font>
      <sz val="24"/>
      <color theme="0"/>
      <name val="Arial"/>
      <family val="2"/>
    </font>
    <font>
      <sz val="20"/>
      <color theme="0"/>
      <name val="Arial"/>
      <family val="2"/>
    </font>
    <font>
      <b/>
      <sz val="11"/>
      <color rgb="FF7030A0"/>
      <name val="Arial"/>
      <family val="2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Times New Roman"/>
      <family val="2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gradientFill degree="180">
        <stop position="0">
          <color theme="0"/>
        </stop>
        <stop position="1">
          <color rgb="FF7030A0"/>
        </stop>
      </gradientFill>
    </fill>
    <fill>
      <patternFill patternType="solid">
        <fgColor rgb="FF7030A0"/>
        <bgColor indexed="64"/>
      </patternFill>
    </fill>
    <fill>
      <gradientFill degree="180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7E8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auto="1"/>
      </patternFill>
    </fill>
    <fill>
      <patternFill patternType="solid">
        <fgColor theme="0"/>
        <bgColor auto="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auto="1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27070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148">
    <xf numFmtId="0" fontId="0" fillId="0" borderId="0"/>
    <xf numFmtId="9" fontId="15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9" fillId="0" borderId="0"/>
    <xf numFmtId="0" fontId="23" fillId="0" borderId="0" applyNumberFormat="0" applyFill="0" applyBorder="0" applyAlignment="0" applyProtection="0"/>
    <xf numFmtId="0" fontId="24" fillId="0" borderId="36" applyNumberFormat="0" applyFill="0" applyAlignment="0" applyProtection="0"/>
    <xf numFmtId="0" fontId="25" fillId="0" borderId="37" applyNumberFormat="0" applyFill="0" applyAlignment="0" applyProtection="0"/>
    <xf numFmtId="0" fontId="26" fillId="0" borderId="38" applyNumberFormat="0" applyFill="0" applyAlignment="0" applyProtection="0"/>
    <xf numFmtId="0" fontId="26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8" fillId="16" borderId="0" applyNumberFormat="0" applyBorder="0" applyAlignment="0" applyProtection="0"/>
    <xf numFmtId="0" fontId="29" fillId="17" borderId="0" applyNumberFormat="0" applyBorder="0" applyAlignment="0" applyProtection="0"/>
    <xf numFmtId="0" fontId="30" fillId="18" borderId="39" applyNumberFormat="0" applyAlignment="0" applyProtection="0"/>
    <xf numFmtId="0" fontId="31" fillId="19" borderId="40" applyNumberFormat="0" applyAlignment="0" applyProtection="0"/>
    <xf numFmtId="0" fontId="32" fillId="19" borderId="39" applyNumberFormat="0" applyAlignment="0" applyProtection="0"/>
    <xf numFmtId="0" fontId="33" fillId="0" borderId="41" applyNumberFormat="0" applyFill="0" applyAlignment="0" applyProtection="0"/>
    <xf numFmtId="0" fontId="34" fillId="20" borderId="42" applyNumberFormat="0" applyAlignment="0" applyProtection="0"/>
    <xf numFmtId="0" fontId="35" fillId="0" borderId="0" applyNumberFormat="0" applyFill="0" applyBorder="0" applyAlignment="0" applyProtection="0"/>
    <xf numFmtId="0" fontId="19" fillId="21" borderId="43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44" applyNumberFormat="0" applyFill="0" applyAlignment="0" applyProtection="0"/>
    <xf numFmtId="0" fontId="38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8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8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38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38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38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39" fillId="0" borderId="0" applyNumberFormat="0" applyFill="0" applyBorder="0" applyAlignment="0" applyProtection="0"/>
    <xf numFmtId="0" fontId="2" fillId="0" borderId="0"/>
    <xf numFmtId="0" fontId="2" fillId="21" borderId="43" applyNumberFormat="0" applyFont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8" fillId="16" borderId="0" applyNumberFormat="0" applyBorder="0" applyAlignment="0" applyProtection="0"/>
    <xf numFmtId="0" fontId="24" fillId="0" borderId="36" applyNumberFormat="0" applyFill="0" applyAlignment="0" applyProtection="0"/>
    <xf numFmtId="0" fontId="25" fillId="0" borderId="37" applyNumberFormat="0" applyFill="0" applyAlignment="0" applyProtection="0"/>
    <xf numFmtId="0" fontId="26" fillId="0" borderId="38" applyNumberFormat="0" applyFill="0" applyAlignment="0" applyProtection="0"/>
    <xf numFmtId="0" fontId="26" fillId="0" borderId="0" applyNumberFormat="0" applyFill="0" applyBorder="0" applyAlignment="0" applyProtection="0"/>
    <xf numFmtId="0" fontId="73" fillId="0" borderId="0"/>
    <xf numFmtId="0" fontId="74" fillId="15" borderId="0" applyNumberFormat="0" applyBorder="0" applyAlignment="0" applyProtection="0"/>
    <xf numFmtId="0" fontId="75" fillId="16" borderId="0" applyNumberFormat="0" applyBorder="0" applyAlignment="0" applyProtection="0"/>
    <xf numFmtId="0" fontId="76" fillId="17" borderId="0" applyNumberFormat="0" applyBorder="0" applyAlignment="0" applyProtection="0"/>
    <xf numFmtId="0" fontId="77" fillId="18" borderId="39" applyNumberFormat="0" applyAlignment="0" applyProtection="0"/>
    <xf numFmtId="0" fontId="78" fillId="19" borderId="40" applyNumberFormat="0" applyAlignment="0" applyProtection="0"/>
    <xf numFmtId="0" fontId="79" fillId="19" borderId="39" applyNumberFormat="0" applyAlignment="0" applyProtection="0"/>
    <xf numFmtId="0" fontId="80" fillId="0" borderId="41" applyNumberFormat="0" applyFill="0" applyAlignment="0" applyProtection="0"/>
    <xf numFmtId="0" fontId="81" fillId="20" borderId="42" applyNumberFormat="0" applyAlignment="0" applyProtection="0"/>
    <xf numFmtId="0" fontId="82" fillId="0" borderId="0" applyNumberFormat="0" applyFill="0" applyBorder="0" applyAlignment="0" applyProtection="0"/>
    <xf numFmtId="0" fontId="73" fillId="21" borderId="43" applyNumberFormat="0" applyFont="0" applyAlignment="0" applyProtection="0"/>
    <xf numFmtId="0" fontId="83" fillId="0" borderId="0" applyNumberFormat="0" applyFill="0" applyBorder="0" applyAlignment="0" applyProtection="0"/>
    <xf numFmtId="0" fontId="84" fillId="0" borderId="44" applyNumberFormat="0" applyFill="0" applyAlignment="0" applyProtection="0"/>
    <xf numFmtId="0" fontId="85" fillId="22" borderId="0" applyNumberFormat="0" applyBorder="0" applyAlignment="0" applyProtection="0"/>
    <xf numFmtId="0" fontId="73" fillId="23" borderId="0" applyNumberFormat="0" applyBorder="0" applyAlignment="0" applyProtection="0"/>
    <xf numFmtId="0" fontId="73" fillId="24" borderId="0" applyNumberFormat="0" applyBorder="0" applyAlignment="0" applyProtection="0"/>
    <xf numFmtId="0" fontId="73" fillId="25" borderId="0" applyNumberFormat="0" applyBorder="0" applyAlignment="0" applyProtection="0"/>
    <xf numFmtId="0" fontId="85" fillId="26" borderId="0" applyNumberFormat="0" applyBorder="0" applyAlignment="0" applyProtection="0"/>
    <xf numFmtId="0" fontId="73" fillId="27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85" fillId="30" borderId="0" applyNumberFormat="0" applyBorder="0" applyAlignment="0" applyProtection="0"/>
    <xf numFmtId="0" fontId="73" fillId="31" borderId="0" applyNumberFormat="0" applyBorder="0" applyAlignment="0" applyProtection="0"/>
    <xf numFmtId="0" fontId="73" fillId="32" borderId="0" applyNumberFormat="0" applyBorder="0" applyAlignment="0" applyProtection="0"/>
    <xf numFmtId="0" fontId="73" fillId="33" borderId="0" applyNumberFormat="0" applyBorder="0" applyAlignment="0" applyProtection="0"/>
    <xf numFmtId="0" fontId="85" fillId="34" borderId="0" applyNumberFormat="0" applyBorder="0" applyAlignment="0" applyProtection="0"/>
    <xf numFmtId="0" fontId="73" fillId="35" borderId="0" applyNumberFormat="0" applyBorder="0" applyAlignment="0" applyProtection="0"/>
    <xf numFmtId="0" fontId="73" fillId="36" borderId="0" applyNumberFormat="0" applyBorder="0" applyAlignment="0" applyProtection="0"/>
    <xf numFmtId="0" fontId="73" fillId="37" borderId="0" applyNumberFormat="0" applyBorder="0" applyAlignment="0" applyProtection="0"/>
    <xf numFmtId="0" fontId="85" fillId="38" borderId="0" applyNumberFormat="0" applyBorder="0" applyAlignment="0" applyProtection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85" fillId="42" borderId="0" applyNumberFormat="0" applyBorder="0" applyAlignment="0" applyProtection="0"/>
    <xf numFmtId="0" fontId="73" fillId="43" borderId="0" applyNumberFormat="0" applyBorder="0" applyAlignment="0" applyProtection="0"/>
    <xf numFmtId="0" fontId="73" fillId="44" borderId="0" applyNumberFormat="0" applyBorder="0" applyAlignment="0" applyProtection="0"/>
    <xf numFmtId="0" fontId="73" fillId="45" borderId="0" applyNumberFormat="0" applyBorder="0" applyAlignment="0" applyProtection="0"/>
    <xf numFmtId="0" fontId="1" fillId="0" borderId="0"/>
    <xf numFmtId="0" fontId="1" fillId="21" borderId="43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0" borderId="0"/>
    <xf numFmtId="0" fontId="1" fillId="21" borderId="43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456">
    <xf numFmtId="0" fontId="0" fillId="0" borderId="0" xfId="0"/>
    <xf numFmtId="0" fontId="0" fillId="0" borderId="0" xfId="0" applyBorder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5" fillId="0" borderId="0" xfId="0" applyFont="1"/>
    <xf numFmtId="0" fontId="0" fillId="0" borderId="0" xfId="0" applyFill="1"/>
    <xf numFmtId="0" fontId="3" fillId="0" borderId="0" xfId="0" applyFont="1" applyFill="1" applyBorder="1" applyAlignment="1">
      <alignment horizontal="center"/>
    </xf>
    <xf numFmtId="0" fontId="6" fillId="0" borderId="0" xfId="0" applyFont="1" applyFill="1" applyAlignment="1">
      <alignment vertical="center"/>
    </xf>
    <xf numFmtId="0" fontId="3" fillId="0" borderId="0" xfId="0" applyFont="1" applyFill="1" applyBorder="1"/>
    <xf numFmtId="14" fontId="3" fillId="0" borderId="0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17" fillId="0" borderId="0" xfId="2"/>
    <xf numFmtId="0" fontId="18" fillId="0" borderId="1" xfId="0" applyFont="1" applyBorder="1" applyAlignment="1">
      <alignment horizontal="center"/>
    </xf>
    <xf numFmtId="0" fontId="0" fillId="4" borderId="0" xfId="0" applyFill="1"/>
    <xf numFmtId="0" fontId="0" fillId="0" borderId="0" xfId="0" applyAlignment="1">
      <alignment horizontal="left"/>
    </xf>
    <xf numFmtId="0" fontId="3" fillId="4" borderId="0" xfId="0" applyFont="1" applyFill="1"/>
    <xf numFmtId="0" fontId="3" fillId="4" borderId="0" xfId="0" applyFont="1" applyFill="1" applyAlignment="1">
      <alignment horizontal="center" vertical="top" wrapText="1"/>
    </xf>
    <xf numFmtId="0" fontId="20" fillId="4" borderId="2" xfId="0" applyFont="1" applyFill="1" applyBorder="1" applyAlignment="1">
      <alignment horizontal="center"/>
    </xf>
    <xf numFmtId="0" fontId="8" fillId="10" borderId="2" xfId="0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top" wrapText="1"/>
    </xf>
    <xf numFmtId="164" fontId="3" fillId="0" borderId="1" xfId="0" applyNumberFormat="1" applyFont="1" applyBorder="1"/>
    <xf numFmtId="0" fontId="5" fillId="0" borderId="0" xfId="0" applyFont="1" applyFill="1" applyBorder="1"/>
    <xf numFmtId="0" fontId="21" fillId="0" borderId="0" xfId="0" applyFont="1" applyFill="1" applyBorder="1" applyAlignment="1">
      <alignment vertical="center" wrapText="1"/>
    </xf>
    <xf numFmtId="9" fontId="22" fillId="14" borderId="1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/>
    </xf>
    <xf numFmtId="166" fontId="3" fillId="0" borderId="4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0" fontId="13" fillId="10" borderId="0" xfId="0" applyFont="1" applyFill="1" applyAlignment="1">
      <alignment horizontal="left" vertical="center" wrapText="1"/>
    </xf>
    <xf numFmtId="0" fontId="0" fillId="0" borderId="0" xfId="0"/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Fill="1"/>
    <xf numFmtId="10" fontId="3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8" fillId="10" borderId="1" xfId="0" applyFont="1" applyFill="1" applyBorder="1" applyAlignment="1">
      <alignment horizontal="center" vertical="top" wrapText="1"/>
    </xf>
    <xf numFmtId="0" fontId="0" fillId="4" borderId="1" xfId="0" applyFill="1" applyBorder="1"/>
    <xf numFmtId="0" fontId="0" fillId="4" borderId="0" xfId="0" applyFill="1"/>
    <xf numFmtId="0" fontId="7" fillId="10" borderId="25" xfId="0" applyFont="1" applyFill="1" applyBorder="1" applyAlignment="1">
      <alignment horizontal="center" vertical="center"/>
    </xf>
    <xf numFmtId="0" fontId="8" fillId="10" borderId="1" xfId="0" applyFont="1" applyFill="1" applyBorder="1"/>
    <xf numFmtId="0" fontId="14" fillId="5" borderId="1" xfId="0" applyFont="1" applyFill="1" applyBorder="1" applyAlignment="1">
      <alignment vertical="center" wrapText="1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0" fontId="12" fillId="0" borderId="0" xfId="0" applyFont="1" applyFill="1" applyBorder="1"/>
    <xf numFmtId="0" fontId="46" fillId="5" borderId="1" xfId="0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1" xfId="0" applyBorder="1" applyAlignment="1">
      <alignment horizontal="center"/>
    </xf>
    <xf numFmtId="0" fontId="40" fillId="0" borderId="0" xfId="0" applyFont="1" applyAlignment="1">
      <alignment wrapText="1"/>
    </xf>
    <xf numFmtId="0" fontId="13" fillId="10" borderId="1" xfId="0" applyFont="1" applyFill="1" applyBorder="1" applyAlignment="1">
      <alignment horizontal="center" vertical="center" wrapText="1"/>
    </xf>
    <xf numFmtId="0" fontId="13" fillId="1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41" fillId="10" borderId="1" xfId="0" applyFont="1" applyFill="1" applyBorder="1" applyAlignment="1">
      <alignment horizontal="center"/>
    </xf>
    <xf numFmtId="10" fontId="0" fillId="0" borderId="0" xfId="0" applyNumberFormat="1"/>
    <xf numFmtId="0" fontId="49" fillId="2" borderId="0" xfId="0" applyFont="1" applyFill="1" applyBorder="1" applyAlignment="1">
      <alignment horizontal="center"/>
    </xf>
    <xf numFmtId="0" fontId="44" fillId="47" borderId="26" xfId="0" quotePrefix="1" applyFont="1" applyFill="1" applyBorder="1" applyAlignment="1">
      <alignment horizontal="center" vertical="center"/>
    </xf>
    <xf numFmtId="0" fontId="44" fillId="47" borderId="25" xfId="0" quotePrefix="1" applyFont="1" applyFill="1" applyBorder="1" applyAlignment="1">
      <alignment horizontal="center" vertical="center"/>
    </xf>
    <xf numFmtId="0" fontId="45" fillId="6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wrapText="1"/>
    </xf>
    <xf numFmtId="0" fontId="3" fillId="4" borderId="2" xfId="0" applyFont="1" applyFill="1" applyBorder="1"/>
    <xf numFmtId="0" fontId="3" fillId="4" borderId="1" xfId="0" applyFont="1" applyFill="1" applyBorder="1" applyAlignment="1">
      <alignment wrapText="1"/>
    </xf>
    <xf numFmtId="0" fontId="3" fillId="0" borderId="1" xfId="0" applyFont="1" applyBorder="1" applyAlignment="1">
      <alignment horizontal="center" wrapText="1"/>
    </xf>
    <xf numFmtId="0" fontId="52" fillId="0" borderId="0" xfId="0" applyFont="1"/>
    <xf numFmtId="166" fontId="3" fillId="48" borderId="0" xfId="0" applyNumberFormat="1" applyFont="1" applyFill="1" applyBorder="1" applyAlignment="1">
      <alignment horizontal="left" vertical="center" indent="14"/>
    </xf>
    <xf numFmtId="0" fontId="0" fillId="2" borderId="0" xfId="0" applyFill="1"/>
    <xf numFmtId="2" fontId="0" fillId="0" borderId="0" xfId="0" applyNumberFormat="1"/>
    <xf numFmtId="10" fontId="3" fillId="0" borderId="0" xfId="0" applyNumberFormat="1" applyFont="1"/>
    <xf numFmtId="0" fontId="13" fillId="10" borderId="17" xfId="0" applyFont="1" applyFill="1" applyBorder="1" applyAlignment="1">
      <alignment horizontal="center"/>
    </xf>
    <xf numFmtId="0" fontId="40" fillId="50" borderId="1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40" fillId="3" borderId="1" xfId="0" applyFont="1" applyFill="1" applyBorder="1" applyAlignment="1" applyProtection="1">
      <alignment horizontal="center" vertical="center" wrapText="1"/>
      <protection locked="0"/>
    </xf>
    <xf numFmtId="0" fontId="40" fillId="13" borderId="1" xfId="0" applyFont="1" applyFill="1" applyBorder="1" applyAlignment="1" applyProtection="1">
      <alignment horizontal="center" vertical="center" wrapText="1"/>
      <protection locked="0"/>
    </xf>
    <xf numFmtId="166" fontId="3" fillId="51" borderId="0" xfId="0" applyNumberFormat="1" applyFont="1" applyFill="1" applyBorder="1" applyAlignment="1">
      <alignment horizontal="left" vertical="center" indent="4"/>
    </xf>
    <xf numFmtId="0" fontId="6" fillId="10" borderId="0" xfId="0" quotePrefix="1" applyFont="1" applyFill="1" applyBorder="1" applyAlignment="1">
      <alignment horizontal="left" vertical="center" wrapText="1" indent="1"/>
    </xf>
    <xf numFmtId="0" fontId="5" fillId="0" borderId="0" xfId="0" applyFont="1" applyFill="1" applyBorder="1" applyAlignment="1">
      <alignment horizontal="center"/>
    </xf>
    <xf numFmtId="10" fontId="5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  <xf numFmtId="0" fontId="0" fillId="0" borderId="2" xfId="0" applyBorder="1"/>
    <xf numFmtId="0" fontId="42" fillId="0" borderId="0" xfId="0" applyFont="1" applyAlignment="1"/>
    <xf numFmtId="0" fontId="54" fillId="0" borderId="0" xfId="0" applyFont="1" applyAlignment="1"/>
    <xf numFmtId="0" fontId="55" fillId="0" borderId="0" xfId="0" applyFont="1" applyAlignment="1"/>
    <xf numFmtId="166" fontId="53" fillId="48" borderId="0" xfId="0" applyNumberFormat="1" applyFont="1" applyFill="1" applyBorder="1" applyAlignment="1">
      <alignment horizontal="left" vertical="center" indent="14"/>
    </xf>
    <xf numFmtId="0" fontId="0" fillId="0" borderId="0" xfId="0" applyAlignment="1"/>
    <xf numFmtId="0" fontId="22" fillId="0" borderId="1" xfId="0" applyFont="1" applyBorder="1"/>
    <xf numFmtId="0" fontId="41" fillId="10" borderId="1" xfId="0" quotePrefix="1" applyFont="1" applyFill="1" applyBorder="1" applyAlignment="1">
      <alignment horizontal="center" vertical="center" wrapText="1"/>
    </xf>
    <xf numFmtId="0" fontId="57" fillId="0" borderId="0" xfId="0" applyFont="1"/>
    <xf numFmtId="0" fontId="22" fillId="6" borderId="1" xfId="0" applyFont="1" applyFill="1" applyBorder="1"/>
    <xf numFmtId="10" fontId="22" fillId="0" borderId="1" xfId="0" applyNumberFormat="1" applyFont="1" applyBorder="1" applyAlignment="1">
      <alignment horizontal="center"/>
    </xf>
    <xf numFmtId="9" fontId="22" fillId="0" borderId="1" xfId="0" applyNumberFormat="1" applyFont="1" applyBorder="1" applyAlignment="1">
      <alignment horizontal="center"/>
    </xf>
    <xf numFmtId="0" fontId="22" fillId="12" borderId="18" xfId="0" quotePrefix="1" applyFont="1" applyFill="1" applyBorder="1" applyAlignment="1">
      <alignment horizontal="left" vertical="center" wrapText="1"/>
    </xf>
    <xf numFmtId="0" fontId="57" fillId="0" borderId="1" xfId="0" applyFont="1" applyBorder="1"/>
    <xf numFmtId="0" fontId="58" fillId="10" borderId="17" xfId="0" applyFont="1" applyFill="1" applyBorder="1" applyAlignment="1">
      <alignment horizontal="center" vertical="center" wrapText="1"/>
    </xf>
    <xf numFmtId="0" fontId="58" fillId="10" borderId="22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left" vertical="center" wrapText="1"/>
    </xf>
    <xf numFmtId="9" fontId="22" fillId="0" borderId="0" xfId="0" applyNumberFormat="1" applyFont="1" applyAlignment="1">
      <alignment horizontal="center" vertical="center"/>
    </xf>
    <xf numFmtId="9" fontId="22" fillId="2" borderId="1" xfId="0" applyNumberFormat="1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/>
    </xf>
    <xf numFmtId="0" fontId="41" fillId="10" borderId="1" xfId="0" applyFont="1" applyFill="1" applyBorder="1" applyAlignment="1">
      <alignment horizontal="center" vertical="center"/>
    </xf>
    <xf numFmtId="1" fontId="22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0" fontId="22" fillId="7" borderId="1" xfId="0" quotePrefix="1" applyFont="1" applyFill="1" applyBorder="1" applyAlignment="1">
      <alignment horizontal="left"/>
    </xf>
    <xf numFmtId="0" fontId="22" fillId="7" borderId="1" xfId="0" applyFont="1" applyFill="1" applyBorder="1" applyAlignment="1">
      <alignment horizontal="center"/>
    </xf>
    <xf numFmtId="1" fontId="22" fillId="7" borderId="1" xfId="0" applyNumberFormat="1" applyFont="1" applyFill="1" applyBorder="1" applyAlignment="1">
      <alignment horizontal="center"/>
    </xf>
    <xf numFmtId="10" fontId="22" fillId="7" borderId="1" xfId="0" applyNumberFormat="1" applyFont="1" applyFill="1" applyBorder="1" applyAlignment="1">
      <alignment horizontal="center"/>
    </xf>
    <xf numFmtId="0" fontId="22" fillId="12" borderId="1" xfId="0" quotePrefix="1" applyFont="1" applyFill="1" applyBorder="1" applyAlignment="1">
      <alignment horizontal="left" vertical="center" wrapText="1"/>
    </xf>
    <xf numFmtId="0" fontId="57" fillId="10" borderId="1" xfId="0" applyFont="1" applyFill="1" applyBorder="1"/>
    <xf numFmtId="1" fontId="22" fillId="0" borderId="1" xfId="0" applyNumberFormat="1" applyFont="1" applyFill="1" applyBorder="1" applyAlignment="1">
      <alignment horizontal="center" vertical="top" wrapText="1"/>
    </xf>
    <xf numFmtId="0" fontId="22" fillId="0" borderId="1" xfId="0" applyFont="1" applyFill="1" applyBorder="1" applyAlignment="1">
      <alignment horizontal="center" vertical="top" wrapText="1"/>
    </xf>
    <xf numFmtId="10" fontId="22" fillId="0" borderId="1" xfId="0" applyNumberFormat="1" applyFont="1" applyFill="1" applyBorder="1" applyAlignment="1">
      <alignment horizontal="center" vertical="top" wrapText="1"/>
    </xf>
    <xf numFmtId="164" fontId="22" fillId="0" borderId="1" xfId="0" applyNumberFormat="1" applyFont="1" applyFill="1" applyBorder="1" applyAlignment="1">
      <alignment horizontal="center" vertical="top" wrapText="1"/>
    </xf>
    <xf numFmtId="0" fontId="22" fillId="0" borderId="20" xfId="0" applyFont="1" applyBorder="1" applyAlignment="1">
      <alignment horizontal="center" vertical="center"/>
    </xf>
    <xf numFmtId="0" fontId="22" fillId="2" borderId="18" xfId="0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0" xfId="0" applyFont="1" applyBorder="1"/>
    <xf numFmtId="10" fontId="22" fillId="2" borderId="1" xfId="0" applyNumberFormat="1" applyFont="1" applyFill="1" applyBorder="1" applyAlignment="1">
      <alignment horizontal="center" vertical="center"/>
    </xf>
    <xf numFmtId="0" fontId="63" fillId="50" borderId="1" xfId="0" applyFont="1" applyFill="1" applyBorder="1" applyAlignment="1">
      <alignment horizontal="center"/>
    </xf>
    <xf numFmtId="1" fontId="22" fillId="0" borderId="1" xfId="0" applyNumberFormat="1" applyFont="1" applyFill="1" applyBorder="1" applyAlignment="1">
      <alignment horizontal="center"/>
    </xf>
    <xf numFmtId="0" fontId="41" fillId="10" borderId="17" xfId="0" applyFont="1" applyFill="1" applyBorder="1" applyAlignment="1">
      <alignment horizontal="center"/>
    </xf>
    <xf numFmtId="10" fontId="22" fillId="0" borderId="1" xfId="0" applyNumberFormat="1" applyFont="1" applyFill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56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10" fontId="22" fillId="52" borderId="1" xfId="0" applyNumberFormat="1" applyFont="1" applyFill="1" applyBorder="1" applyAlignment="1">
      <alignment horizontal="center"/>
    </xf>
    <xf numFmtId="0" fontId="22" fillId="52" borderId="1" xfId="0" applyFont="1" applyFill="1" applyBorder="1" applyAlignment="1">
      <alignment horizontal="center"/>
    </xf>
    <xf numFmtId="9" fontId="22" fillId="52" borderId="1" xfId="0" applyNumberFormat="1" applyFont="1" applyFill="1" applyBorder="1" applyAlignment="1">
      <alignment horizontal="center"/>
    </xf>
    <xf numFmtId="9" fontId="22" fillId="52" borderId="1" xfId="0" applyNumberFormat="1" applyFont="1" applyFill="1" applyBorder="1" applyAlignment="1">
      <alignment horizontal="center" vertical="center"/>
    </xf>
    <xf numFmtId="9" fontId="22" fillId="52" borderId="18" xfId="0" applyNumberFormat="1" applyFont="1" applyFill="1" applyBorder="1" applyAlignment="1">
      <alignment horizontal="center" vertical="center"/>
    </xf>
    <xf numFmtId="165" fontId="22" fillId="52" borderId="1" xfId="1" applyNumberFormat="1" applyFont="1" applyFill="1" applyBorder="1" applyAlignment="1">
      <alignment horizontal="center"/>
    </xf>
    <xf numFmtId="0" fontId="22" fillId="52" borderId="1" xfId="0" applyFont="1" applyFill="1" applyBorder="1"/>
    <xf numFmtId="0" fontId="22" fillId="7" borderId="1" xfId="0" applyFont="1" applyFill="1" applyBorder="1"/>
    <xf numFmtId="9" fontId="22" fillId="7" borderId="1" xfId="0" applyNumberFormat="1" applyFont="1" applyFill="1" applyBorder="1" applyAlignment="1">
      <alignment horizontal="center"/>
    </xf>
    <xf numFmtId="1" fontId="22" fillId="7" borderId="1" xfId="0" applyNumberFormat="1" applyFont="1" applyFill="1" applyBorder="1" applyAlignment="1">
      <alignment horizontal="center" vertical="top" wrapText="1"/>
    </xf>
    <xf numFmtId="10" fontId="22" fillId="7" borderId="1" xfId="0" applyNumberFormat="1" applyFont="1" applyFill="1" applyBorder="1" applyAlignment="1">
      <alignment horizontal="center" vertical="top" wrapText="1"/>
    </xf>
    <xf numFmtId="0" fontId="63" fillId="52" borderId="1" xfId="0" applyFont="1" applyFill="1" applyBorder="1" applyAlignment="1">
      <alignment horizontal="center"/>
    </xf>
    <xf numFmtId="10" fontId="22" fillId="0" borderId="0" xfId="0" applyNumberFormat="1" applyFont="1" applyAlignment="1">
      <alignment horizontal="center"/>
    </xf>
    <xf numFmtId="164" fontId="22" fillId="0" borderId="18" xfId="0" applyNumberFormat="1" applyFont="1" applyBorder="1" applyAlignment="1">
      <alignment horizontal="center"/>
    </xf>
    <xf numFmtId="164" fontId="22" fillId="0" borderId="1" xfId="0" applyNumberFormat="1" applyFont="1" applyBorder="1" applyAlignment="1">
      <alignment horizontal="center"/>
    </xf>
    <xf numFmtId="0" fontId="22" fillId="8" borderId="1" xfId="0" applyFont="1" applyFill="1" applyBorder="1" applyAlignment="1">
      <alignment horizontal="center"/>
    </xf>
    <xf numFmtId="10" fontId="63" fillId="52" borderId="1" xfId="0" applyNumberFormat="1" applyFont="1" applyFill="1" applyBorder="1" applyAlignment="1">
      <alignment horizontal="center"/>
    </xf>
    <xf numFmtId="0" fontId="22" fillId="52" borderId="1" xfId="0" quotePrefix="1" applyFont="1" applyFill="1" applyBorder="1" applyAlignment="1">
      <alignment horizontal="left" vertical="center" wrapText="1"/>
    </xf>
    <xf numFmtId="10" fontId="63" fillId="7" borderId="1" xfId="0" applyNumberFormat="1" applyFont="1" applyFill="1" applyBorder="1" applyAlignment="1">
      <alignment horizontal="center"/>
    </xf>
    <xf numFmtId="10" fontId="63" fillId="7" borderId="1" xfId="0" applyNumberFormat="1" applyFont="1" applyFill="1" applyBorder="1" applyAlignment="1">
      <alignment horizontal="center" vertical="center"/>
    </xf>
    <xf numFmtId="0" fontId="22" fillId="52" borderId="18" xfId="0" quotePrefix="1" applyFont="1" applyFill="1" applyBorder="1" applyAlignment="1">
      <alignment horizontal="left" vertical="center" wrapText="1"/>
    </xf>
    <xf numFmtId="10" fontId="22" fillId="52" borderId="18" xfId="0" applyNumberFormat="1" applyFont="1" applyFill="1" applyBorder="1" applyAlignment="1">
      <alignment horizontal="center" vertical="center"/>
    </xf>
    <xf numFmtId="10" fontId="22" fillId="52" borderId="1" xfId="0" applyNumberFormat="1" applyFont="1" applyFill="1" applyBorder="1" applyAlignment="1">
      <alignment horizontal="center" vertical="center"/>
    </xf>
    <xf numFmtId="10" fontId="22" fillId="2" borderId="0" xfId="0" applyNumberFormat="1" applyFont="1" applyFill="1" applyAlignment="1">
      <alignment horizontal="center"/>
    </xf>
    <xf numFmtId="9" fontId="22" fillId="2" borderId="1" xfId="0" applyNumberFormat="1" applyFont="1" applyFill="1" applyBorder="1" applyAlignment="1">
      <alignment horizontal="center"/>
    </xf>
    <xf numFmtId="0" fontId="41" fillId="10" borderId="7" xfId="0" applyFont="1" applyFill="1" applyBorder="1" applyAlignment="1">
      <alignment horizontal="center"/>
    </xf>
    <xf numFmtId="0" fontId="41" fillId="10" borderId="57" xfId="0" applyFont="1" applyFill="1" applyBorder="1" applyAlignment="1">
      <alignment horizontal="center"/>
    </xf>
    <xf numFmtId="0" fontId="41" fillId="10" borderId="8" xfId="0" applyFont="1" applyFill="1" applyBorder="1" applyAlignment="1">
      <alignment horizontal="center"/>
    </xf>
    <xf numFmtId="0" fontId="41" fillId="10" borderId="18" xfId="0" applyFont="1" applyFill="1" applyBorder="1" applyAlignment="1">
      <alignment horizontal="center"/>
    </xf>
    <xf numFmtId="0" fontId="22" fillId="8" borderId="17" xfId="0" applyFont="1" applyFill="1" applyBorder="1" applyAlignment="1">
      <alignment horizontal="center"/>
    </xf>
    <xf numFmtId="0" fontId="22" fillId="8" borderId="3" xfId="0" applyFont="1" applyFill="1" applyBorder="1" applyAlignment="1">
      <alignment horizontal="center"/>
    </xf>
    <xf numFmtId="0" fontId="22" fillId="8" borderId="18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wrapText="1"/>
    </xf>
    <xf numFmtId="1" fontId="22" fillId="0" borderId="0" xfId="0" applyNumberFormat="1" applyFont="1" applyFill="1" applyBorder="1" applyAlignment="1">
      <alignment horizontal="center"/>
    </xf>
    <xf numFmtId="0" fontId="63" fillId="52" borderId="1" xfId="0" applyFont="1" applyFill="1" applyBorder="1" applyAlignment="1">
      <alignment horizontal="center" vertical="center" wrapText="1"/>
    </xf>
    <xf numFmtId="1" fontId="63" fillId="52" borderId="1" xfId="0" applyNumberFormat="1" applyFont="1" applyFill="1" applyBorder="1" applyAlignment="1">
      <alignment horizontal="center" vertical="center"/>
    </xf>
    <xf numFmtId="0" fontId="63" fillId="52" borderId="1" xfId="0" applyFont="1" applyFill="1" applyBorder="1" applyAlignment="1">
      <alignment horizontal="center" vertical="center"/>
    </xf>
    <xf numFmtId="0" fontId="63" fillId="7" borderId="17" xfId="0" applyFont="1" applyFill="1" applyBorder="1" applyAlignment="1">
      <alignment horizontal="center"/>
    </xf>
    <xf numFmtId="1" fontId="63" fillId="7" borderId="1" xfId="0" applyNumberFormat="1" applyFont="1" applyFill="1" applyBorder="1" applyAlignment="1">
      <alignment horizontal="center"/>
    </xf>
    <xf numFmtId="0" fontId="63" fillId="7" borderId="1" xfId="0" applyFont="1" applyFill="1" applyBorder="1" applyAlignment="1">
      <alignment horizontal="center"/>
    </xf>
    <xf numFmtId="0" fontId="63" fillId="7" borderId="3" xfId="0" applyFont="1" applyFill="1" applyBorder="1" applyAlignment="1">
      <alignment horizontal="center"/>
    </xf>
    <xf numFmtId="165" fontId="63" fillId="7" borderId="1" xfId="0" applyNumberFormat="1" applyFont="1" applyFill="1" applyBorder="1" applyAlignment="1">
      <alignment horizontal="center"/>
    </xf>
    <xf numFmtId="0" fontId="63" fillId="7" borderId="18" xfId="0" applyFont="1" applyFill="1" applyBorder="1" applyAlignment="1">
      <alignment horizontal="center"/>
    </xf>
    <xf numFmtId="0" fontId="57" fillId="0" borderId="2" xfId="0" applyFont="1" applyBorder="1"/>
    <xf numFmtId="0" fontId="57" fillId="0" borderId="1" xfId="0" applyFont="1" applyBorder="1" applyAlignment="1">
      <alignment horizontal="center"/>
    </xf>
    <xf numFmtId="0" fontId="50" fillId="0" borderId="0" xfId="0" applyFont="1"/>
    <xf numFmtId="0" fontId="65" fillId="52" borderId="1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22" fillId="0" borderId="2" xfId="0" applyFont="1" applyBorder="1" applyAlignment="1">
      <alignment horizontal="left"/>
    </xf>
    <xf numFmtId="0" fontId="63" fillId="50" borderId="1" xfId="0" applyFont="1" applyFill="1" applyBorder="1" applyAlignment="1">
      <alignment horizontal="center" vertical="center"/>
    </xf>
    <xf numFmtId="0" fontId="22" fillId="0" borderId="0" xfId="0" applyFont="1"/>
    <xf numFmtId="0" fontId="63" fillId="0" borderId="0" xfId="0" applyFont="1" applyAlignment="1">
      <alignment wrapText="1"/>
    </xf>
    <xf numFmtId="0" fontId="22" fillId="0" borderId="18" xfId="0" applyFont="1" applyBorder="1" applyAlignment="1">
      <alignment horizontal="center"/>
    </xf>
    <xf numFmtId="1" fontId="28" fillId="53" borderId="1" xfId="66" applyNumberFormat="1" applyFill="1" applyBorder="1" applyAlignment="1">
      <alignment horizontal="center"/>
    </xf>
    <xf numFmtId="0" fontId="22" fillId="0" borderId="9" xfId="0" applyFont="1" applyBorder="1"/>
    <xf numFmtId="9" fontId="22" fillId="0" borderId="10" xfId="0" applyNumberFormat="1" applyFont="1" applyBorder="1" applyAlignment="1">
      <alignment horizontal="center"/>
    </xf>
    <xf numFmtId="10" fontId="22" fillId="0" borderId="0" xfId="0" applyNumberFormat="1" applyFont="1"/>
    <xf numFmtId="9" fontId="63" fillId="52" borderId="1" xfId="0" applyNumberFormat="1" applyFont="1" applyFill="1" applyBorder="1" applyAlignment="1">
      <alignment horizontal="center"/>
    </xf>
    <xf numFmtId="0" fontId="63" fillId="52" borderId="45" xfId="0" applyFont="1" applyFill="1" applyBorder="1"/>
    <xf numFmtId="9" fontId="63" fillId="52" borderId="45" xfId="0" applyNumberFormat="1" applyFont="1" applyFill="1" applyBorder="1" applyAlignment="1">
      <alignment horizontal="center"/>
    </xf>
    <xf numFmtId="10" fontId="63" fillId="52" borderId="45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63" fillId="5" borderId="1" xfId="0" applyFont="1" applyFill="1" applyBorder="1" applyAlignment="1">
      <alignment horizontal="left" vertical="top" wrapText="1"/>
    </xf>
    <xf numFmtId="9" fontId="22" fillId="5" borderId="0" xfId="0" applyNumberFormat="1" applyFont="1" applyFill="1" applyAlignment="1">
      <alignment horizontal="center"/>
    </xf>
    <xf numFmtId="9" fontId="22" fillId="5" borderId="1" xfId="0" applyNumberFormat="1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 vertical="center" wrapText="1"/>
    </xf>
    <xf numFmtId="0" fontId="58" fillId="10" borderId="2" xfId="0" applyFont="1" applyFill="1" applyBorder="1" applyAlignment="1">
      <alignment horizontal="center" vertical="center" wrapText="1"/>
    </xf>
    <xf numFmtId="0" fontId="22" fillId="12" borderId="1" xfId="0" applyFont="1" applyFill="1" applyBorder="1" applyAlignment="1">
      <alignment horizontal="center"/>
    </xf>
    <xf numFmtId="10" fontId="22" fillId="12" borderId="1" xfId="0" applyNumberFormat="1" applyFont="1" applyFill="1" applyBorder="1" applyAlignment="1">
      <alignment horizontal="center"/>
    </xf>
    <xf numFmtId="1" fontId="22" fillId="5" borderId="1" xfId="0" applyNumberFormat="1" applyFont="1" applyFill="1" applyBorder="1" applyAlignment="1">
      <alignment horizontal="center" vertical="top" wrapText="1"/>
    </xf>
    <xf numFmtId="10" fontId="22" fillId="5" borderId="1" xfId="0" applyNumberFormat="1" applyFont="1" applyFill="1" applyBorder="1" applyAlignment="1">
      <alignment horizontal="center" vertical="top" wrapText="1"/>
    </xf>
    <xf numFmtId="1" fontId="22" fillId="0" borderId="1" xfId="0" applyNumberFormat="1" applyFont="1" applyBorder="1" applyAlignment="1">
      <alignment horizontal="center"/>
    </xf>
    <xf numFmtId="0" fontId="22" fillId="5" borderId="1" xfId="0" applyFont="1" applyFill="1" applyBorder="1" applyAlignment="1">
      <alignment horizontal="center" vertical="top" wrapText="1"/>
    </xf>
    <xf numFmtId="10" fontId="22" fillId="12" borderId="1" xfId="0" applyNumberFormat="1" applyFont="1" applyFill="1" applyBorder="1" applyAlignment="1">
      <alignment horizontal="center" vertical="top" wrapText="1"/>
    </xf>
    <xf numFmtId="0" fontId="41" fillId="0" borderId="0" xfId="0" applyFont="1" applyFill="1" applyBorder="1"/>
    <xf numFmtId="0" fontId="41" fillId="10" borderId="1" xfId="0" applyFont="1" applyFill="1" applyBorder="1" applyAlignment="1">
      <alignment horizontal="center" wrapText="1"/>
    </xf>
    <xf numFmtId="165" fontId="22" fillId="0" borderId="1" xfId="0" applyNumberFormat="1" applyFont="1" applyBorder="1" applyAlignment="1">
      <alignment horizontal="center"/>
    </xf>
    <xf numFmtId="10" fontId="22" fillId="0" borderId="0" xfId="0" applyNumberFormat="1" applyFont="1" applyBorder="1"/>
    <xf numFmtId="0" fontId="22" fillId="10" borderId="1" xfId="0" applyFont="1" applyFill="1" applyBorder="1"/>
    <xf numFmtId="0" fontId="57" fillId="0" borderId="0" xfId="0" applyFont="1" applyBorder="1" applyAlignment="1">
      <alignment horizontal="center"/>
    </xf>
    <xf numFmtId="10" fontId="57" fillId="0" borderId="0" xfId="0" applyNumberFormat="1" applyFont="1"/>
    <xf numFmtId="0" fontId="5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/>
    </xf>
    <xf numFmtId="9" fontId="22" fillId="0" borderId="1" xfId="0" applyNumberFormat="1" applyFont="1" applyBorder="1"/>
    <xf numFmtId="0" fontId="63" fillId="52" borderId="1" xfId="0" applyFont="1" applyFill="1" applyBorder="1"/>
    <xf numFmtId="0" fontId="13" fillId="10" borderId="45" xfId="0" quotePrefix="1" applyFont="1" applyFill="1" applyBorder="1" applyAlignment="1">
      <alignment horizontal="center" vertical="center" wrapText="1"/>
    </xf>
    <xf numFmtId="0" fontId="13" fillId="10" borderId="45" xfId="0" applyFont="1" applyFill="1" applyBorder="1" applyAlignment="1">
      <alignment horizontal="center" vertical="center" wrapText="1"/>
    </xf>
    <xf numFmtId="0" fontId="22" fillId="0" borderId="32" xfId="0" applyFont="1" applyBorder="1" applyAlignment="1">
      <alignment horizontal="center"/>
    </xf>
    <xf numFmtId="165" fontId="22" fillId="0" borderId="20" xfId="1" applyNumberFormat="1" applyFont="1" applyBorder="1" applyAlignment="1">
      <alignment horizontal="center"/>
    </xf>
    <xf numFmtId="0" fontId="63" fillId="52" borderId="30" xfId="0" quotePrefix="1" applyFont="1" applyFill="1" applyBorder="1" applyAlignment="1">
      <alignment horizontal="left"/>
    </xf>
    <xf numFmtId="0" fontId="63" fillId="52" borderId="46" xfId="0" applyFont="1" applyFill="1" applyBorder="1" applyAlignment="1">
      <alignment horizontal="center"/>
    </xf>
    <xf numFmtId="165" fontId="63" fillId="52" borderId="48" xfId="1" applyNumberFormat="1" applyFont="1" applyFill="1" applyBorder="1" applyAlignment="1">
      <alignment horizontal="center"/>
    </xf>
    <xf numFmtId="0" fontId="66" fillId="5" borderId="1" xfId="0" applyFont="1" applyFill="1" applyBorder="1" applyAlignment="1">
      <alignment vertical="center" wrapText="1"/>
    </xf>
    <xf numFmtId="0" fontId="63" fillId="5" borderId="1" xfId="0" applyFont="1" applyFill="1" applyBorder="1"/>
    <xf numFmtId="2" fontId="63" fillId="52" borderId="1" xfId="0" applyNumberFormat="1" applyFont="1" applyFill="1" applyBorder="1"/>
    <xf numFmtId="10" fontId="63" fillId="52" borderId="1" xfId="0" applyNumberFormat="1" applyFont="1" applyFill="1" applyBorder="1"/>
    <xf numFmtId="0" fontId="62" fillId="2" borderId="1" xfId="0" applyFont="1" applyFill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13" fillId="10" borderId="9" xfId="0" applyFont="1" applyFill="1" applyBorder="1" applyAlignment="1">
      <alignment horizontal="center" vertical="center" wrapText="1"/>
    </xf>
    <xf numFmtId="0" fontId="13" fillId="10" borderId="10" xfId="0" quotePrefix="1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1" fontId="63" fillId="52" borderId="1" xfId="0" applyNumberFormat="1" applyFont="1" applyFill="1" applyBorder="1" applyAlignment="1">
      <alignment horizontal="center"/>
    </xf>
    <xf numFmtId="1" fontId="22" fillId="0" borderId="2" xfId="0" applyNumberFormat="1" applyFont="1" applyBorder="1" applyAlignment="1">
      <alignment horizontal="center"/>
    </xf>
    <xf numFmtId="0" fontId="58" fillId="10" borderId="47" xfId="0" applyFont="1" applyFill="1" applyBorder="1" applyAlignment="1">
      <alignment horizontal="center" vertical="center" wrapText="1"/>
    </xf>
    <xf numFmtId="0" fontId="58" fillId="10" borderId="23" xfId="0" applyFont="1" applyFill="1" applyBorder="1" applyAlignment="1">
      <alignment horizontal="center" vertical="center" wrapText="1"/>
    </xf>
    <xf numFmtId="0" fontId="22" fillId="0" borderId="1" xfId="71" applyFont="1" applyBorder="1" applyAlignment="1">
      <alignment horizontal="center" vertical="center" wrapText="1"/>
    </xf>
    <xf numFmtId="0" fontId="22" fillId="0" borderId="1" xfId="71" applyFont="1" applyBorder="1" applyAlignment="1">
      <alignment horizontal="center"/>
    </xf>
    <xf numFmtId="9" fontId="3" fillId="0" borderId="10" xfId="0" applyNumberFormat="1" applyFont="1" applyBorder="1" applyAlignment="1">
      <alignment horizontal="center" vertical="center"/>
    </xf>
    <xf numFmtId="0" fontId="4" fillId="52" borderId="29" xfId="0" applyFont="1" applyFill="1" applyBorder="1" applyAlignment="1">
      <alignment vertical="center"/>
    </xf>
    <xf numFmtId="9" fontId="4" fillId="52" borderId="14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4" fillId="52" borderId="15" xfId="0" applyNumberFormat="1" applyFont="1" applyFill="1" applyBorder="1" applyAlignment="1">
      <alignment horizontal="center" vertical="center"/>
    </xf>
    <xf numFmtId="1" fontId="4" fillId="52" borderId="16" xfId="0" applyNumberFormat="1" applyFont="1" applyFill="1" applyBorder="1" applyAlignment="1">
      <alignment horizontal="center" vertical="center"/>
    </xf>
    <xf numFmtId="1" fontId="3" fillId="0" borderId="9" xfId="0" applyNumberFormat="1" applyFont="1" applyBorder="1" applyAlignment="1">
      <alignment horizontal="center" vertical="center"/>
    </xf>
    <xf numFmtId="1" fontId="3" fillId="0" borderId="25" xfId="0" applyNumberFormat="1" applyFont="1" applyBorder="1" applyAlignment="1">
      <alignment horizontal="center" vertical="center"/>
    </xf>
    <xf numFmtId="0" fontId="13" fillId="10" borderId="25" xfId="0" applyFont="1" applyFill="1" applyBorder="1" applyAlignment="1">
      <alignment horizontal="center" vertical="center" wrapText="1"/>
    </xf>
    <xf numFmtId="10" fontId="22" fillId="5" borderId="1" xfId="0" applyNumberFormat="1" applyFont="1" applyFill="1" applyBorder="1" applyAlignment="1">
      <alignment horizontal="center" vertical="center"/>
    </xf>
    <xf numFmtId="10" fontId="22" fillId="5" borderId="1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9" fontId="63" fillId="5" borderId="1" xfId="0" applyNumberFormat="1" applyFont="1" applyFill="1" applyBorder="1" applyAlignment="1">
      <alignment horizontal="center"/>
    </xf>
    <xf numFmtId="9" fontId="63" fillId="5" borderId="1" xfId="0" applyNumberFormat="1" applyFont="1" applyFill="1" applyBorder="1"/>
    <xf numFmtId="0" fontId="41" fillId="10" borderId="0" xfId="0" applyFont="1" applyFill="1" applyBorder="1" applyAlignment="1">
      <alignment horizontal="center" vertical="center" wrapText="1"/>
    </xf>
    <xf numFmtId="10" fontId="22" fillId="0" borderId="0" xfId="0" applyNumberFormat="1" applyFont="1" applyBorder="1" applyAlignment="1">
      <alignment horizontal="center"/>
    </xf>
    <xf numFmtId="0" fontId="56" fillId="0" borderId="0" xfId="2" quotePrefix="1" applyFont="1" applyAlignment="1" applyProtection="1">
      <protection locked="0"/>
    </xf>
    <xf numFmtId="0" fontId="56" fillId="0" borderId="0" xfId="2" applyFont="1" applyAlignment="1"/>
    <xf numFmtId="0" fontId="59" fillId="47" borderId="2" xfId="0" quotePrefix="1" applyFont="1" applyFill="1" applyBorder="1" applyAlignment="1">
      <alignment horizontal="left" vertical="center"/>
    </xf>
    <xf numFmtId="10" fontId="22" fillId="0" borderId="1" xfId="0" applyNumberFormat="1" applyFont="1" applyBorder="1" applyAlignment="1">
      <alignment horizontal="center" vertical="center"/>
    </xf>
    <xf numFmtId="0" fontId="8" fillId="10" borderId="1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/>
    </xf>
    <xf numFmtId="0" fontId="62" fillId="2" borderId="1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3" fillId="52" borderId="1" xfId="0" applyFont="1" applyFill="1" applyBorder="1" applyAlignment="1">
      <alignment wrapText="1"/>
    </xf>
    <xf numFmtId="0" fontId="66" fillId="52" borderId="1" xfId="0" applyFont="1" applyFill="1" applyBorder="1" applyAlignment="1">
      <alignment vertical="center" wrapText="1"/>
    </xf>
    <xf numFmtId="0" fontId="41" fillId="10" borderId="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0" fontId="20" fillId="4" borderId="0" xfId="0" applyFont="1" applyFill="1" applyBorder="1" applyAlignment="1">
      <alignment horizontal="center"/>
    </xf>
    <xf numFmtId="10" fontId="3" fillId="4" borderId="1" xfId="0" applyNumberFormat="1" applyFont="1" applyFill="1" applyBorder="1"/>
    <xf numFmtId="10" fontId="5" fillId="0" borderId="1" xfId="0" applyNumberFormat="1" applyFont="1" applyBorder="1"/>
    <xf numFmtId="0" fontId="57" fillId="0" borderId="17" xfId="0" applyFont="1" applyBorder="1" applyAlignment="1"/>
    <xf numFmtId="0" fontId="13" fillId="10" borderId="56" xfId="0" applyFont="1" applyFill="1" applyBorder="1" applyAlignment="1"/>
    <xf numFmtId="0" fontId="13" fillId="10" borderId="0" xfId="0" applyFont="1" applyFill="1" applyBorder="1" applyAlignment="1"/>
    <xf numFmtId="0" fontId="0" fillId="0" borderId="0" xfId="0"/>
    <xf numFmtId="165" fontId="0" fillId="0" borderId="0" xfId="0" applyNumberFormat="1"/>
    <xf numFmtId="9" fontId="0" fillId="0" borderId="0" xfId="0" applyNumberFormat="1"/>
    <xf numFmtId="1" fontId="3" fillId="0" borderId="0" xfId="0" applyNumberFormat="1" applyFont="1"/>
    <xf numFmtId="0" fontId="0" fillId="0" borderId="0" xfId="0" applyFill="1" applyBorder="1"/>
    <xf numFmtId="9" fontId="18" fillId="0" borderId="1" xfId="1" applyFont="1" applyBorder="1" applyAlignment="1">
      <alignment horizontal="center"/>
    </xf>
    <xf numFmtId="9" fontId="0" fillId="0" borderId="0" xfId="1" applyFont="1"/>
    <xf numFmtId="0" fontId="6" fillId="9" borderId="0" xfId="0" quotePrefix="1" applyFont="1" applyFill="1" applyBorder="1" applyAlignment="1">
      <alignment horizontal="left" vertical="top" wrapText="1" indent="2"/>
    </xf>
    <xf numFmtId="0" fontId="42" fillId="46" borderId="2" xfId="0" applyFont="1" applyFill="1" applyBorder="1" applyAlignment="1">
      <alignment horizontal="center"/>
    </xf>
    <xf numFmtId="0" fontId="42" fillId="46" borderId="26" xfId="0" applyFont="1" applyFill="1" applyBorder="1" applyAlignment="1">
      <alignment horizontal="center"/>
    </xf>
    <xf numFmtId="0" fontId="42" fillId="46" borderId="25" xfId="0" applyFont="1" applyFill="1" applyBorder="1" applyAlignment="1">
      <alignment horizontal="center"/>
    </xf>
    <xf numFmtId="0" fontId="6" fillId="9" borderId="0" xfId="0" quotePrefix="1" applyFont="1" applyFill="1" applyBorder="1" applyAlignment="1">
      <alignment horizontal="left" vertical="top" wrapText="1" indent="14"/>
    </xf>
    <xf numFmtId="0" fontId="6" fillId="9" borderId="0" xfId="0" quotePrefix="1" applyFont="1" applyFill="1" applyBorder="1" applyAlignment="1">
      <alignment horizontal="left" vertical="top" indent="14"/>
    </xf>
    <xf numFmtId="0" fontId="13" fillId="10" borderId="56" xfId="0" applyFont="1" applyFill="1" applyBorder="1" applyAlignment="1">
      <alignment horizontal="center"/>
    </xf>
    <xf numFmtId="0" fontId="13" fillId="10" borderId="0" xfId="0" applyFont="1" applyFill="1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wrapText="1"/>
    </xf>
    <xf numFmtId="0" fontId="57" fillId="0" borderId="1" xfId="0" applyFont="1" applyBorder="1" applyAlignment="1"/>
    <xf numFmtId="10" fontId="22" fillId="0" borderId="1" xfId="0" applyNumberFormat="1" applyFont="1" applyBorder="1" applyAlignment="1">
      <alignment horizontal="center" vertical="center"/>
    </xf>
    <xf numFmtId="1" fontId="8" fillId="10" borderId="56" xfId="0" applyNumberFormat="1" applyFont="1" applyFill="1" applyBorder="1" applyAlignment="1">
      <alignment horizontal="center"/>
    </xf>
    <xf numFmtId="1" fontId="8" fillId="10" borderId="0" xfId="0" applyNumberFormat="1" applyFont="1" applyFill="1" applyBorder="1" applyAlignment="1">
      <alignment horizontal="center"/>
    </xf>
    <xf numFmtId="0" fontId="69" fillId="9" borderId="0" xfId="0" quotePrefix="1" applyFont="1" applyFill="1" applyBorder="1" applyAlignment="1">
      <alignment horizontal="left" vertical="center" wrapText="1" indent="14"/>
    </xf>
    <xf numFmtId="0" fontId="69" fillId="9" borderId="0" xfId="0" quotePrefix="1" applyFont="1" applyFill="1" applyBorder="1" applyAlignment="1">
      <alignment horizontal="left" vertical="center" indent="14"/>
    </xf>
    <xf numFmtId="166" fontId="3" fillId="11" borderId="0" xfId="0" applyNumberFormat="1" applyFont="1" applyFill="1" applyBorder="1" applyAlignment="1">
      <alignment horizontal="left" vertical="center" indent="14"/>
    </xf>
    <xf numFmtId="0" fontId="59" fillId="10" borderId="1" xfId="0" applyFont="1" applyFill="1" applyBorder="1" applyAlignment="1">
      <alignment horizontal="left"/>
    </xf>
    <xf numFmtId="0" fontId="8" fillId="10" borderId="20" xfId="0" applyFont="1" applyFill="1" applyBorder="1" applyAlignment="1">
      <alignment horizontal="center" vertical="center" wrapText="1"/>
    </xf>
    <xf numFmtId="0" fontId="50" fillId="0" borderId="4" xfId="0" applyFont="1" applyBorder="1" applyAlignment="1">
      <alignment wrapText="1"/>
    </xf>
    <xf numFmtId="0" fontId="8" fillId="10" borderId="1" xfId="0" applyFont="1" applyFill="1" applyBorder="1" applyAlignment="1">
      <alignment horizontal="center" vertical="center"/>
    </xf>
    <xf numFmtId="0" fontId="59" fillId="47" borderId="20" xfId="0" applyFont="1" applyFill="1" applyBorder="1" applyAlignment="1">
      <alignment horizontal="left" vertical="center"/>
    </xf>
    <xf numFmtId="0" fontId="59" fillId="47" borderId="4" xfId="0" applyFont="1" applyFill="1" applyBorder="1" applyAlignment="1">
      <alignment horizontal="left" vertical="center"/>
    </xf>
    <xf numFmtId="0" fontId="60" fillId="0" borderId="4" xfId="0" applyFont="1" applyBorder="1" applyAlignment="1">
      <alignment horizontal="left"/>
    </xf>
    <xf numFmtId="0" fontId="61" fillId="0" borderId="4" xfId="0" applyFont="1" applyBorder="1" applyAlignment="1">
      <alignment horizontal="left"/>
    </xf>
    <xf numFmtId="0" fontId="59" fillId="47" borderId="2" xfId="0" quotePrefix="1" applyFont="1" applyFill="1" applyBorder="1" applyAlignment="1">
      <alignment horizontal="left" vertical="center"/>
    </xf>
    <xf numFmtId="0" fontId="59" fillId="47" borderId="26" xfId="0" quotePrefix="1" applyFont="1" applyFill="1" applyBorder="1" applyAlignment="1">
      <alignment horizontal="left" vertical="center"/>
    </xf>
    <xf numFmtId="0" fontId="8" fillId="10" borderId="56" xfId="0" applyFont="1" applyFill="1" applyBorder="1" applyAlignment="1">
      <alignment horizontal="center"/>
    </xf>
    <xf numFmtId="0" fontId="8" fillId="10" borderId="0" xfId="0" applyFont="1" applyFill="1" applyBorder="1" applyAlignment="1">
      <alignment horizontal="center"/>
    </xf>
    <xf numFmtId="0" fontId="59" fillId="47" borderId="25" xfId="0" quotePrefix="1" applyFont="1" applyFill="1" applyBorder="1" applyAlignment="1">
      <alignment horizontal="left" vertical="center"/>
    </xf>
    <xf numFmtId="0" fontId="64" fillId="9" borderId="0" xfId="0" quotePrefix="1" applyFont="1" applyFill="1" applyBorder="1" applyAlignment="1">
      <alignment horizontal="left" vertical="top" wrapText="1" indent="14"/>
    </xf>
    <xf numFmtId="0" fontId="64" fillId="9" borderId="0" xfId="0" quotePrefix="1" applyFont="1" applyFill="1" applyBorder="1" applyAlignment="1">
      <alignment horizontal="left" vertical="top" indent="14"/>
    </xf>
    <xf numFmtId="0" fontId="22" fillId="0" borderId="17" xfId="0" applyFont="1" applyBorder="1" applyAlignment="1">
      <alignment horizontal="center" vertical="center" wrapText="1"/>
    </xf>
    <xf numFmtId="0" fontId="57" fillId="0" borderId="3" xfId="0" applyFont="1" applyBorder="1" applyAlignment="1">
      <alignment horizontal="center" vertical="center" wrapText="1"/>
    </xf>
    <xf numFmtId="0" fontId="57" fillId="0" borderId="18" xfId="0" applyFont="1" applyBorder="1" applyAlignment="1">
      <alignment horizontal="center" vertical="center" wrapText="1"/>
    </xf>
    <xf numFmtId="10" fontId="22" fillId="0" borderId="17" xfId="0" applyNumberFormat="1" applyFont="1" applyBorder="1" applyAlignment="1">
      <alignment horizontal="center" vertical="center"/>
    </xf>
    <xf numFmtId="0" fontId="57" fillId="0" borderId="3" xfId="0" applyFont="1" applyBorder="1" applyAlignment="1">
      <alignment horizontal="center" vertical="center"/>
    </xf>
    <xf numFmtId="0" fontId="57" fillId="0" borderId="18" xfId="0" applyFont="1" applyBorder="1" applyAlignment="1">
      <alignment horizontal="center" vertical="center"/>
    </xf>
    <xf numFmtId="0" fontId="6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 wrapText="1"/>
    </xf>
    <xf numFmtId="0" fontId="22" fillId="2" borderId="17" xfId="0" applyFont="1" applyFill="1" applyBorder="1" applyAlignment="1">
      <alignment horizontal="center" vertical="center" wrapText="1"/>
    </xf>
    <xf numFmtId="10" fontId="22" fillId="2" borderId="17" xfId="0" applyNumberFormat="1" applyFont="1" applyFill="1" applyBorder="1" applyAlignment="1">
      <alignment horizontal="center" vertical="center"/>
    </xf>
    <xf numFmtId="0" fontId="44" fillId="10" borderId="1" xfId="0" applyFont="1" applyFill="1" applyBorder="1" applyAlignment="1">
      <alignment horizontal="left"/>
    </xf>
    <xf numFmtId="0" fontId="22" fillId="2" borderId="11" xfId="0" applyFont="1" applyFill="1" applyBorder="1" applyAlignment="1">
      <alignment horizontal="center" vertical="center"/>
    </xf>
    <xf numFmtId="0" fontId="22" fillId="2" borderId="12" xfId="0" applyFont="1" applyFill="1" applyBorder="1" applyAlignment="1">
      <alignment horizontal="center" vertical="center"/>
    </xf>
    <xf numFmtId="0" fontId="22" fillId="2" borderId="49" xfId="0" applyFont="1" applyFill="1" applyBorder="1" applyAlignment="1">
      <alignment horizontal="center" vertical="center"/>
    </xf>
    <xf numFmtId="0" fontId="57" fillId="0" borderId="49" xfId="0" applyFont="1" applyBorder="1" applyAlignment="1">
      <alignment horizontal="center" vertical="center"/>
    </xf>
    <xf numFmtId="0" fontId="22" fillId="2" borderId="58" xfId="0" applyFont="1" applyFill="1" applyBorder="1" applyAlignment="1">
      <alignment horizontal="center" vertical="center"/>
    </xf>
    <xf numFmtId="0" fontId="22" fillId="2" borderId="24" xfId="0" applyFont="1" applyFill="1" applyBorder="1" applyAlignment="1">
      <alignment horizontal="center" vertical="center"/>
    </xf>
    <xf numFmtId="0" fontId="57" fillId="0" borderId="59" xfId="0" applyFont="1" applyBorder="1" applyAlignment="1">
      <alignment horizontal="center" vertical="center"/>
    </xf>
    <xf numFmtId="0" fontId="63" fillId="52" borderId="11" xfId="0" applyFont="1" applyFill="1" applyBorder="1" applyAlignment="1">
      <alignment horizontal="center" vertical="center"/>
    </xf>
    <xf numFmtId="0" fontId="63" fillId="52" borderId="12" xfId="0" applyFont="1" applyFill="1" applyBorder="1" applyAlignment="1">
      <alignment horizontal="center" vertical="center"/>
    </xf>
    <xf numFmtId="0" fontId="63" fillId="52" borderId="13" xfId="0" applyFont="1" applyFill="1" applyBorder="1" applyAlignment="1">
      <alignment horizontal="center" vertical="center"/>
    </xf>
    <xf numFmtId="0" fontId="63" fillId="52" borderId="61" xfId="0" applyFont="1" applyFill="1" applyBorder="1" applyAlignment="1">
      <alignment horizontal="center" vertical="center"/>
    </xf>
    <xf numFmtId="17" fontId="8" fillId="10" borderId="50" xfId="0" applyNumberFormat="1" applyFont="1" applyFill="1" applyBorder="1" applyAlignment="1">
      <alignment horizontal="center"/>
    </xf>
    <xf numFmtId="17" fontId="8" fillId="10" borderId="35" xfId="0" applyNumberFormat="1" applyFont="1" applyFill="1" applyBorder="1" applyAlignment="1">
      <alignment horizontal="center"/>
    </xf>
    <xf numFmtId="0" fontId="51" fillId="10" borderId="51" xfId="0" applyFont="1" applyFill="1" applyBorder="1" applyAlignment="1"/>
    <xf numFmtId="0" fontId="63" fillId="52" borderId="58" xfId="0" applyFont="1" applyFill="1" applyBorder="1" applyAlignment="1">
      <alignment horizontal="center" vertical="center"/>
    </xf>
    <xf numFmtId="0" fontId="63" fillId="52" borderId="24" xfId="0" applyFont="1" applyFill="1" applyBorder="1" applyAlignment="1">
      <alignment horizontal="center" vertical="center"/>
    </xf>
    <xf numFmtId="0" fontId="63" fillId="52" borderId="60" xfId="0" applyFont="1" applyFill="1" applyBorder="1" applyAlignment="1">
      <alignment horizontal="center" vertical="center"/>
    </xf>
    <xf numFmtId="0" fontId="6" fillId="9" borderId="0" xfId="0" quotePrefix="1" applyFont="1" applyFill="1" applyBorder="1" applyAlignment="1">
      <alignment horizontal="left" vertical="center" wrapText="1" indent="14"/>
    </xf>
    <xf numFmtId="0" fontId="6" fillId="9" borderId="0" xfId="0" quotePrefix="1" applyFont="1" applyFill="1" applyBorder="1" applyAlignment="1">
      <alignment horizontal="left" vertical="center" indent="14"/>
    </xf>
    <xf numFmtId="166" fontId="53" fillId="11" borderId="0" xfId="0" applyNumberFormat="1" applyFont="1" applyFill="1" applyBorder="1" applyAlignment="1">
      <alignment horizontal="left" vertical="center" indent="14"/>
    </xf>
    <xf numFmtId="0" fontId="63" fillId="52" borderId="27" xfId="0" applyFont="1" applyFill="1" applyBorder="1" applyAlignment="1">
      <alignment horizontal="center" vertical="center"/>
    </xf>
    <xf numFmtId="0" fontId="65" fillId="52" borderId="53" xfId="0" applyFont="1" applyFill="1" applyBorder="1" applyAlignment="1">
      <alignment horizontal="center" vertical="center"/>
    </xf>
    <xf numFmtId="0" fontId="57" fillId="52" borderId="54" xfId="0" applyFont="1" applyFill="1" applyBorder="1" applyAlignment="1">
      <alignment horizontal="center" vertical="center"/>
    </xf>
    <xf numFmtId="17" fontId="8" fillId="10" borderId="24" xfId="0" applyNumberFormat="1" applyFont="1" applyFill="1" applyBorder="1" applyAlignment="1">
      <alignment horizontal="center"/>
    </xf>
    <xf numFmtId="17" fontId="8" fillId="10" borderId="0" xfId="0" applyNumberFormat="1" applyFont="1" applyFill="1" applyBorder="1" applyAlignment="1">
      <alignment horizontal="center"/>
    </xf>
    <xf numFmtId="0" fontId="63" fillId="52" borderId="53" xfId="0" applyFont="1" applyFill="1" applyBorder="1" applyAlignment="1">
      <alignment horizontal="center" vertical="center"/>
    </xf>
    <xf numFmtId="0" fontId="63" fillId="52" borderId="54" xfId="0" applyFont="1" applyFill="1" applyBorder="1" applyAlignment="1">
      <alignment horizontal="center" vertical="center"/>
    </xf>
    <xf numFmtId="0" fontId="59" fillId="9" borderId="0" xfId="0" quotePrefix="1" applyFont="1" applyFill="1" applyBorder="1" applyAlignment="1">
      <alignment horizontal="left" vertical="center" wrapText="1" indent="14"/>
    </xf>
    <xf numFmtId="0" fontId="50" fillId="0" borderId="0" xfId="0" applyFont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41" fillId="10" borderId="2" xfId="0" applyFont="1" applyFill="1" applyBorder="1" applyAlignment="1">
      <alignment horizontal="center" vertical="center" wrapText="1"/>
    </xf>
    <xf numFmtId="0" fontId="22" fillId="0" borderId="26" xfId="0" applyFont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 wrapText="1"/>
    </xf>
    <xf numFmtId="0" fontId="66" fillId="49" borderId="2" xfId="0" applyFont="1" applyFill="1" applyBorder="1" applyAlignment="1">
      <alignment horizontal="center" vertical="center" wrapText="1"/>
    </xf>
    <xf numFmtId="0" fontId="62" fillId="49" borderId="26" xfId="0" applyFont="1" applyFill="1" applyBorder="1" applyAlignment="1">
      <alignment horizontal="center" vertical="center" wrapText="1"/>
    </xf>
    <xf numFmtId="0" fontId="62" fillId="49" borderId="25" xfId="0" applyFont="1" applyFill="1" applyBorder="1" applyAlignment="1">
      <alignment horizontal="center" vertical="center" wrapText="1"/>
    </xf>
    <xf numFmtId="0" fontId="41" fillId="10" borderId="26" xfId="0" applyFont="1" applyFill="1" applyBorder="1" applyAlignment="1">
      <alignment horizontal="center" vertical="center" wrapText="1"/>
    </xf>
    <xf numFmtId="0" fontId="66" fillId="49" borderId="26" xfId="0" applyFont="1" applyFill="1" applyBorder="1" applyAlignment="1">
      <alignment horizontal="center" vertical="center" wrapText="1"/>
    </xf>
    <xf numFmtId="0" fontId="66" fillId="49" borderId="25" xfId="0" applyFont="1" applyFill="1" applyBorder="1" applyAlignment="1">
      <alignment horizontal="center" vertical="center" wrapText="1"/>
    </xf>
    <xf numFmtId="0" fontId="57" fillId="0" borderId="26" xfId="0" applyFont="1" applyBorder="1" applyAlignment="1">
      <alignment horizontal="center" vertical="center" wrapText="1"/>
    </xf>
    <xf numFmtId="0" fontId="57" fillId="0" borderId="25" xfId="0" applyFont="1" applyBorder="1" applyAlignment="1">
      <alignment horizontal="center" vertical="center" wrapText="1"/>
    </xf>
    <xf numFmtId="0" fontId="67" fillId="49" borderId="26" xfId="0" applyFont="1" applyFill="1" applyBorder="1" applyAlignment="1">
      <alignment horizontal="center" vertical="center" wrapText="1"/>
    </xf>
    <xf numFmtId="0" fontId="67" fillId="49" borderId="25" xfId="0" applyFont="1" applyFill="1" applyBorder="1" applyAlignment="1">
      <alignment horizontal="center" vertical="center" wrapText="1"/>
    </xf>
    <xf numFmtId="0" fontId="6" fillId="9" borderId="0" xfId="0" quotePrefix="1" applyFont="1" applyFill="1" applyBorder="1" applyAlignment="1">
      <alignment horizontal="left" vertical="top" wrapText="1" indent="19"/>
    </xf>
    <xf numFmtId="166" fontId="3" fillId="11" borderId="0" xfId="0" applyNumberFormat="1" applyFont="1" applyFill="1" applyBorder="1" applyAlignment="1">
      <alignment horizontal="left" vertical="center" indent="19"/>
    </xf>
    <xf numFmtId="0" fontId="6" fillId="9" borderId="0" xfId="0" quotePrefix="1" applyFont="1" applyFill="1" applyBorder="1" applyAlignment="1">
      <alignment horizontal="left" wrapText="1" indent="19"/>
    </xf>
    <xf numFmtId="0" fontId="6" fillId="9" borderId="0" xfId="0" quotePrefix="1" applyFont="1" applyFill="1" applyBorder="1" applyAlignment="1">
      <alignment horizontal="left" vertical="center" wrapText="1" indent="15"/>
    </xf>
    <xf numFmtId="166" fontId="3" fillId="11" borderId="0" xfId="0" applyNumberFormat="1" applyFont="1" applyFill="1" applyBorder="1" applyAlignment="1">
      <alignment horizontal="left" vertical="center" indent="15"/>
    </xf>
    <xf numFmtId="0" fontId="70" fillId="9" borderId="0" xfId="0" quotePrefix="1" applyFont="1" applyFill="1" applyBorder="1" applyAlignment="1">
      <alignment horizontal="left" vertical="center" wrapText="1"/>
    </xf>
    <xf numFmtId="0" fontId="70" fillId="9" borderId="0" xfId="0" quotePrefix="1" applyFont="1" applyFill="1" applyBorder="1" applyAlignment="1">
      <alignment horizontal="left" vertical="center"/>
    </xf>
    <xf numFmtId="166" fontId="3" fillId="11" borderId="0" xfId="0" applyNumberFormat="1" applyFont="1" applyFill="1" applyBorder="1" applyAlignment="1">
      <alignment horizontal="left" vertical="center" indent="4"/>
    </xf>
    <xf numFmtId="0" fontId="6" fillId="9" borderId="0" xfId="0" quotePrefix="1" applyFont="1" applyFill="1" applyBorder="1" applyAlignment="1">
      <alignment horizontal="left" vertical="center" wrapText="1" indent="19"/>
    </xf>
    <xf numFmtId="166" fontId="3" fillId="11" borderId="0" xfId="0" applyNumberFormat="1" applyFont="1" applyFill="1" applyBorder="1" applyAlignment="1">
      <alignment horizontal="left" vertical="center" indent="20"/>
    </xf>
    <xf numFmtId="166" fontId="3" fillId="11" borderId="0" xfId="0" applyNumberFormat="1" applyFont="1" applyFill="1" applyBorder="1" applyAlignment="1">
      <alignment horizontal="left" vertical="center" indent="10"/>
    </xf>
    <xf numFmtId="0" fontId="69" fillId="9" borderId="0" xfId="0" quotePrefix="1" applyFont="1" applyFill="1" applyBorder="1" applyAlignment="1">
      <alignment horizontal="left" vertical="center" indent="10"/>
    </xf>
    <xf numFmtId="0" fontId="69" fillId="9" borderId="0" xfId="0" applyFont="1" applyFill="1" applyAlignment="1">
      <alignment horizontal="left" vertical="center" indent="14"/>
    </xf>
    <xf numFmtId="166" fontId="3" fillId="11" borderId="24" xfId="0" applyNumberFormat="1" applyFont="1" applyFill="1" applyBorder="1" applyAlignment="1">
      <alignment horizontal="left" vertical="center" indent="20"/>
    </xf>
    <xf numFmtId="0" fontId="4" fillId="2" borderId="0" xfId="0" applyFont="1" applyFill="1" applyAlignment="1">
      <alignment horizontal="center"/>
    </xf>
    <xf numFmtId="0" fontId="16" fillId="2" borderId="0" xfId="0" applyFont="1" applyFill="1" applyAlignment="1">
      <alignment horizontal="center"/>
    </xf>
    <xf numFmtId="0" fontId="8" fillId="10" borderId="0" xfId="0" applyFont="1" applyFill="1" applyAlignment="1">
      <alignment horizontal="center" vertical="center" wrapText="1"/>
    </xf>
    <xf numFmtId="0" fontId="8" fillId="10" borderId="4" xfId="0" applyFont="1" applyFill="1" applyBorder="1" applyAlignment="1">
      <alignment horizontal="center" vertical="center" wrapText="1"/>
    </xf>
    <xf numFmtId="0" fontId="8" fillId="10" borderId="20" xfId="0" applyNumberFormat="1" applyFont="1" applyFill="1" applyBorder="1" applyAlignment="1">
      <alignment horizontal="center"/>
    </xf>
    <xf numFmtId="0" fontId="8" fillId="10" borderId="4" xfId="0" applyNumberFormat="1" applyFont="1" applyFill="1" applyBorder="1" applyAlignment="1">
      <alignment horizontal="center"/>
    </xf>
    <xf numFmtId="0" fontId="8" fillId="10" borderId="21" xfId="0" applyFont="1" applyFill="1" applyBorder="1" applyAlignment="1">
      <alignment horizontal="center"/>
    </xf>
    <xf numFmtId="0" fontId="69" fillId="9" borderId="0" xfId="0" applyFont="1" applyFill="1" applyBorder="1" applyAlignment="1">
      <alignment horizontal="left" vertical="center" indent="12"/>
    </xf>
    <xf numFmtId="166" fontId="3" fillId="11" borderId="0" xfId="0" applyNumberFormat="1" applyFont="1" applyFill="1" applyBorder="1" applyAlignment="1">
      <alignment horizontal="left" vertical="center" indent="13"/>
    </xf>
    <xf numFmtId="0" fontId="8" fillId="10" borderId="22" xfId="0" applyFont="1" applyFill="1" applyBorder="1" applyAlignment="1">
      <alignment horizontal="center" vertical="center" wrapText="1"/>
    </xf>
    <xf numFmtId="0" fontId="8" fillId="10" borderId="34" xfId="0" applyFont="1" applyFill="1" applyBorder="1" applyAlignment="1">
      <alignment horizontal="center" vertical="center" wrapText="1"/>
    </xf>
    <xf numFmtId="0" fontId="8" fillId="10" borderId="33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69" fillId="9" borderId="0" xfId="0" quotePrefix="1" applyFont="1" applyFill="1" applyBorder="1" applyAlignment="1">
      <alignment horizontal="left" vertical="center" wrapText="1" indent="13"/>
    </xf>
    <xf numFmtId="0" fontId="13" fillId="10" borderId="22" xfId="0" applyFont="1" applyFill="1" applyBorder="1" applyAlignment="1">
      <alignment horizontal="center"/>
    </xf>
    <xf numFmtId="0" fontId="0" fillId="0" borderId="34" xfId="0" applyFont="1" applyBorder="1" applyAlignment="1">
      <alignment horizontal="center"/>
    </xf>
    <xf numFmtId="0" fontId="13" fillId="10" borderId="2" xfId="0" applyFont="1" applyFill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69" fillId="9" borderId="0" xfId="0" applyFont="1" applyFill="1" applyBorder="1" applyAlignment="1">
      <alignment horizontal="left" vertical="center" indent="11"/>
    </xf>
    <xf numFmtId="166" fontId="3" fillId="11" borderId="0" xfId="0" applyNumberFormat="1" applyFont="1" applyFill="1" applyBorder="1" applyAlignment="1">
      <alignment horizontal="left" vertical="center" indent="11"/>
    </xf>
    <xf numFmtId="0" fontId="13" fillId="10" borderId="50" xfId="0" quotePrefix="1" applyFont="1" applyFill="1" applyBorder="1" applyAlignment="1">
      <alignment horizontal="center" wrapText="1"/>
    </xf>
    <xf numFmtId="0" fontId="13" fillId="10" borderId="35" xfId="0" applyFont="1" applyFill="1" applyBorder="1" applyAlignment="1">
      <alignment horizontal="center" wrapText="1"/>
    </xf>
    <xf numFmtId="0" fontId="13" fillId="10" borderId="27" xfId="0" applyFont="1" applyFill="1" applyBorder="1" applyAlignment="1">
      <alignment horizontal="center" vertical="center" wrapText="1"/>
    </xf>
    <xf numFmtId="0" fontId="13" fillId="10" borderId="28" xfId="0" applyFont="1" applyFill="1" applyBorder="1" applyAlignment="1">
      <alignment horizontal="center" vertical="center" wrapText="1"/>
    </xf>
    <xf numFmtId="0" fontId="13" fillId="10" borderId="52" xfId="0" quotePrefix="1" applyFont="1" applyFill="1" applyBorder="1" applyAlignment="1">
      <alignment horizontal="center" vertical="center" wrapText="1"/>
    </xf>
    <xf numFmtId="0" fontId="13" fillId="10" borderId="28" xfId="0" quotePrefix="1" applyFont="1" applyFill="1" applyBorder="1" applyAlignment="1">
      <alignment horizontal="center" vertical="center" wrapText="1"/>
    </xf>
    <xf numFmtId="0" fontId="13" fillId="10" borderId="31" xfId="0" applyFont="1" applyFill="1" applyBorder="1" applyAlignment="1">
      <alignment horizontal="center" vertical="center" wrapText="1"/>
    </xf>
    <xf numFmtId="0" fontId="13" fillId="10" borderId="55" xfId="0" quotePrefix="1" applyFont="1" applyFill="1" applyBorder="1" applyAlignment="1">
      <alignment horizontal="center" vertical="center" wrapText="1"/>
    </xf>
    <xf numFmtId="0" fontId="13" fillId="10" borderId="29" xfId="0" quotePrefix="1" applyFont="1" applyFill="1" applyBorder="1" applyAlignment="1">
      <alignment horizontal="center" vertical="center" wrapText="1"/>
    </xf>
    <xf numFmtId="0" fontId="22" fillId="0" borderId="1" xfId="0" applyFont="1" applyBorder="1" applyAlignment="1"/>
    <xf numFmtId="0" fontId="0" fillId="0" borderId="1" xfId="0" applyBorder="1" applyAlignment="1"/>
    <xf numFmtId="0" fontId="63" fillId="52" borderId="1" xfId="0" applyFont="1" applyFill="1" applyBorder="1" applyAlignment="1">
      <alignment wrapText="1"/>
    </xf>
    <xf numFmtId="0" fontId="41" fillId="10" borderId="5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8" fillId="9" borderId="0" xfId="0" applyFont="1" applyFill="1" applyAlignment="1">
      <alignment horizontal="left" vertical="center" wrapText="1" indent="13"/>
    </xf>
    <xf numFmtId="0" fontId="68" fillId="9" borderId="0" xfId="0" applyFont="1" applyFill="1" applyAlignment="1">
      <alignment horizontal="left" vertical="center" indent="13"/>
    </xf>
    <xf numFmtId="0" fontId="8" fillId="10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41" fillId="10" borderId="22" xfId="0" applyFont="1" applyFill="1" applyBorder="1" applyAlignment="1">
      <alignment horizontal="center" vertical="center" wrapText="1"/>
    </xf>
    <xf numFmtId="0" fontId="41" fillId="10" borderId="33" xfId="0" applyFont="1" applyFill="1" applyBorder="1" applyAlignment="1">
      <alignment horizontal="center" vertical="center" wrapText="1"/>
    </xf>
    <xf numFmtId="0" fontId="57" fillId="0" borderId="20" xfId="0" applyFont="1" applyBorder="1" applyAlignment="1">
      <alignment horizontal="center" vertical="center" wrapText="1"/>
    </xf>
    <xf numFmtId="0" fontId="57" fillId="0" borderId="32" xfId="0" applyFont="1" applyBorder="1" applyAlignment="1">
      <alignment horizontal="center" vertical="center" wrapText="1"/>
    </xf>
    <xf numFmtId="0" fontId="66" fillId="52" borderId="1" xfId="0" applyFont="1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41" fillId="10" borderId="1" xfId="0" applyFont="1" applyFill="1" applyBorder="1" applyAlignment="1">
      <alignment horizontal="center" vertical="center" wrapText="1"/>
    </xf>
    <xf numFmtId="1" fontId="63" fillId="52" borderId="2" xfId="0" applyNumberFormat="1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71" fillId="9" borderId="0" xfId="0" applyFont="1" applyFill="1" applyAlignment="1">
      <alignment horizontal="left" vertical="center" indent="17"/>
    </xf>
    <xf numFmtId="166" fontId="3" fillId="11" borderId="0" xfId="0" applyNumberFormat="1" applyFont="1" applyFill="1" applyBorder="1" applyAlignment="1">
      <alignment horizontal="left" vertical="center" indent="17"/>
    </xf>
    <xf numFmtId="0" fontId="8" fillId="10" borderId="20" xfId="0" applyFont="1" applyFill="1" applyBorder="1" applyAlignment="1">
      <alignment horizontal="left" vertical="center" wrapText="1"/>
    </xf>
    <xf numFmtId="0" fontId="50" fillId="0" borderId="4" xfId="0" applyFont="1" applyBorder="1" applyAlignment="1">
      <alignment horizontal="left" wrapText="1"/>
    </xf>
    <xf numFmtId="0" fontId="13" fillId="10" borderId="1" xfId="0" applyFont="1" applyFill="1" applyBorder="1" applyAlignment="1">
      <alignment horizontal="center" vertical="center"/>
    </xf>
    <xf numFmtId="0" fontId="69" fillId="9" borderId="0" xfId="0" quotePrefix="1" applyFont="1" applyFill="1" applyBorder="1" applyAlignment="1">
      <alignment horizontal="left" vertical="center" indent="16"/>
    </xf>
    <xf numFmtId="166" fontId="3" fillId="11" borderId="0" xfId="0" applyNumberFormat="1" applyFont="1" applyFill="1" applyBorder="1" applyAlignment="1">
      <alignment horizontal="left" vertical="center" indent="16"/>
    </xf>
    <xf numFmtId="0" fontId="13" fillId="10" borderId="5" xfId="0" applyFont="1" applyFill="1" applyBorder="1" applyAlignment="1">
      <alignment horizontal="center" vertical="top"/>
    </xf>
    <xf numFmtId="0" fontId="13" fillId="10" borderId="6" xfId="0" applyFont="1" applyFill="1" applyBorder="1" applyAlignment="1">
      <alignment horizontal="center" vertical="top"/>
    </xf>
    <xf numFmtId="0" fontId="13" fillId="10" borderId="19" xfId="0" applyFont="1" applyFill="1" applyBorder="1" applyAlignment="1">
      <alignment horizontal="center" vertical="top"/>
    </xf>
    <xf numFmtId="0" fontId="8" fillId="10" borderId="27" xfId="0" applyFont="1" applyFill="1" applyBorder="1" applyAlignment="1">
      <alignment horizontal="center" vertical="center"/>
    </xf>
    <xf numFmtId="0" fontId="8" fillId="10" borderId="59" xfId="0" applyFont="1" applyFill="1" applyBorder="1" applyAlignment="1">
      <alignment horizontal="center" vertical="center"/>
    </xf>
    <xf numFmtId="0" fontId="43" fillId="9" borderId="0" xfId="0" applyFont="1" applyFill="1" applyAlignment="1">
      <alignment horizontal="left" vertical="center" indent="14"/>
    </xf>
    <xf numFmtId="0" fontId="47" fillId="5" borderId="0" xfId="0" applyFont="1" applyFill="1" applyBorder="1" applyAlignment="1">
      <alignment horizontal="left" vertical="center" wrapText="1" indent="14"/>
    </xf>
    <xf numFmtId="14" fontId="11" fillId="11" borderId="0" xfId="0" applyNumberFormat="1" applyFont="1" applyFill="1" applyBorder="1" applyAlignment="1">
      <alignment horizontal="left" vertical="center" indent="3"/>
    </xf>
    <xf numFmtId="0" fontId="43" fillId="9" borderId="0" xfId="0" applyFont="1" applyFill="1" applyAlignment="1">
      <alignment horizontal="left" vertical="center" indent="13"/>
    </xf>
    <xf numFmtId="0" fontId="72" fillId="5" borderId="0" xfId="0" applyFont="1" applyFill="1" applyBorder="1" applyAlignment="1">
      <alignment horizontal="left" vertical="center" wrapText="1" indent="11"/>
    </xf>
    <xf numFmtId="14" fontId="3" fillId="11" borderId="0" xfId="0" applyNumberFormat="1" applyFont="1" applyFill="1" applyBorder="1" applyAlignment="1">
      <alignment horizontal="left" vertical="center" indent="3"/>
    </xf>
    <xf numFmtId="0" fontId="10" fillId="5" borderId="0" xfId="0" applyFont="1" applyFill="1" applyBorder="1" applyAlignment="1">
      <alignment horizontal="left" vertical="center" wrapText="1" indent="11"/>
    </xf>
  </cellXfs>
  <cellStyles count="148">
    <cellStyle name="20% - Accent1 2" xfId="22" xr:uid="{00000000-0005-0000-0000-000000000000}"/>
    <cellStyle name="20% - Accent1 2 2" xfId="48" xr:uid="{00000000-0005-0000-0000-000001000000}"/>
    <cellStyle name="20% - Accent1 2 2 2" xfId="130" xr:uid="{33967C49-4432-447E-8D57-D71CF940BB5E}"/>
    <cellStyle name="20% - Accent1 2 3" xfId="110" xr:uid="{DD7C2380-8443-452D-8A23-E940DF02E28D}"/>
    <cellStyle name="20% - Accent1 3" xfId="85" xr:uid="{00000000-0005-0000-0000-000002000000}"/>
    <cellStyle name="20% - Accent2 2" xfId="26" xr:uid="{00000000-0005-0000-0000-000003000000}"/>
    <cellStyle name="20% - Accent2 2 2" xfId="51" xr:uid="{00000000-0005-0000-0000-000004000000}"/>
    <cellStyle name="20% - Accent2 2 2 2" xfId="133" xr:uid="{FE1AC290-7B99-4DBF-BD3E-6F15727F8E3E}"/>
    <cellStyle name="20% - Accent2 2 3" xfId="113" xr:uid="{21B81CDF-0569-4F71-A279-19AB22419F8C}"/>
    <cellStyle name="20% - Accent2 3" xfId="89" xr:uid="{00000000-0005-0000-0000-000005000000}"/>
    <cellStyle name="20% - Accent3 2" xfId="30" xr:uid="{00000000-0005-0000-0000-000006000000}"/>
    <cellStyle name="20% - Accent3 2 2" xfId="54" xr:uid="{00000000-0005-0000-0000-000007000000}"/>
    <cellStyle name="20% - Accent3 2 2 2" xfId="136" xr:uid="{761DE16F-DBAF-46D1-9F15-08F1D6046658}"/>
    <cellStyle name="20% - Accent3 2 3" xfId="116" xr:uid="{AEA13515-DEB0-4368-A284-EA5FEFB02B34}"/>
    <cellStyle name="20% - Accent3 3" xfId="93" xr:uid="{00000000-0005-0000-0000-000008000000}"/>
    <cellStyle name="20% - Accent4 2" xfId="34" xr:uid="{00000000-0005-0000-0000-000009000000}"/>
    <cellStyle name="20% - Accent4 2 2" xfId="57" xr:uid="{00000000-0005-0000-0000-00000A000000}"/>
    <cellStyle name="20% - Accent4 2 2 2" xfId="139" xr:uid="{A8A302DF-0FF8-477E-8F35-590F2C1A7365}"/>
    <cellStyle name="20% - Accent4 2 3" xfId="119" xr:uid="{BBD62146-01BF-40DE-A80F-26B5D0E15775}"/>
    <cellStyle name="20% - Accent4 3" xfId="97" xr:uid="{00000000-0005-0000-0000-00000B000000}"/>
    <cellStyle name="20% - Accent5 2" xfId="38" xr:uid="{00000000-0005-0000-0000-00000C000000}"/>
    <cellStyle name="20% - Accent5 2 2" xfId="60" xr:uid="{00000000-0005-0000-0000-00000D000000}"/>
    <cellStyle name="20% - Accent5 2 2 2" xfId="142" xr:uid="{ECE7EA30-073D-4BA4-BECC-092713ADFB0D}"/>
    <cellStyle name="20% - Accent5 2 3" xfId="122" xr:uid="{6E571B58-B1CE-4C04-A67B-56F6350EC402}"/>
    <cellStyle name="20% - Accent5 3" xfId="101" xr:uid="{00000000-0005-0000-0000-00000E000000}"/>
    <cellStyle name="20% - Accent6 2" xfId="42" xr:uid="{00000000-0005-0000-0000-00000F000000}"/>
    <cellStyle name="20% - Accent6 2 2" xfId="63" xr:uid="{00000000-0005-0000-0000-000010000000}"/>
    <cellStyle name="20% - Accent6 2 2 2" xfId="145" xr:uid="{8645E9E3-5E1C-461C-99E1-EC2FA89031BD}"/>
    <cellStyle name="20% - Accent6 2 3" xfId="125" xr:uid="{4ADFD6CF-88AF-40F0-93D0-82CD4B56E626}"/>
    <cellStyle name="20% - Accent6 3" xfId="105" xr:uid="{00000000-0005-0000-0000-000011000000}"/>
    <cellStyle name="40% - Accent1 2" xfId="23" xr:uid="{00000000-0005-0000-0000-000012000000}"/>
    <cellStyle name="40% - Accent1 2 2" xfId="49" xr:uid="{00000000-0005-0000-0000-000013000000}"/>
    <cellStyle name="40% - Accent1 2 2 2" xfId="131" xr:uid="{E8DF8D03-E980-4FD8-BEC6-79D6A5F4D5A8}"/>
    <cellStyle name="40% - Accent1 2 3" xfId="111" xr:uid="{AB874945-28E7-4D19-B0E5-2826E880B0F2}"/>
    <cellStyle name="40% - Accent1 3" xfId="86" xr:uid="{00000000-0005-0000-0000-000014000000}"/>
    <cellStyle name="40% - Accent2 2" xfId="27" xr:uid="{00000000-0005-0000-0000-000015000000}"/>
    <cellStyle name="40% - Accent2 2 2" xfId="52" xr:uid="{00000000-0005-0000-0000-000016000000}"/>
    <cellStyle name="40% - Accent2 2 2 2" xfId="134" xr:uid="{49CE6658-7AFB-4185-9746-9F489F217FFC}"/>
    <cellStyle name="40% - Accent2 2 3" xfId="114" xr:uid="{56959326-ADB3-442A-9A8E-FF36F14F511C}"/>
    <cellStyle name="40% - Accent2 3" xfId="90" xr:uid="{00000000-0005-0000-0000-000017000000}"/>
    <cellStyle name="40% - Accent3 2" xfId="31" xr:uid="{00000000-0005-0000-0000-000018000000}"/>
    <cellStyle name="40% - Accent3 2 2" xfId="55" xr:uid="{00000000-0005-0000-0000-000019000000}"/>
    <cellStyle name="40% - Accent3 2 2 2" xfId="137" xr:uid="{03CD9855-5FCF-42AE-925B-F4C3B70BAE7D}"/>
    <cellStyle name="40% - Accent3 2 3" xfId="117" xr:uid="{4B9EBC19-6260-4A19-9F59-C2B98AC210FB}"/>
    <cellStyle name="40% - Accent3 3" xfId="94" xr:uid="{00000000-0005-0000-0000-00001A000000}"/>
    <cellStyle name="40% - Accent4 2" xfId="35" xr:uid="{00000000-0005-0000-0000-00001B000000}"/>
    <cellStyle name="40% - Accent4 2 2" xfId="58" xr:uid="{00000000-0005-0000-0000-00001C000000}"/>
    <cellStyle name="40% - Accent4 2 2 2" xfId="140" xr:uid="{8B18522B-76B8-45C5-A832-EF9A2F7D7FBE}"/>
    <cellStyle name="40% - Accent4 2 3" xfId="120" xr:uid="{D118D649-1E77-435C-8E67-0369FBCB2F82}"/>
    <cellStyle name="40% - Accent4 3" xfId="98" xr:uid="{00000000-0005-0000-0000-00001D000000}"/>
    <cellStyle name="40% - Accent5 2" xfId="39" xr:uid="{00000000-0005-0000-0000-00001E000000}"/>
    <cellStyle name="40% - Accent5 2 2" xfId="61" xr:uid="{00000000-0005-0000-0000-00001F000000}"/>
    <cellStyle name="40% - Accent5 2 2 2" xfId="143" xr:uid="{82716AA9-03D3-4FCB-AD11-396D48704536}"/>
    <cellStyle name="40% - Accent5 2 3" xfId="123" xr:uid="{C4EC3B2F-B7C1-4065-A7F6-C455D11496AA}"/>
    <cellStyle name="40% - Accent5 3" xfId="102" xr:uid="{00000000-0005-0000-0000-000020000000}"/>
    <cellStyle name="40% - Accent6 2" xfId="43" xr:uid="{00000000-0005-0000-0000-000021000000}"/>
    <cellStyle name="40% - Accent6 2 2" xfId="64" xr:uid="{00000000-0005-0000-0000-000022000000}"/>
    <cellStyle name="40% - Accent6 2 2 2" xfId="146" xr:uid="{9FF76641-ADF0-4CCD-B3E0-A55CDA6101CC}"/>
    <cellStyle name="40% - Accent6 2 3" xfId="126" xr:uid="{670D7905-7CA9-4D48-86E1-AF6812F45972}"/>
    <cellStyle name="40% - Accent6 3" xfId="106" xr:uid="{00000000-0005-0000-0000-000023000000}"/>
    <cellStyle name="60% - Accent1 2" xfId="24" xr:uid="{00000000-0005-0000-0000-000024000000}"/>
    <cellStyle name="60% - Accent1 2 2" xfId="50" xr:uid="{00000000-0005-0000-0000-000025000000}"/>
    <cellStyle name="60% - Accent1 2 2 2" xfId="132" xr:uid="{339C23FF-9400-409E-B566-C07FB0E424C3}"/>
    <cellStyle name="60% - Accent1 2 3" xfId="112" xr:uid="{9182A7D3-B8A9-4C1D-9133-52D108034402}"/>
    <cellStyle name="60% - Accent1 3" xfId="87" xr:uid="{00000000-0005-0000-0000-000026000000}"/>
    <cellStyle name="60% - Accent2 2" xfId="28" xr:uid="{00000000-0005-0000-0000-000027000000}"/>
    <cellStyle name="60% - Accent2 2 2" xfId="53" xr:uid="{00000000-0005-0000-0000-000028000000}"/>
    <cellStyle name="60% - Accent2 2 2 2" xfId="135" xr:uid="{00A4681C-1716-4992-B8EA-ABA306BFA94B}"/>
    <cellStyle name="60% - Accent2 2 3" xfId="115" xr:uid="{F72D6B13-2EAB-4628-882F-486F3353C130}"/>
    <cellStyle name="60% - Accent2 3" xfId="91" xr:uid="{00000000-0005-0000-0000-000029000000}"/>
    <cellStyle name="60% - Accent3 2" xfId="32" xr:uid="{00000000-0005-0000-0000-00002A000000}"/>
    <cellStyle name="60% - Accent3 2 2" xfId="56" xr:uid="{00000000-0005-0000-0000-00002B000000}"/>
    <cellStyle name="60% - Accent3 2 2 2" xfId="138" xr:uid="{B663B948-656F-42F2-A877-9608E442A1B7}"/>
    <cellStyle name="60% - Accent3 2 3" xfId="118" xr:uid="{F714B51B-1555-4154-A785-F966A4E148A1}"/>
    <cellStyle name="60% - Accent3 3" xfId="95" xr:uid="{00000000-0005-0000-0000-00002C000000}"/>
    <cellStyle name="60% - Accent4 2" xfId="36" xr:uid="{00000000-0005-0000-0000-00002D000000}"/>
    <cellStyle name="60% - Accent4 2 2" xfId="59" xr:uid="{00000000-0005-0000-0000-00002E000000}"/>
    <cellStyle name="60% - Accent4 2 2 2" xfId="141" xr:uid="{7F308E04-5783-49A7-B0AA-154AF2C64105}"/>
    <cellStyle name="60% - Accent4 2 3" xfId="121" xr:uid="{EF54B43A-322D-4C13-AAA3-E4143A72DE22}"/>
    <cellStyle name="60% - Accent4 3" xfId="99" xr:uid="{00000000-0005-0000-0000-00002F000000}"/>
    <cellStyle name="60% - Accent5 2" xfId="40" xr:uid="{00000000-0005-0000-0000-000030000000}"/>
    <cellStyle name="60% - Accent5 2 2" xfId="62" xr:uid="{00000000-0005-0000-0000-000031000000}"/>
    <cellStyle name="60% - Accent5 2 2 2" xfId="144" xr:uid="{2ADEAAFE-AE44-4CE6-A293-023F32D962E3}"/>
    <cellStyle name="60% - Accent5 2 3" xfId="124" xr:uid="{3BF32703-A110-4672-A13D-653C8F289531}"/>
    <cellStyle name="60% - Accent5 3" xfId="103" xr:uid="{00000000-0005-0000-0000-000032000000}"/>
    <cellStyle name="60% - Accent6 2" xfId="44" xr:uid="{00000000-0005-0000-0000-000033000000}"/>
    <cellStyle name="60% - Accent6 2 2" xfId="65" xr:uid="{00000000-0005-0000-0000-000034000000}"/>
    <cellStyle name="60% - Accent6 2 2 2" xfId="147" xr:uid="{227F6F7C-AE7C-442F-AC1B-D08B021C5CC3}"/>
    <cellStyle name="60% - Accent6 2 3" xfId="127" xr:uid="{40233194-A315-40B1-B47C-D4DF58E23D81}"/>
    <cellStyle name="60% - Accent6 3" xfId="107" xr:uid="{00000000-0005-0000-0000-000035000000}"/>
    <cellStyle name="Accent1 2" xfId="21" xr:uid="{00000000-0005-0000-0000-000036000000}"/>
    <cellStyle name="Accent1 3" xfId="84" xr:uid="{00000000-0005-0000-0000-000037000000}"/>
    <cellStyle name="Accent2 2" xfId="25" xr:uid="{00000000-0005-0000-0000-000038000000}"/>
    <cellStyle name="Accent2 3" xfId="88" xr:uid="{00000000-0005-0000-0000-000039000000}"/>
    <cellStyle name="Accent3 2" xfId="29" xr:uid="{00000000-0005-0000-0000-00003A000000}"/>
    <cellStyle name="Accent3 3" xfId="92" xr:uid="{00000000-0005-0000-0000-00003B000000}"/>
    <cellStyle name="Accent4 2" xfId="33" xr:uid="{00000000-0005-0000-0000-00003C000000}"/>
    <cellStyle name="Accent4 3" xfId="96" xr:uid="{00000000-0005-0000-0000-00003D000000}"/>
    <cellStyle name="Accent5 2" xfId="37" xr:uid="{00000000-0005-0000-0000-00003E000000}"/>
    <cellStyle name="Accent5 3" xfId="100" xr:uid="{00000000-0005-0000-0000-00003F000000}"/>
    <cellStyle name="Accent6 2" xfId="41" xr:uid="{00000000-0005-0000-0000-000040000000}"/>
    <cellStyle name="Accent6 3" xfId="104" xr:uid="{00000000-0005-0000-0000-000041000000}"/>
    <cellStyle name="Bad" xfId="66" builtinId="27"/>
    <cellStyle name="Bad 2" xfId="10" xr:uid="{00000000-0005-0000-0000-000043000000}"/>
    <cellStyle name="Bad 3" xfId="73" xr:uid="{00000000-0005-0000-0000-000044000000}"/>
    <cellStyle name="Calculation 2" xfId="14" xr:uid="{00000000-0005-0000-0000-000045000000}"/>
    <cellStyle name="Calculation 3" xfId="77" xr:uid="{00000000-0005-0000-0000-000046000000}"/>
    <cellStyle name="Check Cell 2" xfId="16" xr:uid="{00000000-0005-0000-0000-000047000000}"/>
    <cellStyle name="Check Cell 3" xfId="79" xr:uid="{00000000-0005-0000-0000-000048000000}"/>
    <cellStyle name="Explanatory Text 2" xfId="19" xr:uid="{00000000-0005-0000-0000-000049000000}"/>
    <cellStyle name="Explanatory Text 3" xfId="82" xr:uid="{00000000-0005-0000-0000-00004A000000}"/>
    <cellStyle name="Good 2" xfId="9" xr:uid="{00000000-0005-0000-0000-00004B000000}"/>
    <cellStyle name="Good 3" xfId="72" xr:uid="{00000000-0005-0000-0000-00004C000000}"/>
    <cellStyle name="Heading 1" xfId="67" builtinId="16" customBuiltin="1"/>
    <cellStyle name="Heading 1 2" xfId="5" xr:uid="{00000000-0005-0000-0000-00004E000000}"/>
    <cellStyle name="Heading 2" xfId="68" builtinId="17" customBuiltin="1"/>
    <cellStyle name="Heading 2 2" xfId="6" xr:uid="{00000000-0005-0000-0000-000050000000}"/>
    <cellStyle name="Heading 3" xfId="69" builtinId="18" customBuiltin="1"/>
    <cellStyle name="Heading 3 2" xfId="7" xr:uid="{00000000-0005-0000-0000-000052000000}"/>
    <cellStyle name="Heading 4" xfId="70" builtinId="19" customBuiltin="1"/>
    <cellStyle name="Heading 4 2" xfId="8" xr:uid="{00000000-0005-0000-0000-000054000000}"/>
    <cellStyle name="Hyperlink" xfId="2" builtinId="8"/>
    <cellStyle name="Hyperlink 2" xfId="45" xr:uid="{00000000-0005-0000-0000-000056000000}"/>
    <cellStyle name="Input 2" xfId="12" xr:uid="{00000000-0005-0000-0000-000057000000}"/>
    <cellStyle name="Input 3" xfId="75" xr:uid="{00000000-0005-0000-0000-000058000000}"/>
    <cellStyle name="Linked Cell 2" xfId="15" xr:uid="{00000000-0005-0000-0000-000059000000}"/>
    <cellStyle name="Linked Cell 3" xfId="78" xr:uid="{00000000-0005-0000-0000-00005A000000}"/>
    <cellStyle name="Neutral 2" xfId="11" xr:uid="{00000000-0005-0000-0000-00005B000000}"/>
    <cellStyle name="Neutral 3" xfId="74" xr:uid="{00000000-0005-0000-0000-00005C000000}"/>
    <cellStyle name="Normal" xfId="0" builtinId="0"/>
    <cellStyle name="Normal 2" xfId="3" xr:uid="{00000000-0005-0000-0000-00005E000000}"/>
    <cellStyle name="Normal 2 2" xfId="46" xr:uid="{00000000-0005-0000-0000-00005F000000}"/>
    <cellStyle name="Normal 2 2 2" xfId="128" xr:uid="{79AA9033-9156-499F-A7F0-0436E7BB3263}"/>
    <cellStyle name="Normal 2 3" xfId="108" xr:uid="{844F16C8-4ABC-445A-8DE9-3FE9B80A8A45}"/>
    <cellStyle name="Normal 3" xfId="71" xr:uid="{00000000-0005-0000-0000-000060000000}"/>
    <cellStyle name="Note 2" xfId="18" xr:uid="{00000000-0005-0000-0000-000061000000}"/>
    <cellStyle name="Note 2 2" xfId="47" xr:uid="{00000000-0005-0000-0000-000062000000}"/>
    <cellStyle name="Note 2 2 2" xfId="129" xr:uid="{53B14DE8-9AF6-45CD-A979-39074D441FEC}"/>
    <cellStyle name="Note 2 3" xfId="109" xr:uid="{F8869240-7E56-44FC-82B7-5FA5943652F3}"/>
    <cellStyle name="Note 3" xfId="81" xr:uid="{00000000-0005-0000-0000-000063000000}"/>
    <cellStyle name="Output 2" xfId="13" xr:uid="{00000000-0005-0000-0000-000064000000}"/>
    <cellStyle name="Output 3" xfId="76" xr:uid="{00000000-0005-0000-0000-000065000000}"/>
    <cellStyle name="Per cent" xfId="1" builtinId="5"/>
    <cellStyle name="Title" xfId="4" builtinId="15" customBuiltin="1"/>
    <cellStyle name="Total 2" xfId="20" xr:uid="{00000000-0005-0000-0000-000068000000}"/>
    <cellStyle name="Total 3" xfId="83" xr:uid="{00000000-0005-0000-0000-000069000000}"/>
    <cellStyle name="Warning Text 2" xfId="17" xr:uid="{00000000-0005-0000-0000-00006A000000}"/>
    <cellStyle name="Warning Text 3" xfId="80" xr:uid="{00000000-0005-0000-0000-00006B000000}"/>
  </cellStyles>
  <dxfs count="5998">
    <dxf>
      <font>
        <color rgb="FFFF0000"/>
      </font>
      <fill>
        <patternFill>
          <bgColor rgb="FFFFEB9C"/>
        </patternFill>
      </fill>
    </dxf>
    <dxf>
      <font>
        <color rgb="FFFF0000"/>
      </font>
      <fill>
        <patternFill>
          <bgColor rgb="FFFFC7CE"/>
        </patternFill>
      </fill>
    </dxf>
    <dxf>
      <font>
        <color rgb="FFFF0000"/>
      </font>
      <fill>
        <patternFill>
          <bgColor rgb="FFFFC7CE"/>
        </patternFill>
      </fill>
    </dxf>
    <dxf>
      <font>
        <color rgb="FFFF6600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  <color rgb="FFE27070"/>
      <color rgb="FF9900FF"/>
      <color rgb="FFFF0000"/>
      <color rgb="FFCC3300"/>
      <color rgb="FF6600FF"/>
      <color rgb="FFA7E8FF"/>
      <color rgb="FFFF00FF"/>
      <color rgb="FF6600CC"/>
      <color rgb="FFFFEB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divisional &amp; regional overview'!A1"/><Relationship Id="rId3" Type="http://schemas.openxmlformats.org/officeDocument/2006/relationships/image" Target="../media/image3.png"/><Relationship Id="rId7" Type="http://schemas.openxmlformats.org/officeDocument/2006/relationships/hyperlink" Target="#'cluster overview'!A1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hyperlink" Target="#'Caseload Buttons'!A1"/><Relationship Id="rId5" Type="http://schemas.openxmlformats.org/officeDocument/2006/relationships/hyperlink" Target="#'Reductions Buttons'!A1"/><Relationship Id="rId10" Type="http://schemas.openxmlformats.org/officeDocument/2006/relationships/hyperlink" Target="#FAQs!A1"/><Relationship Id="rId4" Type="http://schemas.openxmlformats.org/officeDocument/2006/relationships/hyperlink" Target="#'Capacity Buttons'!A1"/><Relationship Id="rId9" Type="http://schemas.openxmlformats.org/officeDocument/2006/relationships/hyperlink" Target="#'team overview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team overview'!A1"/><Relationship Id="rId2" Type="http://schemas.openxmlformats.org/officeDocument/2006/relationships/hyperlink" Target="#'cluster overview'!A1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team overview'!A1"/><Relationship Id="rId2" Type="http://schemas.openxmlformats.org/officeDocument/2006/relationships/hyperlink" Target="#'divisional &amp; regional overview'!A1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divisional &amp; regional overview'!A1"/><Relationship Id="rId2" Type="http://schemas.openxmlformats.org/officeDocument/2006/relationships/hyperlink" Target="#'cluster overview'!A1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national tier ratios'!A1"/><Relationship Id="rId3" Type="http://schemas.openxmlformats.org/officeDocument/2006/relationships/hyperlink" Target="#'divisional &amp; regional caseload%'!A1"/><Relationship Id="rId7" Type="http://schemas.openxmlformats.org/officeDocument/2006/relationships/hyperlink" Target="#'divisional &amp; regional caseload'!A1"/><Relationship Id="rId2" Type="http://schemas.openxmlformats.org/officeDocument/2006/relationships/hyperlink" Target="#'custody caseload'!A1"/><Relationship Id="rId1" Type="http://schemas.openxmlformats.org/officeDocument/2006/relationships/hyperlink" Target="#Home!A1"/><Relationship Id="rId6" Type="http://schemas.openxmlformats.org/officeDocument/2006/relationships/hyperlink" Target="#'community caseload'!A1"/><Relationship Id="rId5" Type="http://schemas.openxmlformats.org/officeDocument/2006/relationships/hyperlink" Target="#'community %'!A1"/><Relationship Id="rId4" Type="http://schemas.openxmlformats.org/officeDocument/2006/relationships/hyperlink" Target="#'custody %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divisional &amp; regional caseload%'!A1"/><Relationship Id="rId3" Type="http://schemas.openxmlformats.org/officeDocument/2006/relationships/hyperlink" Target="#'community caseload'!A1"/><Relationship Id="rId7" Type="http://schemas.openxmlformats.org/officeDocument/2006/relationships/hyperlink" Target="#'divisional &amp; regional caseload'!A1"/><Relationship Id="rId2" Type="http://schemas.openxmlformats.org/officeDocument/2006/relationships/hyperlink" Target="#'custody caseload'!A1"/><Relationship Id="rId1" Type="http://schemas.openxmlformats.org/officeDocument/2006/relationships/hyperlink" Target="#Home!A1"/><Relationship Id="rId6" Type="http://schemas.openxmlformats.org/officeDocument/2006/relationships/hyperlink" Target="#'national caseload'!A1"/><Relationship Id="rId5" Type="http://schemas.openxmlformats.org/officeDocument/2006/relationships/hyperlink" Target="#'community %'!A1"/><Relationship Id="rId4" Type="http://schemas.openxmlformats.org/officeDocument/2006/relationships/hyperlink" Target="#'custody %'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national tier ratios'!A1"/><Relationship Id="rId3" Type="http://schemas.openxmlformats.org/officeDocument/2006/relationships/hyperlink" Target="#'divisional &amp; regional caseload%'!A1"/><Relationship Id="rId7" Type="http://schemas.openxmlformats.org/officeDocument/2006/relationships/hyperlink" Target="#'national caseload'!A1"/><Relationship Id="rId2" Type="http://schemas.openxmlformats.org/officeDocument/2006/relationships/hyperlink" Target="#'custody caseload'!A1"/><Relationship Id="rId1" Type="http://schemas.openxmlformats.org/officeDocument/2006/relationships/hyperlink" Target="#Home!A1"/><Relationship Id="rId6" Type="http://schemas.openxmlformats.org/officeDocument/2006/relationships/hyperlink" Target="#'community caseload'!A1"/><Relationship Id="rId5" Type="http://schemas.openxmlformats.org/officeDocument/2006/relationships/hyperlink" Target="#'community %'!A1"/><Relationship Id="rId4" Type="http://schemas.openxmlformats.org/officeDocument/2006/relationships/hyperlink" Target="#'custody %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national tier ratios'!A1"/><Relationship Id="rId3" Type="http://schemas.openxmlformats.org/officeDocument/2006/relationships/hyperlink" Target="#'custody caseload'!A1"/><Relationship Id="rId7" Type="http://schemas.openxmlformats.org/officeDocument/2006/relationships/hyperlink" Target="#'national caseload'!A1"/><Relationship Id="rId2" Type="http://schemas.openxmlformats.org/officeDocument/2006/relationships/hyperlink" Target="#'divisional &amp; regional caseload'!A1"/><Relationship Id="rId1" Type="http://schemas.openxmlformats.org/officeDocument/2006/relationships/hyperlink" Target="#Home!A1"/><Relationship Id="rId6" Type="http://schemas.openxmlformats.org/officeDocument/2006/relationships/hyperlink" Target="#'community caseload'!A1"/><Relationship Id="rId5" Type="http://schemas.openxmlformats.org/officeDocument/2006/relationships/hyperlink" Target="#'community %'!A1"/><Relationship Id="rId4" Type="http://schemas.openxmlformats.org/officeDocument/2006/relationships/hyperlink" Target="#'custody %'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divisional &amp; regional caseload'!A1"/><Relationship Id="rId3" Type="http://schemas.openxmlformats.org/officeDocument/2006/relationships/hyperlink" Target="#'custody %'!A1"/><Relationship Id="rId7" Type="http://schemas.openxmlformats.org/officeDocument/2006/relationships/hyperlink" Target="#'national tier ratios'!A1"/><Relationship Id="rId2" Type="http://schemas.openxmlformats.org/officeDocument/2006/relationships/hyperlink" Target="#'divisional &amp; regional caseload%'!A1"/><Relationship Id="rId1" Type="http://schemas.openxmlformats.org/officeDocument/2006/relationships/hyperlink" Target="#Home!A1"/><Relationship Id="rId6" Type="http://schemas.openxmlformats.org/officeDocument/2006/relationships/hyperlink" Target="#'national caseload'!A1"/><Relationship Id="rId5" Type="http://schemas.openxmlformats.org/officeDocument/2006/relationships/hyperlink" Target="#'community caseload'!A1"/><Relationship Id="rId4" Type="http://schemas.openxmlformats.org/officeDocument/2006/relationships/hyperlink" Target="#'community %'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divisional &amp; regional caseload'!A1"/><Relationship Id="rId3" Type="http://schemas.openxmlformats.org/officeDocument/2006/relationships/hyperlink" Target="#'divisional &amp; regional caseload%'!A1"/><Relationship Id="rId7" Type="http://schemas.openxmlformats.org/officeDocument/2006/relationships/hyperlink" Target="#'national tier ratios'!A1"/><Relationship Id="rId2" Type="http://schemas.openxmlformats.org/officeDocument/2006/relationships/hyperlink" Target="#'custody caseload'!A1"/><Relationship Id="rId1" Type="http://schemas.openxmlformats.org/officeDocument/2006/relationships/hyperlink" Target="#Home!A1"/><Relationship Id="rId6" Type="http://schemas.openxmlformats.org/officeDocument/2006/relationships/hyperlink" Target="#'national caseload'!A1"/><Relationship Id="rId5" Type="http://schemas.openxmlformats.org/officeDocument/2006/relationships/hyperlink" Target="#'community caseload'!A1"/><Relationship Id="rId4" Type="http://schemas.openxmlformats.org/officeDocument/2006/relationships/hyperlink" Target="#'community %'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divisional &amp; regional caseload'!A1"/><Relationship Id="rId3" Type="http://schemas.openxmlformats.org/officeDocument/2006/relationships/hyperlink" Target="#'custody %'!A1"/><Relationship Id="rId7" Type="http://schemas.openxmlformats.org/officeDocument/2006/relationships/hyperlink" Target="#'national tier ratios'!A1"/><Relationship Id="rId2" Type="http://schemas.openxmlformats.org/officeDocument/2006/relationships/hyperlink" Target="#'divisional &amp; regional caseload%'!A1"/><Relationship Id="rId1" Type="http://schemas.openxmlformats.org/officeDocument/2006/relationships/hyperlink" Target="#'custody caseload'!A1"/><Relationship Id="rId6" Type="http://schemas.openxmlformats.org/officeDocument/2006/relationships/hyperlink" Target="#Home!A1"/><Relationship Id="rId5" Type="http://schemas.openxmlformats.org/officeDocument/2006/relationships/hyperlink" Target="#'national caseload'!A1"/><Relationship Id="rId4" Type="http://schemas.openxmlformats.org/officeDocument/2006/relationships/hyperlink" Target="#'community %'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'divisional &amp; regional caseload'!A1"/><Relationship Id="rId3" Type="http://schemas.openxmlformats.org/officeDocument/2006/relationships/hyperlink" Target="#'custody %'!A1"/><Relationship Id="rId7" Type="http://schemas.openxmlformats.org/officeDocument/2006/relationships/hyperlink" Target="#'divisional &amp; regional caseload%'!A1"/><Relationship Id="rId2" Type="http://schemas.openxmlformats.org/officeDocument/2006/relationships/hyperlink" Target="#'custody caseload'!A1"/><Relationship Id="rId1" Type="http://schemas.openxmlformats.org/officeDocument/2006/relationships/hyperlink" Target="#Home!A1"/><Relationship Id="rId6" Type="http://schemas.openxmlformats.org/officeDocument/2006/relationships/hyperlink" Target="#'national tier ratios'!A1"/><Relationship Id="rId5" Type="http://schemas.openxmlformats.org/officeDocument/2006/relationships/hyperlink" Target="#'national caseload'!A1"/><Relationship Id="rId4" Type="http://schemas.openxmlformats.org/officeDocument/2006/relationships/hyperlink" Target="#'community caseload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'cluster officer capacity ranks'!A1"/><Relationship Id="rId2" Type="http://schemas.openxmlformats.org/officeDocument/2006/relationships/hyperlink" Target="#'cluster capacity, unallocateds'!A1"/><Relationship Id="rId1" Type="http://schemas.openxmlformats.org/officeDocument/2006/relationships/hyperlink" Target="#Home!A1"/><Relationship Id="rId4" Type="http://schemas.openxmlformats.org/officeDocument/2006/relationships/hyperlink" Target="#'div &amp; regional over-capacitie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'cluster officer capacity ranks'!A1"/><Relationship Id="rId2" Type="http://schemas.openxmlformats.org/officeDocument/2006/relationships/hyperlink" Target="#'divisional &amp; regional capacity'!A1"/><Relationship Id="rId1" Type="http://schemas.openxmlformats.org/officeDocument/2006/relationships/hyperlink" Target="#Home!A1"/><Relationship Id="rId4" Type="http://schemas.openxmlformats.org/officeDocument/2006/relationships/hyperlink" Target="#'div &amp; regional over-capacities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'divisional &amp; regional capacity'!A1"/><Relationship Id="rId2" Type="http://schemas.openxmlformats.org/officeDocument/2006/relationships/hyperlink" Target="#Home!A1"/><Relationship Id="rId1" Type="http://schemas.openxmlformats.org/officeDocument/2006/relationships/hyperlink" Target="#'cluster capacity, unallocateds'!A1"/><Relationship Id="rId4" Type="http://schemas.openxmlformats.org/officeDocument/2006/relationships/hyperlink" Target="#'div &amp; regional over-capacities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'cluster officer capacity ranks'!A1"/><Relationship Id="rId2" Type="http://schemas.openxmlformats.org/officeDocument/2006/relationships/hyperlink" Target="#'cluster capacity, unallocateds'!A1"/><Relationship Id="rId1" Type="http://schemas.openxmlformats.org/officeDocument/2006/relationships/hyperlink" Target="#Home!A1"/><Relationship Id="rId4" Type="http://schemas.openxmlformats.org/officeDocument/2006/relationships/hyperlink" Target="#'divisional &amp; regional capacity'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'div &amp; regional reduction hours'!A1"/><Relationship Id="rId2" Type="http://schemas.openxmlformats.org/officeDocument/2006/relationships/hyperlink" Target="#'cluster reductions'!A1"/><Relationship Id="rId1" Type="http://schemas.openxmlformats.org/officeDocument/2006/relationships/hyperlink" Target="#Home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'div &amp; regional reduction hours'!A1"/><Relationship Id="rId2" Type="http://schemas.openxmlformats.org/officeDocument/2006/relationships/hyperlink" Target="#'reasons for reduction division'!A1"/><Relationship Id="rId1" Type="http://schemas.openxmlformats.org/officeDocument/2006/relationships/hyperlink" Target="#Home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'cluster reductions'!A1"/><Relationship Id="rId2" Type="http://schemas.openxmlformats.org/officeDocument/2006/relationships/hyperlink" Target="#'reasons for reduction division'!A1"/><Relationship Id="rId1" Type="http://schemas.openxmlformats.org/officeDocument/2006/relationships/hyperlink" Target="#Home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'community caseload'!A1"/><Relationship Id="rId3" Type="http://schemas.openxmlformats.org/officeDocument/2006/relationships/hyperlink" Target="#'custody caseload'!A1"/><Relationship Id="rId7" Type="http://schemas.openxmlformats.org/officeDocument/2006/relationships/hyperlink" Target="#'community %'!A1"/><Relationship Id="rId2" Type="http://schemas.openxmlformats.org/officeDocument/2006/relationships/hyperlink" Target="#'divisional caseload'!A1"/><Relationship Id="rId1" Type="http://schemas.openxmlformats.org/officeDocument/2006/relationships/hyperlink" Target="#Home!A1"/><Relationship Id="rId6" Type="http://schemas.openxmlformats.org/officeDocument/2006/relationships/hyperlink" Target="#'custody %'!A1"/><Relationship Id="rId5" Type="http://schemas.openxmlformats.org/officeDocument/2006/relationships/hyperlink" Target="#'divisional caseload %'!A1"/><Relationship Id="rId4" Type="http://schemas.openxmlformats.org/officeDocument/2006/relationships/hyperlink" Target="#'national caseload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'cluster officer capacity ranks'!A1"/><Relationship Id="rId2" Type="http://schemas.openxmlformats.org/officeDocument/2006/relationships/hyperlink" Target="#'cluster capacity, unallocateds'!A1"/><Relationship Id="rId1" Type="http://schemas.openxmlformats.org/officeDocument/2006/relationships/hyperlink" Target="#Home!A1"/><Relationship Id="rId5" Type="http://schemas.openxmlformats.org/officeDocument/2006/relationships/hyperlink" Target="#'div over-capacities'!A1"/><Relationship Id="rId4" Type="http://schemas.openxmlformats.org/officeDocument/2006/relationships/hyperlink" Target="#'divisional capacity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'division reduction in hours'!A1"/><Relationship Id="rId2" Type="http://schemas.openxmlformats.org/officeDocument/2006/relationships/hyperlink" Target="#'cluster reductions'!A1"/><Relationship Id="rId1" Type="http://schemas.openxmlformats.org/officeDocument/2006/relationships/hyperlink" Target="#Home!A1"/><Relationship Id="rId4" Type="http://schemas.openxmlformats.org/officeDocument/2006/relationships/hyperlink" Target="#'reasons for reduction division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59878</xdr:colOff>
      <xdr:row>2</xdr:row>
      <xdr:rowOff>270782</xdr:rowOff>
    </xdr:from>
    <xdr:to>
      <xdr:col>5</xdr:col>
      <xdr:colOff>0</xdr:colOff>
      <xdr:row>22</xdr:row>
      <xdr:rowOff>176893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76307" y="1291318"/>
          <a:ext cx="1777086" cy="450532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73715</xdr:colOff>
      <xdr:row>24</xdr:row>
      <xdr:rowOff>28575</xdr:rowOff>
    </xdr:from>
    <xdr:to>
      <xdr:col>21</xdr:col>
      <xdr:colOff>28575</xdr:colOff>
      <xdr:row>30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"/>
        <a:stretch/>
      </xdr:blipFill>
      <xdr:spPr>
        <a:xfrm>
          <a:off x="73715" y="6467475"/>
          <a:ext cx="13566085" cy="1219200"/>
        </a:xfrm>
        <a:prstGeom prst="rect">
          <a:avLst/>
        </a:prstGeom>
      </xdr:spPr>
    </xdr:pic>
    <xdr:clientData/>
  </xdr:twoCellAnchor>
  <xdr:twoCellAnchor>
    <xdr:from>
      <xdr:col>17</xdr:col>
      <xdr:colOff>126590</xdr:colOff>
      <xdr:row>0</xdr:row>
      <xdr:rowOff>125091</xdr:rowOff>
    </xdr:from>
    <xdr:to>
      <xdr:col>24</xdr:col>
      <xdr:colOff>236314</xdr:colOff>
      <xdr:row>2</xdr:row>
      <xdr:rowOff>122464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5590" y="125091"/>
          <a:ext cx="4545653" cy="7593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257176</xdr:colOff>
      <xdr:row>24</xdr:row>
      <xdr:rowOff>168137</xdr:rowOff>
    </xdr:from>
    <xdr:to>
      <xdr:col>6</xdr:col>
      <xdr:colOff>228601</xdr:colOff>
      <xdr:row>26</xdr:row>
      <xdr:rowOff>114257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9306" t="86666" r="14791" b="10701"/>
        <a:stretch/>
      </xdr:blipFill>
      <xdr:spPr>
        <a:xfrm>
          <a:off x="466726" y="6607037"/>
          <a:ext cx="3019425" cy="327120"/>
        </a:xfrm>
        <a:prstGeom prst="rect">
          <a:avLst/>
        </a:prstGeom>
      </xdr:spPr>
    </xdr:pic>
    <xdr:clientData/>
  </xdr:twoCellAnchor>
  <xdr:twoCellAnchor>
    <xdr:from>
      <xdr:col>2</xdr:col>
      <xdr:colOff>131756</xdr:colOff>
      <xdr:row>15</xdr:row>
      <xdr:rowOff>199364</xdr:rowOff>
    </xdr:from>
    <xdr:to>
      <xdr:col>4</xdr:col>
      <xdr:colOff>542573</xdr:colOff>
      <xdr:row>17</xdr:row>
      <xdr:rowOff>138075</xdr:rowOff>
    </xdr:to>
    <xdr:sp macro="" textlink="" fLocksText="0">
      <xdr:nvSpPr>
        <xdr:cNvPr id="18" name="Rounded Rectangle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948185" y="4172650"/>
          <a:ext cx="1635459" cy="401354"/>
        </a:xfrm>
        <a:prstGeom prst="roundRect">
          <a:avLst/>
        </a:prstGeom>
        <a:gradFill>
          <a:gsLst>
            <a:gs pos="0">
              <a:schemeClr val="bg1">
                <a:lumMod val="95000"/>
              </a:schemeClr>
            </a:gs>
            <a:gs pos="97000">
              <a:srgbClr val="7030A0"/>
            </a:gs>
            <a:gs pos="94000">
              <a:srgbClr val="7030A0"/>
            </a:gs>
            <a:gs pos="100000">
              <a:srgbClr val="7030A0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latin typeface="Arial" panose="020B0604020202020204" pitchFamily="34" charset="0"/>
              <a:cs typeface="Arial" panose="020B0604020202020204" pitchFamily="34" charset="0"/>
            </a:rPr>
            <a:t>OM capacity</a:t>
          </a:r>
        </a:p>
      </xdr:txBody>
    </xdr:sp>
    <xdr:clientData fLocksWithSheet="0"/>
  </xdr:twoCellAnchor>
  <xdr:twoCellAnchor>
    <xdr:from>
      <xdr:col>2</xdr:col>
      <xdr:colOff>136380</xdr:colOff>
      <xdr:row>18</xdr:row>
      <xdr:rowOff>70151</xdr:rowOff>
    </xdr:from>
    <xdr:to>
      <xdr:col>4</xdr:col>
      <xdr:colOff>540571</xdr:colOff>
      <xdr:row>19</xdr:row>
      <xdr:rowOff>221499</xdr:rowOff>
    </xdr:to>
    <xdr:sp macro="" textlink="" fLocksText="0">
      <xdr:nvSpPr>
        <xdr:cNvPr id="28" name="Rounded Rectangl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952809" y="4737401"/>
          <a:ext cx="1628833" cy="396277"/>
        </a:xfrm>
        <a:prstGeom prst="roundRect">
          <a:avLst/>
        </a:prstGeom>
        <a:gradFill>
          <a:gsLst>
            <a:gs pos="0">
              <a:schemeClr val="bg1">
                <a:lumMod val="95000"/>
              </a:schemeClr>
            </a:gs>
            <a:gs pos="97000">
              <a:srgbClr val="7030A0"/>
            </a:gs>
            <a:gs pos="94000">
              <a:srgbClr val="7030A0"/>
            </a:gs>
            <a:gs pos="100000">
              <a:srgbClr val="7030A0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latin typeface="Arial" panose="020B0604020202020204" pitchFamily="34" charset="0"/>
              <a:cs typeface="Arial" panose="020B0604020202020204" pitchFamily="34" charset="0"/>
            </a:rPr>
            <a:t>Reductions</a:t>
          </a:r>
        </a:p>
      </xdr:txBody>
    </xdr:sp>
    <xdr:clientData fLocksWithSheet="0"/>
  </xdr:twoCellAnchor>
  <xdr:twoCellAnchor>
    <xdr:from>
      <xdr:col>2</xdr:col>
      <xdr:colOff>119970</xdr:colOff>
      <xdr:row>20</xdr:row>
      <xdr:rowOff>84029</xdr:rowOff>
    </xdr:from>
    <xdr:to>
      <xdr:col>4</xdr:col>
      <xdr:colOff>524161</xdr:colOff>
      <xdr:row>22</xdr:row>
      <xdr:rowOff>22740</xdr:rowOff>
    </xdr:to>
    <xdr:sp macro="" textlink="" fLocksText="0">
      <xdr:nvSpPr>
        <xdr:cNvPr id="36" name="Rounded Rectangle 3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936399" y="5227529"/>
          <a:ext cx="1628833" cy="414961"/>
        </a:xfrm>
        <a:prstGeom prst="roundRect">
          <a:avLst/>
        </a:prstGeom>
        <a:gradFill>
          <a:gsLst>
            <a:gs pos="0">
              <a:schemeClr val="bg1">
                <a:lumMod val="95000"/>
              </a:schemeClr>
            </a:gs>
            <a:gs pos="97000">
              <a:srgbClr val="7030A0"/>
            </a:gs>
            <a:gs pos="94000">
              <a:srgbClr val="7030A0"/>
            </a:gs>
            <a:gs pos="100000">
              <a:srgbClr val="7030A0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latin typeface="Arial" panose="020B0604020202020204" pitchFamily="34" charset="0"/>
              <a:cs typeface="Arial" panose="020B0604020202020204" pitchFamily="34" charset="0"/>
            </a:rPr>
            <a:t>Caseload</a:t>
          </a:r>
        </a:p>
      </xdr:txBody>
    </xdr:sp>
    <xdr:clientData fLocksWithSheet="0"/>
  </xdr:twoCellAnchor>
  <xdr:twoCellAnchor>
    <xdr:from>
      <xdr:col>2</xdr:col>
      <xdr:colOff>95256</xdr:colOff>
      <xdr:row>9</xdr:row>
      <xdr:rowOff>81642</xdr:rowOff>
    </xdr:from>
    <xdr:to>
      <xdr:col>4</xdr:col>
      <xdr:colOff>557893</xdr:colOff>
      <xdr:row>11</xdr:row>
      <xdr:rowOff>167366</xdr:rowOff>
    </xdr:to>
    <xdr:sp macro="" textlink="" fLocksText="0">
      <xdr:nvSpPr>
        <xdr:cNvPr id="20" name="Rounded Rectangle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A125EC8-BDF4-4283-9976-9DC9715249DD}"/>
            </a:ext>
          </a:extLst>
        </xdr:cNvPr>
        <xdr:cNvSpPr/>
      </xdr:nvSpPr>
      <xdr:spPr>
        <a:xfrm>
          <a:off x="911685" y="2666999"/>
          <a:ext cx="1687279" cy="548367"/>
        </a:xfrm>
        <a:prstGeom prst="roundRect">
          <a:avLst/>
        </a:prstGeom>
        <a:gradFill>
          <a:gsLst>
            <a:gs pos="0">
              <a:schemeClr val="bg1">
                <a:lumMod val="95000"/>
              </a:schemeClr>
            </a:gs>
            <a:gs pos="97000">
              <a:srgbClr val="7030A0"/>
            </a:gs>
            <a:gs pos="94000">
              <a:srgbClr val="7030A0"/>
            </a:gs>
            <a:gs pos="100000">
              <a:srgbClr val="7030A0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aseline="0">
              <a:latin typeface="Arial" panose="020B0604020202020204" pitchFamily="34" charset="0"/>
              <a:cs typeface="Arial" panose="020B0604020202020204" pitchFamily="34" charset="0"/>
            </a:rPr>
            <a:t>PDU overviews</a:t>
          </a:r>
        </a:p>
      </xdr:txBody>
    </xdr:sp>
    <xdr:clientData fLocksWithSheet="0"/>
  </xdr:twoCellAnchor>
  <xdr:twoCellAnchor>
    <xdr:from>
      <xdr:col>2</xdr:col>
      <xdr:colOff>102053</xdr:colOff>
      <xdr:row>12</xdr:row>
      <xdr:rowOff>452</xdr:rowOff>
    </xdr:from>
    <xdr:to>
      <xdr:col>4</xdr:col>
      <xdr:colOff>549728</xdr:colOff>
      <xdr:row>15</xdr:row>
      <xdr:rowOff>117929</xdr:rowOff>
    </xdr:to>
    <xdr:sp macro="" textlink="" fLocksText="0">
      <xdr:nvSpPr>
        <xdr:cNvPr id="22" name="Rounded Rectangl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5F007FD-6D2C-4D84-B889-D6A368DB59F5}"/>
            </a:ext>
          </a:extLst>
        </xdr:cNvPr>
        <xdr:cNvSpPr/>
      </xdr:nvSpPr>
      <xdr:spPr>
        <a:xfrm>
          <a:off x="945696" y="2984952"/>
          <a:ext cx="1681389" cy="797834"/>
        </a:xfrm>
        <a:prstGeom prst="roundRect">
          <a:avLst/>
        </a:prstGeom>
        <a:gradFill>
          <a:gsLst>
            <a:gs pos="0">
              <a:schemeClr val="bg1">
                <a:lumMod val="95000"/>
              </a:schemeClr>
            </a:gs>
            <a:gs pos="97000">
              <a:srgbClr val="7030A0"/>
            </a:gs>
            <a:gs pos="94000">
              <a:srgbClr val="7030A0"/>
            </a:gs>
            <a:gs pos="100000">
              <a:srgbClr val="7030A0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aseline="0">
              <a:latin typeface="Arial" panose="020B0604020202020204" pitchFamily="34" charset="0"/>
              <a:cs typeface="Arial" panose="020B0604020202020204" pitchFamily="34" charset="0"/>
            </a:rPr>
            <a:t>Regional overviews</a:t>
          </a:r>
        </a:p>
      </xdr:txBody>
    </xdr:sp>
    <xdr:clientData fLocksWithSheet="0"/>
  </xdr:twoCellAnchor>
  <xdr:twoCellAnchor>
    <xdr:from>
      <xdr:col>6</xdr:col>
      <xdr:colOff>1</xdr:colOff>
      <xdr:row>3</xdr:row>
      <xdr:rowOff>0</xdr:rowOff>
    </xdr:from>
    <xdr:to>
      <xdr:col>15</xdr:col>
      <xdr:colOff>27215</xdr:colOff>
      <xdr:row>22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B5FBA4-0CB7-42BE-8040-A4CB9D7A81FE}"/>
            </a:ext>
          </a:extLst>
        </xdr:cNvPr>
        <xdr:cNvSpPr txBox="1"/>
      </xdr:nvSpPr>
      <xdr:spPr>
        <a:xfrm>
          <a:off x="3265715" y="1034143"/>
          <a:ext cx="6381750" cy="4517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000">
              <a:latin typeface="Arial" panose="020B0604020202020204" pitchFamily="34" charset="0"/>
              <a:cs typeface="Arial" panose="020B0604020202020204" pitchFamily="34" charset="0"/>
            </a:rPr>
            <a:t>WORKLOAD MEASUREMENT OVERVIEW REPORT</a:t>
          </a:r>
        </a:p>
        <a:p>
          <a:pPr algn="ctr"/>
          <a:endParaRPr lang="en-GB" sz="400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GB" sz="4000">
              <a:latin typeface="Arial" panose="020B0604020202020204" pitchFamily="34" charset="0"/>
              <a:cs typeface="Arial" panose="020B0604020202020204" pitchFamily="34" charset="0"/>
            </a:rPr>
            <a:t>IDC TEAM</a:t>
          </a:r>
        </a:p>
        <a:p>
          <a:endParaRPr lang="en-GB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100699</xdr:colOff>
      <xdr:row>6</xdr:row>
      <xdr:rowOff>39463</xdr:rowOff>
    </xdr:from>
    <xdr:to>
      <xdr:col>4</xdr:col>
      <xdr:colOff>563336</xdr:colOff>
      <xdr:row>8</xdr:row>
      <xdr:rowOff>206829</xdr:rowOff>
    </xdr:to>
    <xdr:sp macro="" textlink="" fLocksText="0">
      <xdr:nvSpPr>
        <xdr:cNvPr id="25" name="Rounded Rectangl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46B5BF1-DF87-4349-9699-F2D8AAC8453A}"/>
            </a:ext>
          </a:extLst>
        </xdr:cNvPr>
        <xdr:cNvSpPr/>
      </xdr:nvSpPr>
      <xdr:spPr>
        <a:xfrm>
          <a:off x="917128" y="2012499"/>
          <a:ext cx="1687279" cy="548366"/>
        </a:xfrm>
        <a:prstGeom prst="roundRect">
          <a:avLst/>
        </a:prstGeom>
        <a:gradFill>
          <a:gsLst>
            <a:gs pos="0">
              <a:schemeClr val="bg1">
                <a:lumMod val="95000"/>
              </a:schemeClr>
            </a:gs>
            <a:gs pos="97000">
              <a:srgbClr val="7030A0"/>
            </a:gs>
            <a:gs pos="94000">
              <a:srgbClr val="7030A0"/>
            </a:gs>
            <a:gs pos="100000">
              <a:srgbClr val="7030A0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aseline="0">
              <a:latin typeface="Arial" panose="020B0604020202020204" pitchFamily="34" charset="0"/>
              <a:cs typeface="Arial" panose="020B0604020202020204" pitchFamily="34" charset="0"/>
            </a:rPr>
            <a:t>Team overviews</a:t>
          </a:r>
        </a:p>
      </xdr:txBody>
    </xdr:sp>
    <xdr:clientData fLocksWithSheet="0"/>
  </xdr:twoCellAnchor>
  <xdr:twoCellAnchor>
    <xdr:from>
      <xdr:col>2</xdr:col>
      <xdr:colOff>100699</xdr:colOff>
      <xdr:row>3</xdr:row>
      <xdr:rowOff>53069</xdr:rowOff>
    </xdr:from>
    <xdr:to>
      <xdr:col>4</xdr:col>
      <xdr:colOff>563336</xdr:colOff>
      <xdr:row>5</xdr:row>
      <xdr:rowOff>122464</xdr:rowOff>
    </xdr:to>
    <xdr:sp macro="" textlink="" fLocksText="0">
      <xdr:nvSpPr>
        <xdr:cNvPr id="26" name="Rounded Rectangle 1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6299076-E7FA-483F-B7E7-777C7AA2B5D0}"/>
            </a:ext>
          </a:extLst>
        </xdr:cNvPr>
        <xdr:cNvSpPr/>
      </xdr:nvSpPr>
      <xdr:spPr>
        <a:xfrm>
          <a:off x="917128" y="1345748"/>
          <a:ext cx="1687279" cy="532037"/>
        </a:xfrm>
        <a:prstGeom prst="roundRect">
          <a:avLst/>
        </a:prstGeom>
        <a:gradFill>
          <a:gsLst>
            <a:gs pos="0">
              <a:schemeClr val="bg1">
                <a:lumMod val="95000"/>
              </a:schemeClr>
            </a:gs>
            <a:gs pos="97000">
              <a:srgbClr val="7030A0"/>
            </a:gs>
            <a:gs pos="94000">
              <a:srgbClr val="7030A0"/>
            </a:gs>
            <a:gs pos="100000">
              <a:srgbClr val="7030A0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aseline="0">
              <a:latin typeface="Arial" panose="020B0604020202020204" pitchFamily="34" charset="0"/>
              <a:cs typeface="Arial" panose="020B0604020202020204" pitchFamily="34" charset="0"/>
            </a:rPr>
            <a:t>FAQs</a:t>
          </a:r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0</xdr:row>
      <xdr:rowOff>57150</xdr:rowOff>
    </xdr:from>
    <xdr:to>
      <xdr:col>1</xdr:col>
      <xdr:colOff>685800</xdr:colOff>
      <xdr:row>0</xdr:row>
      <xdr:rowOff>381000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496DEE-B893-4E9A-83F7-CE6F8E7C0937}"/>
            </a:ext>
          </a:extLst>
        </xdr:cNvPr>
        <xdr:cNvSpPr/>
      </xdr:nvSpPr>
      <xdr:spPr>
        <a:xfrm>
          <a:off x="123824" y="57150"/>
          <a:ext cx="1171576" cy="3238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0</xdr:col>
      <xdr:colOff>400050</xdr:colOff>
      <xdr:row>1</xdr:row>
      <xdr:rowOff>171450</xdr:rowOff>
    </xdr:from>
    <xdr:to>
      <xdr:col>17</xdr:col>
      <xdr:colOff>247650</xdr:colOff>
      <xdr:row>25</xdr:row>
      <xdr:rowOff>31750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960B5FA-D676-44C8-B03A-57B5609B2C1F}"/>
            </a:ext>
          </a:extLst>
        </xdr:cNvPr>
        <xdr:cNvSpPr txBox="1"/>
      </xdr:nvSpPr>
      <xdr:spPr>
        <a:xfrm>
          <a:off x="400050" y="685800"/>
          <a:ext cx="10318750" cy="412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  <a:p>
          <a:r>
            <a:rPr lang="en-GB" sz="1100"/>
            <a:t>What</a:t>
          </a:r>
          <a:r>
            <a:rPr lang="en-GB" sz="1100" baseline="0"/>
            <a:t> are 'dummy' (DMY) officers? - </a:t>
          </a:r>
          <a:r>
            <a:rPr lang="en-GB" sz="1100" baseline="0">
              <a:solidFill>
                <a:schemeClr val="accent5">
                  <a:lumMod val="75000"/>
                </a:schemeClr>
              </a:solidFill>
            </a:rPr>
            <a:t>These are shown as such as they have NO recorded grade within nDelius.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Why are there fewer headcount staff showing on this report than I know there are within my cluster? </a:t>
          </a:r>
          <a:r>
            <a:rPr lang="en-GB" sz="110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Because OMs will only appear on WMT if they are holding a case.</a:t>
          </a:r>
        </a:p>
        <a:p>
          <a:endParaRPr lang="en-GB" sz="1100" baseline="0"/>
        </a:p>
        <a:p>
          <a:r>
            <a:rPr lang="en-GB" sz="1100" baseline="0"/>
            <a:t>What are the two figures displayed in relation to CMS? </a:t>
          </a:r>
          <a:r>
            <a:rPr lang="en-GB" sz="1100" baseline="0">
              <a:solidFill>
                <a:schemeClr val="accent5">
                  <a:lumMod val="75000"/>
                </a:schemeClr>
              </a:solidFill>
            </a:rPr>
            <a:t>CMS % of capacity in use is reflective of how much of the work that has been generated was by case management support. e.g. if a certain region shows their PSO capacity in use as 90%, and CMS % of capacity in use is 30%, 30% of the 90% average capacity for PSOs in that region to have been gained by the addition of points to PSOs via CMS activities. CMS % of overall available capacity reflects the average percentage of CMS conducted by PSOs and TPOs in relation to their elgible capacity. The NPS's assumption is that PSOs will conduct 25% of their overall output on CMS activities, so for a PSO working 37 hours per week there is an assumption that they would spend 9 hours and 15 minutes per week on CMS activities. </a:t>
          </a:r>
        </a:p>
        <a:p>
          <a:endParaRPr lang="en-GB" sz="1100" baseline="0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Why are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reduction reasons '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PQiP - 12 to 18 months,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PQiP - 1st 6 months and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PQiP - 6 to 12 months' always highlighted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red? </a:t>
          </a:r>
          <a:r>
            <a:rPr lang="en-GB" sz="1100" b="0" i="0" u="none" strike="noStrike" baseline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These are the old style of reduction reasons regarding PQiP candidates and should no longer be applied. Please stick to using the reasons '</a:t>
          </a:r>
          <a:r>
            <a:rPr lang="en-GB" sz="1100" b="0" i="0" u="none" strike="noStrike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PQiP15 0-6,</a:t>
          </a:r>
          <a:r>
            <a:rPr lang="en-GB">
              <a:solidFill>
                <a:schemeClr val="accent5">
                  <a:lumMod val="75000"/>
                </a:schemeClr>
              </a:solidFill>
            </a:rPr>
            <a:t> </a:t>
          </a:r>
          <a:r>
            <a:rPr lang="en-GB" sz="1100" b="0" i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PQiP15 12-15,</a:t>
          </a:r>
          <a:r>
            <a:rPr lang="en-GB" sz="110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="0" i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PQiP15 6-12,</a:t>
          </a:r>
          <a:r>
            <a:rPr lang="en-GB" sz="110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="0" i="0" u="none" strike="noStrike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PQiP21 0-6,</a:t>
          </a:r>
          <a:r>
            <a:rPr lang="en-GB">
              <a:solidFill>
                <a:schemeClr val="accent5">
                  <a:lumMod val="75000"/>
                </a:schemeClr>
              </a:solidFill>
            </a:rPr>
            <a:t> </a:t>
          </a:r>
          <a:r>
            <a:rPr lang="en-GB" sz="1100" b="0" i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PQiP21 6-18, </a:t>
          </a:r>
          <a:r>
            <a:rPr lang="en-GB" sz="1100" b="0" i="0" u="none" strike="noStrike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PQiP21 18-21'. These</a:t>
          </a:r>
          <a:r>
            <a:rPr lang="en-GB" sz="1100" b="0" i="0" u="none" strike="noStrike" baseline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are now the correct ones and should be applied depending on whether the candidate is taking the 15 or 21 month long PQiP qualification.</a:t>
          </a:r>
          <a:r>
            <a:rPr lang="en-GB" sz="1100" b="0" i="0" u="none" strike="noStrike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n-GB" sz="1100" b="0" i="0" u="none" strike="noStrike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</a:br>
          <a:endParaRPr lang="en-GB" sz="1100" b="0" i="0" u="none" strike="noStrike">
            <a:solidFill>
              <a:schemeClr val="accent5">
                <a:lumMod val="75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Why is</a:t>
          </a:r>
          <a:r>
            <a:rPr lang="en-GB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their a difference in the numbers shown for PO/PSO/TPO contracted hours as opposed to the contracted hours shown overall? </a:t>
          </a:r>
          <a:r>
            <a:rPr lang="en-GB" sz="1100" b="0" i="0" u="none" strike="noStrike" baseline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This is due to SPOs recorded within the WMT showing as 37 contracted hours - SPO Contracted hours should always shows as zero - as they are not contracted to manage offenders within the OMU.</a:t>
          </a:r>
          <a:r>
            <a:rPr lang="en-GB">
              <a:solidFill>
                <a:schemeClr val="accent5">
                  <a:lumMod val="75000"/>
                </a:schemeClr>
              </a:solidFill>
            </a:rPr>
            <a:t> </a:t>
          </a:r>
          <a:r>
            <a:rPr lang="en-GB" sz="1100" b="0" i="0" u="none" strike="noStrike" baseline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n-GB" sz="1100" baseline="0">
            <a:solidFill>
              <a:schemeClr val="accent5">
                <a:lumMod val="75000"/>
              </a:schemeClr>
            </a:solidFill>
          </a:endParaRPr>
        </a:p>
        <a:p>
          <a:r>
            <a:rPr lang="en-GB" sz="1100" baseline="0">
              <a:solidFill>
                <a:sysClr val="windowText" lastClr="000000"/>
              </a:solidFill>
            </a:rPr>
            <a:t>Why are there duplicate values on the Cluster Top Tens?</a:t>
          </a:r>
        </a:p>
        <a:p>
          <a:r>
            <a:rPr lang="en-GB" sz="1100" baseline="0">
              <a:solidFill>
                <a:schemeClr val="accent5">
                  <a:lumMod val="75000"/>
                </a:schemeClr>
              </a:solidFill>
            </a:rPr>
            <a:t>A limitation with the dashboard is when 2 clusters have the same value Excel will default to the first cluster in a list. It is a rare occurence though and should cause minimal issues.</a:t>
          </a:r>
        </a:p>
        <a:p>
          <a:endParaRPr lang="en-GB" sz="1100">
            <a:solidFill>
              <a:schemeClr val="accent5">
                <a:lumMod val="75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552449</xdr:colOff>
      <xdr:row>0</xdr:row>
      <xdr:rowOff>136071</xdr:rowOff>
    </xdr:from>
    <xdr:to>
      <xdr:col>1</xdr:col>
      <xdr:colOff>1292679</xdr:colOff>
      <xdr:row>0</xdr:row>
      <xdr:rowOff>762000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552449" y="136071"/>
          <a:ext cx="1352551" cy="62592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6</xdr:col>
      <xdr:colOff>797718</xdr:colOff>
      <xdr:row>0</xdr:row>
      <xdr:rowOff>221316</xdr:rowOff>
    </xdr:from>
    <xdr:to>
      <xdr:col>7</xdr:col>
      <xdr:colOff>1346105</xdr:colOff>
      <xdr:row>0</xdr:row>
      <xdr:rowOff>760479</xdr:rowOff>
    </xdr:to>
    <xdr:sp macro="" textlink="">
      <xdr:nvSpPr>
        <xdr:cNvPr id="3" name="Rounded 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85716CA-EA3F-4A60-A970-E51FB929D0BC}"/>
            </a:ext>
          </a:extLst>
        </xdr:cNvPr>
        <xdr:cNvSpPr/>
      </xdr:nvSpPr>
      <xdr:spPr>
        <a:xfrm>
          <a:off x="8286749" y="221316"/>
          <a:ext cx="1703294" cy="53916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PDU overview</a:t>
          </a:r>
        </a:p>
      </xdr:txBody>
    </xdr:sp>
    <xdr:clientData fPrintsWithSheet="0"/>
  </xdr:twoCellAnchor>
  <xdr:twoCellAnchor>
    <xdr:from>
      <xdr:col>8</xdr:col>
      <xdr:colOff>190498</xdr:colOff>
      <xdr:row>0</xdr:row>
      <xdr:rowOff>226219</xdr:rowOff>
    </xdr:from>
    <xdr:to>
      <xdr:col>9</xdr:col>
      <xdr:colOff>797718</xdr:colOff>
      <xdr:row>0</xdr:row>
      <xdr:rowOff>750095</xdr:rowOff>
    </xdr:to>
    <xdr:sp macro="" textlink="">
      <xdr:nvSpPr>
        <xdr:cNvPr id="4" name="Rounded Rectangl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5F87C2-0D1D-43AB-9683-9FEAA2871A4F}"/>
            </a:ext>
          </a:extLst>
        </xdr:cNvPr>
        <xdr:cNvSpPr/>
      </xdr:nvSpPr>
      <xdr:spPr>
        <a:xfrm>
          <a:off x="10310811" y="226219"/>
          <a:ext cx="1762126" cy="52387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team overview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526934</xdr:colOff>
      <xdr:row>0</xdr:row>
      <xdr:rowOff>62253</xdr:rowOff>
    </xdr:from>
    <xdr:to>
      <xdr:col>1</xdr:col>
      <xdr:colOff>819828</xdr:colOff>
      <xdr:row>0</xdr:row>
      <xdr:rowOff>495640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526934" y="62253"/>
          <a:ext cx="905215" cy="43338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  <a:endParaRPr lang="en-GB" sz="16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4</xdr:col>
      <xdr:colOff>943429</xdr:colOff>
      <xdr:row>0</xdr:row>
      <xdr:rowOff>61233</xdr:rowOff>
    </xdr:from>
    <xdr:to>
      <xdr:col>7</xdr:col>
      <xdr:colOff>45357</xdr:colOff>
      <xdr:row>0</xdr:row>
      <xdr:rowOff>508227</xdr:rowOff>
    </xdr:to>
    <xdr:sp macro="" textlink="">
      <xdr:nvSpPr>
        <xdr:cNvPr id="4" name="Rounded 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217693-4384-4BD4-A389-1480CD75AB84}"/>
            </a:ext>
          </a:extLst>
        </xdr:cNvPr>
        <xdr:cNvSpPr/>
      </xdr:nvSpPr>
      <xdr:spPr>
        <a:xfrm>
          <a:off x="7084786" y="61233"/>
          <a:ext cx="2639785" cy="44699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overview</a:t>
          </a:r>
        </a:p>
      </xdr:txBody>
    </xdr:sp>
    <xdr:clientData fPrintsWithSheet="0"/>
  </xdr:twoCellAnchor>
  <xdr:twoCellAnchor>
    <xdr:from>
      <xdr:col>7</xdr:col>
      <xdr:colOff>144009</xdr:colOff>
      <xdr:row>0</xdr:row>
      <xdr:rowOff>73704</xdr:rowOff>
    </xdr:from>
    <xdr:to>
      <xdr:col>8</xdr:col>
      <xdr:colOff>712107</xdr:colOff>
      <xdr:row>0</xdr:row>
      <xdr:rowOff>539748</xdr:rowOff>
    </xdr:to>
    <xdr:sp macro="" textlink="">
      <xdr:nvSpPr>
        <xdr:cNvPr id="5" name="Rounded Rectangl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FEE9EF5-DB25-4018-B675-5586F8FA252B}"/>
            </a:ext>
          </a:extLst>
        </xdr:cNvPr>
        <xdr:cNvSpPr/>
      </xdr:nvSpPr>
      <xdr:spPr>
        <a:xfrm>
          <a:off x="9823223" y="73704"/>
          <a:ext cx="1910670" cy="46604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team overview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469105</xdr:colOff>
      <xdr:row>0</xdr:row>
      <xdr:rowOff>69055</xdr:rowOff>
    </xdr:from>
    <xdr:to>
      <xdr:col>1</xdr:col>
      <xdr:colOff>738187</xdr:colOff>
      <xdr:row>0</xdr:row>
      <xdr:rowOff>473867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13245-2D35-435C-BFE9-9CEC3B58B703}"/>
            </a:ext>
          </a:extLst>
        </xdr:cNvPr>
        <xdr:cNvSpPr/>
      </xdr:nvSpPr>
      <xdr:spPr>
        <a:xfrm>
          <a:off x="469105" y="69055"/>
          <a:ext cx="876301" cy="40481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6</xdr:col>
      <xdr:colOff>273843</xdr:colOff>
      <xdr:row>0</xdr:row>
      <xdr:rowOff>47625</xdr:rowOff>
    </xdr:from>
    <xdr:to>
      <xdr:col>7</xdr:col>
      <xdr:colOff>547687</xdr:colOff>
      <xdr:row>0</xdr:row>
      <xdr:rowOff>466044</xdr:rowOff>
    </xdr:to>
    <xdr:sp macro="" textlink="">
      <xdr:nvSpPr>
        <xdr:cNvPr id="4" name="Rounded 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7A666B-BC1E-4E4F-9D60-4670FFDB69D5}"/>
            </a:ext>
          </a:extLst>
        </xdr:cNvPr>
        <xdr:cNvSpPr/>
      </xdr:nvSpPr>
      <xdr:spPr>
        <a:xfrm>
          <a:off x="8274843" y="47625"/>
          <a:ext cx="1524000" cy="41841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PDU overview</a:t>
          </a:r>
        </a:p>
      </xdr:txBody>
    </xdr:sp>
    <xdr:clientData fPrintsWithSheet="0"/>
  </xdr:twoCellAnchor>
  <xdr:twoCellAnchor>
    <xdr:from>
      <xdr:col>4</xdr:col>
      <xdr:colOff>30602</xdr:colOff>
      <xdr:row>0</xdr:row>
      <xdr:rowOff>45903</xdr:rowOff>
    </xdr:from>
    <xdr:to>
      <xdr:col>6</xdr:col>
      <xdr:colOff>214544</xdr:colOff>
      <xdr:row>0</xdr:row>
      <xdr:rowOff>459036</xdr:rowOff>
    </xdr:to>
    <xdr:sp macro="" textlink="">
      <xdr:nvSpPr>
        <xdr:cNvPr id="5" name="Rounded Rectangl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A8F6EA-4D22-43BC-B849-C66BCB52ACEB}"/>
            </a:ext>
          </a:extLst>
        </xdr:cNvPr>
        <xdr:cNvSpPr/>
      </xdr:nvSpPr>
      <xdr:spPr>
        <a:xfrm>
          <a:off x="6189337" y="45903"/>
          <a:ext cx="2417918" cy="4131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overview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151039</xdr:colOff>
      <xdr:row>0</xdr:row>
      <xdr:rowOff>247649</xdr:rowOff>
    </xdr:from>
    <xdr:to>
      <xdr:col>1</xdr:col>
      <xdr:colOff>713015</xdr:colOff>
      <xdr:row>0</xdr:row>
      <xdr:rowOff>748392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51039" y="247649"/>
          <a:ext cx="1174297" cy="5007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22</xdr:col>
      <xdr:colOff>293916</xdr:colOff>
      <xdr:row>0</xdr:row>
      <xdr:rowOff>97232</xdr:rowOff>
    </xdr:from>
    <xdr:to>
      <xdr:col>22</xdr:col>
      <xdr:colOff>2161721</xdr:colOff>
      <xdr:row>0</xdr:row>
      <xdr:rowOff>691190</xdr:rowOff>
    </xdr:to>
    <xdr:sp macro="" textlink="">
      <xdr:nvSpPr>
        <xdr:cNvPr id="9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441E23-5C31-47BD-89F4-7E496D4DFAE4}"/>
            </a:ext>
          </a:extLst>
        </xdr:cNvPr>
        <xdr:cNvSpPr/>
      </xdr:nvSpPr>
      <xdr:spPr>
        <a:xfrm>
          <a:off x="12676416" y="97232"/>
          <a:ext cx="1867805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PrintsWithSheet="0"/>
  </xdr:twoCellAnchor>
  <xdr:twoCellAnchor>
    <xdr:from>
      <xdr:col>19</xdr:col>
      <xdr:colOff>240661</xdr:colOff>
      <xdr:row>1</xdr:row>
      <xdr:rowOff>72920</xdr:rowOff>
    </xdr:from>
    <xdr:to>
      <xdr:col>22</xdr:col>
      <xdr:colOff>38314</xdr:colOff>
      <xdr:row>1</xdr:row>
      <xdr:rowOff>610802</xdr:rowOff>
    </xdr:to>
    <xdr:sp macro="" textlink="">
      <xdr:nvSpPr>
        <xdr:cNvPr id="11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B039528-D08B-4C3B-83F5-BDB87FDCC4E9}"/>
            </a:ext>
          </a:extLst>
        </xdr:cNvPr>
        <xdr:cNvSpPr/>
      </xdr:nvSpPr>
      <xdr:spPr>
        <a:xfrm>
          <a:off x="11056828" y="972503"/>
          <a:ext cx="181906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reigonal caseload percentage</a:t>
          </a:r>
        </a:p>
      </xdr:txBody>
    </xdr:sp>
    <xdr:clientData fPrintsWithSheet="0"/>
  </xdr:twoCellAnchor>
  <xdr:twoCellAnchor>
    <xdr:from>
      <xdr:col>22</xdr:col>
      <xdr:colOff>315686</xdr:colOff>
      <xdr:row>1</xdr:row>
      <xdr:rowOff>74662</xdr:rowOff>
    </xdr:from>
    <xdr:to>
      <xdr:col>22</xdr:col>
      <xdr:colOff>2154411</xdr:colOff>
      <xdr:row>1</xdr:row>
      <xdr:rowOff>612544</xdr:rowOff>
    </xdr:to>
    <xdr:sp macro="" textlink="">
      <xdr:nvSpPr>
        <xdr:cNvPr id="12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F0855F0-4F38-44D7-B22B-224CDEFB64DD}"/>
            </a:ext>
          </a:extLst>
        </xdr:cNvPr>
        <xdr:cNvSpPr/>
      </xdr:nvSpPr>
      <xdr:spPr>
        <a:xfrm>
          <a:off x="12698186" y="972733"/>
          <a:ext cx="1838725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PrintsWithSheet="0"/>
  </xdr:twoCellAnchor>
  <xdr:twoCellAnchor>
    <xdr:from>
      <xdr:col>22</xdr:col>
      <xdr:colOff>2409905</xdr:colOff>
      <xdr:row>1</xdr:row>
      <xdr:rowOff>111001</xdr:rowOff>
    </xdr:from>
    <xdr:to>
      <xdr:col>24</xdr:col>
      <xdr:colOff>112058</xdr:colOff>
      <xdr:row>1</xdr:row>
      <xdr:rowOff>648883</xdr:rowOff>
    </xdr:to>
    <xdr:sp macro="" textlink="">
      <xdr:nvSpPr>
        <xdr:cNvPr id="13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1AD8DDB-CA82-4B7B-9E27-A1089850F934}"/>
            </a:ext>
          </a:extLst>
        </xdr:cNvPr>
        <xdr:cNvSpPr/>
      </xdr:nvSpPr>
      <xdr:spPr>
        <a:xfrm>
          <a:off x="14792405" y="1009072"/>
          <a:ext cx="177068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PrintsWithSheet="0"/>
  </xdr:twoCellAnchor>
  <xdr:twoCellAnchor>
    <xdr:from>
      <xdr:col>22</xdr:col>
      <xdr:colOff>2406069</xdr:colOff>
      <xdr:row>0</xdr:row>
      <xdr:rowOff>108856</xdr:rowOff>
    </xdr:from>
    <xdr:to>
      <xdr:col>24</xdr:col>
      <xdr:colOff>130219</xdr:colOff>
      <xdr:row>0</xdr:row>
      <xdr:rowOff>728930</xdr:rowOff>
    </xdr:to>
    <xdr:sp macro="" textlink="">
      <xdr:nvSpPr>
        <xdr:cNvPr id="14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4EE2FFD-5E09-43DE-96C4-F9FAF9237FC5}"/>
            </a:ext>
          </a:extLst>
        </xdr:cNvPr>
        <xdr:cNvSpPr/>
      </xdr:nvSpPr>
      <xdr:spPr>
        <a:xfrm>
          <a:off x="14788569" y="108856"/>
          <a:ext cx="1792686" cy="62007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19</xdr:col>
      <xdr:colOff>176893</xdr:colOff>
      <xdr:row>0</xdr:row>
      <xdr:rowOff>95250</xdr:rowOff>
    </xdr:from>
    <xdr:to>
      <xdr:col>21</xdr:col>
      <xdr:colOff>609071</xdr:colOff>
      <xdr:row>0</xdr:row>
      <xdr:rowOff>689208</xdr:rowOff>
    </xdr:to>
    <xdr:sp macro="" textlink="">
      <xdr:nvSpPr>
        <xdr:cNvPr id="16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518E166-C5E6-49C3-BB78-DCDEC2EE9686}"/>
            </a:ext>
          </a:extLst>
        </xdr:cNvPr>
        <xdr:cNvSpPr/>
      </xdr:nvSpPr>
      <xdr:spPr>
        <a:xfrm>
          <a:off x="10586357" y="95250"/>
          <a:ext cx="1792893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</a:t>
          </a:r>
        </a:p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</a:p>
      </xdr:txBody>
    </xdr:sp>
    <xdr:clientData fPrintsWithSheet="0"/>
  </xdr:twoCellAnchor>
  <xdr:twoCellAnchor>
    <xdr:from>
      <xdr:col>16</xdr:col>
      <xdr:colOff>54428</xdr:colOff>
      <xdr:row>0</xdr:row>
      <xdr:rowOff>149678</xdr:rowOff>
    </xdr:from>
    <xdr:to>
      <xdr:col>18</xdr:col>
      <xdr:colOff>500214</xdr:colOff>
      <xdr:row>0</xdr:row>
      <xdr:rowOff>743636</xdr:rowOff>
    </xdr:to>
    <xdr:sp macro="" textlink="">
      <xdr:nvSpPr>
        <xdr:cNvPr id="15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274543B-6E1A-4A1F-B098-1563AD56A317}"/>
            </a:ext>
          </a:extLst>
        </xdr:cNvPr>
        <xdr:cNvSpPr/>
      </xdr:nvSpPr>
      <xdr:spPr>
        <a:xfrm>
          <a:off x="8395607" y="149678"/>
          <a:ext cx="1792893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tier ratios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151039</xdr:colOff>
      <xdr:row>0</xdr:row>
      <xdr:rowOff>247649</xdr:rowOff>
    </xdr:from>
    <xdr:to>
      <xdr:col>1</xdr:col>
      <xdr:colOff>713015</xdr:colOff>
      <xdr:row>0</xdr:row>
      <xdr:rowOff>748392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96D643-CEC8-4476-B3C6-83C98F08873C}"/>
            </a:ext>
          </a:extLst>
        </xdr:cNvPr>
        <xdr:cNvSpPr/>
      </xdr:nvSpPr>
      <xdr:spPr>
        <a:xfrm>
          <a:off x="151039" y="247649"/>
          <a:ext cx="1171576" cy="5007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25</xdr:col>
      <xdr:colOff>348344</xdr:colOff>
      <xdr:row>0</xdr:row>
      <xdr:rowOff>97232</xdr:rowOff>
    </xdr:from>
    <xdr:to>
      <xdr:col>27</xdr:col>
      <xdr:colOff>542471</xdr:colOff>
      <xdr:row>0</xdr:row>
      <xdr:rowOff>691190</xdr:rowOff>
    </xdr:to>
    <xdr:sp macro="" textlink="">
      <xdr:nvSpPr>
        <xdr:cNvPr id="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89B312-9FA8-453D-8FBD-C88D50351FC9}"/>
            </a:ext>
          </a:extLst>
        </xdr:cNvPr>
        <xdr:cNvSpPr/>
      </xdr:nvSpPr>
      <xdr:spPr>
        <a:xfrm>
          <a:off x="13873844" y="97232"/>
          <a:ext cx="1554841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PrintsWithSheet="0"/>
  </xdr:twoCellAnchor>
  <xdr:twoCellAnchor>
    <xdr:from>
      <xdr:col>28</xdr:col>
      <xdr:colOff>106462</xdr:colOff>
      <xdr:row>0</xdr:row>
      <xdr:rowOff>95248</xdr:rowOff>
    </xdr:from>
    <xdr:to>
      <xdr:col>31</xdr:col>
      <xdr:colOff>95250</xdr:colOff>
      <xdr:row>0</xdr:row>
      <xdr:rowOff>715322</xdr:rowOff>
    </xdr:to>
    <xdr:sp macro="" textlink="">
      <xdr:nvSpPr>
        <xdr:cNvPr id="4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6071803-C699-455A-A48A-5088E5415590}"/>
            </a:ext>
          </a:extLst>
        </xdr:cNvPr>
        <xdr:cNvSpPr/>
      </xdr:nvSpPr>
      <xdr:spPr>
        <a:xfrm>
          <a:off x="15999605" y="95248"/>
          <a:ext cx="1825752" cy="62007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25</xdr:col>
      <xdr:colOff>370114</xdr:colOff>
      <xdr:row>1</xdr:row>
      <xdr:rowOff>74662</xdr:rowOff>
    </xdr:from>
    <xdr:to>
      <xdr:col>27</xdr:col>
      <xdr:colOff>535161</xdr:colOff>
      <xdr:row>2</xdr:row>
      <xdr:rowOff>81642</xdr:rowOff>
    </xdr:to>
    <xdr:sp macro="" textlink="">
      <xdr:nvSpPr>
        <xdr:cNvPr id="10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7AF0CA9-8E57-46B7-9E12-3713FEDEEB73}"/>
            </a:ext>
          </a:extLst>
        </xdr:cNvPr>
        <xdr:cNvSpPr/>
      </xdr:nvSpPr>
      <xdr:spPr>
        <a:xfrm>
          <a:off x="13895614" y="904698"/>
          <a:ext cx="1525761" cy="55126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PrintsWithSheet="0"/>
  </xdr:twoCellAnchor>
  <xdr:twoCellAnchor>
    <xdr:from>
      <xdr:col>28</xdr:col>
      <xdr:colOff>182415</xdr:colOff>
      <xdr:row>1</xdr:row>
      <xdr:rowOff>55212</xdr:rowOff>
    </xdr:from>
    <xdr:to>
      <xdr:col>31</xdr:col>
      <xdr:colOff>108857</xdr:colOff>
      <xdr:row>2</xdr:row>
      <xdr:rowOff>68037</xdr:rowOff>
    </xdr:to>
    <xdr:sp macro="" textlink="">
      <xdr:nvSpPr>
        <xdr:cNvPr id="11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5E16ED1-3F21-4E68-A73C-AD6C6B8EA6C2}"/>
            </a:ext>
          </a:extLst>
        </xdr:cNvPr>
        <xdr:cNvSpPr/>
      </xdr:nvSpPr>
      <xdr:spPr>
        <a:xfrm>
          <a:off x="16075558" y="885248"/>
          <a:ext cx="1763406" cy="55711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PrintsWithSheet="0"/>
  </xdr:twoCellAnchor>
  <xdr:twoCellAnchor>
    <xdr:from>
      <xdr:col>20</xdr:col>
      <xdr:colOff>2272391</xdr:colOff>
      <xdr:row>0</xdr:row>
      <xdr:rowOff>108856</xdr:rowOff>
    </xdr:from>
    <xdr:to>
      <xdr:col>22</xdr:col>
      <xdr:colOff>476249</xdr:colOff>
      <xdr:row>0</xdr:row>
      <xdr:rowOff>734785</xdr:rowOff>
    </xdr:to>
    <xdr:sp macro="" textlink="">
      <xdr:nvSpPr>
        <xdr:cNvPr id="13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A80AC0C-9E01-48D8-9AD4-1637E75DD8F3}"/>
            </a:ext>
          </a:extLst>
        </xdr:cNvPr>
        <xdr:cNvSpPr/>
      </xdr:nvSpPr>
      <xdr:spPr>
        <a:xfrm>
          <a:off x="10980962" y="108856"/>
          <a:ext cx="1306287" cy="62592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PrintsWithSheet="0"/>
  </xdr:twoCellAnchor>
  <xdr:twoCellAnchor>
    <xdr:from>
      <xdr:col>22</xdr:col>
      <xdr:colOff>535214</xdr:colOff>
      <xdr:row>0</xdr:row>
      <xdr:rowOff>108857</xdr:rowOff>
    </xdr:from>
    <xdr:to>
      <xdr:col>25</xdr:col>
      <xdr:colOff>252261</xdr:colOff>
      <xdr:row>0</xdr:row>
      <xdr:rowOff>702815</xdr:rowOff>
    </xdr:to>
    <xdr:sp macro="" textlink="">
      <xdr:nvSpPr>
        <xdr:cNvPr id="12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12429-6138-4142-B62A-13AF95AB39EA}"/>
            </a:ext>
          </a:extLst>
        </xdr:cNvPr>
        <xdr:cNvSpPr/>
      </xdr:nvSpPr>
      <xdr:spPr>
        <a:xfrm>
          <a:off x="12681857" y="108857"/>
          <a:ext cx="1839761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</a:t>
          </a:r>
        </a:p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</a:p>
      </xdr:txBody>
    </xdr:sp>
    <xdr:clientData fPrintsWithSheet="0"/>
  </xdr:twoCellAnchor>
  <xdr:twoCellAnchor>
    <xdr:from>
      <xdr:col>22</xdr:col>
      <xdr:colOff>544285</xdr:colOff>
      <xdr:row>1</xdr:row>
      <xdr:rowOff>81643</xdr:rowOff>
    </xdr:from>
    <xdr:to>
      <xdr:col>25</xdr:col>
      <xdr:colOff>240640</xdr:colOff>
      <xdr:row>2</xdr:row>
      <xdr:rowOff>75239</xdr:rowOff>
    </xdr:to>
    <xdr:sp macro="" textlink="">
      <xdr:nvSpPr>
        <xdr:cNvPr id="14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3A62803-61AA-444E-B8D0-C7798E358CCA}"/>
            </a:ext>
          </a:extLst>
        </xdr:cNvPr>
        <xdr:cNvSpPr/>
      </xdr:nvSpPr>
      <xdr:spPr>
        <a:xfrm>
          <a:off x="12690928" y="907143"/>
          <a:ext cx="181906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reigonal caseload percentage</a:t>
          </a:r>
        </a:p>
      </xdr:txBody>
    </xdr:sp>
    <xdr:clientData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135029</xdr:colOff>
      <xdr:row>0</xdr:row>
      <xdr:rowOff>202826</xdr:rowOff>
    </xdr:from>
    <xdr:to>
      <xdr:col>1</xdr:col>
      <xdr:colOff>997323</xdr:colOff>
      <xdr:row>0</xdr:row>
      <xdr:rowOff>638734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91911" y="202826"/>
          <a:ext cx="862294" cy="43590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19</xdr:col>
      <xdr:colOff>2193311</xdr:colOff>
      <xdr:row>0</xdr:row>
      <xdr:rowOff>117502</xdr:rowOff>
    </xdr:from>
    <xdr:to>
      <xdr:col>22</xdr:col>
      <xdr:colOff>586492</xdr:colOff>
      <xdr:row>0</xdr:row>
      <xdr:rowOff>711460</xdr:rowOff>
    </xdr:to>
    <xdr:sp macro="" textlink="">
      <xdr:nvSpPr>
        <xdr:cNvPr id="11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30B05CE-6A5A-4CC5-B491-A5303BE226EB}"/>
            </a:ext>
          </a:extLst>
        </xdr:cNvPr>
        <xdr:cNvSpPr/>
      </xdr:nvSpPr>
      <xdr:spPr>
        <a:xfrm>
          <a:off x="9600399" y="117502"/>
          <a:ext cx="1799769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PrintsWithSheet="0"/>
  </xdr:twoCellAnchor>
  <xdr:twoCellAnchor>
    <xdr:from>
      <xdr:col>26</xdr:col>
      <xdr:colOff>549087</xdr:colOff>
      <xdr:row>0</xdr:row>
      <xdr:rowOff>381001</xdr:rowOff>
    </xdr:from>
    <xdr:to>
      <xdr:col>29</xdr:col>
      <xdr:colOff>257733</xdr:colOff>
      <xdr:row>1</xdr:row>
      <xdr:rowOff>347383</xdr:rowOff>
    </xdr:to>
    <xdr:sp macro="" textlink="">
      <xdr:nvSpPr>
        <xdr:cNvPr id="13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9A821E-6EB7-401E-AC1A-7B68C78A9791}"/>
            </a:ext>
          </a:extLst>
        </xdr:cNvPr>
        <xdr:cNvSpPr/>
      </xdr:nvSpPr>
      <xdr:spPr>
        <a:xfrm>
          <a:off x="13783234" y="381001"/>
          <a:ext cx="1523999" cy="76200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</a:t>
          </a:r>
        </a:p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caseload percentage</a:t>
          </a:r>
        </a:p>
      </xdr:txBody>
    </xdr:sp>
    <xdr:clientData fPrintsWithSheet="0"/>
  </xdr:twoCellAnchor>
  <xdr:twoCellAnchor>
    <xdr:from>
      <xdr:col>20</xdr:col>
      <xdr:colOff>23531</xdr:colOff>
      <xdr:row>1</xdr:row>
      <xdr:rowOff>192584</xdr:rowOff>
    </xdr:from>
    <xdr:to>
      <xdr:col>22</xdr:col>
      <xdr:colOff>583985</xdr:colOff>
      <xdr:row>2</xdr:row>
      <xdr:rowOff>13290</xdr:rowOff>
    </xdr:to>
    <xdr:sp macro="" textlink="">
      <xdr:nvSpPr>
        <xdr:cNvPr id="14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4B7BD73-1640-4A18-8DD6-C1602D362B67}"/>
            </a:ext>
          </a:extLst>
        </xdr:cNvPr>
        <xdr:cNvSpPr/>
      </xdr:nvSpPr>
      <xdr:spPr>
        <a:xfrm>
          <a:off x="9626972" y="988202"/>
          <a:ext cx="177068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PrintsWithSheet="0"/>
  </xdr:twoCellAnchor>
  <xdr:twoCellAnchor>
    <xdr:from>
      <xdr:col>23</xdr:col>
      <xdr:colOff>212751</xdr:colOff>
      <xdr:row>1</xdr:row>
      <xdr:rowOff>179297</xdr:rowOff>
    </xdr:from>
    <xdr:to>
      <xdr:col>26</xdr:col>
      <xdr:colOff>168087</xdr:colOff>
      <xdr:row>2</xdr:row>
      <xdr:rowOff>3</xdr:rowOff>
    </xdr:to>
    <xdr:sp macro="" textlink="">
      <xdr:nvSpPr>
        <xdr:cNvPr id="15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D0F9FB8-B443-4DF0-960E-5BA599C0D7C4}"/>
            </a:ext>
          </a:extLst>
        </xdr:cNvPr>
        <xdr:cNvSpPr/>
      </xdr:nvSpPr>
      <xdr:spPr>
        <a:xfrm>
          <a:off x="11631545" y="974915"/>
          <a:ext cx="177068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PrintsWithSheet="0"/>
  </xdr:twoCellAnchor>
  <xdr:twoCellAnchor>
    <xdr:from>
      <xdr:col>23</xdr:col>
      <xdr:colOff>161691</xdr:colOff>
      <xdr:row>0</xdr:row>
      <xdr:rowOff>99510</xdr:rowOff>
    </xdr:from>
    <xdr:to>
      <xdr:col>26</xdr:col>
      <xdr:colOff>139024</xdr:colOff>
      <xdr:row>0</xdr:row>
      <xdr:rowOff>719584</xdr:rowOff>
    </xdr:to>
    <xdr:sp macro="" textlink="">
      <xdr:nvSpPr>
        <xdr:cNvPr id="16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725B7B9-E641-431B-869F-FBEB794DDD53}"/>
            </a:ext>
          </a:extLst>
        </xdr:cNvPr>
        <xdr:cNvSpPr/>
      </xdr:nvSpPr>
      <xdr:spPr>
        <a:xfrm>
          <a:off x="11580485" y="99510"/>
          <a:ext cx="1792686" cy="62007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19</xdr:col>
      <xdr:colOff>593913</xdr:colOff>
      <xdr:row>0</xdr:row>
      <xdr:rowOff>89649</xdr:rowOff>
    </xdr:from>
    <xdr:to>
      <xdr:col>19</xdr:col>
      <xdr:colOff>1927413</xdr:colOff>
      <xdr:row>0</xdr:row>
      <xdr:rowOff>705971</xdr:rowOff>
    </xdr:to>
    <xdr:sp macro="" textlink="">
      <xdr:nvSpPr>
        <xdr:cNvPr id="20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8E32077-9BE4-45F7-9209-2A661A67E90D}"/>
            </a:ext>
          </a:extLst>
        </xdr:cNvPr>
        <xdr:cNvSpPr/>
      </xdr:nvSpPr>
      <xdr:spPr>
        <a:xfrm>
          <a:off x="8001001" y="89649"/>
          <a:ext cx="1333500" cy="61632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PrintsWithSheet="0"/>
  </xdr:twoCellAnchor>
  <xdr:twoCellAnchor>
    <xdr:from>
      <xdr:col>19</xdr:col>
      <xdr:colOff>571499</xdr:colOff>
      <xdr:row>1</xdr:row>
      <xdr:rowOff>89647</xdr:rowOff>
    </xdr:from>
    <xdr:to>
      <xdr:col>19</xdr:col>
      <xdr:colOff>1904999</xdr:colOff>
      <xdr:row>1</xdr:row>
      <xdr:rowOff>705969</xdr:rowOff>
    </xdr:to>
    <xdr:sp macro="" textlink="">
      <xdr:nvSpPr>
        <xdr:cNvPr id="9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15936D6-945B-480A-9CB7-7BE16FBE4A08}"/>
            </a:ext>
          </a:extLst>
        </xdr:cNvPr>
        <xdr:cNvSpPr/>
      </xdr:nvSpPr>
      <xdr:spPr>
        <a:xfrm>
          <a:off x="7978587" y="885265"/>
          <a:ext cx="1333500" cy="61632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tier ratios</a:t>
          </a:r>
        </a:p>
      </xdr:txBody>
    </xdr:sp>
    <xdr:clientData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71093</xdr:colOff>
      <xdr:row>0</xdr:row>
      <xdr:rowOff>155801</xdr:rowOff>
    </xdr:from>
    <xdr:to>
      <xdr:col>1</xdr:col>
      <xdr:colOff>1197428</xdr:colOff>
      <xdr:row>0</xdr:row>
      <xdr:rowOff>680356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20772" y="155801"/>
          <a:ext cx="1126335" cy="52455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  <a:endParaRPr lang="en-GB" sz="16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19</xdr:col>
      <xdr:colOff>2177143</xdr:colOff>
      <xdr:row>0</xdr:row>
      <xdr:rowOff>744136</xdr:rowOff>
    </xdr:from>
    <xdr:to>
      <xdr:col>31</xdr:col>
      <xdr:colOff>433729</xdr:colOff>
      <xdr:row>1</xdr:row>
      <xdr:rowOff>537599</xdr:rowOff>
    </xdr:to>
    <xdr:sp macro="" textlink="">
      <xdr:nvSpPr>
        <xdr:cNvPr id="11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17DB77-FCBD-4AC5-BC23-C008C769EF55}"/>
            </a:ext>
          </a:extLst>
        </xdr:cNvPr>
        <xdr:cNvSpPr/>
      </xdr:nvSpPr>
      <xdr:spPr>
        <a:xfrm>
          <a:off x="10014857" y="744136"/>
          <a:ext cx="1848872" cy="56453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</a:t>
          </a:r>
        </a:p>
      </xdr:txBody>
    </xdr:sp>
    <xdr:clientData fPrintsWithSheet="0"/>
  </xdr:twoCellAnchor>
  <xdr:twoCellAnchor>
    <xdr:from>
      <xdr:col>34</xdr:col>
      <xdr:colOff>188527</xdr:colOff>
      <xdr:row>0</xdr:row>
      <xdr:rowOff>0</xdr:rowOff>
    </xdr:from>
    <xdr:to>
      <xdr:col>36</xdr:col>
      <xdr:colOff>556192</xdr:colOff>
      <xdr:row>0</xdr:row>
      <xdr:rowOff>580931</xdr:rowOff>
    </xdr:to>
    <xdr:sp macro="" textlink="">
      <xdr:nvSpPr>
        <xdr:cNvPr id="12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2E8B3DF-C138-4ECE-8792-ECDA18F32DF0}"/>
            </a:ext>
          </a:extLst>
        </xdr:cNvPr>
        <xdr:cNvSpPr/>
      </xdr:nvSpPr>
      <xdr:spPr>
        <a:xfrm>
          <a:off x="13550741" y="0"/>
          <a:ext cx="1655808" cy="580931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PrintsWithSheet="0"/>
  </xdr:twoCellAnchor>
  <xdr:twoCellAnchor>
    <xdr:from>
      <xdr:col>34</xdr:col>
      <xdr:colOff>153869</xdr:colOff>
      <xdr:row>0</xdr:row>
      <xdr:rowOff>725185</xdr:rowOff>
    </xdr:from>
    <xdr:to>
      <xdr:col>36</xdr:col>
      <xdr:colOff>554493</xdr:colOff>
      <xdr:row>1</xdr:row>
      <xdr:rowOff>550072</xdr:rowOff>
    </xdr:to>
    <xdr:sp macro="" textlink="">
      <xdr:nvSpPr>
        <xdr:cNvPr id="14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9F214F7-515F-412D-892D-EDEBE6B99A5C}"/>
            </a:ext>
          </a:extLst>
        </xdr:cNvPr>
        <xdr:cNvSpPr/>
      </xdr:nvSpPr>
      <xdr:spPr>
        <a:xfrm>
          <a:off x="13516083" y="725185"/>
          <a:ext cx="1688767" cy="595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PrintsWithSheet="0"/>
  </xdr:twoCellAnchor>
  <xdr:twoCellAnchor>
    <xdr:from>
      <xdr:col>37</xdr:col>
      <xdr:colOff>134778</xdr:colOff>
      <xdr:row>0</xdr:row>
      <xdr:rowOff>736572</xdr:rowOff>
    </xdr:from>
    <xdr:to>
      <xdr:col>40</xdr:col>
      <xdr:colOff>46491</xdr:colOff>
      <xdr:row>1</xdr:row>
      <xdr:rowOff>541001</xdr:rowOff>
    </xdr:to>
    <xdr:sp macro="" textlink="">
      <xdr:nvSpPr>
        <xdr:cNvPr id="15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056CFF0-C3BB-4188-9AFD-F0C1B9630991}"/>
            </a:ext>
          </a:extLst>
        </xdr:cNvPr>
        <xdr:cNvSpPr/>
      </xdr:nvSpPr>
      <xdr:spPr>
        <a:xfrm>
          <a:off x="15429207" y="736572"/>
          <a:ext cx="1843927" cy="57550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PrintsWithSheet="0"/>
  </xdr:twoCellAnchor>
  <xdr:twoCellAnchor>
    <xdr:from>
      <xdr:col>37</xdr:col>
      <xdr:colOff>162758</xdr:colOff>
      <xdr:row>0</xdr:row>
      <xdr:rowOff>9821</xdr:rowOff>
    </xdr:from>
    <xdr:to>
      <xdr:col>40</xdr:col>
      <xdr:colOff>26080</xdr:colOff>
      <xdr:row>0</xdr:row>
      <xdr:rowOff>626393</xdr:rowOff>
    </xdr:to>
    <xdr:sp macro="" textlink="">
      <xdr:nvSpPr>
        <xdr:cNvPr id="16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7966E71-FAF1-47D8-AF69-60100EC96364}"/>
            </a:ext>
          </a:extLst>
        </xdr:cNvPr>
        <xdr:cNvSpPr/>
      </xdr:nvSpPr>
      <xdr:spPr>
        <a:xfrm>
          <a:off x="15457187" y="9821"/>
          <a:ext cx="1795536" cy="61657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32</xdr:col>
      <xdr:colOff>64601</xdr:colOff>
      <xdr:row>0</xdr:row>
      <xdr:rowOff>22227</xdr:rowOff>
    </xdr:from>
    <xdr:to>
      <xdr:col>33</xdr:col>
      <xdr:colOff>574901</xdr:colOff>
      <xdr:row>0</xdr:row>
      <xdr:rowOff>591347</xdr:rowOff>
    </xdr:to>
    <xdr:sp macro="" textlink="">
      <xdr:nvSpPr>
        <xdr:cNvPr id="17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094617C-5178-424C-AA66-CAF88607D332}"/>
            </a:ext>
          </a:extLst>
        </xdr:cNvPr>
        <xdr:cNvSpPr/>
      </xdr:nvSpPr>
      <xdr:spPr>
        <a:xfrm>
          <a:off x="12138672" y="22227"/>
          <a:ext cx="1154372" cy="56912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PrintsWithSheet="0"/>
  </xdr:twoCellAnchor>
  <xdr:twoCellAnchor>
    <xdr:from>
      <xdr:col>32</xdr:col>
      <xdr:colOff>3970</xdr:colOff>
      <xdr:row>0</xdr:row>
      <xdr:rowOff>737170</xdr:rowOff>
    </xdr:from>
    <xdr:to>
      <xdr:col>33</xdr:col>
      <xdr:colOff>514270</xdr:colOff>
      <xdr:row>1</xdr:row>
      <xdr:rowOff>537599</xdr:rowOff>
    </xdr:to>
    <xdr:sp macro="" textlink="">
      <xdr:nvSpPr>
        <xdr:cNvPr id="18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2BA0468-9D0B-4EA6-9FD1-DC9A8F84AA6B}"/>
            </a:ext>
          </a:extLst>
        </xdr:cNvPr>
        <xdr:cNvSpPr/>
      </xdr:nvSpPr>
      <xdr:spPr>
        <a:xfrm>
          <a:off x="12078041" y="737170"/>
          <a:ext cx="1154372" cy="57150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tier ratios</a:t>
          </a: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494178</xdr:colOff>
      <xdr:row>0</xdr:row>
      <xdr:rowOff>122465</xdr:rowOff>
    </xdr:from>
    <xdr:to>
      <xdr:col>1</xdr:col>
      <xdr:colOff>1524000</xdr:colOff>
      <xdr:row>0</xdr:row>
      <xdr:rowOff>681398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BB2B92-6E85-4597-876B-C506D4D7D10B}"/>
            </a:ext>
          </a:extLst>
        </xdr:cNvPr>
        <xdr:cNvSpPr/>
      </xdr:nvSpPr>
      <xdr:spPr>
        <a:xfrm>
          <a:off x="603035" y="122465"/>
          <a:ext cx="1029822" cy="5589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17</xdr:col>
      <xdr:colOff>424463</xdr:colOff>
      <xdr:row>2</xdr:row>
      <xdr:rowOff>145341</xdr:rowOff>
    </xdr:from>
    <xdr:to>
      <xdr:col>19</xdr:col>
      <xdr:colOff>970643</xdr:colOff>
      <xdr:row>5</xdr:row>
      <xdr:rowOff>9071</xdr:rowOff>
    </xdr:to>
    <xdr:sp macro="" textlink="">
      <xdr:nvSpPr>
        <xdr:cNvPr id="14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47A3EDD-FB78-490B-8F97-2C2047ECFA32}"/>
            </a:ext>
          </a:extLst>
        </xdr:cNvPr>
        <xdr:cNvSpPr/>
      </xdr:nvSpPr>
      <xdr:spPr>
        <a:xfrm>
          <a:off x="6928677" y="1651198"/>
          <a:ext cx="1834323" cy="598516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 percentage</a:t>
          </a:r>
        </a:p>
      </xdr:txBody>
    </xdr:sp>
    <xdr:clientData fPrintsWithSheet="0"/>
  </xdr:twoCellAnchor>
  <xdr:twoCellAnchor>
    <xdr:from>
      <xdr:col>19</xdr:col>
      <xdr:colOff>1135156</xdr:colOff>
      <xdr:row>1</xdr:row>
      <xdr:rowOff>86909</xdr:rowOff>
    </xdr:from>
    <xdr:to>
      <xdr:col>30</xdr:col>
      <xdr:colOff>95970</xdr:colOff>
      <xdr:row>1</xdr:row>
      <xdr:rowOff>649940</xdr:rowOff>
    </xdr:to>
    <xdr:sp macro="" textlink="">
      <xdr:nvSpPr>
        <xdr:cNvPr id="15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AF3482-F134-4043-976B-1069547BCA24}"/>
            </a:ext>
          </a:extLst>
        </xdr:cNvPr>
        <xdr:cNvSpPr/>
      </xdr:nvSpPr>
      <xdr:spPr>
        <a:xfrm>
          <a:off x="8497421" y="927350"/>
          <a:ext cx="1762284" cy="563031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PrintsWithSheet="0"/>
  </xdr:twoCellAnchor>
  <xdr:twoCellAnchor>
    <xdr:from>
      <xdr:col>30</xdr:col>
      <xdr:colOff>248050</xdr:colOff>
      <xdr:row>2</xdr:row>
      <xdr:rowOff>143659</xdr:rowOff>
    </xdr:from>
    <xdr:to>
      <xdr:col>33</xdr:col>
      <xdr:colOff>189939</xdr:colOff>
      <xdr:row>4</xdr:row>
      <xdr:rowOff>66675</xdr:rowOff>
    </xdr:to>
    <xdr:sp macro="" textlink="">
      <xdr:nvSpPr>
        <xdr:cNvPr id="16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353D09B-18CF-4070-85CE-DCB14996A822}"/>
            </a:ext>
          </a:extLst>
        </xdr:cNvPr>
        <xdr:cNvSpPr/>
      </xdr:nvSpPr>
      <xdr:spPr>
        <a:xfrm>
          <a:off x="10458850" y="1658134"/>
          <a:ext cx="1770689" cy="494516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PrintsWithSheet="0"/>
  </xdr:twoCellAnchor>
  <xdr:twoCellAnchor>
    <xdr:from>
      <xdr:col>30</xdr:col>
      <xdr:colOff>240133</xdr:colOff>
      <xdr:row>1</xdr:row>
      <xdr:rowOff>76200</xdr:rowOff>
    </xdr:from>
    <xdr:to>
      <xdr:col>33</xdr:col>
      <xdr:colOff>204019</xdr:colOff>
      <xdr:row>1</xdr:row>
      <xdr:rowOff>638735</xdr:rowOff>
    </xdr:to>
    <xdr:sp macro="" textlink="">
      <xdr:nvSpPr>
        <xdr:cNvPr id="17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F01837F-21FC-4BF7-B54B-09E98A2C6AF5}"/>
            </a:ext>
          </a:extLst>
        </xdr:cNvPr>
        <xdr:cNvSpPr/>
      </xdr:nvSpPr>
      <xdr:spPr>
        <a:xfrm>
          <a:off x="10403868" y="916641"/>
          <a:ext cx="1779239" cy="56253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14</xdr:col>
      <xdr:colOff>295275</xdr:colOff>
      <xdr:row>1</xdr:row>
      <xdr:rowOff>112059</xdr:rowOff>
    </xdr:from>
    <xdr:to>
      <xdr:col>17</xdr:col>
      <xdr:colOff>281830</xdr:colOff>
      <xdr:row>2</xdr:row>
      <xdr:rowOff>11205</xdr:rowOff>
    </xdr:to>
    <xdr:sp macro="" textlink="">
      <xdr:nvSpPr>
        <xdr:cNvPr id="18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DF4EE97-C4CD-4E56-AEC5-514977FE3DE4}"/>
            </a:ext>
          </a:extLst>
        </xdr:cNvPr>
        <xdr:cNvSpPr/>
      </xdr:nvSpPr>
      <xdr:spPr>
        <a:xfrm>
          <a:off x="4631951" y="952500"/>
          <a:ext cx="1801908" cy="57149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PrintsWithSheet="0"/>
  </xdr:twoCellAnchor>
  <xdr:twoCellAnchor>
    <xdr:from>
      <xdr:col>14</xdr:col>
      <xdr:colOff>265206</xdr:colOff>
      <xdr:row>2</xdr:row>
      <xdr:rowOff>119530</xdr:rowOff>
    </xdr:from>
    <xdr:to>
      <xdr:col>17</xdr:col>
      <xdr:colOff>251761</xdr:colOff>
      <xdr:row>4</xdr:row>
      <xdr:rowOff>97118</xdr:rowOff>
    </xdr:to>
    <xdr:sp macro="" textlink="">
      <xdr:nvSpPr>
        <xdr:cNvPr id="9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9225A51-413E-47B6-A6FD-3328B33D36BB}"/>
            </a:ext>
          </a:extLst>
        </xdr:cNvPr>
        <xdr:cNvSpPr/>
      </xdr:nvSpPr>
      <xdr:spPr>
        <a:xfrm>
          <a:off x="4601882" y="1632324"/>
          <a:ext cx="1801908" cy="5490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tier ratios</a:t>
          </a:r>
        </a:p>
      </xdr:txBody>
    </xdr:sp>
    <xdr:clientData fPrintsWithSheet="0"/>
  </xdr:twoCellAnchor>
  <xdr:twoCellAnchor>
    <xdr:from>
      <xdr:col>17</xdr:col>
      <xdr:colOff>453571</xdr:colOff>
      <xdr:row>1</xdr:row>
      <xdr:rowOff>99787</xdr:rowOff>
    </xdr:from>
    <xdr:to>
      <xdr:col>19</xdr:col>
      <xdr:colOff>1014300</xdr:colOff>
      <xdr:row>1</xdr:row>
      <xdr:rowOff>664321</xdr:rowOff>
    </xdr:to>
    <xdr:sp macro="" textlink="">
      <xdr:nvSpPr>
        <xdr:cNvPr id="11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80D3601-28D1-4233-959B-3464C11C777D}"/>
            </a:ext>
          </a:extLst>
        </xdr:cNvPr>
        <xdr:cNvSpPr/>
      </xdr:nvSpPr>
      <xdr:spPr>
        <a:xfrm>
          <a:off x="6966857" y="934358"/>
          <a:ext cx="1848872" cy="56453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</a:t>
          </a:r>
        </a:p>
      </xdr:txBody>
    </xdr: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</xdr:colOff>
      <xdr:row>0</xdr:row>
      <xdr:rowOff>238125</xdr:rowOff>
    </xdr:from>
    <xdr:to>
      <xdr:col>1</xdr:col>
      <xdr:colOff>1390650</xdr:colOff>
      <xdr:row>0</xdr:row>
      <xdr:rowOff>714375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49B180-F10B-434C-A41C-EAA306AB684F}"/>
            </a:ext>
          </a:extLst>
        </xdr:cNvPr>
        <xdr:cNvSpPr/>
      </xdr:nvSpPr>
      <xdr:spPr>
        <a:xfrm>
          <a:off x="247649" y="238125"/>
          <a:ext cx="1314451" cy="4762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19</xdr:col>
      <xdr:colOff>882225</xdr:colOff>
      <xdr:row>1</xdr:row>
      <xdr:rowOff>74021</xdr:rowOff>
    </xdr:from>
    <xdr:to>
      <xdr:col>20</xdr:col>
      <xdr:colOff>485641</xdr:colOff>
      <xdr:row>1</xdr:row>
      <xdr:rowOff>667979</xdr:rowOff>
    </xdr:to>
    <xdr:sp macro="" textlink="">
      <xdr:nvSpPr>
        <xdr:cNvPr id="1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CB39380-5B53-4309-90CD-82F4F133851A}"/>
            </a:ext>
          </a:extLst>
        </xdr:cNvPr>
        <xdr:cNvSpPr/>
      </xdr:nvSpPr>
      <xdr:spPr>
        <a:xfrm>
          <a:off x="8300519" y="1026521"/>
          <a:ext cx="1799769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PrintsWithSheet="0"/>
  </xdr:twoCellAnchor>
  <xdr:twoCellAnchor>
    <xdr:from>
      <xdr:col>17</xdr:col>
      <xdr:colOff>27214</xdr:colOff>
      <xdr:row>2</xdr:row>
      <xdr:rowOff>116766</xdr:rowOff>
    </xdr:from>
    <xdr:to>
      <xdr:col>19</xdr:col>
      <xdr:colOff>587668</xdr:colOff>
      <xdr:row>4</xdr:row>
      <xdr:rowOff>83148</xdr:rowOff>
    </xdr:to>
    <xdr:sp macro="" textlink="">
      <xdr:nvSpPr>
        <xdr:cNvPr id="14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2E6ECDB-4BDB-41AB-A0DB-5E22C5563C32}"/>
            </a:ext>
          </a:extLst>
        </xdr:cNvPr>
        <xdr:cNvSpPr/>
      </xdr:nvSpPr>
      <xdr:spPr>
        <a:xfrm>
          <a:off x="6235273" y="1820060"/>
          <a:ext cx="177068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reigonal caseload percentage</a:t>
          </a:r>
        </a:p>
      </xdr:txBody>
    </xdr:sp>
    <xdr:clientData fPrintsWithSheet="0"/>
  </xdr:twoCellAnchor>
  <xdr:twoCellAnchor>
    <xdr:from>
      <xdr:col>28</xdr:col>
      <xdr:colOff>89486</xdr:colOff>
      <xdr:row>2</xdr:row>
      <xdr:rowOff>90992</xdr:rowOff>
    </xdr:from>
    <xdr:to>
      <xdr:col>31</xdr:col>
      <xdr:colOff>44822</xdr:colOff>
      <xdr:row>4</xdr:row>
      <xdr:rowOff>57374</xdr:rowOff>
    </xdr:to>
    <xdr:sp macro="" textlink="">
      <xdr:nvSpPr>
        <xdr:cNvPr id="16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AFAA047-CD2B-46DE-9DAD-1317189AD50C}"/>
            </a:ext>
          </a:extLst>
        </xdr:cNvPr>
        <xdr:cNvSpPr/>
      </xdr:nvSpPr>
      <xdr:spPr>
        <a:xfrm>
          <a:off x="10309251" y="1794286"/>
          <a:ext cx="177068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PrintsWithSheet="0"/>
  </xdr:twoCellAnchor>
  <xdr:twoCellAnchor>
    <xdr:from>
      <xdr:col>28</xdr:col>
      <xdr:colOff>60839</xdr:colOff>
      <xdr:row>1</xdr:row>
      <xdr:rowOff>78441</xdr:rowOff>
    </xdr:from>
    <xdr:to>
      <xdr:col>31</xdr:col>
      <xdr:colOff>38172</xdr:colOff>
      <xdr:row>1</xdr:row>
      <xdr:rowOff>698515</xdr:rowOff>
    </xdr:to>
    <xdr:sp macro="" textlink="">
      <xdr:nvSpPr>
        <xdr:cNvPr id="17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D6D50B8-726D-4632-B187-A1EB12011431}"/>
            </a:ext>
          </a:extLst>
        </xdr:cNvPr>
        <xdr:cNvSpPr/>
      </xdr:nvSpPr>
      <xdr:spPr>
        <a:xfrm>
          <a:off x="10280604" y="1030941"/>
          <a:ext cx="1792686" cy="62007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13</xdr:col>
      <xdr:colOff>403412</xdr:colOff>
      <xdr:row>1</xdr:row>
      <xdr:rowOff>78441</xdr:rowOff>
    </xdr:from>
    <xdr:to>
      <xdr:col>16</xdr:col>
      <xdr:colOff>403414</xdr:colOff>
      <xdr:row>1</xdr:row>
      <xdr:rowOff>627529</xdr:rowOff>
    </xdr:to>
    <xdr:sp macro="" textlink="">
      <xdr:nvSpPr>
        <xdr:cNvPr id="18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14167E5-E0D6-4555-83B2-E5DADE90574F}"/>
            </a:ext>
          </a:extLst>
        </xdr:cNvPr>
        <xdr:cNvSpPr/>
      </xdr:nvSpPr>
      <xdr:spPr>
        <a:xfrm>
          <a:off x="4191000" y="1030941"/>
          <a:ext cx="1815355" cy="5490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PrintsWithSheet="0"/>
  </xdr:twoCellAnchor>
  <xdr:twoCellAnchor>
    <xdr:from>
      <xdr:col>13</xdr:col>
      <xdr:colOff>437030</xdr:colOff>
      <xdr:row>2</xdr:row>
      <xdr:rowOff>67236</xdr:rowOff>
    </xdr:from>
    <xdr:to>
      <xdr:col>16</xdr:col>
      <xdr:colOff>437032</xdr:colOff>
      <xdr:row>4</xdr:row>
      <xdr:rowOff>44824</xdr:rowOff>
    </xdr:to>
    <xdr:sp macro="" textlink="">
      <xdr:nvSpPr>
        <xdr:cNvPr id="10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8EE818E-4639-48FF-B0CD-B9D43C3624DA}"/>
            </a:ext>
          </a:extLst>
        </xdr:cNvPr>
        <xdr:cNvSpPr/>
      </xdr:nvSpPr>
      <xdr:spPr>
        <a:xfrm>
          <a:off x="4224618" y="1770530"/>
          <a:ext cx="1815355" cy="5490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tier ratios</a:t>
          </a:r>
        </a:p>
      </xdr:txBody>
    </xdr:sp>
    <xdr:clientData fPrintsWithSheet="0"/>
  </xdr:twoCellAnchor>
  <xdr:twoCellAnchor>
    <xdr:from>
      <xdr:col>17</xdr:col>
      <xdr:colOff>72571</xdr:colOff>
      <xdr:row>1</xdr:row>
      <xdr:rowOff>90714</xdr:rowOff>
    </xdr:from>
    <xdr:to>
      <xdr:col>19</xdr:col>
      <xdr:colOff>633300</xdr:colOff>
      <xdr:row>1</xdr:row>
      <xdr:rowOff>655248</xdr:rowOff>
    </xdr:to>
    <xdr:sp macro="" textlink="">
      <xdr:nvSpPr>
        <xdr:cNvPr id="11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E0D1690-CA80-48DC-818F-CB2A7C323155}"/>
            </a:ext>
          </a:extLst>
        </xdr:cNvPr>
        <xdr:cNvSpPr/>
      </xdr:nvSpPr>
      <xdr:spPr>
        <a:xfrm>
          <a:off x="6640285" y="1043214"/>
          <a:ext cx="1848872" cy="56453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</a:t>
          </a:r>
        </a:p>
      </xdr:txBody>
    </xdr: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1838647</xdr:colOff>
      <xdr:row>0</xdr:row>
      <xdr:rowOff>838823</xdr:rowOff>
    </xdr:from>
    <xdr:to>
      <xdr:col>31</xdr:col>
      <xdr:colOff>218941</xdr:colOff>
      <xdr:row>1</xdr:row>
      <xdr:rowOff>575531</xdr:rowOff>
    </xdr:to>
    <xdr:sp macro="" textlink="">
      <xdr:nvSpPr>
        <xdr:cNvPr id="1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D4F24-21FF-4264-9243-911F3D6C69DA}"/>
            </a:ext>
          </a:extLst>
        </xdr:cNvPr>
        <xdr:cNvSpPr/>
      </xdr:nvSpPr>
      <xdr:spPr>
        <a:xfrm>
          <a:off x="9334822" y="838823"/>
          <a:ext cx="1799769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PrintsWithSheet="0"/>
  </xdr:twoCellAnchor>
  <xdr:twoCellAnchor>
    <xdr:from>
      <xdr:col>17</xdr:col>
      <xdr:colOff>290873</xdr:colOff>
      <xdr:row>3</xdr:row>
      <xdr:rowOff>56895</xdr:rowOff>
    </xdr:from>
    <xdr:to>
      <xdr:col>19</xdr:col>
      <xdr:colOff>845083</xdr:colOff>
      <xdr:row>5</xdr:row>
      <xdr:rowOff>117929</xdr:rowOff>
    </xdr:to>
    <xdr:sp macro="" textlink="">
      <xdr:nvSpPr>
        <xdr:cNvPr id="1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AEE480-63D1-4E70-98E5-F6D8F9D237CE}"/>
            </a:ext>
          </a:extLst>
        </xdr:cNvPr>
        <xdr:cNvSpPr/>
      </xdr:nvSpPr>
      <xdr:spPr>
        <a:xfrm>
          <a:off x="6913016" y="1744181"/>
          <a:ext cx="1842353" cy="59624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 percentage</a:t>
          </a:r>
        </a:p>
      </xdr:txBody>
    </xdr:sp>
    <xdr:clientData fPrintsWithSheet="0"/>
  </xdr:twoCellAnchor>
  <xdr:twoCellAnchor>
    <xdr:from>
      <xdr:col>19</xdr:col>
      <xdr:colOff>1863138</xdr:colOff>
      <xdr:row>3</xdr:row>
      <xdr:rowOff>24317</xdr:rowOff>
    </xdr:from>
    <xdr:to>
      <xdr:col>31</xdr:col>
      <xdr:colOff>214352</xdr:colOff>
      <xdr:row>4</xdr:row>
      <xdr:rowOff>181199</xdr:rowOff>
    </xdr:to>
    <xdr:sp macro="" textlink="">
      <xdr:nvSpPr>
        <xdr:cNvPr id="14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1960570-E641-4B5F-8807-872C01DC41E0}"/>
            </a:ext>
          </a:extLst>
        </xdr:cNvPr>
        <xdr:cNvSpPr/>
      </xdr:nvSpPr>
      <xdr:spPr>
        <a:xfrm>
          <a:off x="9374281" y="1697996"/>
          <a:ext cx="1780214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PrintsWithSheet="0"/>
  </xdr:twoCellAnchor>
  <xdr:twoCellAnchor>
    <xdr:from>
      <xdr:col>32</xdr:col>
      <xdr:colOff>446715</xdr:colOff>
      <xdr:row>0</xdr:row>
      <xdr:rowOff>852592</xdr:rowOff>
    </xdr:from>
    <xdr:to>
      <xdr:col>35</xdr:col>
      <xdr:colOff>408213</xdr:colOff>
      <xdr:row>1</xdr:row>
      <xdr:rowOff>612322</xdr:rowOff>
    </xdr:to>
    <xdr:sp macro="" textlink="">
      <xdr:nvSpPr>
        <xdr:cNvPr id="15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C861751-7D31-4359-A3D3-4EBC5F413078}"/>
            </a:ext>
          </a:extLst>
        </xdr:cNvPr>
        <xdr:cNvSpPr/>
      </xdr:nvSpPr>
      <xdr:spPr>
        <a:xfrm>
          <a:off x="11999179" y="852592"/>
          <a:ext cx="1798463" cy="61698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PrintsWithSheet="0"/>
  </xdr:twoCellAnchor>
  <xdr:twoCellAnchor>
    <xdr:from>
      <xdr:col>12</xdr:col>
      <xdr:colOff>495300</xdr:colOff>
      <xdr:row>1</xdr:row>
      <xdr:rowOff>1</xdr:rowOff>
    </xdr:from>
    <xdr:to>
      <xdr:col>15</xdr:col>
      <xdr:colOff>481855</xdr:colOff>
      <xdr:row>1</xdr:row>
      <xdr:rowOff>612321</xdr:rowOff>
    </xdr:to>
    <xdr:sp macro="" textlink="">
      <xdr:nvSpPr>
        <xdr:cNvPr id="17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7826FA7-6CE0-4E9D-B63E-12FD29439F38}"/>
            </a:ext>
          </a:extLst>
        </xdr:cNvPr>
        <xdr:cNvSpPr/>
      </xdr:nvSpPr>
      <xdr:spPr>
        <a:xfrm>
          <a:off x="3720193" y="857251"/>
          <a:ext cx="1823519" cy="61232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PrintsWithSheet="0"/>
  </xdr:twoCellAnchor>
  <xdr:twoCellAnchor>
    <xdr:from>
      <xdr:col>0</xdr:col>
      <xdr:colOff>123826</xdr:colOff>
      <xdr:row>0</xdr:row>
      <xdr:rowOff>95249</xdr:rowOff>
    </xdr:from>
    <xdr:to>
      <xdr:col>1</xdr:col>
      <xdr:colOff>1047750</xdr:colOff>
      <xdr:row>0</xdr:row>
      <xdr:rowOff>802820</xdr:rowOff>
    </xdr:to>
    <xdr:sp macro="" textlink="">
      <xdr:nvSpPr>
        <xdr:cNvPr id="9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0070BB8-25FF-4360-901C-174ADEE9349B}"/>
            </a:ext>
          </a:extLst>
        </xdr:cNvPr>
        <xdr:cNvSpPr/>
      </xdr:nvSpPr>
      <xdr:spPr>
        <a:xfrm>
          <a:off x="123826" y="95249"/>
          <a:ext cx="1128031" cy="707571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12</xdr:col>
      <xdr:colOff>476250</xdr:colOff>
      <xdr:row>3</xdr:row>
      <xdr:rowOff>25854</xdr:rowOff>
    </xdr:from>
    <xdr:to>
      <xdr:col>15</xdr:col>
      <xdr:colOff>462805</xdr:colOff>
      <xdr:row>4</xdr:row>
      <xdr:rowOff>193942</xdr:rowOff>
    </xdr:to>
    <xdr:sp macro="" textlink="">
      <xdr:nvSpPr>
        <xdr:cNvPr id="11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1CA40A7-DACC-4D22-B0E2-1B79542D0956}"/>
            </a:ext>
          </a:extLst>
        </xdr:cNvPr>
        <xdr:cNvSpPr/>
      </xdr:nvSpPr>
      <xdr:spPr>
        <a:xfrm>
          <a:off x="3701143" y="1699533"/>
          <a:ext cx="1823519" cy="5490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tier ratios</a:t>
          </a:r>
        </a:p>
      </xdr:txBody>
    </xdr:sp>
    <xdr:clientData fPrintsWithSheet="0"/>
  </xdr:twoCellAnchor>
  <xdr:twoCellAnchor>
    <xdr:from>
      <xdr:col>17</xdr:col>
      <xdr:colOff>281215</xdr:colOff>
      <xdr:row>1</xdr:row>
      <xdr:rowOff>18142</xdr:rowOff>
    </xdr:from>
    <xdr:to>
      <xdr:col>19</xdr:col>
      <xdr:colOff>841944</xdr:colOff>
      <xdr:row>1</xdr:row>
      <xdr:rowOff>582676</xdr:rowOff>
    </xdr:to>
    <xdr:sp macro="" textlink="">
      <xdr:nvSpPr>
        <xdr:cNvPr id="18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0A07CBD-C1E6-4AE3-A8D7-D935F84608DE}"/>
            </a:ext>
          </a:extLst>
        </xdr:cNvPr>
        <xdr:cNvSpPr/>
      </xdr:nvSpPr>
      <xdr:spPr>
        <a:xfrm>
          <a:off x="6903358" y="879928"/>
          <a:ext cx="1848872" cy="56453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</a:t>
          </a:r>
        </a:p>
      </xdr:txBody>
    </xdr:sp>
    <xdr:clientData fPrint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112619</xdr:colOff>
      <xdr:row>0</xdr:row>
      <xdr:rowOff>404533</xdr:rowOff>
    </xdr:from>
    <xdr:to>
      <xdr:col>1</xdr:col>
      <xdr:colOff>1427069</xdr:colOff>
      <xdr:row>0</xdr:row>
      <xdr:rowOff>885265</xdr:rowOff>
    </xdr:to>
    <xdr:sp macro="" textlink="">
      <xdr:nvSpPr>
        <xdr:cNvPr id="2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B5D1B-3A15-4463-ACB4-CDA1AAEF6692}"/>
            </a:ext>
          </a:extLst>
        </xdr:cNvPr>
        <xdr:cNvSpPr/>
      </xdr:nvSpPr>
      <xdr:spPr>
        <a:xfrm>
          <a:off x="269501" y="404533"/>
          <a:ext cx="1314450" cy="48073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19</xdr:col>
      <xdr:colOff>1576989</xdr:colOff>
      <xdr:row>0</xdr:row>
      <xdr:rowOff>1228227</xdr:rowOff>
    </xdr:from>
    <xdr:to>
      <xdr:col>30</xdr:col>
      <xdr:colOff>575287</xdr:colOff>
      <xdr:row>1</xdr:row>
      <xdr:rowOff>533509</xdr:rowOff>
    </xdr:to>
    <xdr:sp macro="" textlink="">
      <xdr:nvSpPr>
        <xdr:cNvPr id="1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A97DABF-D489-4FC7-9DAF-D063D148EA39}"/>
            </a:ext>
          </a:extLst>
        </xdr:cNvPr>
        <xdr:cNvSpPr/>
      </xdr:nvSpPr>
      <xdr:spPr>
        <a:xfrm>
          <a:off x="8984077" y="1228227"/>
          <a:ext cx="1799769" cy="5939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PrintsWithSheet="0"/>
  </xdr:twoCellAnchor>
  <xdr:twoCellAnchor>
    <xdr:from>
      <xdr:col>19</xdr:col>
      <xdr:colOff>1603561</xdr:colOff>
      <xdr:row>1</xdr:row>
      <xdr:rowOff>664573</xdr:rowOff>
    </xdr:from>
    <xdr:to>
      <xdr:col>30</xdr:col>
      <xdr:colOff>572779</xdr:colOff>
      <xdr:row>3</xdr:row>
      <xdr:rowOff>171513</xdr:rowOff>
    </xdr:to>
    <xdr:sp macro="" textlink="">
      <xdr:nvSpPr>
        <xdr:cNvPr id="15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430FAAA-AC98-4D33-BCCB-24799CFC106A}"/>
            </a:ext>
          </a:extLst>
        </xdr:cNvPr>
        <xdr:cNvSpPr/>
      </xdr:nvSpPr>
      <xdr:spPr>
        <a:xfrm>
          <a:off x="9010649" y="1953249"/>
          <a:ext cx="1770689" cy="53788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PrintsWithSheet="0"/>
  </xdr:twoCellAnchor>
  <xdr:twoCellAnchor>
    <xdr:from>
      <xdr:col>31</xdr:col>
      <xdr:colOff>128074</xdr:colOff>
      <xdr:row>0</xdr:row>
      <xdr:rowOff>1232647</xdr:rowOff>
    </xdr:from>
    <xdr:to>
      <xdr:col>34</xdr:col>
      <xdr:colOff>105407</xdr:colOff>
      <xdr:row>1</xdr:row>
      <xdr:rowOff>564045</xdr:rowOff>
    </xdr:to>
    <xdr:sp macro="" textlink="">
      <xdr:nvSpPr>
        <xdr:cNvPr id="17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A97A689-6C7A-4CB5-ABD1-F4D19E70FB82}"/>
            </a:ext>
          </a:extLst>
        </xdr:cNvPr>
        <xdr:cNvSpPr/>
      </xdr:nvSpPr>
      <xdr:spPr>
        <a:xfrm>
          <a:off x="10941750" y="1232647"/>
          <a:ext cx="1792686" cy="62007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15</xdr:col>
      <xdr:colOff>11207</xdr:colOff>
      <xdr:row>0</xdr:row>
      <xdr:rowOff>1255058</xdr:rowOff>
    </xdr:from>
    <xdr:to>
      <xdr:col>18</xdr:col>
      <xdr:colOff>11209</xdr:colOff>
      <xdr:row>1</xdr:row>
      <xdr:rowOff>515470</xdr:rowOff>
    </xdr:to>
    <xdr:sp macro="" textlink="">
      <xdr:nvSpPr>
        <xdr:cNvPr id="18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0CFF7C7-9A6E-479D-81CC-DB1B6AED6E96}"/>
            </a:ext>
          </a:extLst>
        </xdr:cNvPr>
        <xdr:cNvSpPr/>
      </xdr:nvSpPr>
      <xdr:spPr>
        <a:xfrm>
          <a:off x="4997825" y="1255058"/>
          <a:ext cx="1815355" cy="5490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PrintsWithSheet="0"/>
  </xdr:twoCellAnchor>
  <xdr:twoCellAnchor>
    <xdr:from>
      <xdr:col>14</xdr:col>
      <xdr:colOff>593913</xdr:colOff>
      <xdr:row>1</xdr:row>
      <xdr:rowOff>672353</xdr:rowOff>
    </xdr:from>
    <xdr:to>
      <xdr:col>17</xdr:col>
      <xdr:colOff>593915</xdr:colOff>
      <xdr:row>3</xdr:row>
      <xdr:rowOff>190499</xdr:rowOff>
    </xdr:to>
    <xdr:sp macro="" textlink="">
      <xdr:nvSpPr>
        <xdr:cNvPr id="12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0A69594-7901-4254-8EEE-E171661F8C82}"/>
            </a:ext>
          </a:extLst>
        </xdr:cNvPr>
        <xdr:cNvSpPr/>
      </xdr:nvSpPr>
      <xdr:spPr>
        <a:xfrm>
          <a:off x="4975413" y="1961029"/>
          <a:ext cx="1815355" cy="5490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tier ratios</a:t>
          </a:r>
        </a:p>
      </xdr:txBody>
    </xdr:sp>
    <xdr:clientData fPrintsWithSheet="0"/>
  </xdr:twoCellAnchor>
  <xdr:twoCellAnchor>
    <xdr:from>
      <xdr:col>18</xdr:col>
      <xdr:colOff>172944</xdr:colOff>
      <xdr:row>1</xdr:row>
      <xdr:rowOff>682825</xdr:rowOff>
    </xdr:from>
    <xdr:to>
      <xdr:col>19</xdr:col>
      <xdr:colOff>1371226</xdr:colOff>
      <xdr:row>3</xdr:row>
      <xdr:rowOff>244930</xdr:rowOff>
    </xdr:to>
    <xdr:sp macro="" textlink="">
      <xdr:nvSpPr>
        <xdr:cNvPr id="10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EC26C68-A580-4C61-B80F-201DC5CEE0A8}"/>
            </a:ext>
          </a:extLst>
        </xdr:cNvPr>
        <xdr:cNvSpPr/>
      </xdr:nvSpPr>
      <xdr:spPr>
        <a:xfrm>
          <a:off x="7384730" y="1961896"/>
          <a:ext cx="1842353" cy="59624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 percentage</a:t>
          </a:r>
        </a:p>
      </xdr:txBody>
    </xdr:sp>
    <xdr:clientData fPrintsWithSheet="0"/>
  </xdr:twoCellAnchor>
  <xdr:twoCellAnchor>
    <xdr:from>
      <xdr:col>18</xdr:col>
      <xdr:colOff>154214</xdr:colOff>
      <xdr:row>0</xdr:row>
      <xdr:rowOff>1215571</xdr:rowOff>
    </xdr:from>
    <xdr:to>
      <xdr:col>19</xdr:col>
      <xdr:colOff>1359015</xdr:colOff>
      <xdr:row>1</xdr:row>
      <xdr:rowOff>501034</xdr:rowOff>
    </xdr:to>
    <xdr:sp macro="" textlink="">
      <xdr:nvSpPr>
        <xdr:cNvPr id="16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BF5D130-6B9B-4181-8EF6-4912F7B71ABE}"/>
            </a:ext>
          </a:extLst>
        </xdr:cNvPr>
        <xdr:cNvSpPr/>
      </xdr:nvSpPr>
      <xdr:spPr>
        <a:xfrm>
          <a:off x="7366000" y="1215571"/>
          <a:ext cx="1848872" cy="56453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caseload</a:t>
          </a:r>
        </a:p>
      </xdr:txBody>
    </xdr:sp>
    <xdr:clientData fPrint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0</xdr:row>
      <xdr:rowOff>114300</xdr:rowOff>
    </xdr:from>
    <xdr:to>
      <xdr:col>1</xdr:col>
      <xdr:colOff>771525</xdr:colOff>
      <xdr:row>0</xdr:row>
      <xdr:rowOff>466725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6676" y="114300"/>
          <a:ext cx="923924" cy="3524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4</xdr:col>
      <xdr:colOff>268379</xdr:colOff>
      <xdr:row>0</xdr:row>
      <xdr:rowOff>527008</xdr:rowOff>
    </xdr:from>
    <xdr:to>
      <xdr:col>7</xdr:col>
      <xdr:colOff>212911</xdr:colOff>
      <xdr:row>2</xdr:row>
      <xdr:rowOff>22413</xdr:rowOff>
    </xdr:to>
    <xdr:sp macro="" textlink="">
      <xdr:nvSpPr>
        <xdr:cNvPr id="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593850" y="527008"/>
          <a:ext cx="2432237" cy="55996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cluster capacity, hours of reduction and unallocated cases</a:t>
          </a:r>
        </a:p>
      </xdr:txBody>
    </xdr:sp>
    <xdr:clientData fPrintsWithSheet="0"/>
  </xdr:twoCellAnchor>
  <xdr:twoCellAnchor>
    <xdr:from>
      <xdr:col>7</xdr:col>
      <xdr:colOff>742391</xdr:colOff>
      <xdr:row>1</xdr:row>
      <xdr:rowOff>3362</xdr:rowOff>
    </xdr:from>
    <xdr:to>
      <xdr:col>9</xdr:col>
      <xdr:colOff>263337</xdr:colOff>
      <xdr:row>1</xdr:row>
      <xdr:rowOff>466600</xdr:rowOff>
    </xdr:to>
    <xdr:sp macro="" textlink="">
      <xdr:nvSpPr>
        <xdr:cNvPr id="4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7555567" y="574862"/>
          <a:ext cx="1549211" cy="46323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capacity rankings</a:t>
          </a:r>
        </a:p>
      </xdr:txBody>
    </xdr:sp>
    <xdr:clientData fPrintsWithSheet="0"/>
  </xdr:twoCellAnchor>
  <xdr:twoCellAnchor>
    <xdr:from>
      <xdr:col>9</xdr:col>
      <xdr:colOff>643219</xdr:colOff>
      <xdr:row>1</xdr:row>
      <xdr:rowOff>9856</xdr:rowOff>
    </xdr:from>
    <xdr:to>
      <xdr:col>11</xdr:col>
      <xdr:colOff>862854</xdr:colOff>
      <xdr:row>1</xdr:row>
      <xdr:rowOff>468406</xdr:rowOff>
    </xdr:to>
    <xdr:sp macro="" textlink="">
      <xdr:nvSpPr>
        <xdr:cNvPr id="5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9484660" y="581356"/>
          <a:ext cx="2057400" cy="45855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over capacity by region</a:t>
          </a:r>
        </a:p>
      </xdr:txBody>
    </xdr:sp>
    <xdr:clientData fPrint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227481</xdr:colOff>
      <xdr:row>0</xdr:row>
      <xdr:rowOff>364191</xdr:rowOff>
    </xdr:from>
    <xdr:to>
      <xdr:col>1</xdr:col>
      <xdr:colOff>1221441</xdr:colOff>
      <xdr:row>0</xdr:row>
      <xdr:rowOff>830916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227481" y="364191"/>
          <a:ext cx="993960" cy="46672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3</xdr:col>
      <xdr:colOff>421609</xdr:colOff>
      <xdr:row>1</xdr:row>
      <xdr:rowOff>19329</xdr:rowOff>
    </xdr:from>
    <xdr:to>
      <xdr:col>5</xdr:col>
      <xdr:colOff>686718</xdr:colOff>
      <xdr:row>2</xdr:row>
      <xdr:rowOff>131668</xdr:rowOff>
    </xdr:to>
    <xdr:sp macro="" textlink="">
      <xdr:nvSpPr>
        <xdr:cNvPr id="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5284962" y="882182"/>
          <a:ext cx="2203727" cy="650221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WMT regional capacity</a:t>
          </a:r>
        </a:p>
      </xdr:txBody>
    </xdr:sp>
    <xdr:clientData fPrintsWithSheet="0"/>
  </xdr:twoCellAnchor>
  <xdr:twoCellAnchor>
    <xdr:from>
      <xdr:col>6</xdr:col>
      <xdr:colOff>253991</xdr:colOff>
      <xdr:row>1</xdr:row>
      <xdr:rowOff>33618</xdr:rowOff>
    </xdr:from>
    <xdr:to>
      <xdr:col>8</xdr:col>
      <xdr:colOff>405848</xdr:colOff>
      <xdr:row>2</xdr:row>
      <xdr:rowOff>142251</xdr:rowOff>
    </xdr:to>
    <xdr:sp macro="" textlink="">
      <xdr:nvSpPr>
        <xdr:cNvPr id="4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7784344" y="896471"/>
          <a:ext cx="1967210" cy="64651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capacity rankings</a:t>
          </a:r>
        </a:p>
      </xdr:txBody>
    </xdr:sp>
    <xdr:clientData fPrintsWithSheet="0"/>
  </xdr:twoCellAnchor>
  <xdr:twoCellAnchor>
    <xdr:from>
      <xdr:col>8</xdr:col>
      <xdr:colOff>618892</xdr:colOff>
      <xdr:row>1</xdr:row>
      <xdr:rowOff>56500</xdr:rowOff>
    </xdr:from>
    <xdr:to>
      <xdr:col>10</xdr:col>
      <xdr:colOff>874060</xdr:colOff>
      <xdr:row>2</xdr:row>
      <xdr:rowOff>144824</xdr:rowOff>
    </xdr:to>
    <xdr:sp macro="" textlink="">
      <xdr:nvSpPr>
        <xdr:cNvPr id="5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9964598" y="919353"/>
          <a:ext cx="2126550" cy="626206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over capacity by region</a:t>
          </a: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866775</xdr:colOff>
      <xdr:row>1</xdr:row>
      <xdr:rowOff>29133</xdr:rowOff>
    </xdr:from>
    <xdr:to>
      <xdr:col>5</xdr:col>
      <xdr:colOff>1304924</xdr:colOff>
      <xdr:row>2</xdr:row>
      <xdr:rowOff>58740</xdr:rowOff>
    </xdr:to>
    <xdr:sp macro="" textlink="">
      <xdr:nvSpPr>
        <xdr:cNvPr id="4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6076950" y="619683"/>
          <a:ext cx="2438399" cy="543957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cluster capacity, reduction in hours and unallocated cases</a:t>
          </a:r>
        </a:p>
      </xdr:txBody>
    </xdr:sp>
    <xdr:clientData fPrintsWithSheet="0"/>
  </xdr:twoCellAnchor>
  <xdr:twoCellAnchor>
    <xdr:from>
      <xdr:col>0</xdr:col>
      <xdr:colOff>147916</xdr:colOff>
      <xdr:row>0</xdr:row>
      <xdr:rowOff>86285</xdr:rowOff>
    </xdr:from>
    <xdr:to>
      <xdr:col>1</xdr:col>
      <xdr:colOff>788893</xdr:colOff>
      <xdr:row>1</xdr:row>
      <xdr:rowOff>52107</xdr:rowOff>
    </xdr:to>
    <xdr:sp macro="" textlink="">
      <xdr:nvSpPr>
        <xdr:cNvPr id="5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14692591" y="86285"/>
          <a:ext cx="1002927" cy="38492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2</xdr:col>
      <xdr:colOff>816428</xdr:colOff>
      <xdr:row>1</xdr:row>
      <xdr:rowOff>27213</xdr:rowOff>
    </xdr:from>
    <xdr:to>
      <xdr:col>3</xdr:col>
      <xdr:colOff>744294</xdr:colOff>
      <xdr:row>2</xdr:row>
      <xdr:rowOff>36286</xdr:rowOff>
    </xdr:to>
    <xdr:sp macro="" textlink="">
      <xdr:nvSpPr>
        <xdr:cNvPr id="7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8A90310-08AB-4DAE-98E6-AFA3022648E0}"/>
            </a:ext>
          </a:extLst>
        </xdr:cNvPr>
        <xdr:cNvSpPr/>
      </xdr:nvSpPr>
      <xdr:spPr>
        <a:xfrm>
          <a:off x="3900714" y="616856"/>
          <a:ext cx="2304580" cy="52614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WMT regional capacity</a:t>
          </a:r>
        </a:p>
      </xdr:txBody>
    </xdr:sp>
    <xdr:clientData fPrintsWithSheet="0"/>
  </xdr:twoCellAnchor>
  <xdr:twoCellAnchor>
    <xdr:from>
      <xdr:col>5</xdr:col>
      <xdr:colOff>1433285</xdr:colOff>
      <xdr:row>1</xdr:row>
      <xdr:rowOff>0</xdr:rowOff>
    </xdr:from>
    <xdr:to>
      <xdr:col>6</xdr:col>
      <xdr:colOff>1692188</xdr:colOff>
      <xdr:row>2</xdr:row>
      <xdr:rowOff>101664</xdr:rowOff>
    </xdr:to>
    <xdr:sp macro="" textlink="">
      <xdr:nvSpPr>
        <xdr:cNvPr id="8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6107CE1-3E0A-4CC7-8942-45BB562DF107}"/>
            </a:ext>
          </a:extLst>
        </xdr:cNvPr>
        <xdr:cNvSpPr/>
      </xdr:nvSpPr>
      <xdr:spPr>
        <a:xfrm>
          <a:off x="8989785" y="589643"/>
          <a:ext cx="2227403" cy="61873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over capacity by region</a:t>
          </a: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139515</xdr:colOff>
      <xdr:row>0</xdr:row>
      <xdr:rowOff>228599</xdr:rowOff>
    </xdr:from>
    <xdr:to>
      <xdr:col>1</xdr:col>
      <xdr:colOff>1019737</xdr:colOff>
      <xdr:row>0</xdr:row>
      <xdr:rowOff>657224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51574" y="228599"/>
          <a:ext cx="880222" cy="4286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7</xdr:col>
      <xdr:colOff>108136</xdr:colOff>
      <xdr:row>1</xdr:row>
      <xdr:rowOff>57482</xdr:rowOff>
    </xdr:from>
    <xdr:to>
      <xdr:col>8</xdr:col>
      <xdr:colOff>168087</xdr:colOff>
      <xdr:row>1</xdr:row>
      <xdr:rowOff>501694</xdr:rowOff>
    </xdr:to>
    <xdr:sp macro="" textlink="">
      <xdr:nvSpPr>
        <xdr:cNvPr id="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6473077" y="965158"/>
          <a:ext cx="2401981" cy="444212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cluster capacity, reduction in hours and </a:t>
          </a:r>
          <a:r>
            <a:rPr lang="en-GB" sz="11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unallocated</a:t>
          </a:r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cases</a:t>
          </a:r>
        </a:p>
      </xdr:txBody>
    </xdr:sp>
    <xdr:clientData fPrintsWithSheet="0"/>
  </xdr:twoCellAnchor>
  <xdr:twoCellAnchor>
    <xdr:from>
      <xdr:col>9</xdr:col>
      <xdr:colOff>24092</xdr:colOff>
      <xdr:row>1</xdr:row>
      <xdr:rowOff>71718</xdr:rowOff>
    </xdr:from>
    <xdr:to>
      <xdr:col>10</xdr:col>
      <xdr:colOff>560294</xdr:colOff>
      <xdr:row>1</xdr:row>
      <xdr:rowOff>519393</xdr:rowOff>
    </xdr:to>
    <xdr:sp macro="" textlink="">
      <xdr:nvSpPr>
        <xdr:cNvPr id="4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470651" y="979394"/>
          <a:ext cx="1634378" cy="44767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capacity rankings</a:t>
          </a:r>
        </a:p>
      </xdr:txBody>
    </xdr:sp>
    <xdr:clientData fPrintsWithSheet="0"/>
  </xdr:twoCellAnchor>
  <xdr:twoCellAnchor>
    <xdr:from>
      <xdr:col>4</xdr:col>
      <xdr:colOff>224118</xdr:colOff>
      <xdr:row>1</xdr:row>
      <xdr:rowOff>37352</xdr:rowOff>
    </xdr:from>
    <xdr:to>
      <xdr:col>6</xdr:col>
      <xdr:colOff>511639</xdr:colOff>
      <xdr:row>2</xdr:row>
      <xdr:rowOff>7470</xdr:rowOff>
    </xdr:to>
    <xdr:sp macro="" textlink="">
      <xdr:nvSpPr>
        <xdr:cNvPr id="6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26BE1CB-AD68-4732-BEB9-3EF27735CCC3}"/>
            </a:ext>
          </a:extLst>
        </xdr:cNvPr>
        <xdr:cNvSpPr/>
      </xdr:nvSpPr>
      <xdr:spPr>
        <a:xfrm>
          <a:off x="4071471" y="941293"/>
          <a:ext cx="2304580" cy="49305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WMT regional capacity</a:t>
          </a: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165287</xdr:colOff>
      <xdr:row>0</xdr:row>
      <xdr:rowOff>344020</xdr:rowOff>
    </xdr:from>
    <xdr:to>
      <xdr:col>1</xdr:col>
      <xdr:colOff>728382</xdr:colOff>
      <xdr:row>2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65287" y="344020"/>
          <a:ext cx="832036" cy="49642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169332</xdr:colOff>
      <xdr:row>0</xdr:row>
      <xdr:rowOff>169333</xdr:rowOff>
    </xdr:from>
    <xdr:to>
      <xdr:col>1</xdr:col>
      <xdr:colOff>994833</xdr:colOff>
      <xdr:row>0</xdr:row>
      <xdr:rowOff>582083</xdr:rowOff>
    </xdr:to>
    <xdr:sp macro="" textlink="">
      <xdr:nvSpPr>
        <xdr:cNvPr id="3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9938999" y="169333"/>
          <a:ext cx="1068917" cy="4127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6</xdr:col>
      <xdr:colOff>17931</xdr:colOff>
      <xdr:row>0</xdr:row>
      <xdr:rowOff>115103</xdr:rowOff>
    </xdr:from>
    <xdr:to>
      <xdr:col>7</xdr:col>
      <xdr:colOff>457332</xdr:colOff>
      <xdr:row>0</xdr:row>
      <xdr:rowOff>566708</xdr:rowOff>
    </xdr:to>
    <xdr:sp macro="" textlink="">
      <xdr:nvSpPr>
        <xdr:cNvPr id="4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7996519" y="115103"/>
          <a:ext cx="1750489" cy="45160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reduction reasons</a:t>
          </a:r>
        </a:p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by</a:t>
          </a:r>
          <a:r>
            <a:rPr lang="en-GB" sz="10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</a:t>
          </a:r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luster</a:t>
          </a:r>
        </a:p>
      </xdr:txBody>
    </xdr:sp>
    <xdr:clientData fPrintsWithSheet="0"/>
  </xdr:twoCellAnchor>
  <xdr:twoCellAnchor>
    <xdr:from>
      <xdr:col>7</xdr:col>
      <xdr:colOff>597648</xdr:colOff>
      <xdr:row>0</xdr:row>
      <xdr:rowOff>97118</xdr:rowOff>
    </xdr:from>
    <xdr:to>
      <xdr:col>9</xdr:col>
      <xdr:colOff>788147</xdr:colOff>
      <xdr:row>0</xdr:row>
      <xdr:rowOff>582023</xdr:rowOff>
    </xdr:to>
    <xdr:sp macro="" textlink="">
      <xdr:nvSpPr>
        <xdr:cNvPr id="5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11766177" y="97118"/>
          <a:ext cx="3193676" cy="48490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regional reductions as % of contracted hours</a:t>
          </a: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244930</xdr:colOff>
      <xdr:row>0</xdr:row>
      <xdr:rowOff>285750</xdr:rowOff>
    </xdr:from>
    <xdr:to>
      <xdr:col>0</xdr:col>
      <xdr:colOff>1199030</xdr:colOff>
      <xdr:row>0</xdr:row>
      <xdr:rowOff>857250</xdr:rowOff>
    </xdr:to>
    <xdr:sp macro="" textlink="">
      <xdr:nvSpPr>
        <xdr:cNvPr id="3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244930" y="285750"/>
          <a:ext cx="954100" cy="5715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3</xdr:col>
      <xdr:colOff>594715</xdr:colOff>
      <xdr:row>0</xdr:row>
      <xdr:rowOff>130333</xdr:rowOff>
    </xdr:from>
    <xdr:to>
      <xdr:col>4</xdr:col>
      <xdr:colOff>1714501</xdr:colOff>
      <xdr:row>0</xdr:row>
      <xdr:rowOff>847217</xdr:rowOff>
    </xdr:to>
    <xdr:sp macro="" textlink="">
      <xdr:nvSpPr>
        <xdr:cNvPr id="4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6769156" y="130333"/>
          <a:ext cx="1724904" cy="716884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reduction reasons</a:t>
          </a:r>
        </a:p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by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region</a:t>
          </a:r>
          <a:endParaRPr lang="en-GB" sz="12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4</xdr:col>
      <xdr:colOff>2276023</xdr:colOff>
      <xdr:row>0</xdr:row>
      <xdr:rowOff>120062</xdr:rowOff>
    </xdr:from>
    <xdr:to>
      <xdr:col>6</xdr:col>
      <xdr:colOff>38848</xdr:colOff>
      <xdr:row>0</xdr:row>
      <xdr:rowOff>853341</xdr:rowOff>
    </xdr:to>
    <xdr:sp macro="" textlink="">
      <xdr:nvSpPr>
        <xdr:cNvPr id="5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9055582" y="120062"/>
          <a:ext cx="2009854" cy="73327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reductions as % of contracted hours</a:t>
          </a: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124945</xdr:rowOff>
    </xdr:from>
    <xdr:to>
      <xdr:col>1</xdr:col>
      <xdr:colOff>1176618</xdr:colOff>
      <xdr:row>0</xdr:row>
      <xdr:rowOff>582706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180975" y="124945"/>
          <a:ext cx="1286996" cy="45776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PrintsWithSheet="0"/>
  </xdr:twoCellAnchor>
  <xdr:twoCellAnchor>
    <xdr:from>
      <xdr:col>9</xdr:col>
      <xdr:colOff>324972</xdr:colOff>
      <xdr:row>0</xdr:row>
      <xdr:rowOff>89646</xdr:rowOff>
    </xdr:from>
    <xdr:to>
      <xdr:col>11</xdr:col>
      <xdr:colOff>289672</xdr:colOff>
      <xdr:row>0</xdr:row>
      <xdr:rowOff>703727</xdr:rowOff>
    </xdr:to>
    <xdr:sp macro="" textlink="">
      <xdr:nvSpPr>
        <xdr:cNvPr id="3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9547413" y="89646"/>
          <a:ext cx="1712818" cy="614081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reduction reasons</a:t>
          </a:r>
        </a:p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by</a:t>
          </a:r>
          <a:r>
            <a:rPr lang="en-GB" sz="10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region</a:t>
          </a:r>
          <a:endParaRPr lang="en-GB" sz="10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>
    <xdr:from>
      <xdr:col>11</xdr:col>
      <xdr:colOff>505944</xdr:colOff>
      <xdr:row>0</xdr:row>
      <xdr:rowOff>108696</xdr:rowOff>
    </xdr:from>
    <xdr:to>
      <xdr:col>13</xdr:col>
      <xdr:colOff>164725</xdr:colOff>
      <xdr:row>0</xdr:row>
      <xdr:rowOff>717175</xdr:rowOff>
    </xdr:to>
    <xdr:sp macro="" textlink="">
      <xdr:nvSpPr>
        <xdr:cNvPr id="4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1476503" y="108696"/>
          <a:ext cx="1552575" cy="60847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reduction reasons</a:t>
          </a:r>
        </a:p>
        <a:p>
          <a:pPr algn="ctr"/>
          <a:r>
            <a:rPr lang="en-GB" sz="1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by</a:t>
          </a:r>
          <a:r>
            <a:rPr lang="en-GB" sz="10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PDU</a:t>
          </a:r>
          <a:endParaRPr lang="en-GB" sz="10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68159</xdr:colOff>
      <xdr:row>0</xdr:row>
      <xdr:rowOff>176894</xdr:rowOff>
    </xdr:from>
    <xdr:to>
      <xdr:col>1</xdr:col>
      <xdr:colOff>375557</xdr:colOff>
      <xdr:row>0</xdr:row>
      <xdr:rowOff>830036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68159" y="176894"/>
          <a:ext cx="1341541" cy="65314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8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LocksWithSheet="0"/>
  </xdr:twoCellAnchor>
  <xdr:twoCellAnchor>
    <xdr:from>
      <xdr:col>2</xdr:col>
      <xdr:colOff>1614714</xdr:colOff>
      <xdr:row>2</xdr:row>
      <xdr:rowOff>974640</xdr:rowOff>
    </xdr:from>
    <xdr:to>
      <xdr:col>3</xdr:col>
      <xdr:colOff>2118714</xdr:colOff>
      <xdr:row>2</xdr:row>
      <xdr:rowOff>1651886</xdr:rowOff>
    </xdr:to>
    <xdr:sp macro="" textlink="">
      <xdr:nvSpPr>
        <xdr:cNvPr id="8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>
        <a:xfrm>
          <a:off x="4544785" y="2779854"/>
          <a:ext cx="2182215" cy="677246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Divisional caseload</a:t>
          </a:r>
        </a:p>
      </xdr:txBody>
    </xdr:sp>
    <xdr:clientData fLocksWithSheet="0"/>
  </xdr:twoCellAnchor>
  <xdr:twoCellAnchor>
    <xdr:from>
      <xdr:col>3</xdr:col>
      <xdr:colOff>3048001</xdr:colOff>
      <xdr:row>2</xdr:row>
      <xdr:rowOff>972825</xdr:rowOff>
    </xdr:from>
    <xdr:to>
      <xdr:col>6</xdr:col>
      <xdr:colOff>132858</xdr:colOff>
      <xdr:row>2</xdr:row>
      <xdr:rowOff>1656393</xdr:rowOff>
    </xdr:to>
    <xdr:sp macro="" textlink="">
      <xdr:nvSpPr>
        <xdr:cNvPr id="9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7443108" y="2768968"/>
          <a:ext cx="2310000" cy="68356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</a:t>
          </a:r>
        </a:p>
      </xdr:txBody>
    </xdr:sp>
    <xdr:clientData fLocksWithSheet="0"/>
  </xdr:twoCellAnchor>
  <xdr:twoCellAnchor>
    <xdr:from>
      <xdr:col>0</xdr:col>
      <xdr:colOff>1030942</xdr:colOff>
      <xdr:row>2</xdr:row>
      <xdr:rowOff>1010924</xdr:rowOff>
    </xdr:from>
    <xdr:to>
      <xdr:col>2</xdr:col>
      <xdr:colOff>530680</xdr:colOff>
      <xdr:row>2</xdr:row>
      <xdr:rowOff>1632857</xdr:rowOff>
    </xdr:to>
    <xdr:sp macro="" textlink="">
      <xdr:nvSpPr>
        <xdr:cNvPr id="10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1030942" y="2807067"/>
          <a:ext cx="2289202" cy="621933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National caseload</a:t>
          </a:r>
        </a:p>
      </xdr:txBody>
    </xdr:sp>
    <xdr:clientData fLocksWithSheet="0"/>
  </xdr:twoCellAnchor>
  <xdr:twoCellAnchor>
    <xdr:from>
      <xdr:col>1</xdr:col>
      <xdr:colOff>875394</xdr:colOff>
      <xdr:row>2</xdr:row>
      <xdr:rowOff>2444750</xdr:rowOff>
    </xdr:from>
    <xdr:to>
      <xdr:col>3</xdr:col>
      <xdr:colOff>192562</xdr:colOff>
      <xdr:row>2</xdr:row>
      <xdr:rowOff>3297229</xdr:rowOff>
    </xdr:to>
    <xdr:sp macro="" textlink="">
      <xdr:nvSpPr>
        <xdr:cNvPr id="12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0CCF790-0382-4122-BFD8-EAD102398E44}"/>
            </a:ext>
          </a:extLst>
        </xdr:cNvPr>
        <xdr:cNvSpPr/>
      </xdr:nvSpPr>
      <xdr:spPr>
        <a:xfrm>
          <a:off x="1954894" y="4249964"/>
          <a:ext cx="2845954" cy="85247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Divisional caseload percentage</a:t>
          </a:r>
        </a:p>
      </xdr:txBody>
    </xdr:sp>
    <xdr:clientData fLocksWithSheet="0"/>
  </xdr:twoCellAnchor>
  <xdr:twoCellAnchor>
    <xdr:from>
      <xdr:col>3</xdr:col>
      <xdr:colOff>1200150</xdr:colOff>
      <xdr:row>2</xdr:row>
      <xdr:rowOff>2479222</xdr:rowOff>
    </xdr:from>
    <xdr:to>
      <xdr:col>4</xdr:col>
      <xdr:colOff>354032</xdr:colOff>
      <xdr:row>2</xdr:row>
      <xdr:rowOff>3331701</xdr:rowOff>
    </xdr:to>
    <xdr:sp macro="" textlink="">
      <xdr:nvSpPr>
        <xdr:cNvPr id="13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8BBB189-CB77-4642-B571-896ADF9DAFA0}"/>
            </a:ext>
          </a:extLst>
        </xdr:cNvPr>
        <xdr:cNvSpPr/>
      </xdr:nvSpPr>
      <xdr:spPr>
        <a:xfrm>
          <a:off x="5595257" y="4275365"/>
          <a:ext cx="2678132" cy="85247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Custody caseload percentage</a:t>
          </a:r>
        </a:p>
      </xdr:txBody>
    </xdr:sp>
    <xdr:clientData fLocksWithSheet="0"/>
  </xdr:twoCellAnchor>
  <xdr:twoCellAnchor>
    <xdr:from>
      <xdr:col>5</xdr:col>
      <xdr:colOff>304801</xdr:colOff>
      <xdr:row>2</xdr:row>
      <xdr:rowOff>2427514</xdr:rowOff>
    </xdr:from>
    <xdr:to>
      <xdr:col>9</xdr:col>
      <xdr:colOff>220683</xdr:colOff>
      <xdr:row>2</xdr:row>
      <xdr:rowOff>3279993</xdr:rowOff>
    </xdr:to>
    <xdr:sp macro="" textlink="">
      <xdr:nvSpPr>
        <xdr:cNvPr id="15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1AB9B6B-A9C9-44D8-BCC8-9966003091CC}"/>
            </a:ext>
          </a:extLst>
        </xdr:cNvPr>
        <xdr:cNvSpPr/>
      </xdr:nvSpPr>
      <xdr:spPr>
        <a:xfrm>
          <a:off x="9203872" y="4223657"/>
          <a:ext cx="2678132" cy="85247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 caseload percentage</a:t>
          </a:r>
        </a:p>
      </xdr:txBody>
    </xdr:sp>
    <xdr:clientData fLocksWithSheet="0"/>
  </xdr:twoCellAnchor>
  <xdr:twoCellAnchor>
    <xdr:from>
      <xdr:col>7</xdr:col>
      <xdr:colOff>598715</xdr:colOff>
      <xdr:row>2</xdr:row>
      <xdr:rowOff>902068</xdr:rowOff>
    </xdr:from>
    <xdr:to>
      <xdr:col>11</xdr:col>
      <xdr:colOff>230785</xdr:colOff>
      <xdr:row>2</xdr:row>
      <xdr:rowOff>1626726</xdr:rowOff>
    </xdr:to>
    <xdr:sp macro="" textlink="">
      <xdr:nvSpPr>
        <xdr:cNvPr id="16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150301F-49C0-45D1-9E83-B722A6866DB9}"/>
            </a:ext>
          </a:extLst>
        </xdr:cNvPr>
        <xdr:cNvSpPr/>
      </xdr:nvSpPr>
      <xdr:spPr>
        <a:xfrm>
          <a:off x="10899322" y="2698211"/>
          <a:ext cx="2380713" cy="72465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Community</a:t>
          </a:r>
          <a:r>
            <a:rPr lang="en-GB" sz="16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caseload</a:t>
          </a:r>
          <a:endParaRPr lang="en-GB" sz="16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235323</xdr:colOff>
      <xdr:row>0</xdr:row>
      <xdr:rowOff>199465</xdr:rowOff>
    </xdr:from>
    <xdr:to>
      <xdr:col>1</xdr:col>
      <xdr:colOff>1146361</xdr:colOff>
      <xdr:row>0</xdr:row>
      <xdr:rowOff>579782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1266264" y="199465"/>
          <a:ext cx="911038" cy="38031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LocksWithSheet="0"/>
  </xdr:twoCellAnchor>
  <xdr:twoCellAnchor>
    <xdr:from>
      <xdr:col>2</xdr:col>
      <xdr:colOff>493057</xdr:colOff>
      <xdr:row>2</xdr:row>
      <xdr:rowOff>1813668</xdr:rowOff>
    </xdr:from>
    <xdr:to>
      <xdr:col>3</xdr:col>
      <xdr:colOff>1064557</xdr:colOff>
      <xdr:row>2</xdr:row>
      <xdr:rowOff>3025587</xdr:rowOff>
    </xdr:to>
    <xdr:sp macro="" textlink="">
      <xdr:nvSpPr>
        <xdr:cNvPr id="69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3272116" y="2889433"/>
          <a:ext cx="2173941" cy="121191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Cluster Level Capacities, Reduction of Hours and Unallocated Cases</a:t>
          </a:r>
          <a:endParaRPr lang="en-GB" sz="20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>
    <xdr:from>
      <xdr:col>3</xdr:col>
      <xdr:colOff>1689292</xdr:colOff>
      <xdr:row>2</xdr:row>
      <xdr:rowOff>1961029</xdr:rowOff>
    </xdr:from>
    <xdr:to>
      <xdr:col>3</xdr:col>
      <xdr:colOff>3320489</xdr:colOff>
      <xdr:row>2</xdr:row>
      <xdr:rowOff>2830352</xdr:rowOff>
    </xdr:to>
    <xdr:sp macro="" textlink="">
      <xdr:nvSpPr>
        <xdr:cNvPr id="70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6070792" y="3036794"/>
          <a:ext cx="1631197" cy="869323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Capacity Rankings</a:t>
          </a:r>
        </a:p>
      </xdr:txBody>
    </xdr:sp>
    <xdr:clientData fLocksWithSheet="0"/>
  </xdr:twoCellAnchor>
  <xdr:twoCellAnchor>
    <xdr:from>
      <xdr:col>0</xdr:col>
      <xdr:colOff>930087</xdr:colOff>
      <xdr:row>2</xdr:row>
      <xdr:rowOff>1927411</xdr:rowOff>
    </xdr:from>
    <xdr:to>
      <xdr:col>1</xdr:col>
      <xdr:colOff>1523670</xdr:colOff>
      <xdr:row>2</xdr:row>
      <xdr:rowOff>2801470</xdr:rowOff>
    </xdr:to>
    <xdr:sp macro="" textlink="">
      <xdr:nvSpPr>
        <xdr:cNvPr id="71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SpPr/>
      </xdr:nvSpPr>
      <xdr:spPr>
        <a:xfrm>
          <a:off x="930087" y="3003176"/>
          <a:ext cx="1624524" cy="87405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WMT Divisional Capacity</a:t>
          </a:r>
        </a:p>
      </xdr:txBody>
    </xdr:sp>
    <xdr:clientData fLocksWithSheet="0"/>
  </xdr:twoCellAnchor>
  <xdr:twoCellAnchor>
    <xdr:from>
      <xdr:col>4</xdr:col>
      <xdr:colOff>212913</xdr:colOff>
      <xdr:row>2</xdr:row>
      <xdr:rowOff>1972234</xdr:rowOff>
    </xdr:from>
    <xdr:to>
      <xdr:col>6</xdr:col>
      <xdr:colOff>437029</xdr:colOff>
      <xdr:row>2</xdr:row>
      <xdr:rowOff>2846293</xdr:rowOff>
    </xdr:to>
    <xdr:sp macro="" textlink="">
      <xdr:nvSpPr>
        <xdr:cNvPr id="6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505266" y="3047999"/>
          <a:ext cx="1994645" cy="87405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Over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Capacity by</a:t>
          </a:r>
        </a:p>
        <a:p>
          <a:pPr algn="ctr"/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Division</a:t>
          </a:r>
          <a:endParaRPr lang="en-GB" sz="16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526677</xdr:colOff>
      <xdr:row>0</xdr:row>
      <xdr:rowOff>210671</xdr:rowOff>
    </xdr:from>
    <xdr:to>
      <xdr:col>1</xdr:col>
      <xdr:colOff>373156</xdr:colOff>
      <xdr:row>0</xdr:row>
      <xdr:rowOff>590988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526677" y="210671"/>
          <a:ext cx="877420" cy="38031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Home</a:t>
          </a:r>
        </a:p>
      </xdr:txBody>
    </xdr:sp>
    <xdr:clientData fLocksWithSheet="0"/>
  </xdr:twoCellAnchor>
  <xdr:twoCellAnchor>
    <xdr:from>
      <xdr:col>3</xdr:col>
      <xdr:colOff>149302</xdr:colOff>
      <xdr:row>2</xdr:row>
      <xdr:rowOff>1064553</xdr:rowOff>
    </xdr:from>
    <xdr:to>
      <xdr:col>3</xdr:col>
      <xdr:colOff>2221144</xdr:colOff>
      <xdr:row>2</xdr:row>
      <xdr:rowOff>1975632</xdr:rowOff>
    </xdr:to>
    <xdr:sp macro="" textlink="">
      <xdr:nvSpPr>
        <xdr:cNvPr id="6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530802" y="2140318"/>
          <a:ext cx="2071842" cy="911079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Reduction Reasons</a:t>
          </a:r>
        </a:p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by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PDU</a:t>
          </a:r>
          <a:endParaRPr lang="en-GB" sz="16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>
    <xdr:from>
      <xdr:col>4</xdr:col>
      <xdr:colOff>51323</xdr:colOff>
      <xdr:row>2</xdr:row>
      <xdr:rowOff>1066677</xdr:rowOff>
    </xdr:from>
    <xdr:to>
      <xdr:col>6</xdr:col>
      <xdr:colOff>419090</xdr:colOff>
      <xdr:row>2</xdr:row>
      <xdr:rowOff>1973425</xdr:rowOff>
    </xdr:to>
    <xdr:sp macro="" textlink="">
      <xdr:nvSpPr>
        <xdr:cNvPr id="7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7962676" y="2142442"/>
          <a:ext cx="2082267" cy="90674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Regional Reductions as % of Contracted Hours</a:t>
          </a:r>
        </a:p>
      </xdr:txBody>
    </xdr:sp>
    <xdr:clientData fLocksWithSheet="0"/>
  </xdr:twoCellAnchor>
  <xdr:twoCellAnchor>
    <xdr:from>
      <xdr:col>1</xdr:col>
      <xdr:colOff>44823</xdr:colOff>
      <xdr:row>2</xdr:row>
      <xdr:rowOff>1064552</xdr:rowOff>
    </xdr:from>
    <xdr:to>
      <xdr:col>2</xdr:col>
      <xdr:colOff>358590</xdr:colOff>
      <xdr:row>2</xdr:row>
      <xdr:rowOff>1994647</xdr:rowOff>
    </xdr:to>
    <xdr:sp macro="" textlink="">
      <xdr:nvSpPr>
        <xdr:cNvPr id="8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/>
      </xdr:nvSpPr>
      <xdr:spPr>
        <a:xfrm>
          <a:off x="1075764" y="2140317"/>
          <a:ext cx="2061885" cy="93009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Reduction Reasons</a:t>
          </a:r>
        </a:p>
        <a:p>
          <a:pPr algn="ctr"/>
          <a:r>
            <a:rPr lang="en-GB" sz="120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by</a:t>
          </a:r>
          <a:r>
            <a:rPr lang="en-GB" sz="1200" baseline="0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 Region</a:t>
          </a:r>
          <a:endParaRPr lang="en-GB" sz="1600">
            <a:solidFill>
              <a:srgbClr val="7030A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justiceuk.sharepoint.com/nd1vcf0011/HBSSHAREDDATA01/NPS/NPS%20NE%20Division%20Hub/Performance%20&amp;%20Quality/Performance/2014-15%20Performance/PTRS%202013-14%20Q4%20Local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https://justiceuk.sharepoint.com/UKBIA03KDFSJ001.a03.wp360g.svcs.hp.com/ORG/NPS%20Deputy%20Director%20Effective%20Probation%20Practice/NPS%202020%20Knowledge%20Management/1)%20Define/Risk%20Register/NPS202_KM_Risks%20Issues%20Register_v0.7.xlsm?02995023" TargetMode="External"/><Relationship Id="rId1" Type="http://schemas.openxmlformats.org/officeDocument/2006/relationships/externalLinkPath" Target="file:///02995023/NPS202_KM_Risks%20Issues%20Register_v0.7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https://justiceuk.sharepoint.com/eucw4171nas002.dom1.infra.int/HMPPS_Finance$/NPS%20Deputy%20Director%20Effective%20Probation%20Practice/NPS%202020%20Knowledge%20Management/1)%20Define/Risk%20Register/NPS202_KM_Risks%20Issues%20Register_v0.7.xlsm?CE4A5563" TargetMode="External"/><Relationship Id="rId1" Type="http://schemas.openxmlformats.org/officeDocument/2006/relationships/externalLinkPath" Target="file:///CE4A5563/NPS202_KM_Risks%20Issues%20Register_v0.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ing Lookup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0"/>
  <sheetViews>
    <sheetView showGridLines="0" showRowColHeaders="0" tabSelected="1" zoomScale="90" zoomScaleNormal="90" zoomScaleSheetLayoutView="85" workbookViewId="0">
      <selection sqref="A1:Q1"/>
    </sheetView>
  </sheetViews>
  <sheetFormatPr baseColWidth="10" defaultColWidth="8.83203125" defaultRowHeight="14" x14ac:dyDescent="0.15"/>
  <cols>
    <col min="1" max="1" width="3.1640625" customWidth="1"/>
    <col min="10" max="10" width="21.5" customWidth="1"/>
    <col min="11" max="11" width="9.5" bestFit="1" customWidth="1"/>
    <col min="17" max="17" width="12.5" customWidth="1"/>
    <col min="21" max="21" width="11.5" customWidth="1"/>
    <col min="31" max="31" width="6.5" customWidth="1"/>
  </cols>
  <sheetData>
    <row r="1" spans="1:24" ht="45" customHeight="1" x14ac:dyDescent="0.15">
      <c r="A1" s="285" t="s">
        <v>0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30"/>
      <c r="S1" s="30"/>
      <c r="T1" s="30"/>
      <c r="U1" s="30"/>
      <c r="V1" s="30"/>
      <c r="W1" s="30"/>
      <c r="X1" s="30"/>
    </row>
    <row r="2" spans="1:24" x14ac:dyDescent="0.15">
      <c r="A2" s="16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</row>
    <row r="3" spans="1:24" ht="21.75" customHeight="1" x14ac:dyDescent="0.15">
      <c r="A3" s="30"/>
      <c r="B3" s="30"/>
      <c r="C3" s="253"/>
      <c r="D3" s="253"/>
      <c r="E3" s="253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</row>
    <row r="4" spans="1:24" ht="18" customHeight="1" x14ac:dyDescent="0.2">
      <c r="A4" s="30"/>
      <c r="B4" s="30"/>
      <c r="C4" s="252"/>
      <c r="D4" s="252"/>
      <c r="E4" s="252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88" t="s">
        <v>1</v>
      </c>
      <c r="R4" s="89"/>
      <c r="S4" s="89"/>
      <c r="T4" s="89"/>
      <c r="U4" s="89"/>
      <c r="V4" s="89"/>
      <c r="W4" s="90"/>
      <c r="X4" s="30"/>
    </row>
    <row r="5" spans="1:24" s="30" customFormat="1" ht="18" customHeight="1" x14ac:dyDescent="0.2">
      <c r="C5" s="252"/>
      <c r="D5" s="252"/>
      <c r="E5" s="252"/>
      <c r="Q5" s="259" t="s">
        <v>2</v>
      </c>
      <c r="R5" s="89"/>
      <c r="S5" s="89"/>
      <c r="T5" s="89"/>
      <c r="U5" s="89"/>
      <c r="V5" s="89"/>
      <c r="W5" s="90"/>
    </row>
    <row r="6" spans="1:24" ht="17.25" customHeight="1" x14ac:dyDescent="0.2">
      <c r="A6" s="30"/>
      <c r="B6" s="30"/>
      <c r="C6" s="252"/>
      <c r="D6" s="252"/>
      <c r="E6" s="252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259" t="s">
        <v>454</v>
      </c>
      <c r="R6" s="259"/>
      <c r="S6" s="259"/>
      <c r="T6" s="259"/>
      <c r="U6" s="259"/>
      <c r="V6" s="259"/>
      <c r="W6" s="259"/>
      <c r="X6" s="30"/>
    </row>
    <row r="7" spans="1:24" ht="15" customHeight="1" x14ac:dyDescent="0.2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259" t="s">
        <v>457</v>
      </c>
      <c r="R7" s="259"/>
      <c r="S7" s="259"/>
      <c r="T7" s="259"/>
      <c r="U7" s="259"/>
      <c r="V7" s="259"/>
      <c r="W7" s="259"/>
      <c r="X7" s="30"/>
    </row>
    <row r="8" spans="1:24" s="30" customFormat="1" ht="15" customHeight="1" x14ac:dyDescent="0.2">
      <c r="Q8" s="259" t="s">
        <v>3</v>
      </c>
      <c r="R8" s="258"/>
      <c r="S8" s="258"/>
      <c r="T8" s="258"/>
      <c r="U8" s="258"/>
      <c r="V8" s="258"/>
      <c r="W8" s="258"/>
    </row>
    <row r="9" spans="1:24" ht="18" x14ac:dyDescent="0.2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259" t="s">
        <v>458</v>
      </c>
      <c r="R9" s="259"/>
      <c r="S9" s="259"/>
      <c r="T9" s="259"/>
      <c r="U9" s="259"/>
      <c r="V9" s="259"/>
      <c r="W9" s="259"/>
      <c r="X9" s="30"/>
    </row>
    <row r="10" spans="1:24" ht="18" x14ac:dyDescent="0.2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259" t="s">
        <v>459</v>
      </c>
      <c r="R10" s="259"/>
      <c r="S10" s="259"/>
      <c r="T10" s="259"/>
      <c r="U10" s="259"/>
      <c r="V10" s="259"/>
      <c r="W10" s="259"/>
      <c r="X10" s="259"/>
    </row>
    <row r="11" spans="1:24" ht="18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259" t="s">
        <v>455</v>
      </c>
      <c r="R11" s="259"/>
      <c r="S11" s="259"/>
      <c r="T11" s="259"/>
      <c r="U11" s="259"/>
      <c r="V11" s="259"/>
      <c r="W11" s="259"/>
      <c r="X11" s="30"/>
    </row>
    <row r="12" spans="1:24" ht="18" x14ac:dyDescent="0.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259" t="s">
        <v>460</v>
      </c>
      <c r="R12" s="259"/>
      <c r="S12" s="259"/>
      <c r="T12" s="259"/>
      <c r="U12" s="259"/>
      <c r="V12" s="259"/>
      <c r="W12" s="259"/>
      <c r="X12" s="30"/>
    </row>
    <row r="13" spans="1:24" ht="18" x14ac:dyDescent="0.2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259" t="s">
        <v>461</v>
      </c>
      <c r="R13" s="259"/>
      <c r="S13" s="259"/>
      <c r="T13" s="259"/>
      <c r="U13" s="259"/>
      <c r="V13" s="259"/>
      <c r="W13" s="259"/>
      <c r="X13" s="30"/>
    </row>
    <row r="14" spans="1:24" ht="18" x14ac:dyDescent="0.2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259" t="s">
        <v>456</v>
      </c>
      <c r="R14" s="259"/>
      <c r="S14" s="259"/>
      <c r="T14" s="259"/>
      <c r="U14" s="259"/>
      <c r="V14" s="259"/>
      <c r="W14" s="259"/>
      <c r="X14" s="30"/>
    </row>
    <row r="15" spans="1:24" ht="18" x14ac:dyDescent="0.2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259" t="s">
        <v>462</v>
      </c>
      <c r="R15" s="259"/>
      <c r="S15" s="259"/>
      <c r="T15" s="259"/>
      <c r="U15" s="259"/>
      <c r="V15" s="259"/>
      <c r="W15" s="259"/>
      <c r="X15" s="30"/>
    </row>
    <row r="16" spans="1:24" ht="18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259" t="s">
        <v>468</v>
      </c>
      <c r="R16" s="259"/>
      <c r="S16" s="259"/>
      <c r="T16" s="259"/>
      <c r="U16" s="259"/>
      <c r="V16" s="259"/>
      <c r="W16" s="259"/>
      <c r="X16" s="30"/>
    </row>
    <row r="17" spans="11:23" ht="18" x14ac:dyDescent="0.2">
      <c r="K17" s="30"/>
      <c r="L17" s="30"/>
      <c r="M17" s="30"/>
      <c r="N17" s="30"/>
      <c r="O17" s="30"/>
      <c r="P17" s="30"/>
      <c r="Q17" s="259" t="s">
        <v>469</v>
      </c>
      <c r="R17" s="30"/>
      <c r="S17" s="30"/>
      <c r="T17" s="30"/>
      <c r="U17" s="30"/>
      <c r="V17" s="30"/>
      <c r="W17" s="30"/>
    </row>
    <row r="18" spans="11:23" ht="18" x14ac:dyDescent="0.2">
      <c r="K18" s="30"/>
      <c r="L18" s="30"/>
      <c r="M18" s="30"/>
      <c r="N18" s="30"/>
      <c r="O18" s="30"/>
      <c r="P18" s="30"/>
      <c r="Q18" s="259" t="s">
        <v>463</v>
      </c>
      <c r="R18" s="259"/>
      <c r="S18" s="259"/>
      <c r="T18" s="259"/>
      <c r="U18" s="259"/>
      <c r="V18" s="259"/>
      <c r="W18" s="259"/>
    </row>
    <row r="19" spans="11:23" ht="18" x14ac:dyDescent="0.2">
      <c r="K19" s="30"/>
      <c r="L19" s="30"/>
      <c r="M19" s="30"/>
      <c r="N19" s="30"/>
      <c r="O19" s="30"/>
      <c r="P19" s="30"/>
      <c r="Q19" s="259" t="s">
        <v>464</v>
      </c>
      <c r="R19" s="90"/>
      <c r="S19" s="90"/>
      <c r="T19" s="90"/>
      <c r="U19" s="90"/>
      <c r="V19" s="90"/>
      <c r="W19" s="90"/>
    </row>
    <row r="20" spans="11:23" ht="18" x14ac:dyDescent="0.2">
      <c r="K20" s="30"/>
      <c r="L20" s="30"/>
      <c r="M20" s="30"/>
      <c r="N20" s="30"/>
      <c r="O20" s="30"/>
      <c r="P20" s="30"/>
      <c r="Q20" s="259" t="s">
        <v>494</v>
      </c>
      <c r="R20" s="258"/>
      <c r="S20" s="258"/>
      <c r="T20" s="258"/>
      <c r="U20" s="258"/>
      <c r="V20" s="258"/>
      <c r="W20" s="258"/>
    </row>
    <row r="21" spans="11:23" ht="18" x14ac:dyDescent="0.2">
      <c r="K21" s="30"/>
      <c r="L21" s="30"/>
      <c r="M21" s="30"/>
      <c r="N21" s="30"/>
      <c r="O21" s="30"/>
      <c r="P21" s="30"/>
      <c r="Q21" s="259" t="s">
        <v>465</v>
      </c>
      <c r="R21" s="90"/>
      <c r="S21" s="90"/>
      <c r="T21" s="90"/>
      <c r="U21" s="90"/>
      <c r="V21" s="90"/>
      <c r="W21" s="90"/>
    </row>
    <row r="22" spans="11:23" ht="18" x14ac:dyDescent="0.2">
      <c r="K22" s="30"/>
      <c r="L22" s="30"/>
      <c r="M22" s="30"/>
      <c r="N22" s="30"/>
      <c r="O22" s="30"/>
      <c r="P22" s="30"/>
      <c r="Q22" s="258" t="s">
        <v>466</v>
      </c>
      <c r="R22" s="258"/>
      <c r="S22" s="258"/>
      <c r="T22" s="258"/>
      <c r="U22" s="258"/>
      <c r="V22" s="258"/>
      <c r="W22" s="258"/>
    </row>
    <row r="23" spans="11:23" ht="18" x14ac:dyDescent="0.2">
      <c r="K23" s="30"/>
      <c r="L23" s="30"/>
      <c r="M23" s="30"/>
      <c r="N23" s="30"/>
      <c r="O23" s="30"/>
      <c r="P23" s="30"/>
      <c r="Q23" s="259" t="s">
        <v>467</v>
      </c>
      <c r="R23" s="90"/>
      <c r="S23" s="90"/>
      <c r="T23" s="90"/>
      <c r="U23" s="90"/>
      <c r="V23" s="90"/>
      <c r="W23" s="90"/>
    </row>
    <row r="27" spans="11:23" x14ac:dyDescent="0.15">
      <c r="K27" s="13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</row>
    <row r="35" spans="2:4" x14ac:dyDescent="0.15">
      <c r="B35" s="30"/>
      <c r="C35" s="30"/>
      <c r="D35" s="77"/>
    </row>
    <row r="40" spans="2:4" x14ac:dyDescent="0.15">
      <c r="B40" s="77"/>
      <c r="C40" s="30"/>
      <c r="D40" s="30"/>
    </row>
  </sheetData>
  <sheetProtection selectLockedCells="1"/>
  <mergeCells count="1">
    <mergeCell ref="A1:Q1"/>
  </mergeCells>
  <hyperlinks>
    <hyperlink ref="Q6" location="'cluster overview'!A1" display="'cluster overview'!A1" xr:uid="{00000000-0004-0000-0000-000000000000}"/>
    <hyperlink ref="Q7" location="'divisional overview'!A1" display="'divisional overview'!A1" xr:uid="{00000000-0004-0000-0000-000001000000}"/>
    <hyperlink ref="Q10" location="'cluster capacity, unallocateds'!A1" display="'cluster capacity, unallocateds'!A1" xr:uid="{00000000-0004-0000-0000-000002000000}"/>
    <hyperlink ref="Q11" location="'cluster officer capacity ranks'!A1" display="'cluster officer capacity ranks'!A1" xr:uid="{00000000-0004-0000-0000-000003000000}"/>
    <hyperlink ref="Q12" location="'div over-capacities'!A1" display="'div over-capacities'!A1" xr:uid="{00000000-0004-0000-0000-000004000000}"/>
    <hyperlink ref="Q13" location="'reasons for reduction division'!A1" display="'reasons for reduction division'!A1" xr:uid="{00000000-0004-0000-0000-000005000000}"/>
    <hyperlink ref="Q14" location="'cluster reductions'!A1" display="'cluster reductions'!A1" xr:uid="{00000000-0004-0000-0000-000006000000}"/>
    <hyperlink ref="Q15" location="'division reduction in hours'!A1" display="'division reduction in hours'!A1" xr:uid="{00000000-0004-0000-0000-000007000000}"/>
    <hyperlink ref="Q16" location="'national caseload'!A1" display="National Caseload Allocations" xr:uid="{00000000-0004-0000-0000-000008000000}"/>
    <hyperlink ref="Q18" location="'divisional caseload'!A1" display="divisional caseload allocations" xr:uid="{00000000-0004-0000-0000-000009000000}"/>
    <hyperlink ref="Q20" location="'custody caseload'!A1" display="custodial case allocations" xr:uid="{00000000-0004-0000-0000-00000A000000}"/>
    <hyperlink ref="Q22" location="'community caseload'!A1" display="community case allocations" xr:uid="{00000000-0004-0000-0000-00000B000000}"/>
    <hyperlink ref="Q19" location="'divisional &amp; regional caseload%'!A1" display="intra-divisional / regional overall allocation of cases as percentage" xr:uid="{00000000-0004-0000-0000-00000C000000}"/>
    <hyperlink ref="Q21" location="'custody %'!A1" display="      intra-divisional allocation of custody cases as percentage" xr:uid="{00000000-0004-0000-0000-00000D000000}"/>
    <hyperlink ref="Q20:W20" location="'custody caseload'!A1" display="intra-divisional allocation of custody cases" xr:uid="{00000000-0004-0000-0000-00000E000000}"/>
    <hyperlink ref="Q22:W22" location="'community caseload'!A1" display="intra-divisional allocation of cases in the comunity" xr:uid="{00000000-0004-0000-0000-00000F000000}"/>
    <hyperlink ref="Q23" location="'community %'!A1" display="intra-divisional allocation of cases in the community as percentage" xr:uid="{00000000-0004-0000-0000-000010000000}"/>
    <hyperlink ref="Q17" location="'national tier ratios'!A1" display="national breakdown ratios of caseload allocation by tier" xr:uid="{00000000-0004-0000-0000-000011000000}"/>
    <hyperlink ref="Q9:W9" location="'divisional &amp; regional capacity'!A1" display="divisional / regional capacities" xr:uid="{00000000-0004-0000-0000-000012000000}"/>
    <hyperlink ref="Q8" location="'team overview'!A1" display="team overview" xr:uid="{00000000-0004-0000-0000-000013000000}"/>
    <hyperlink ref="Q5" location="FAQs!A1" display="FAQs" xr:uid="{00000000-0004-0000-0000-000014000000}"/>
    <hyperlink ref="Q10:X10" location="'cluster capacity, unallocateds'!A1" display="intra-division capacities, unallocated cases and reductions in hours" xr:uid="{00000000-0004-0000-0000-000015000000}"/>
    <hyperlink ref="Q7:W7" location="'divisional &amp; regional overview'!A1" display="divisional / regional overview" xr:uid="{E78FB61B-A580-48D2-A4E2-3EC2B2C40D75}"/>
    <hyperlink ref="Q12:W12" location="'div &amp; regional over-capacities'!A1" display="divisional / regional over-capacity ratios" xr:uid="{3F2D3A21-17C4-4DDD-8B96-3780F2AA4579}"/>
    <hyperlink ref="Q15:W15" location="'div &amp; regional reduction hours'!A1" display="divisional / regional reduction in hours" xr:uid="{4B1E4BCB-3218-431F-88BC-5A1C2A72E054}"/>
    <hyperlink ref="Q18:W18" location="'divisional &amp; regional caseload'!A1" display="intra-divisional / regional overall allocation of cases" xr:uid="{E2874725-6FDB-4EAA-BF9C-841ADA1B97C9}"/>
  </hyperlinks>
  <pageMargins left="0.7" right="0.7" top="0.75" bottom="0.75" header="0.3" footer="0.3"/>
  <pageSetup paperSize="9" scale="57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PDUs!$A$30:$A$42</xm:f>
          </x14:formula1>
          <xm:sqref>J27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2">
    <tabColor rgb="FFE27070"/>
  </sheetPr>
  <dimension ref="A1:AV432"/>
  <sheetViews>
    <sheetView topLeftCell="Q1" zoomScale="80" zoomScaleNormal="80" workbookViewId="0">
      <selection activeCell="V1" sqref="V1"/>
    </sheetView>
  </sheetViews>
  <sheetFormatPr baseColWidth="10" defaultColWidth="8.83203125" defaultRowHeight="14" x14ac:dyDescent="0.15"/>
  <cols>
    <col min="1" max="1" width="31.5" style="30" bestFit="1" customWidth="1"/>
    <col min="2" max="2" width="29.5" style="30" bestFit="1" customWidth="1"/>
    <col min="3" max="3" width="26.5" style="30" bestFit="1" customWidth="1"/>
    <col min="4" max="4" width="31.83203125" style="30" customWidth="1"/>
    <col min="5" max="5" width="51.1640625" style="30" bestFit="1" customWidth="1"/>
    <col min="6" max="6" width="45.5" style="30" bestFit="1" customWidth="1"/>
    <col min="7" max="7" width="26.5" style="30" bestFit="1" customWidth="1"/>
    <col min="8" max="8" width="34.6640625" style="30" bestFit="1" customWidth="1"/>
    <col min="9" max="9" width="50.83203125" style="30" bestFit="1" customWidth="1"/>
    <col min="10" max="10" width="23.1640625" style="30" bestFit="1" customWidth="1"/>
    <col min="11" max="11" width="31.5" style="30" bestFit="1" customWidth="1"/>
    <col min="12" max="12" width="31.5" style="30" customWidth="1"/>
    <col min="13" max="13" width="32.33203125" style="30" bestFit="1" customWidth="1"/>
    <col min="14" max="14" width="28.1640625" style="30" bestFit="1" customWidth="1"/>
    <col min="15" max="15" width="29.6640625" style="30" bestFit="1" customWidth="1"/>
    <col min="16" max="16" width="29" style="30" bestFit="1" customWidth="1"/>
    <col min="17" max="17" width="27.6640625" style="30" bestFit="1" customWidth="1"/>
    <col min="18" max="18" width="15.6640625" style="30" bestFit="1" customWidth="1"/>
    <col min="19" max="19" width="20.5" style="30" bestFit="1" customWidth="1"/>
    <col min="20" max="20" width="24.83203125" style="30" bestFit="1" customWidth="1"/>
    <col min="21" max="21" width="33.6640625" style="30" bestFit="1" customWidth="1"/>
    <col min="22" max="22" width="29.1640625" style="30" bestFit="1" customWidth="1"/>
    <col min="23" max="23" width="26.5" bestFit="1" customWidth="1"/>
    <col min="24" max="24" width="44.5" style="30" bestFit="1" customWidth="1"/>
    <col min="25" max="25" width="31.83203125" bestFit="1" customWidth="1"/>
    <col min="26" max="26" width="39.33203125" customWidth="1"/>
    <col min="27" max="27" width="33.5" bestFit="1" customWidth="1"/>
    <col min="28" max="28" width="55.1640625" bestFit="1" customWidth="1"/>
    <col min="29" max="29" width="30.5" style="284" bestFit="1" customWidth="1"/>
    <col min="30" max="30" width="41.5" bestFit="1" customWidth="1"/>
    <col min="31" max="32" width="45.1640625" customWidth="1"/>
    <col min="33" max="33" width="46.83203125" bestFit="1" customWidth="1"/>
    <col min="34" max="34" width="35.5" bestFit="1" customWidth="1"/>
    <col min="35" max="45" width="45.1640625" style="30" bestFit="1" customWidth="1"/>
    <col min="49" max="16384" width="8.83203125" style="30"/>
  </cols>
  <sheetData>
    <row r="1" spans="1:48" x14ac:dyDescent="0.15">
      <c r="A1" s="14" t="s">
        <v>4</v>
      </c>
      <c r="B1" s="14" t="s">
        <v>1014</v>
      </c>
      <c r="C1" s="14" t="s">
        <v>5</v>
      </c>
      <c r="D1" s="14" t="s">
        <v>6</v>
      </c>
      <c r="E1" s="14" t="s">
        <v>376</v>
      </c>
      <c r="F1" s="14" t="s">
        <v>1130</v>
      </c>
      <c r="G1" s="14" t="s">
        <v>7</v>
      </c>
      <c r="H1" s="14" t="s">
        <v>1132</v>
      </c>
      <c r="I1" s="14" t="s">
        <v>1217</v>
      </c>
      <c r="J1" s="14" t="s">
        <v>382</v>
      </c>
      <c r="K1" s="14" t="s">
        <v>8</v>
      </c>
      <c r="L1" s="14" t="s">
        <v>9</v>
      </c>
      <c r="M1" s="14" t="s">
        <v>514</v>
      </c>
      <c r="N1" s="14" t="s">
        <v>515</v>
      </c>
      <c r="O1" s="14" t="s">
        <v>516</v>
      </c>
      <c r="P1" s="14" t="s">
        <v>517</v>
      </c>
      <c r="Q1" s="14" t="s">
        <v>518</v>
      </c>
      <c r="R1" s="14" t="s">
        <v>519</v>
      </c>
      <c r="S1" s="14" t="s">
        <v>520</v>
      </c>
      <c r="T1" s="14" t="s">
        <v>521</v>
      </c>
      <c r="U1" s="14" t="s">
        <v>522</v>
      </c>
      <c r="V1" s="14" t="s">
        <v>523</v>
      </c>
      <c r="W1" s="14"/>
      <c r="X1" s="14" t="s">
        <v>4</v>
      </c>
      <c r="Y1" s="14" t="s">
        <v>1014</v>
      </c>
      <c r="Z1" s="14" t="s">
        <v>5</v>
      </c>
      <c r="AA1" s="14" t="s">
        <v>6</v>
      </c>
      <c r="AB1" s="14" t="s">
        <v>376</v>
      </c>
      <c r="AC1" s="283" t="s">
        <v>1130</v>
      </c>
      <c r="AD1" s="14" t="s">
        <v>7</v>
      </c>
      <c r="AE1" s="14" t="s">
        <v>1132</v>
      </c>
      <c r="AF1" s="14" t="s">
        <v>1217</v>
      </c>
      <c r="AG1" s="14" t="s">
        <v>382</v>
      </c>
      <c r="AH1" s="14" t="s">
        <v>8</v>
      </c>
      <c r="AI1" s="14" t="s">
        <v>9</v>
      </c>
      <c r="AJ1" s="14" t="s">
        <v>514</v>
      </c>
      <c r="AK1" s="14" t="s">
        <v>515</v>
      </c>
      <c r="AL1" s="14" t="s">
        <v>516</v>
      </c>
      <c r="AM1" s="14" t="s">
        <v>517</v>
      </c>
      <c r="AN1" s="14" t="s">
        <v>518</v>
      </c>
      <c r="AO1" s="14" t="s">
        <v>519</v>
      </c>
      <c r="AP1" s="14" t="s">
        <v>520</v>
      </c>
      <c r="AQ1" s="14" t="s">
        <v>521</v>
      </c>
      <c r="AR1" s="14" t="s">
        <v>522</v>
      </c>
      <c r="AS1" s="14" t="s">
        <v>523</v>
      </c>
      <c r="AT1" s="30"/>
      <c r="AU1" s="30"/>
      <c r="AV1" s="30"/>
    </row>
    <row r="2" spans="1:48" x14ac:dyDescent="0.15">
      <c r="A2" s="30" t="s">
        <v>770</v>
      </c>
      <c r="B2" s="30" t="s">
        <v>1084</v>
      </c>
      <c r="C2" s="30" t="s">
        <v>772</v>
      </c>
      <c r="D2" s="30" t="s">
        <v>10</v>
      </c>
      <c r="E2" s="278" t="s">
        <v>1323</v>
      </c>
      <c r="F2" s="278" t="s">
        <v>12</v>
      </c>
      <c r="G2" s="30" t="s">
        <v>773</v>
      </c>
      <c r="H2" s="278" t="s">
        <v>1133</v>
      </c>
      <c r="I2" s="30" t="s">
        <v>1219</v>
      </c>
      <c r="J2" s="30" t="s">
        <v>776</v>
      </c>
      <c r="K2" s="30" t="s">
        <v>777</v>
      </c>
      <c r="L2" s="30" t="s">
        <v>13</v>
      </c>
      <c r="M2" s="30" t="s">
        <v>778</v>
      </c>
      <c r="N2" s="30" t="s">
        <v>524</v>
      </c>
      <c r="O2" s="30" t="s">
        <v>525</v>
      </c>
      <c r="P2" s="30" t="s">
        <v>526</v>
      </c>
      <c r="Q2" s="30" t="s">
        <v>532</v>
      </c>
      <c r="R2" s="30" t="s">
        <v>779</v>
      </c>
      <c r="S2" s="30" t="s">
        <v>527</v>
      </c>
      <c r="T2" s="30" t="s">
        <v>528</v>
      </c>
      <c r="U2" s="30" t="s">
        <v>780</v>
      </c>
      <c r="V2" s="30" t="s">
        <v>781</v>
      </c>
      <c r="W2" s="30"/>
      <c r="X2" s="30" t="s">
        <v>782</v>
      </c>
      <c r="Y2" t="s">
        <v>1032</v>
      </c>
      <c r="Z2" s="30" t="s">
        <v>761</v>
      </c>
      <c r="AA2" s="30" t="s">
        <v>16</v>
      </c>
      <c r="AB2" s="30" t="s">
        <v>1404</v>
      </c>
      <c r="AC2" s="284" t="s">
        <v>1135</v>
      </c>
      <c r="AD2" s="30" t="s">
        <v>17</v>
      </c>
      <c r="AE2" s="30" t="s">
        <v>1186</v>
      </c>
      <c r="AF2" s="30" t="s">
        <v>1239</v>
      </c>
      <c r="AG2" s="278" t="s">
        <v>1261</v>
      </c>
      <c r="AH2" s="30" t="s">
        <v>785</v>
      </c>
      <c r="AI2" s="30" t="s">
        <v>786</v>
      </c>
      <c r="AJ2" s="30" t="s">
        <v>727</v>
      </c>
      <c r="AK2" s="30" t="s">
        <v>545</v>
      </c>
      <c r="AL2" s="30" t="s">
        <v>546</v>
      </c>
      <c r="AM2" s="30" t="s">
        <v>548</v>
      </c>
      <c r="AN2" s="30" t="s">
        <v>594</v>
      </c>
      <c r="AO2" s="30" t="s">
        <v>549</v>
      </c>
      <c r="AP2" s="30" t="s">
        <v>551</v>
      </c>
      <c r="AQ2" s="30" t="s">
        <v>552</v>
      </c>
      <c r="AR2" s="30" t="s">
        <v>787</v>
      </c>
      <c r="AS2" s="30" t="s">
        <v>788</v>
      </c>
      <c r="AT2" s="30"/>
      <c r="AU2" s="30"/>
      <c r="AV2" s="30"/>
    </row>
    <row r="3" spans="1:48" x14ac:dyDescent="0.15">
      <c r="A3" s="30" t="s">
        <v>789</v>
      </c>
      <c r="B3" s="30" t="s">
        <v>771</v>
      </c>
      <c r="C3" s="30" t="s">
        <v>19</v>
      </c>
      <c r="D3" s="30" t="s">
        <v>20</v>
      </c>
      <c r="E3" s="278" t="s">
        <v>1322</v>
      </c>
      <c r="F3" s="282" t="s">
        <v>791</v>
      </c>
      <c r="G3" s="30" t="s">
        <v>23</v>
      </c>
      <c r="H3" s="278" t="s">
        <v>774</v>
      </c>
      <c r="I3" s="30" t="s">
        <v>1218</v>
      </c>
      <c r="J3" s="30" t="s">
        <v>24</v>
      </c>
      <c r="K3" s="30" t="s">
        <v>794</v>
      </c>
      <c r="L3" s="30" t="s">
        <v>25</v>
      </c>
      <c r="M3" s="30" t="s">
        <v>529</v>
      </c>
      <c r="O3" s="30" t="s">
        <v>530</v>
      </c>
      <c r="P3" s="30" t="s">
        <v>531</v>
      </c>
      <c r="R3" s="30" t="s">
        <v>533</v>
      </c>
      <c r="T3" s="30" t="s">
        <v>795</v>
      </c>
      <c r="U3" s="30" t="s">
        <v>796</v>
      </c>
      <c r="V3" s="30" t="s">
        <v>534</v>
      </c>
      <c r="W3" s="30"/>
      <c r="X3" s="30" t="s">
        <v>797</v>
      </c>
      <c r="Y3" t="s">
        <v>1021</v>
      </c>
      <c r="Z3" s="30" t="s">
        <v>15</v>
      </c>
      <c r="AA3" s="30" t="s">
        <v>26</v>
      </c>
      <c r="AB3" s="30" t="s">
        <v>1451</v>
      </c>
      <c r="AC3" s="284" t="s">
        <v>1144</v>
      </c>
      <c r="AD3" s="30" t="s">
        <v>27</v>
      </c>
      <c r="AE3" s="30" t="s">
        <v>1187</v>
      </c>
      <c r="AF3" s="278" t="s">
        <v>1229</v>
      </c>
      <c r="AG3" s="278" t="s">
        <v>1262</v>
      </c>
      <c r="AH3" s="30" t="s">
        <v>800</v>
      </c>
      <c r="AI3" s="30" t="s">
        <v>801</v>
      </c>
      <c r="AJ3" s="30" t="s">
        <v>728</v>
      </c>
      <c r="AK3" s="30" t="s">
        <v>553</v>
      </c>
      <c r="AL3" s="30" t="s">
        <v>554</v>
      </c>
      <c r="AM3" s="30" t="s">
        <v>556</v>
      </c>
      <c r="AN3" s="30" t="s">
        <v>605</v>
      </c>
      <c r="AO3" s="30" t="s">
        <v>557</v>
      </c>
      <c r="AP3" s="30" t="s">
        <v>559</v>
      </c>
      <c r="AQ3" s="30" t="s">
        <v>560</v>
      </c>
      <c r="AR3" s="30" t="s">
        <v>561</v>
      </c>
      <c r="AS3" s="30" t="s">
        <v>802</v>
      </c>
      <c r="AT3" s="30"/>
      <c r="AU3" s="30"/>
      <c r="AV3" s="30"/>
    </row>
    <row r="4" spans="1:48" x14ac:dyDescent="0.15">
      <c r="A4" s="30" t="s">
        <v>37</v>
      </c>
      <c r="B4" s="30" t="s">
        <v>18</v>
      </c>
      <c r="C4" s="30" t="s">
        <v>803</v>
      </c>
      <c r="D4" s="30" t="s">
        <v>804</v>
      </c>
      <c r="E4" s="278" t="s">
        <v>11</v>
      </c>
      <c r="F4" s="30" t="s">
        <v>22</v>
      </c>
      <c r="G4" s="30" t="s">
        <v>29</v>
      </c>
      <c r="H4" s="278" t="s">
        <v>1134</v>
      </c>
      <c r="I4" s="30" t="s">
        <v>775</v>
      </c>
      <c r="J4" s="30" t="s">
        <v>32</v>
      </c>
      <c r="K4" s="30" t="s">
        <v>805</v>
      </c>
      <c r="L4" s="30" t="s">
        <v>806</v>
      </c>
      <c r="M4" s="30" t="s">
        <v>535</v>
      </c>
      <c r="O4" s="30" t="s">
        <v>536</v>
      </c>
      <c r="P4" s="30" t="s">
        <v>537</v>
      </c>
      <c r="R4" s="30" t="s">
        <v>807</v>
      </c>
      <c r="T4" s="30" t="s">
        <v>538</v>
      </c>
      <c r="V4" s="30" t="s">
        <v>539</v>
      </c>
      <c r="W4" s="30"/>
      <c r="X4" s="30" t="s">
        <v>808</v>
      </c>
      <c r="Y4" t="s">
        <v>1033</v>
      </c>
      <c r="Z4" s="30" t="s">
        <v>810</v>
      </c>
      <c r="AA4" s="30" t="s">
        <v>34</v>
      </c>
      <c r="AB4" s="30" t="s">
        <v>1328</v>
      </c>
      <c r="AC4" s="284" t="s">
        <v>1153</v>
      </c>
      <c r="AD4" s="30" t="s">
        <v>35</v>
      </c>
      <c r="AE4" s="30" t="s">
        <v>121</v>
      </c>
      <c r="AF4" s="278" t="s">
        <v>1230</v>
      </c>
      <c r="AG4" s="278" t="s">
        <v>1263</v>
      </c>
      <c r="AH4" s="30" t="s">
        <v>36</v>
      </c>
      <c r="AI4" s="30" t="s">
        <v>812</v>
      </c>
      <c r="AJ4" s="30" t="s">
        <v>729</v>
      </c>
      <c r="AK4" s="30" t="s">
        <v>562</v>
      </c>
      <c r="AL4" s="30" t="s">
        <v>563</v>
      </c>
      <c r="AM4" s="30" t="s">
        <v>565</v>
      </c>
      <c r="AN4" s="30" t="s">
        <v>616</v>
      </c>
      <c r="AO4" s="30" t="s">
        <v>566</v>
      </c>
      <c r="AP4" s="30" t="s">
        <v>568</v>
      </c>
      <c r="AQ4" s="30" t="s">
        <v>569</v>
      </c>
      <c r="AR4" s="30" t="s">
        <v>570</v>
      </c>
      <c r="AS4" s="30" t="s">
        <v>813</v>
      </c>
      <c r="AT4" s="30"/>
      <c r="AU4" s="30"/>
      <c r="AV4" s="30"/>
    </row>
    <row r="5" spans="1:48" x14ac:dyDescent="0.15">
      <c r="A5" s="30" t="s">
        <v>814</v>
      </c>
      <c r="B5" s="30" t="s">
        <v>1016</v>
      </c>
      <c r="C5" s="30" t="s">
        <v>816</v>
      </c>
      <c r="D5" s="30" t="s">
        <v>755</v>
      </c>
      <c r="E5" s="278" t="s">
        <v>790</v>
      </c>
      <c r="F5" s="30" t="s">
        <v>1131</v>
      </c>
      <c r="G5" s="30" t="s">
        <v>40</v>
      </c>
      <c r="H5" s="278" t="s">
        <v>792</v>
      </c>
      <c r="I5" s="30" t="s">
        <v>793</v>
      </c>
      <c r="J5" s="30" t="s">
        <v>41</v>
      </c>
      <c r="K5" s="30" t="s">
        <v>42</v>
      </c>
      <c r="L5" s="30" t="s">
        <v>43</v>
      </c>
      <c r="M5" s="30" t="s">
        <v>540</v>
      </c>
      <c r="P5" s="30" t="s">
        <v>821</v>
      </c>
      <c r="R5" s="30" t="s">
        <v>541</v>
      </c>
      <c r="T5" s="30" t="s">
        <v>750</v>
      </c>
      <c r="W5" s="30"/>
      <c r="X5" s="30" t="s">
        <v>822</v>
      </c>
      <c r="Y5" s="278" t="s">
        <v>1111</v>
      </c>
      <c r="Z5" s="30" t="s">
        <v>33</v>
      </c>
      <c r="AA5" s="30" t="s">
        <v>45</v>
      </c>
      <c r="AB5" s="30" t="s">
        <v>1399</v>
      </c>
      <c r="AC5" s="284" t="s">
        <v>1136</v>
      </c>
      <c r="AD5" s="30" t="s">
        <v>46</v>
      </c>
      <c r="AE5" s="30" t="s">
        <v>846</v>
      </c>
      <c r="AF5" s="278" t="s">
        <v>1231</v>
      </c>
      <c r="AG5" s="278" t="s">
        <v>1264</v>
      </c>
      <c r="AH5" s="30" t="s">
        <v>825</v>
      </c>
      <c r="AI5" s="30" t="s">
        <v>826</v>
      </c>
      <c r="AJ5" s="30" t="s">
        <v>730</v>
      </c>
      <c r="AK5" s="30" t="s">
        <v>571</v>
      </c>
      <c r="AL5" s="30" t="s">
        <v>572</v>
      </c>
      <c r="AM5" s="30" t="s">
        <v>574</v>
      </c>
      <c r="AN5" s="30" t="s">
        <v>626</v>
      </c>
      <c r="AO5" s="30" t="s">
        <v>575</v>
      </c>
      <c r="AP5" s="30" t="s">
        <v>577</v>
      </c>
      <c r="AQ5" s="30" t="s">
        <v>578</v>
      </c>
      <c r="AR5" s="30" t="s">
        <v>827</v>
      </c>
      <c r="AS5" s="30" t="s">
        <v>579</v>
      </c>
      <c r="AT5" s="30"/>
      <c r="AU5" s="30"/>
      <c r="AV5" s="30"/>
    </row>
    <row r="6" spans="1:48" x14ac:dyDescent="0.15">
      <c r="A6" s="30" t="s">
        <v>57</v>
      </c>
      <c r="B6" s="30" t="s">
        <v>815</v>
      </c>
      <c r="C6" s="30" t="s">
        <v>47</v>
      </c>
      <c r="D6" s="30" t="s">
        <v>38</v>
      </c>
      <c r="E6" s="278" t="s">
        <v>28</v>
      </c>
      <c r="F6" s="30" t="s">
        <v>818</v>
      </c>
      <c r="G6" s="30" t="s">
        <v>829</v>
      </c>
      <c r="H6" s="278" t="s">
        <v>30</v>
      </c>
      <c r="I6" s="30" t="s">
        <v>31</v>
      </c>
      <c r="J6" s="30" t="s">
        <v>1215</v>
      </c>
      <c r="K6" s="30" t="s">
        <v>52</v>
      </c>
      <c r="L6" s="30" t="s">
        <v>753</v>
      </c>
      <c r="M6" s="30" t="s">
        <v>831</v>
      </c>
      <c r="P6" s="30" t="s">
        <v>543</v>
      </c>
      <c r="T6" s="30" t="s">
        <v>542</v>
      </c>
      <c r="W6" s="30"/>
      <c r="X6" s="30" t="s">
        <v>69</v>
      </c>
      <c r="Y6" s="282" t="s">
        <v>1034</v>
      </c>
      <c r="Z6" s="30" t="s">
        <v>44</v>
      </c>
      <c r="AA6" s="30" t="s">
        <v>54</v>
      </c>
      <c r="AB6" s="30" t="s">
        <v>1376</v>
      </c>
      <c r="AC6" s="284" t="s">
        <v>856</v>
      </c>
      <c r="AD6" s="30" t="s">
        <v>55</v>
      </c>
      <c r="AE6" s="30" t="s">
        <v>799</v>
      </c>
      <c r="AF6" s="278" t="s">
        <v>1232</v>
      </c>
      <c r="AG6" s="278" t="s">
        <v>1265</v>
      </c>
      <c r="AH6" s="30" t="s">
        <v>834</v>
      </c>
      <c r="AI6" s="30" t="s">
        <v>835</v>
      </c>
      <c r="AJ6" s="30" t="s">
        <v>731</v>
      </c>
      <c r="AK6" s="30" t="s">
        <v>580</v>
      </c>
      <c r="AL6" s="30" t="s">
        <v>581</v>
      </c>
      <c r="AM6" s="30" t="s">
        <v>583</v>
      </c>
      <c r="AN6" s="30" t="s">
        <v>635</v>
      </c>
      <c r="AO6" s="30" t="s">
        <v>584</v>
      </c>
      <c r="AP6" s="30" t="s">
        <v>586</v>
      </c>
      <c r="AQ6" s="30" t="s">
        <v>587</v>
      </c>
      <c r="AR6" s="30" t="s">
        <v>588</v>
      </c>
      <c r="AS6" s="30" t="s">
        <v>589</v>
      </c>
      <c r="AT6" s="30"/>
      <c r="AU6" s="30"/>
      <c r="AV6" s="30"/>
    </row>
    <row r="7" spans="1:48" x14ac:dyDescent="0.15">
      <c r="A7" s="30" t="s">
        <v>837</v>
      </c>
      <c r="B7" s="30" t="s">
        <v>828</v>
      </c>
      <c r="C7" s="30" t="s">
        <v>839</v>
      </c>
      <c r="D7" s="30" t="s">
        <v>48</v>
      </c>
      <c r="E7" s="278" t="s">
        <v>1325</v>
      </c>
      <c r="F7" s="278" t="s">
        <v>39</v>
      </c>
      <c r="G7" s="30" t="s">
        <v>62</v>
      </c>
      <c r="H7" s="278" t="s">
        <v>819</v>
      </c>
      <c r="I7" s="30" t="s">
        <v>820</v>
      </c>
      <c r="J7" s="30" t="s">
        <v>51</v>
      </c>
      <c r="K7" s="30" t="s">
        <v>841</v>
      </c>
      <c r="L7" s="30" t="s">
        <v>842</v>
      </c>
      <c r="M7" s="30" t="s">
        <v>544</v>
      </c>
      <c r="T7" s="30" t="s">
        <v>843</v>
      </c>
      <c r="W7" s="30"/>
      <c r="X7" s="30" t="s">
        <v>844</v>
      </c>
      <c r="Y7" s="278" t="s">
        <v>1113</v>
      </c>
      <c r="Z7" s="30" t="s">
        <v>53</v>
      </c>
      <c r="AA7" s="30" t="s">
        <v>64</v>
      </c>
      <c r="AB7" s="30" t="s">
        <v>1334</v>
      </c>
      <c r="AC7" s="284" t="s">
        <v>1025</v>
      </c>
      <c r="AD7" s="30" t="s">
        <v>65</v>
      </c>
      <c r="AE7" s="30" t="s">
        <v>690</v>
      </c>
      <c r="AF7" s="278" t="s">
        <v>1233</v>
      </c>
      <c r="AG7" s="278" t="s">
        <v>1266</v>
      </c>
      <c r="AH7" s="30" t="s">
        <v>847</v>
      </c>
      <c r="AI7" s="30" t="s">
        <v>848</v>
      </c>
      <c r="AJ7" s="30" t="s">
        <v>732</v>
      </c>
      <c r="AK7" s="30" t="s">
        <v>590</v>
      </c>
      <c r="AL7" s="30" t="s">
        <v>591</v>
      </c>
      <c r="AM7" s="30" t="s">
        <v>593</v>
      </c>
      <c r="AN7" s="30" t="s">
        <v>643</v>
      </c>
      <c r="AO7" s="30" t="s">
        <v>595</v>
      </c>
      <c r="AP7" s="30" t="s">
        <v>597</v>
      </c>
      <c r="AQ7" s="30" t="s">
        <v>598</v>
      </c>
      <c r="AR7" s="30" t="s">
        <v>599</v>
      </c>
      <c r="AS7" s="30" t="s">
        <v>600</v>
      </c>
      <c r="AT7" s="30"/>
      <c r="AU7" s="30"/>
      <c r="AV7" s="30"/>
    </row>
    <row r="8" spans="1:48" x14ac:dyDescent="0.15">
      <c r="B8" s="30" t="s">
        <v>1085</v>
      </c>
      <c r="C8" s="30" t="s">
        <v>71</v>
      </c>
      <c r="E8" s="278" t="s">
        <v>1324</v>
      </c>
      <c r="F8" s="278" t="s">
        <v>50</v>
      </c>
      <c r="G8" s="30" t="s">
        <v>66</v>
      </c>
      <c r="H8" s="278" t="s">
        <v>67</v>
      </c>
      <c r="I8" s="30" t="s">
        <v>830</v>
      </c>
      <c r="J8" s="30" t="s">
        <v>68</v>
      </c>
      <c r="K8" s="30" t="s">
        <v>851</v>
      </c>
      <c r="L8" s="30" t="s">
        <v>852</v>
      </c>
      <c r="M8" s="30" t="s">
        <v>853</v>
      </c>
      <c r="W8" s="30"/>
      <c r="X8" s="30" t="s">
        <v>854</v>
      </c>
      <c r="Y8" s="282" t="s">
        <v>1057</v>
      </c>
      <c r="Z8" s="30" t="s">
        <v>63</v>
      </c>
      <c r="AA8" s="30" t="s">
        <v>762</v>
      </c>
      <c r="AB8" s="30" t="s">
        <v>1417</v>
      </c>
      <c r="AC8" s="284" t="s">
        <v>547</v>
      </c>
      <c r="AD8" s="30" t="s">
        <v>857</v>
      </c>
      <c r="AE8" s="30" t="s">
        <v>1177</v>
      </c>
      <c r="AF8" s="278" t="s">
        <v>1243</v>
      </c>
      <c r="AG8" s="278" t="s">
        <v>1267</v>
      </c>
      <c r="AH8" s="30" t="s">
        <v>858</v>
      </c>
      <c r="AI8" s="30" t="s">
        <v>859</v>
      </c>
      <c r="AJ8" s="30" t="s">
        <v>733</v>
      </c>
      <c r="AK8" s="30" t="s">
        <v>601</v>
      </c>
      <c r="AL8" s="30" t="s">
        <v>602</v>
      </c>
      <c r="AM8" s="30" t="s">
        <v>604</v>
      </c>
      <c r="AN8" s="30" t="s">
        <v>649</v>
      </c>
      <c r="AO8" s="30" t="s">
        <v>606</v>
      </c>
      <c r="AP8" s="30" t="s">
        <v>608</v>
      </c>
      <c r="AQ8" s="30" t="s">
        <v>609</v>
      </c>
      <c r="AR8" s="30" t="s">
        <v>610</v>
      </c>
      <c r="AS8" s="30" t="s">
        <v>611</v>
      </c>
      <c r="AT8" s="30"/>
      <c r="AU8" s="30"/>
      <c r="AV8" s="30"/>
    </row>
    <row r="9" spans="1:48" x14ac:dyDescent="0.15">
      <c r="B9" s="30" t="s">
        <v>838</v>
      </c>
      <c r="C9" s="30" t="s">
        <v>861</v>
      </c>
      <c r="E9" s="278" t="s">
        <v>817</v>
      </c>
      <c r="F9" s="278" t="s">
        <v>61</v>
      </c>
      <c r="G9" s="30" t="s">
        <v>73</v>
      </c>
      <c r="H9" s="278" t="s">
        <v>1129</v>
      </c>
      <c r="I9" s="30" t="s">
        <v>840</v>
      </c>
      <c r="J9" s="30" t="s">
        <v>1216</v>
      </c>
      <c r="K9" s="30" t="s">
        <v>75</v>
      </c>
      <c r="L9" s="30" t="s">
        <v>863</v>
      </c>
      <c r="W9" s="30"/>
      <c r="X9" s="30" t="s">
        <v>864</v>
      </c>
      <c r="Y9" s="282" t="s">
        <v>1049</v>
      </c>
      <c r="Z9" s="30" t="s">
        <v>70</v>
      </c>
      <c r="AA9" s="30" t="s">
        <v>866</v>
      </c>
      <c r="AB9" s="30" t="s">
        <v>1338</v>
      </c>
      <c r="AC9" s="284" t="s">
        <v>1137</v>
      </c>
      <c r="AD9" s="30" t="s">
        <v>867</v>
      </c>
      <c r="AE9" s="30" t="s">
        <v>1178</v>
      </c>
      <c r="AF9" s="278" t="s">
        <v>1244</v>
      </c>
      <c r="AG9" s="278" t="s">
        <v>1268</v>
      </c>
      <c r="AH9" s="30" t="s">
        <v>869</v>
      </c>
      <c r="AI9" s="30" t="s">
        <v>870</v>
      </c>
      <c r="AJ9" s="30" t="s">
        <v>734</v>
      </c>
      <c r="AK9" s="30" t="s">
        <v>612</v>
      </c>
      <c r="AL9" s="30" t="s">
        <v>613</v>
      </c>
      <c r="AM9" s="30" t="s">
        <v>615</v>
      </c>
      <c r="AN9" s="30" t="s">
        <v>655</v>
      </c>
      <c r="AO9" s="30" t="s">
        <v>617</v>
      </c>
      <c r="AP9" s="30" t="s">
        <v>618</v>
      </c>
      <c r="AQ9" s="30" t="s">
        <v>619</v>
      </c>
      <c r="AR9" s="30" t="s">
        <v>620</v>
      </c>
      <c r="AS9" s="30" t="s">
        <v>621</v>
      </c>
      <c r="AT9" s="30"/>
      <c r="AU9" s="30"/>
      <c r="AV9" s="30"/>
    </row>
    <row r="10" spans="1:48" x14ac:dyDescent="0.15">
      <c r="B10" s="30" t="s">
        <v>1015</v>
      </c>
      <c r="C10" s="30" t="s">
        <v>872</v>
      </c>
      <c r="E10" s="278" t="s">
        <v>49</v>
      </c>
      <c r="F10" s="30" t="s">
        <v>862</v>
      </c>
      <c r="G10" s="30" t="s">
        <v>873</v>
      </c>
      <c r="H10" s="278" t="s">
        <v>756</v>
      </c>
      <c r="I10" s="30" t="s">
        <v>850</v>
      </c>
      <c r="J10"/>
      <c r="K10" s="30" t="s">
        <v>80</v>
      </c>
      <c r="L10" s="30" t="s">
        <v>875</v>
      </c>
      <c r="W10" s="30"/>
      <c r="X10" s="30" t="s">
        <v>876</v>
      </c>
      <c r="Y10" s="282" t="s">
        <v>1035</v>
      </c>
      <c r="Z10" s="30" t="s">
        <v>76</v>
      </c>
      <c r="AA10" s="30" t="s">
        <v>877</v>
      </c>
      <c r="AB10" s="30" t="s">
        <v>1350</v>
      </c>
      <c r="AC10" s="284" t="s">
        <v>564</v>
      </c>
      <c r="AD10" s="30" t="s">
        <v>83</v>
      </c>
      <c r="AE10" s="30" t="s">
        <v>811</v>
      </c>
      <c r="AF10" s="278" t="s">
        <v>1245</v>
      </c>
      <c r="AG10" t="s">
        <v>1269</v>
      </c>
      <c r="AH10" s="30" t="s">
        <v>880</v>
      </c>
      <c r="AI10" s="30" t="s">
        <v>881</v>
      </c>
      <c r="AJ10" s="30" t="s">
        <v>735</v>
      </c>
      <c r="AK10" s="30" t="s">
        <v>622</v>
      </c>
      <c r="AL10" s="30" t="s">
        <v>623</v>
      </c>
      <c r="AM10" s="30" t="s">
        <v>625</v>
      </c>
      <c r="AN10" s="30" t="s">
        <v>660</v>
      </c>
      <c r="AO10" s="30" t="s">
        <v>627</v>
      </c>
      <c r="AP10" s="30" t="s">
        <v>628</v>
      </c>
      <c r="AQ10" s="30" t="s">
        <v>629</v>
      </c>
      <c r="AR10" s="30" t="s">
        <v>630</v>
      </c>
      <c r="AS10" s="30" t="s">
        <v>631</v>
      </c>
      <c r="AT10" s="30"/>
      <c r="AU10" s="30"/>
      <c r="AV10" s="30"/>
    </row>
    <row r="11" spans="1:48" x14ac:dyDescent="0.15">
      <c r="B11" s="30" t="s">
        <v>849</v>
      </c>
      <c r="E11" s="278" t="s">
        <v>60</v>
      </c>
      <c r="F11" s="30" t="s">
        <v>751</v>
      </c>
      <c r="G11" s="30" t="s">
        <v>882</v>
      </c>
      <c r="H11" s="278" t="s">
        <v>59</v>
      </c>
      <c r="I11" s="30" t="s">
        <v>874</v>
      </c>
      <c r="J11"/>
      <c r="K11" s="30" t="s">
        <v>883</v>
      </c>
      <c r="L11" s="30" t="s">
        <v>884</v>
      </c>
      <c r="W11" s="30"/>
      <c r="X11" s="30" t="s">
        <v>885</v>
      </c>
      <c r="Y11" s="278" t="s">
        <v>798</v>
      </c>
      <c r="Z11" s="30" t="s">
        <v>81</v>
      </c>
      <c r="AA11" s="30" t="s">
        <v>886</v>
      </c>
      <c r="AB11" s="30" t="s">
        <v>1357</v>
      </c>
      <c r="AC11" s="284" t="s">
        <v>1138</v>
      </c>
      <c r="AD11" s="30" t="s">
        <v>88</v>
      </c>
      <c r="AE11" s="30" t="s">
        <v>1179</v>
      </c>
      <c r="AF11" s="278" t="s">
        <v>1246</v>
      </c>
      <c r="AG11" t="s">
        <v>1270</v>
      </c>
      <c r="AH11" s="30" t="s">
        <v>888</v>
      </c>
      <c r="AI11" s="30" t="s">
        <v>95</v>
      </c>
      <c r="AJ11" s="30" t="s">
        <v>736</v>
      </c>
      <c r="AK11" s="30" t="s">
        <v>632</v>
      </c>
      <c r="AL11" s="30" t="s">
        <v>633</v>
      </c>
      <c r="AM11" s="30" t="s">
        <v>634</v>
      </c>
      <c r="AN11" s="30" t="s">
        <v>667</v>
      </c>
      <c r="AO11" s="30" t="s">
        <v>636</v>
      </c>
      <c r="AP11" s="30" t="s">
        <v>637</v>
      </c>
      <c r="AQ11" s="30" t="s">
        <v>638</v>
      </c>
      <c r="AR11" s="30" t="s">
        <v>639</v>
      </c>
      <c r="AS11" s="30" t="s">
        <v>640</v>
      </c>
      <c r="AT11" s="30"/>
      <c r="AU11" s="30"/>
      <c r="AV11" s="30"/>
    </row>
    <row r="12" spans="1:48" x14ac:dyDescent="0.15">
      <c r="B12" s="30" t="s">
        <v>860</v>
      </c>
      <c r="E12" s="278" t="s">
        <v>72</v>
      </c>
      <c r="F12" s="30" t="s">
        <v>1114</v>
      </c>
      <c r="G12" s="30" t="s">
        <v>890</v>
      </c>
      <c r="H12" s="278" t="s">
        <v>757</v>
      </c>
      <c r="I12" s="30" t="s">
        <v>79</v>
      </c>
      <c r="J12"/>
      <c r="K12" s="30" t="s">
        <v>891</v>
      </c>
      <c r="L12" s="30" t="s">
        <v>752</v>
      </c>
      <c r="W12" s="30"/>
      <c r="X12" s="30" t="s">
        <v>892</v>
      </c>
      <c r="Y12" s="282" t="s">
        <v>1036</v>
      </c>
      <c r="Z12" s="30" t="s">
        <v>86</v>
      </c>
      <c r="AA12" s="30" t="s">
        <v>763</v>
      </c>
      <c r="AB12" s="30" t="s">
        <v>1368</v>
      </c>
      <c r="AC12" s="284" t="s">
        <v>555</v>
      </c>
      <c r="AD12" s="30" t="s">
        <v>94</v>
      </c>
      <c r="AE12" s="30" t="s">
        <v>918</v>
      </c>
      <c r="AF12" s="278" t="s">
        <v>1222</v>
      </c>
      <c r="AG12" t="s">
        <v>1271</v>
      </c>
      <c r="AH12" s="30" t="s">
        <v>895</v>
      </c>
      <c r="AI12" s="30" t="s">
        <v>896</v>
      </c>
      <c r="AJ12" s="30" t="s">
        <v>737</v>
      </c>
      <c r="AK12" s="30" t="s">
        <v>641</v>
      </c>
      <c r="AL12" s="30" t="s">
        <v>642</v>
      </c>
      <c r="AM12" s="30" t="s">
        <v>897</v>
      </c>
      <c r="AN12" s="30" t="s">
        <v>675</v>
      </c>
      <c r="AO12" s="30" t="s">
        <v>898</v>
      </c>
      <c r="AP12" s="30" t="s">
        <v>644</v>
      </c>
      <c r="AQ12" s="30" t="s">
        <v>645</v>
      </c>
      <c r="AS12" s="30" t="s">
        <v>646</v>
      </c>
      <c r="AT12" s="30"/>
      <c r="AU12" s="30"/>
      <c r="AV12" s="30"/>
    </row>
    <row r="13" spans="1:48" x14ac:dyDescent="0.15">
      <c r="B13" s="30" t="s">
        <v>871</v>
      </c>
      <c r="E13" s="278" t="s">
        <v>78</v>
      </c>
      <c r="F13"/>
      <c r="G13" s="30" t="s">
        <v>96</v>
      </c>
      <c r="H13" s="278" t="s">
        <v>1128</v>
      </c>
      <c r="I13" s="30" t="s">
        <v>1220</v>
      </c>
      <c r="J13"/>
      <c r="L13" s="30" t="s">
        <v>899</v>
      </c>
      <c r="W13" s="30"/>
      <c r="X13" s="30" t="s">
        <v>900</v>
      </c>
      <c r="Y13" s="30" t="s">
        <v>809</v>
      </c>
      <c r="Z13" s="30" t="s">
        <v>92</v>
      </c>
      <c r="AA13" s="30" t="s">
        <v>87</v>
      </c>
      <c r="AB13" s="30" t="s">
        <v>1377</v>
      </c>
      <c r="AC13" s="284" t="s">
        <v>1164</v>
      </c>
      <c r="AD13" s="30" t="s">
        <v>100</v>
      </c>
      <c r="AE13" s="30" t="s">
        <v>1208</v>
      </c>
      <c r="AF13" s="278" t="s">
        <v>1221</v>
      </c>
      <c r="AG13" t="s">
        <v>1272</v>
      </c>
      <c r="AH13" s="30" t="s">
        <v>805</v>
      </c>
      <c r="AI13" s="30" t="s">
        <v>902</v>
      </c>
      <c r="AJ13" s="30" t="s">
        <v>738</v>
      </c>
      <c r="AK13" s="30" t="s">
        <v>647</v>
      </c>
      <c r="AL13" s="30" t="s">
        <v>648</v>
      </c>
      <c r="AM13" s="30" t="s">
        <v>903</v>
      </c>
      <c r="AN13" s="30" t="s">
        <v>682</v>
      </c>
      <c r="AO13" s="30" t="s">
        <v>904</v>
      </c>
      <c r="AP13" s="30" t="s">
        <v>650</v>
      </c>
      <c r="AQ13" s="30" t="s">
        <v>651</v>
      </c>
      <c r="AS13" s="30" t="s">
        <v>652</v>
      </c>
      <c r="AT13" s="30"/>
      <c r="AU13" s="30"/>
      <c r="AV13" s="30"/>
    </row>
    <row r="14" spans="1:48" x14ac:dyDescent="0.15">
      <c r="B14" s="30" t="s">
        <v>77</v>
      </c>
      <c r="E14" s="278" t="s">
        <v>84</v>
      </c>
      <c r="F14"/>
      <c r="G14" s="30" t="s">
        <v>102</v>
      </c>
      <c r="H14" s="278" t="s">
        <v>74</v>
      </c>
      <c r="I14"/>
      <c r="J14"/>
      <c r="L14" s="30" t="s">
        <v>906</v>
      </c>
      <c r="W14" s="30"/>
      <c r="X14" s="30" t="s">
        <v>907</v>
      </c>
      <c r="Y14" s="30" t="s">
        <v>823</v>
      </c>
      <c r="Z14" s="30" t="s">
        <v>98</v>
      </c>
      <c r="AA14" s="30" t="s">
        <v>93</v>
      </c>
      <c r="AB14" s="30" t="s">
        <v>1383</v>
      </c>
      <c r="AC14" s="284" t="s">
        <v>1031</v>
      </c>
      <c r="AD14" s="30" t="s">
        <v>106</v>
      </c>
      <c r="AE14" s="30" t="s">
        <v>924</v>
      </c>
      <c r="AF14" s="278" t="s">
        <v>868</v>
      </c>
      <c r="AG14" t="s">
        <v>1273</v>
      </c>
      <c r="AH14" s="30" t="s">
        <v>909</v>
      </c>
      <c r="AI14" s="30" t="s">
        <v>910</v>
      </c>
      <c r="AJ14" s="30" t="s">
        <v>739</v>
      </c>
      <c r="AK14" s="30" t="s">
        <v>653</v>
      </c>
      <c r="AL14" s="30" t="s">
        <v>654</v>
      </c>
      <c r="AM14" s="30" t="s">
        <v>911</v>
      </c>
      <c r="AN14" s="30" t="s">
        <v>689</v>
      </c>
      <c r="AO14" s="30" t="s">
        <v>912</v>
      </c>
      <c r="AP14" s="30" t="s">
        <v>56</v>
      </c>
      <c r="AQ14" s="30" t="s">
        <v>913</v>
      </c>
      <c r="AS14" s="30" t="s">
        <v>656</v>
      </c>
      <c r="AT14" s="30"/>
      <c r="AU14" s="30"/>
      <c r="AV14" s="30"/>
    </row>
    <row r="15" spans="1:48" x14ac:dyDescent="0.15">
      <c r="B15" s="30" t="s">
        <v>754</v>
      </c>
      <c r="E15" s="278" t="s">
        <v>89</v>
      </c>
      <c r="F15"/>
      <c r="G15" s="30" t="s">
        <v>914</v>
      </c>
      <c r="H15"/>
      <c r="I15"/>
      <c r="J15"/>
      <c r="W15" s="30"/>
      <c r="X15" s="30" t="s">
        <v>915</v>
      </c>
      <c r="Y15" t="s">
        <v>1038</v>
      </c>
      <c r="Z15" s="30" t="s">
        <v>104</v>
      </c>
      <c r="AA15" s="30" t="s">
        <v>99</v>
      </c>
      <c r="AB15" s="30" t="s">
        <v>1388</v>
      </c>
      <c r="AC15" s="284" t="s">
        <v>592</v>
      </c>
      <c r="AD15" s="30" t="s">
        <v>110</v>
      </c>
      <c r="AE15" s="30" t="s">
        <v>1209</v>
      </c>
      <c r="AF15" s="278" t="s">
        <v>941</v>
      </c>
      <c r="AG15" t="s">
        <v>1274</v>
      </c>
      <c r="AH15" s="30" t="s">
        <v>917</v>
      </c>
      <c r="AI15" s="30" t="s">
        <v>116</v>
      </c>
      <c r="AJ15" s="30" t="s">
        <v>740</v>
      </c>
      <c r="AK15" s="30" t="s">
        <v>657</v>
      </c>
      <c r="AL15" s="30" t="s">
        <v>658</v>
      </c>
      <c r="AM15" s="30" t="s">
        <v>659</v>
      </c>
      <c r="AN15" s="30" t="s">
        <v>693</v>
      </c>
      <c r="AO15" s="30" t="s">
        <v>661</v>
      </c>
      <c r="AQ15" s="30" t="s">
        <v>662</v>
      </c>
      <c r="AS15" s="30" t="s">
        <v>663</v>
      </c>
      <c r="AT15" s="30"/>
      <c r="AU15" s="30"/>
      <c r="AV15" s="30"/>
    </row>
    <row r="16" spans="1:48" x14ac:dyDescent="0.15">
      <c r="B16" s="30" t="s">
        <v>1017</v>
      </c>
      <c r="E16" s="278" t="s">
        <v>889</v>
      </c>
      <c r="F16"/>
      <c r="H16"/>
      <c r="I16"/>
      <c r="J16"/>
      <c r="W16" s="30"/>
      <c r="X16" s="30" t="s">
        <v>920</v>
      </c>
      <c r="Y16" t="s">
        <v>1079</v>
      </c>
      <c r="Z16" s="30" t="s">
        <v>108</v>
      </c>
      <c r="AA16" s="30" t="s">
        <v>105</v>
      </c>
      <c r="AB16" s="30" t="s">
        <v>1369</v>
      </c>
      <c r="AC16" s="284" t="s">
        <v>1158</v>
      </c>
      <c r="AD16" s="30" t="s">
        <v>115</v>
      </c>
      <c r="AE16" s="30" t="s">
        <v>931</v>
      </c>
      <c r="AF16" s="278" t="s">
        <v>1247</v>
      </c>
      <c r="AG16" t="s">
        <v>1275</v>
      </c>
      <c r="AH16" s="30" t="s">
        <v>922</v>
      </c>
      <c r="AI16" s="30" t="s">
        <v>923</v>
      </c>
      <c r="AJ16" s="30" t="s">
        <v>741</v>
      </c>
      <c r="AK16" s="30" t="s">
        <v>664</v>
      </c>
      <c r="AL16" s="30" t="s">
        <v>665</v>
      </c>
      <c r="AM16" s="30" t="s">
        <v>666</v>
      </c>
      <c r="AN16" s="30" t="s">
        <v>698</v>
      </c>
      <c r="AO16" s="30" t="s">
        <v>668</v>
      </c>
      <c r="AQ16" s="30" t="s">
        <v>669</v>
      </c>
      <c r="AS16" s="30" t="s">
        <v>671</v>
      </c>
      <c r="AT16" s="30"/>
      <c r="AU16" s="30"/>
      <c r="AV16" s="30"/>
    </row>
    <row r="17" spans="2:48" x14ac:dyDescent="0.15">
      <c r="E17" s="278" t="s">
        <v>1317</v>
      </c>
      <c r="F17"/>
      <c r="H17"/>
      <c r="I17"/>
      <c r="J17"/>
      <c r="W17" s="30"/>
      <c r="X17" s="30" t="s">
        <v>926</v>
      </c>
      <c r="Y17" s="278" t="s">
        <v>1039</v>
      </c>
      <c r="Z17" s="30" t="s">
        <v>113</v>
      </c>
      <c r="AA17" s="30" t="s">
        <v>109</v>
      </c>
      <c r="AB17" s="30" t="s">
        <v>1358</v>
      </c>
      <c r="AC17" s="284" t="s">
        <v>1030</v>
      </c>
      <c r="AD17" s="30" t="s">
        <v>118</v>
      </c>
      <c r="AE17" s="30" t="s">
        <v>1210</v>
      </c>
      <c r="AF17" s="278" t="s">
        <v>879</v>
      </c>
      <c r="AG17" t="s">
        <v>1276</v>
      </c>
      <c r="AH17" s="30" t="s">
        <v>929</v>
      </c>
      <c r="AI17" s="30" t="s">
        <v>930</v>
      </c>
      <c r="AJ17" s="30" t="s">
        <v>742</v>
      </c>
      <c r="AK17" s="30" t="s">
        <v>672</v>
      </c>
      <c r="AL17" s="30" t="s">
        <v>673</v>
      </c>
      <c r="AM17" s="30" t="s">
        <v>674</v>
      </c>
      <c r="AN17" s="30" t="s">
        <v>701</v>
      </c>
      <c r="AO17" s="30" t="s">
        <v>676</v>
      </c>
      <c r="AQ17" s="30" t="s">
        <v>677</v>
      </c>
      <c r="AS17" s="30" t="s">
        <v>678</v>
      </c>
      <c r="AT17" s="30"/>
      <c r="AU17" s="30"/>
      <c r="AV17" s="30"/>
    </row>
    <row r="18" spans="2:48" x14ac:dyDescent="0.15">
      <c r="E18" s="278" t="s">
        <v>101</v>
      </c>
      <c r="F18"/>
      <c r="H18"/>
      <c r="I18"/>
      <c r="J18"/>
      <c r="W18" s="30"/>
      <c r="X18" s="30" t="s">
        <v>932</v>
      </c>
      <c r="Y18" t="s">
        <v>1037</v>
      </c>
      <c r="Z18" s="30" t="s">
        <v>119</v>
      </c>
      <c r="AA18" s="30" t="s">
        <v>114</v>
      </c>
      <c r="AB18" s="30" t="s">
        <v>1405</v>
      </c>
      <c r="AC18" s="284" t="s">
        <v>1026</v>
      </c>
      <c r="AD18" s="30" t="s">
        <v>120</v>
      </c>
      <c r="AE18" s="30" t="s">
        <v>1124</v>
      </c>
      <c r="AF18" s="278" t="s">
        <v>1234</v>
      </c>
      <c r="AG18" t="s">
        <v>1277</v>
      </c>
      <c r="AH18" s="30" t="s">
        <v>935</v>
      </c>
      <c r="AI18" s="30" t="s">
        <v>936</v>
      </c>
      <c r="AJ18" s="30" t="s">
        <v>937</v>
      </c>
      <c r="AK18" s="30" t="s">
        <v>679</v>
      </c>
      <c r="AL18" s="30" t="s">
        <v>680</v>
      </c>
      <c r="AM18" s="30" t="s">
        <v>681</v>
      </c>
      <c r="AN18" s="30" t="s">
        <v>705</v>
      </c>
      <c r="AO18" s="30" t="s">
        <v>683</v>
      </c>
      <c r="AQ18" s="30" t="s">
        <v>684</v>
      </c>
      <c r="AS18" s="30" t="s">
        <v>686</v>
      </c>
      <c r="AT18" s="30"/>
      <c r="AU18" s="30"/>
      <c r="AV18" s="30"/>
    </row>
    <row r="19" spans="2:48" x14ac:dyDescent="0.15">
      <c r="E19" s="278" t="s">
        <v>905</v>
      </c>
      <c r="F19"/>
      <c r="H19"/>
      <c r="I19"/>
      <c r="J19"/>
      <c r="W19" s="30"/>
      <c r="X19" s="30" t="s">
        <v>938</v>
      </c>
      <c r="Y19" s="282" t="s">
        <v>1050</v>
      </c>
      <c r="Z19" s="30" t="s">
        <v>122</v>
      </c>
      <c r="AA19" s="30"/>
      <c r="AB19" s="30" t="s">
        <v>1339</v>
      </c>
      <c r="AC19" s="284" t="s">
        <v>1029</v>
      </c>
      <c r="AD19" s="30" t="s">
        <v>123</v>
      </c>
      <c r="AE19" s="30" t="s">
        <v>1122</v>
      </c>
      <c r="AF19" s="278" t="s">
        <v>1240</v>
      </c>
      <c r="AG19" t="s">
        <v>1278</v>
      </c>
      <c r="AH19" s="30" t="s">
        <v>942</v>
      </c>
      <c r="AI19" s="30" t="s">
        <v>943</v>
      </c>
      <c r="AJ19" s="30" t="s">
        <v>944</v>
      </c>
      <c r="AK19" s="30" t="s">
        <v>687</v>
      </c>
      <c r="AL19" s="30" t="s">
        <v>688</v>
      </c>
      <c r="AM19" s="30" t="s">
        <v>945</v>
      </c>
      <c r="AN19" s="30" t="s">
        <v>709</v>
      </c>
      <c r="AQ19" s="30" t="s">
        <v>946</v>
      </c>
      <c r="AS19" s="30" t="s">
        <v>691</v>
      </c>
      <c r="AT19" s="30"/>
      <c r="AU19" s="30"/>
      <c r="AV19" s="30"/>
    </row>
    <row r="20" spans="2:48" x14ac:dyDescent="0.15">
      <c r="E20" s="278" t="s">
        <v>111</v>
      </c>
      <c r="F20"/>
      <c r="H20"/>
      <c r="I20"/>
      <c r="J20"/>
      <c r="W20" s="30"/>
      <c r="X20" s="30" t="s">
        <v>948</v>
      </c>
      <c r="Y20" t="s">
        <v>1062</v>
      </c>
      <c r="Z20" s="30" t="s">
        <v>126</v>
      </c>
      <c r="AA20" s="30"/>
      <c r="AB20" s="30" t="s">
        <v>1389</v>
      </c>
      <c r="AC20" s="284" t="s">
        <v>603</v>
      </c>
      <c r="AD20" s="30" t="s">
        <v>127</v>
      </c>
      <c r="AE20" s="30" t="s">
        <v>1123</v>
      </c>
      <c r="AF20" s="278" t="s">
        <v>894</v>
      </c>
      <c r="AG20" t="s">
        <v>1279</v>
      </c>
      <c r="AH20" s="30" t="s">
        <v>951</v>
      </c>
      <c r="AI20" s="30" t="s">
        <v>952</v>
      </c>
      <c r="AJ20" s="30" t="s">
        <v>953</v>
      </c>
      <c r="AL20" s="30" t="s">
        <v>692</v>
      </c>
      <c r="AN20" s="30" t="s">
        <v>724</v>
      </c>
      <c r="AQ20" s="30" t="s">
        <v>694</v>
      </c>
      <c r="AS20" s="30" t="s">
        <v>696</v>
      </c>
      <c r="AT20" s="30"/>
      <c r="AU20" s="30"/>
      <c r="AV20" s="30"/>
    </row>
    <row r="21" spans="2:48" x14ac:dyDescent="0.15">
      <c r="E21" s="278" t="s">
        <v>919</v>
      </c>
      <c r="F21"/>
      <c r="H21"/>
      <c r="I21"/>
      <c r="J21"/>
      <c r="W21" s="30"/>
      <c r="X21" s="30" t="s">
        <v>954</v>
      </c>
      <c r="Y21" t="s">
        <v>1064</v>
      </c>
      <c r="Z21" s="30" t="s">
        <v>128</v>
      </c>
      <c r="AA21" s="30"/>
      <c r="AB21" s="30" t="s">
        <v>1406</v>
      </c>
      <c r="AC21" s="284" t="s">
        <v>1159</v>
      </c>
      <c r="AD21" s="30" t="s">
        <v>129</v>
      </c>
      <c r="AE21" s="30" t="s">
        <v>833</v>
      </c>
      <c r="AF21" s="278" t="s">
        <v>1241</v>
      </c>
      <c r="AG21" t="s">
        <v>1280</v>
      </c>
      <c r="AH21" s="30" t="s">
        <v>956</v>
      </c>
      <c r="AI21" s="30" t="s">
        <v>957</v>
      </c>
      <c r="AJ21" s="30" t="s">
        <v>743</v>
      </c>
      <c r="AL21" s="30" t="s">
        <v>697</v>
      </c>
      <c r="AN21" s="30" t="s">
        <v>725</v>
      </c>
      <c r="AQ21" s="30" t="s">
        <v>958</v>
      </c>
      <c r="AS21" s="30" t="s">
        <v>699</v>
      </c>
      <c r="AT21" s="30"/>
      <c r="AU21" s="30"/>
      <c r="AV21" s="30"/>
    </row>
    <row r="22" spans="2:48" x14ac:dyDescent="0.15">
      <c r="E22" s="278" t="s">
        <v>925</v>
      </c>
      <c r="F22"/>
      <c r="H22"/>
      <c r="I22"/>
      <c r="J22"/>
      <c r="W22" s="30"/>
      <c r="X22" s="30" t="s">
        <v>960</v>
      </c>
      <c r="Y22" t="s">
        <v>1063</v>
      </c>
      <c r="Z22" s="30"/>
      <c r="AA22" s="30"/>
      <c r="AB22" s="30" t="s">
        <v>1411</v>
      </c>
      <c r="AC22" s="284" t="s">
        <v>1117</v>
      </c>
      <c r="AD22" s="30" t="s">
        <v>131</v>
      </c>
      <c r="AE22" s="30" t="s">
        <v>1184</v>
      </c>
      <c r="AF22" s="278" t="s">
        <v>1235</v>
      </c>
      <c r="AG22" t="s">
        <v>1281</v>
      </c>
      <c r="AH22" s="30" t="s">
        <v>962</v>
      </c>
      <c r="AI22" s="30" t="s">
        <v>963</v>
      </c>
      <c r="AJ22" s="30" t="s">
        <v>744</v>
      </c>
      <c r="AL22" s="30" t="s">
        <v>700</v>
      </c>
      <c r="AN22" s="30" t="s">
        <v>726</v>
      </c>
      <c r="AQ22" s="30" t="s">
        <v>702</v>
      </c>
      <c r="AS22" s="30" t="s">
        <v>703</v>
      </c>
      <c r="AT22" s="30"/>
      <c r="AU22" s="30"/>
      <c r="AV22" s="30"/>
    </row>
    <row r="23" spans="2:48" x14ac:dyDescent="0.15">
      <c r="E23" s="278" t="s">
        <v>495</v>
      </c>
      <c r="F23"/>
      <c r="H23"/>
      <c r="I23"/>
      <c r="J23"/>
      <c r="W23" s="30"/>
      <c r="X23" s="30" t="s">
        <v>964</v>
      </c>
      <c r="Y23" s="30" t="s">
        <v>1082</v>
      </c>
      <c r="Z23" s="30"/>
      <c r="AA23" s="30"/>
      <c r="AB23" s="30" t="s">
        <v>1418</v>
      </c>
      <c r="AC23" s="284" t="s">
        <v>573</v>
      </c>
      <c r="AD23" s="30" t="s">
        <v>133</v>
      </c>
      <c r="AE23" s="30" t="s">
        <v>1185</v>
      </c>
      <c r="AF23" s="278" t="s">
        <v>901</v>
      </c>
      <c r="AG23" t="s">
        <v>1282</v>
      </c>
      <c r="AH23" s="30" t="s">
        <v>136</v>
      </c>
      <c r="AI23" s="30" t="s">
        <v>134</v>
      </c>
      <c r="AJ23" s="30" t="s">
        <v>745</v>
      </c>
      <c r="AL23" s="30" t="s">
        <v>704</v>
      </c>
      <c r="AN23" s="30" t="s">
        <v>1008</v>
      </c>
      <c r="AQ23" s="30" t="s">
        <v>706</v>
      </c>
      <c r="AS23" s="30" t="s">
        <v>707</v>
      </c>
      <c r="AT23" s="30"/>
      <c r="AU23" s="30"/>
      <c r="AV23" s="30"/>
    </row>
    <row r="24" spans="2:48" x14ac:dyDescent="0.15">
      <c r="E24" s="278" t="s">
        <v>125</v>
      </c>
      <c r="F24"/>
      <c r="H24"/>
      <c r="I24"/>
      <c r="J24"/>
      <c r="W24" s="30"/>
      <c r="X24" s="30" t="s">
        <v>137</v>
      </c>
      <c r="Y24" s="30" t="s">
        <v>1058</v>
      </c>
      <c r="Z24" s="30"/>
      <c r="AA24" s="30"/>
      <c r="AB24" s="30" t="s">
        <v>1466</v>
      </c>
      <c r="AC24" s="284" t="s">
        <v>1160</v>
      </c>
      <c r="AD24" s="30" t="s">
        <v>135</v>
      </c>
      <c r="AE24" s="30" t="s">
        <v>1196</v>
      </c>
      <c r="AF24" s="278" t="s">
        <v>908</v>
      </c>
      <c r="AG24" t="s">
        <v>1283</v>
      </c>
      <c r="AH24" s="30" t="s">
        <v>968</v>
      </c>
      <c r="AI24" s="30" t="s">
        <v>969</v>
      </c>
      <c r="AJ24" s="30" t="s">
        <v>746</v>
      </c>
      <c r="AL24" s="30" t="s">
        <v>708</v>
      </c>
      <c r="AQ24" s="30" t="s">
        <v>710</v>
      </c>
      <c r="AS24" s="30" t="s">
        <v>711</v>
      </c>
      <c r="AT24" s="30"/>
      <c r="AU24" s="30"/>
      <c r="AV24" s="30"/>
    </row>
    <row r="25" spans="2:48" x14ac:dyDescent="0.15">
      <c r="E25" s="278" t="s">
        <v>947</v>
      </c>
      <c r="F25"/>
      <c r="H25"/>
      <c r="I25"/>
      <c r="J25"/>
      <c r="W25" s="30"/>
      <c r="Y25" s="30" t="s">
        <v>1051</v>
      </c>
      <c r="Z25" s="30"/>
      <c r="AA25" s="30"/>
      <c r="AB25" s="30" t="s">
        <v>1425</v>
      </c>
      <c r="AC25" s="284" t="s">
        <v>614</v>
      </c>
      <c r="AD25" s="30" t="s">
        <v>971</v>
      </c>
      <c r="AE25" s="30" t="s">
        <v>1197</v>
      </c>
      <c r="AF25" s="278" t="s">
        <v>1236</v>
      </c>
      <c r="AG25" t="s">
        <v>1284</v>
      </c>
      <c r="AH25" s="30" t="s">
        <v>972</v>
      </c>
      <c r="AI25" s="30" t="s">
        <v>973</v>
      </c>
      <c r="AJ25" s="30" t="s">
        <v>747</v>
      </c>
      <c r="AL25" s="30" t="s">
        <v>712</v>
      </c>
      <c r="AQ25" s="30" t="s">
        <v>713</v>
      </c>
      <c r="AS25" s="30" t="s">
        <v>714</v>
      </c>
      <c r="AT25" s="30"/>
      <c r="AU25" s="30"/>
      <c r="AV25" s="30"/>
    </row>
    <row r="26" spans="2:48" x14ac:dyDescent="0.15">
      <c r="E26" s="278" t="s">
        <v>130</v>
      </c>
      <c r="F26"/>
      <c r="H26"/>
      <c r="I26"/>
      <c r="J26"/>
      <c r="W26" s="30"/>
      <c r="Y26" t="s">
        <v>832</v>
      </c>
      <c r="Z26" s="30"/>
      <c r="AA26" s="30"/>
      <c r="AB26" s="30" t="s">
        <v>1432</v>
      </c>
      <c r="AC26" s="284" t="s">
        <v>1139</v>
      </c>
      <c r="AD26" s="30" t="s">
        <v>139</v>
      </c>
      <c r="AE26" s="30" t="s">
        <v>1198</v>
      </c>
      <c r="AF26" s="278" t="s">
        <v>1237</v>
      </c>
      <c r="AG26" t="s">
        <v>1285</v>
      </c>
      <c r="AH26" s="30" t="s">
        <v>974</v>
      </c>
      <c r="AI26" s="30" t="s">
        <v>975</v>
      </c>
      <c r="AJ26" s="30" t="s">
        <v>748</v>
      </c>
      <c r="AL26" s="30" t="s">
        <v>715</v>
      </c>
      <c r="AQ26" s="30" t="s">
        <v>716</v>
      </c>
      <c r="AT26" s="30"/>
      <c r="AU26" s="30"/>
      <c r="AV26" s="30"/>
    </row>
    <row r="27" spans="2:48" x14ac:dyDescent="0.15">
      <c r="E27" s="278" t="s">
        <v>1326</v>
      </c>
      <c r="F27"/>
      <c r="H27"/>
      <c r="I27"/>
      <c r="J27"/>
      <c r="W27" s="30"/>
      <c r="Y27" t="s">
        <v>845</v>
      </c>
      <c r="Z27" s="30"/>
      <c r="AA27" s="30"/>
      <c r="AB27" s="30" t="s">
        <v>1440</v>
      </c>
      <c r="AC27" s="284" t="s">
        <v>624</v>
      </c>
      <c r="AD27" s="30" t="s">
        <v>141</v>
      </c>
      <c r="AE27" s="30" t="s">
        <v>1199</v>
      </c>
      <c r="AF27" s="30" t="s">
        <v>1238</v>
      </c>
      <c r="AG27" t="s">
        <v>1286</v>
      </c>
      <c r="AH27" s="30" t="s">
        <v>977</v>
      </c>
      <c r="AI27" s="30" t="s">
        <v>978</v>
      </c>
      <c r="AJ27" s="30" t="s">
        <v>749</v>
      </c>
      <c r="AL27" s="30" t="s">
        <v>717</v>
      </c>
      <c r="AQ27" s="30" t="s">
        <v>718</v>
      </c>
      <c r="AT27" s="30"/>
      <c r="AU27" s="30"/>
      <c r="AV27" s="30"/>
    </row>
    <row r="28" spans="2:48" x14ac:dyDescent="0.15">
      <c r="B28"/>
      <c r="E28" s="278" t="s">
        <v>132</v>
      </c>
      <c r="F28"/>
      <c r="H28"/>
      <c r="I28"/>
      <c r="J28"/>
      <c r="W28" s="30"/>
      <c r="Y28" s="30" t="s">
        <v>1078</v>
      </c>
      <c r="Z28" s="30"/>
      <c r="AA28" s="30"/>
      <c r="AB28" s="30" t="s">
        <v>1446</v>
      </c>
      <c r="AC28" s="284" t="s">
        <v>1165</v>
      </c>
      <c r="AD28" s="30" t="s">
        <v>143</v>
      </c>
      <c r="AE28" s="30" t="s">
        <v>1127</v>
      </c>
      <c r="AF28" s="30" t="s">
        <v>784</v>
      </c>
      <c r="AG28" t="s">
        <v>1287</v>
      </c>
      <c r="AH28" s="30" t="s">
        <v>979</v>
      </c>
      <c r="AI28" s="30" t="s">
        <v>980</v>
      </c>
      <c r="AL28" s="30" t="s">
        <v>719</v>
      </c>
      <c r="AQ28" s="30" t="s">
        <v>720</v>
      </c>
      <c r="AT28" s="30"/>
      <c r="AU28" s="30"/>
      <c r="AV28" s="30"/>
    </row>
    <row r="29" spans="2:48" x14ac:dyDescent="0.15">
      <c r="B29"/>
      <c r="E29"/>
      <c r="F29"/>
      <c r="H29"/>
      <c r="I29"/>
      <c r="J29"/>
      <c r="W29" s="30"/>
      <c r="Y29" s="30" t="s">
        <v>855</v>
      </c>
      <c r="Z29" s="30"/>
      <c r="AA29" s="30"/>
      <c r="AB29" s="30" t="s">
        <v>1433</v>
      </c>
      <c r="AC29" s="284" t="s">
        <v>582</v>
      </c>
      <c r="AD29" s="30" t="s">
        <v>144</v>
      </c>
      <c r="AE29" s="30" t="s">
        <v>1126</v>
      </c>
      <c r="AF29" s="30" t="s">
        <v>1260</v>
      </c>
      <c r="AG29" t="s">
        <v>1288</v>
      </c>
      <c r="AH29" s="30" t="s">
        <v>981</v>
      </c>
      <c r="AI29" s="30" t="s">
        <v>982</v>
      </c>
      <c r="AL29" s="30" t="s">
        <v>983</v>
      </c>
      <c r="AN29" s="278"/>
      <c r="AQ29" s="30" t="s">
        <v>721</v>
      </c>
      <c r="AT29" s="30"/>
      <c r="AU29" s="30"/>
      <c r="AV29" s="30"/>
    </row>
    <row r="30" spans="2:48" x14ac:dyDescent="0.15">
      <c r="B30"/>
      <c r="E30"/>
      <c r="F30"/>
      <c r="H30"/>
      <c r="I30"/>
      <c r="J30"/>
      <c r="W30" s="30"/>
      <c r="Y30" s="30" t="s">
        <v>1052</v>
      </c>
      <c r="Z30" s="30"/>
      <c r="AA30" s="30"/>
      <c r="AB30" s="30" t="s">
        <v>1400</v>
      </c>
      <c r="AC30" s="284" t="s">
        <v>1166</v>
      </c>
      <c r="AD30" s="30" t="s">
        <v>145</v>
      </c>
      <c r="AE30" s="30" t="s">
        <v>1188</v>
      </c>
      <c r="AF30" s="30" t="s">
        <v>1225</v>
      </c>
      <c r="AG30" t="s">
        <v>1289</v>
      </c>
      <c r="AH30" s="30" t="s">
        <v>984</v>
      </c>
      <c r="AI30" s="30" t="s">
        <v>985</v>
      </c>
      <c r="AL30" s="30" t="s">
        <v>986</v>
      </c>
      <c r="AN30" s="278"/>
      <c r="AQ30" s="30" t="s">
        <v>722</v>
      </c>
      <c r="AT30" s="30"/>
      <c r="AU30" s="30"/>
      <c r="AV30" s="30"/>
    </row>
    <row r="31" spans="2:48" x14ac:dyDescent="0.15">
      <c r="B31"/>
      <c r="E31"/>
      <c r="F31"/>
      <c r="H31"/>
      <c r="I31"/>
      <c r="J31"/>
      <c r="W31" s="30"/>
      <c r="Y31" s="30" t="s">
        <v>1083</v>
      </c>
      <c r="Z31" s="30"/>
      <c r="AA31" s="30"/>
      <c r="AB31" s="30" t="s">
        <v>1401</v>
      </c>
      <c r="AC31" s="284" t="s">
        <v>1116</v>
      </c>
      <c r="AD31" s="30" t="s">
        <v>146</v>
      </c>
      <c r="AE31" t="s">
        <v>1120</v>
      </c>
      <c r="AF31" s="30" t="s">
        <v>1226</v>
      </c>
      <c r="AG31" t="s">
        <v>1290</v>
      </c>
      <c r="AH31" s="30" t="s">
        <v>987</v>
      </c>
      <c r="AI31" s="30" t="s">
        <v>988</v>
      </c>
      <c r="AN31" s="278"/>
      <c r="AQ31" s="30" t="s">
        <v>723</v>
      </c>
      <c r="AT31" s="30"/>
      <c r="AU31" s="30"/>
      <c r="AV31" s="30"/>
    </row>
    <row r="32" spans="2:48" x14ac:dyDescent="0.15">
      <c r="B32"/>
      <c r="E32"/>
      <c r="F32"/>
      <c r="H32"/>
      <c r="I32"/>
      <c r="J32"/>
      <c r="W32" s="30"/>
      <c r="Y32" s="30" t="s">
        <v>1065</v>
      </c>
      <c r="Z32" s="30"/>
      <c r="AA32" s="30"/>
      <c r="AB32" s="30" t="s">
        <v>1329</v>
      </c>
      <c r="AC32" s="284" t="s">
        <v>1115</v>
      </c>
      <c r="AD32" s="30" t="s">
        <v>147</v>
      </c>
      <c r="AE32" s="30" t="s">
        <v>1119</v>
      </c>
      <c r="AF32" s="30" t="s">
        <v>1248</v>
      </c>
      <c r="AG32" t="s">
        <v>1291</v>
      </c>
      <c r="AH32" s="30" t="s">
        <v>989</v>
      </c>
      <c r="AI32" s="30" t="s">
        <v>990</v>
      </c>
      <c r="AN32" s="278"/>
      <c r="AT32" s="30"/>
      <c r="AU32" s="30"/>
      <c r="AV32" s="30"/>
    </row>
    <row r="33" spans="2:48" x14ac:dyDescent="0.15">
      <c r="B33"/>
      <c r="E33"/>
      <c r="F33"/>
      <c r="H33"/>
      <c r="I33"/>
      <c r="J33"/>
      <c r="W33" s="30"/>
      <c r="Y33" s="30" t="s">
        <v>1066</v>
      </c>
      <c r="Z33" s="30"/>
      <c r="AA33" s="30"/>
      <c r="AB33" s="30" t="s">
        <v>1330</v>
      </c>
      <c r="AC33" s="284" t="s">
        <v>1028</v>
      </c>
      <c r="AD33" s="30" t="s">
        <v>148</v>
      </c>
      <c r="AE33" s="30" t="s">
        <v>1118</v>
      </c>
      <c r="AF33" s="30" t="s">
        <v>1249</v>
      </c>
      <c r="AG33" t="s">
        <v>1292</v>
      </c>
      <c r="AH33" s="30" t="s">
        <v>991</v>
      </c>
      <c r="AI33" s="30" t="s">
        <v>992</v>
      </c>
      <c r="AN33" s="278"/>
      <c r="AT33" s="30"/>
      <c r="AU33" s="30"/>
      <c r="AV33" s="30"/>
    </row>
    <row r="34" spans="2:48" x14ac:dyDescent="0.15">
      <c r="B34"/>
      <c r="E34"/>
      <c r="F34"/>
      <c r="H34"/>
      <c r="I34"/>
      <c r="J34"/>
      <c r="W34" s="30"/>
      <c r="Y34" s="30" t="s">
        <v>1067</v>
      </c>
      <c r="Z34" s="30"/>
      <c r="AA34" s="30"/>
      <c r="AB34" s="30" t="s">
        <v>1331</v>
      </c>
      <c r="AC34" s="284" t="s">
        <v>1027</v>
      </c>
      <c r="AD34" s="30" t="s">
        <v>149</v>
      </c>
      <c r="AE34" s="30" t="s">
        <v>1174</v>
      </c>
      <c r="AF34" s="30" t="s">
        <v>1227</v>
      </c>
      <c r="AG34" t="s">
        <v>1293</v>
      </c>
      <c r="AH34" s="30" t="s">
        <v>993</v>
      </c>
      <c r="AI34" s="30" t="s">
        <v>994</v>
      </c>
      <c r="AN34" s="278"/>
      <c r="AT34" s="30"/>
      <c r="AU34" s="30"/>
      <c r="AV34" s="30"/>
    </row>
    <row r="35" spans="2:48" x14ac:dyDescent="0.15">
      <c r="B35"/>
      <c r="E35"/>
      <c r="F35"/>
      <c r="H35"/>
      <c r="I35"/>
      <c r="J35"/>
      <c r="W35" s="30"/>
      <c r="Y35" s="30" t="s">
        <v>1059</v>
      </c>
      <c r="Z35" s="30"/>
      <c r="AA35" s="30"/>
      <c r="AB35" s="30" t="s">
        <v>1332</v>
      </c>
      <c r="AC35" s="284" t="s">
        <v>1140</v>
      </c>
      <c r="AD35" s="30" t="s">
        <v>150</v>
      </c>
      <c r="AE35" s="30" t="s">
        <v>1200</v>
      </c>
      <c r="AF35" s="30" t="s">
        <v>1228</v>
      </c>
      <c r="AG35" t="s">
        <v>1294</v>
      </c>
      <c r="AH35" s="30" t="s">
        <v>995</v>
      </c>
      <c r="AI35" s="30" t="s">
        <v>996</v>
      </c>
      <c r="AN35" s="278"/>
      <c r="AT35" s="30"/>
      <c r="AU35" s="30"/>
      <c r="AV35" s="30"/>
    </row>
    <row r="36" spans="2:48" x14ac:dyDescent="0.15">
      <c r="B36"/>
      <c r="E36"/>
      <c r="F36"/>
      <c r="H36"/>
      <c r="I36"/>
      <c r="J36"/>
      <c r="W36" s="30"/>
      <c r="Y36" t="s">
        <v>865</v>
      </c>
      <c r="Z36" s="30"/>
      <c r="AA36" s="30"/>
      <c r="AB36" s="30" t="s">
        <v>1333</v>
      </c>
      <c r="AC36" s="284" t="s">
        <v>1141</v>
      </c>
      <c r="AD36" s="30" t="s">
        <v>151</v>
      </c>
      <c r="AE36" s="30" t="s">
        <v>1180</v>
      </c>
      <c r="AF36" s="30" t="s">
        <v>1250</v>
      </c>
      <c r="AG36" t="s">
        <v>1295</v>
      </c>
      <c r="AH36" s="30" t="s">
        <v>997</v>
      </c>
      <c r="AI36" s="30" t="s">
        <v>998</v>
      </c>
      <c r="AT36" s="30"/>
      <c r="AU36" s="30"/>
      <c r="AV36" s="30"/>
    </row>
    <row r="37" spans="2:48" x14ac:dyDescent="0.15">
      <c r="B37"/>
      <c r="E37"/>
      <c r="F37"/>
      <c r="H37"/>
      <c r="I37"/>
      <c r="J37"/>
      <c r="W37" s="30"/>
      <c r="Y37" s="30" t="s">
        <v>85</v>
      </c>
      <c r="Z37" s="30"/>
      <c r="AA37" s="30"/>
      <c r="AB37" s="30" t="s">
        <v>1378</v>
      </c>
      <c r="AC37" s="284" t="s">
        <v>1145</v>
      </c>
      <c r="AD37" s="30" t="s">
        <v>153</v>
      </c>
      <c r="AE37" s="30" t="s">
        <v>824</v>
      </c>
      <c r="AF37" s="30" t="s">
        <v>1251</v>
      </c>
      <c r="AG37" t="s">
        <v>1296</v>
      </c>
      <c r="AH37" s="30" t="s">
        <v>999</v>
      </c>
      <c r="AI37" s="30" t="s">
        <v>1000</v>
      </c>
      <c r="AT37" s="30"/>
      <c r="AU37" s="30"/>
      <c r="AV37" s="30"/>
    </row>
    <row r="38" spans="2:48" x14ac:dyDescent="0.15">
      <c r="B38"/>
      <c r="E38"/>
      <c r="F38"/>
      <c r="H38"/>
      <c r="I38"/>
      <c r="J38"/>
      <c r="W38" s="30"/>
      <c r="Y38" s="30" t="s">
        <v>91</v>
      </c>
      <c r="Z38" s="30"/>
      <c r="AA38" s="30"/>
      <c r="AB38" s="30" t="s">
        <v>1379</v>
      </c>
      <c r="AC38" s="284" t="s">
        <v>1146</v>
      </c>
      <c r="AD38" s="30" t="s">
        <v>154</v>
      </c>
      <c r="AE38" s="30" t="s">
        <v>1181</v>
      </c>
      <c r="AF38" s="30" t="s">
        <v>1252</v>
      </c>
      <c r="AG38" t="s">
        <v>1297</v>
      </c>
      <c r="AH38" s="30" t="s">
        <v>1001</v>
      </c>
      <c r="AI38" s="30" t="s">
        <v>1002</v>
      </c>
      <c r="AT38" s="30"/>
      <c r="AU38" s="30"/>
      <c r="AV38" s="30"/>
    </row>
    <row r="39" spans="2:48" x14ac:dyDescent="0.15">
      <c r="B39"/>
      <c r="E39"/>
      <c r="F39"/>
      <c r="H39"/>
      <c r="I39"/>
      <c r="J39"/>
      <c r="W39" s="30"/>
      <c r="Y39" t="s">
        <v>97</v>
      </c>
      <c r="Z39" s="30"/>
      <c r="AA39" s="30"/>
      <c r="AB39" s="30" t="s">
        <v>1335</v>
      </c>
      <c r="AC39" s="284" t="s">
        <v>550</v>
      </c>
      <c r="AD39" s="30" t="s">
        <v>766</v>
      </c>
      <c r="AE39" s="30" t="s">
        <v>1121</v>
      </c>
      <c r="AF39" s="30" t="s">
        <v>1253</v>
      </c>
      <c r="AG39" t="s">
        <v>1298</v>
      </c>
      <c r="AH39" s="30" t="s">
        <v>1003</v>
      </c>
      <c r="AI39" s="30" t="s">
        <v>1004</v>
      </c>
      <c r="AT39" s="30"/>
      <c r="AU39" s="30"/>
      <c r="AV39" s="30"/>
    </row>
    <row r="40" spans="2:48" x14ac:dyDescent="0.15">
      <c r="B40"/>
      <c r="E40"/>
      <c r="F40"/>
      <c r="H40"/>
      <c r="I40"/>
      <c r="J40"/>
      <c r="W40" s="30"/>
      <c r="Y40" t="s">
        <v>759</v>
      </c>
      <c r="Z40" s="30"/>
      <c r="AA40" s="30"/>
      <c r="AB40" s="30" t="s">
        <v>1336</v>
      </c>
      <c r="AC40" s="284" t="s">
        <v>1167</v>
      </c>
      <c r="AD40" s="30" t="s">
        <v>90</v>
      </c>
      <c r="AE40" s="30" t="s">
        <v>1201</v>
      </c>
      <c r="AF40" s="30" t="s">
        <v>1223</v>
      </c>
      <c r="AG40" t="s">
        <v>1299</v>
      </c>
      <c r="AH40" s="30"/>
      <c r="AI40" s="30" t="s">
        <v>1005</v>
      </c>
      <c r="AT40" s="30"/>
      <c r="AU40" s="30"/>
      <c r="AV40" s="30"/>
    </row>
    <row r="41" spans="2:48" x14ac:dyDescent="0.15">
      <c r="B41"/>
      <c r="E41"/>
      <c r="F41"/>
      <c r="H41"/>
      <c r="I41"/>
      <c r="J41"/>
      <c r="W41" s="30"/>
      <c r="Y41" s="30" t="s">
        <v>103</v>
      </c>
      <c r="Z41" s="30"/>
      <c r="AA41" s="30"/>
      <c r="AB41" s="30" t="s">
        <v>21</v>
      </c>
      <c r="AC41" s="284" t="s">
        <v>558</v>
      </c>
      <c r="AD41" s="30" t="s">
        <v>155</v>
      </c>
      <c r="AE41" s="30" t="s">
        <v>1189</v>
      </c>
      <c r="AF41" s="30" t="s">
        <v>1242</v>
      </c>
      <c r="AG41" t="s">
        <v>152</v>
      </c>
      <c r="AH41" s="30"/>
      <c r="AI41" s="30" t="s">
        <v>1006</v>
      </c>
      <c r="AT41" s="30"/>
      <c r="AU41" s="30"/>
      <c r="AV41" s="30"/>
    </row>
    <row r="42" spans="2:48" x14ac:dyDescent="0.15">
      <c r="B42"/>
      <c r="E42"/>
      <c r="F42"/>
      <c r="H42"/>
      <c r="I42"/>
      <c r="J42"/>
      <c r="W42" s="30"/>
      <c r="Y42" t="s">
        <v>107</v>
      </c>
      <c r="Z42" s="30"/>
      <c r="AA42" s="30"/>
      <c r="AB42" s="30" t="s">
        <v>1419</v>
      </c>
      <c r="AC42" s="284" t="s">
        <v>82</v>
      </c>
      <c r="AD42" s="30" t="s">
        <v>156</v>
      </c>
      <c r="AE42" s="30" t="s">
        <v>1190</v>
      </c>
      <c r="AF42" s="30" t="s">
        <v>1254</v>
      </c>
      <c r="AG42" t="s">
        <v>1300</v>
      </c>
      <c r="AH42" s="30"/>
      <c r="AI42" s="30" t="s">
        <v>1007</v>
      </c>
      <c r="AT42" s="30"/>
      <c r="AU42" s="30"/>
      <c r="AV42" s="30"/>
    </row>
    <row r="43" spans="2:48" x14ac:dyDescent="0.15">
      <c r="B43"/>
      <c r="E43"/>
      <c r="F43"/>
      <c r="H43"/>
      <c r="I43"/>
      <c r="J43"/>
      <c r="W43" s="30"/>
      <c r="Y43" t="s">
        <v>112</v>
      </c>
      <c r="Z43" s="30"/>
      <c r="AA43" s="30"/>
      <c r="AB43" s="30" t="s">
        <v>1420</v>
      </c>
      <c r="AC43" s="284" t="s">
        <v>1161</v>
      </c>
      <c r="AD43" s="30" t="s">
        <v>157</v>
      </c>
      <c r="AE43" s="30" t="s">
        <v>1191</v>
      </c>
      <c r="AF43" s="30" t="s">
        <v>1255</v>
      </c>
      <c r="AG43" t="s">
        <v>1301</v>
      </c>
      <c r="AH43" s="30"/>
      <c r="AI43" s="30" t="s">
        <v>1009</v>
      </c>
      <c r="AT43" s="30"/>
      <c r="AU43" s="30"/>
      <c r="AV43" s="30"/>
    </row>
    <row r="44" spans="2:48" x14ac:dyDescent="0.15">
      <c r="B44"/>
      <c r="E44"/>
      <c r="F44"/>
      <c r="H44"/>
      <c r="I44"/>
      <c r="J44"/>
      <c r="W44" s="30"/>
      <c r="Y44" s="30" t="s">
        <v>117</v>
      </c>
      <c r="Z44" s="30"/>
      <c r="AA44" s="30"/>
      <c r="AB44" s="30" t="s">
        <v>764</v>
      </c>
      <c r="AC44" s="284" t="s">
        <v>1162</v>
      </c>
      <c r="AD44" s="30" t="s">
        <v>159</v>
      </c>
      <c r="AE44" s="30" t="s">
        <v>1192</v>
      </c>
      <c r="AF44" s="30" t="s">
        <v>1256</v>
      </c>
      <c r="AG44" t="s">
        <v>1302</v>
      </c>
      <c r="AH44" s="30"/>
      <c r="AI44" s="30" t="s">
        <v>158</v>
      </c>
      <c r="AT44" s="30"/>
      <c r="AU44" s="30"/>
      <c r="AV44" s="30"/>
    </row>
    <row r="45" spans="2:48" x14ac:dyDescent="0.15">
      <c r="B45"/>
      <c r="E45"/>
      <c r="F45"/>
      <c r="H45"/>
      <c r="I45"/>
      <c r="J45"/>
      <c r="W45" s="30"/>
      <c r="Y45" t="s">
        <v>14</v>
      </c>
      <c r="Z45" s="30"/>
      <c r="AA45" s="30"/>
      <c r="AB45" s="30" t="s">
        <v>1340</v>
      </c>
      <c r="AC45" s="284" t="s">
        <v>1147</v>
      </c>
      <c r="AD45" s="30" t="s">
        <v>160</v>
      </c>
      <c r="AE45" s="30" t="s">
        <v>878</v>
      </c>
      <c r="AF45" s="30" t="s">
        <v>1257</v>
      </c>
      <c r="AG45" t="s">
        <v>1303</v>
      </c>
      <c r="AH45" s="30"/>
      <c r="AI45" s="30" t="s">
        <v>1010</v>
      </c>
      <c r="AT45" s="30"/>
      <c r="AU45" s="30"/>
      <c r="AV45" s="30"/>
    </row>
    <row r="46" spans="2:48" x14ac:dyDescent="0.15">
      <c r="B46"/>
      <c r="E46"/>
      <c r="F46"/>
      <c r="H46"/>
      <c r="I46"/>
      <c r="J46"/>
      <c r="W46" s="30"/>
      <c r="Y46" t="s">
        <v>1054</v>
      </c>
      <c r="Z46" s="30"/>
      <c r="AA46" s="30"/>
      <c r="AB46" s="30" t="s">
        <v>1341</v>
      </c>
      <c r="AC46" s="284" t="s">
        <v>1150</v>
      </c>
      <c r="AD46" s="30" t="s">
        <v>161</v>
      </c>
      <c r="AE46" s="30" t="s">
        <v>887</v>
      </c>
      <c r="AF46" s="30" t="s">
        <v>1258</v>
      </c>
      <c r="AG46" t="s">
        <v>1304</v>
      </c>
      <c r="AH46" s="30"/>
      <c r="AI46" s="30" t="s">
        <v>1011</v>
      </c>
      <c r="AT46" s="30"/>
      <c r="AU46" s="30"/>
      <c r="AV46" s="30"/>
    </row>
    <row r="47" spans="2:48" x14ac:dyDescent="0.15">
      <c r="B47"/>
      <c r="E47"/>
      <c r="F47"/>
      <c r="H47"/>
      <c r="I47"/>
      <c r="J47"/>
      <c r="W47" s="30"/>
      <c r="Y47" s="30" t="s">
        <v>927</v>
      </c>
      <c r="Z47" s="30"/>
      <c r="AA47" s="30"/>
      <c r="AB47" s="30" t="s">
        <v>1342</v>
      </c>
      <c r="AC47" s="284" t="s">
        <v>1154</v>
      </c>
      <c r="AD47" s="30" t="s">
        <v>162</v>
      </c>
      <c r="AE47" s="278" t="s">
        <v>893</v>
      </c>
      <c r="AF47" s="30" t="s">
        <v>1259</v>
      </c>
      <c r="AG47" t="s">
        <v>1305</v>
      </c>
      <c r="AH47" s="30"/>
      <c r="AI47" s="30" t="s">
        <v>1012</v>
      </c>
      <c r="AT47" s="30"/>
      <c r="AU47" s="30"/>
      <c r="AV47" s="30"/>
    </row>
    <row r="48" spans="2:48" x14ac:dyDescent="0.15">
      <c r="B48"/>
      <c r="E48"/>
      <c r="F48"/>
      <c r="H48"/>
      <c r="I48"/>
      <c r="J48"/>
      <c r="W48" s="30"/>
      <c r="Y48" s="30" t="s">
        <v>1040</v>
      </c>
      <c r="Z48" s="30"/>
      <c r="AA48" s="30"/>
      <c r="AB48" s="30" t="s">
        <v>1343</v>
      </c>
      <c r="AC48" s="284" t="s">
        <v>1155</v>
      </c>
      <c r="AD48" s="30" t="s">
        <v>164</v>
      </c>
      <c r="AE48" s="278" t="s">
        <v>934</v>
      </c>
      <c r="AF48" s="30" t="s">
        <v>1224</v>
      </c>
      <c r="AG48" t="s">
        <v>1306</v>
      </c>
      <c r="AH48" s="30"/>
      <c r="AI48" s="30" t="s">
        <v>1013</v>
      </c>
      <c r="AT48" s="30"/>
      <c r="AU48" s="30"/>
      <c r="AV48" s="30"/>
    </row>
    <row r="49" spans="2:48" x14ac:dyDescent="0.15">
      <c r="B49"/>
      <c r="E49"/>
      <c r="F49"/>
      <c r="H49"/>
      <c r="I49"/>
      <c r="J49"/>
      <c r="W49" s="30"/>
      <c r="Y49" s="30" t="s">
        <v>1042</v>
      </c>
      <c r="Z49" s="30"/>
      <c r="AA49" s="30"/>
      <c r="AB49" s="30" t="s">
        <v>1344</v>
      </c>
      <c r="AC49" s="284" t="s">
        <v>1148</v>
      </c>
      <c r="AD49" s="30" t="s">
        <v>165</v>
      </c>
      <c r="AE49" s="278" t="s">
        <v>940</v>
      </c>
      <c r="AG49" t="s">
        <v>1307</v>
      </c>
      <c r="AH49" s="30"/>
      <c r="AT49" s="30"/>
      <c r="AU49" s="30"/>
      <c r="AV49" s="30"/>
    </row>
    <row r="50" spans="2:48" x14ac:dyDescent="0.15">
      <c r="B50"/>
      <c r="E50"/>
      <c r="F50"/>
      <c r="H50"/>
      <c r="I50"/>
      <c r="J50"/>
      <c r="W50" s="30"/>
      <c r="Y50" t="s">
        <v>933</v>
      </c>
      <c r="Z50" s="30"/>
      <c r="AA50" s="30"/>
      <c r="AB50" s="30" t="s">
        <v>1345</v>
      </c>
      <c r="AC50" s="284" t="s">
        <v>1169</v>
      </c>
      <c r="AD50" s="30" t="s">
        <v>166</v>
      </c>
      <c r="AE50" s="278" t="s">
        <v>950</v>
      </c>
      <c r="AG50" t="s">
        <v>1308</v>
      </c>
      <c r="AH50" s="30"/>
      <c r="AT50" s="30"/>
      <c r="AU50" s="30"/>
      <c r="AV50" s="30"/>
    </row>
    <row r="51" spans="2:48" x14ac:dyDescent="0.15">
      <c r="B51"/>
      <c r="E51"/>
      <c r="F51"/>
      <c r="H51"/>
      <c r="I51"/>
      <c r="J51"/>
      <c r="W51" s="30"/>
      <c r="Y51" t="s">
        <v>939</v>
      </c>
      <c r="Z51" s="30"/>
      <c r="AA51" s="30"/>
      <c r="AB51" s="30" t="s">
        <v>1452</v>
      </c>
      <c r="AC51" s="284" t="s">
        <v>1173</v>
      </c>
      <c r="AD51" s="30" t="s">
        <v>167</v>
      </c>
      <c r="AE51" s="278" t="s">
        <v>670</v>
      </c>
      <c r="AG51" t="s">
        <v>1309</v>
      </c>
      <c r="AH51" s="30"/>
      <c r="AT51" s="30"/>
      <c r="AU51" s="30"/>
      <c r="AV51" s="30"/>
    </row>
    <row r="52" spans="2:48" x14ac:dyDescent="0.15">
      <c r="B52"/>
      <c r="E52"/>
      <c r="F52"/>
      <c r="H52"/>
      <c r="I52"/>
      <c r="J52"/>
      <c r="W52" s="30"/>
      <c r="Y52" t="s">
        <v>1041</v>
      </c>
      <c r="Z52" s="30"/>
      <c r="AA52" s="30"/>
      <c r="AB52" s="30" t="s">
        <v>1453</v>
      </c>
      <c r="AC52" s="284" t="s">
        <v>567</v>
      </c>
      <c r="AD52" s="30" t="s">
        <v>168</v>
      </c>
      <c r="AE52" s="278" t="s">
        <v>783</v>
      </c>
      <c r="AG52" t="s">
        <v>1310</v>
      </c>
      <c r="AH52" s="30"/>
      <c r="AT52" s="30"/>
      <c r="AU52" s="30"/>
      <c r="AV52" s="30"/>
    </row>
    <row r="53" spans="2:48" x14ac:dyDescent="0.15">
      <c r="B53"/>
      <c r="E53"/>
      <c r="F53"/>
      <c r="H53"/>
      <c r="I53"/>
      <c r="J53"/>
      <c r="W53" s="30"/>
      <c r="Y53" t="s">
        <v>1077</v>
      </c>
      <c r="Z53" s="30"/>
      <c r="AA53" s="30"/>
      <c r="AB53" s="30" t="s">
        <v>1454</v>
      </c>
      <c r="AC53" s="284" t="s">
        <v>1151</v>
      </c>
      <c r="AD53" s="30" t="s">
        <v>169</v>
      </c>
      <c r="AE53" s="278" t="s">
        <v>124</v>
      </c>
      <c r="AG53" t="s">
        <v>1311</v>
      </c>
      <c r="AH53" s="30"/>
      <c r="AT53" s="30"/>
      <c r="AU53" s="30"/>
      <c r="AV53" s="30"/>
    </row>
    <row r="54" spans="2:48" x14ac:dyDescent="0.15">
      <c r="B54"/>
      <c r="E54"/>
      <c r="F54"/>
      <c r="H54"/>
      <c r="I54"/>
      <c r="J54"/>
      <c r="W54" s="30"/>
      <c r="Y54" t="s">
        <v>949</v>
      </c>
      <c r="Z54" s="30"/>
      <c r="AA54" s="30"/>
      <c r="AB54" s="30" t="s">
        <v>1455</v>
      </c>
      <c r="AC54" s="284" t="s">
        <v>1152</v>
      </c>
      <c r="AD54" s="30" t="s">
        <v>170</v>
      </c>
      <c r="AE54" s="278" t="s">
        <v>695</v>
      </c>
      <c r="AG54" t="s">
        <v>1312</v>
      </c>
      <c r="AH54" s="30"/>
      <c r="AT54" s="30"/>
      <c r="AU54" s="30"/>
      <c r="AV54" s="30"/>
    </row>
    <row r="55" spans="2:48" x14ac:dyDescent="0.15">
      <c r="B55"/>
      <c r="E55"/>
      <c r="F55"/>
      <c r="H55"/>
      <c r="I55"/>
      <c r="J55"/>
      <c r="W55" s="30"/>
      <c r="Y55" t="s">
        <v>1043</v>
      </c>
      <c r="Z55" s="30"/>
      <c r="AA55" s="30"/>
      <c r="AB55" s="30" t="s">
        <v>1456</v>
      </c>
      <c r="AC55" s="284" t="s">
        <v>1142</v>
      </c>
      <c r="AD55" s="30" t="s">
        <v>171</v>
      </c>
      <c r="AE55" s="278" t="s">
        <v>916</v>
      </c>
      <c r="AG55" t="s">
        <v>1313</v>
      </c>
      <c r="AH55" s="30"/>
      <c r="AT55" s="30"/>
      <c r="AU55" s="30"/>
      <c r="AV55" s="30"/>
    </row>
    <row r="56" spans="2:48" x14ac:dyDescent="0.15">
      <c r="B56"/>
      <c r="E56"/>
      <c r="F56"/>
      <c r="H56"/>
      <c r="I56"/>
      <c r="J56"/>
      <c r="W56" s="30"/>
      <c r="Y56" t="s">
        <v>1053</v>
      </c>
      <c r="Z56" s="30"/>
      <c r="AA56" s="30"/>
      <c r="AB56" s="30" t="s">
        <v>1457</v>
      </c>
      <c r="AC56" s="284" t="s">
        <v>1156</v>
      </c>
      <c r="AD56" s="30"/>
      <c r="AE56" s="278" t="s">
        <v>1193</v>
      </c>
      <c r="AG56" t="s">
        <v>1314</v>
      </c>
      <c r="AH56" s="30"/>
      <c r="AT56" s="30"/>
      <c r="AU56" s="30"/>
      <c r="AV56" s="30"/>
    </row>
    <row r="57" spans="2:48" x14ac:dyDescent="0.15">
      <c r="B57"/>
      <c r="E57"/>
      <c r="F57"/>
      <c r="H57"/>
      <c r="I57"/>
      <c r="J57"/>
      <c r="W57" s="30"/>
      <c r="Y57" t="s">
        <v>1068</v>
      </c>
      <c r="Z57" s="30"/>
      <c r="AA57" s="30"/>
      <c r="AB57" s="30" t="s">
        <v>1458</v>
      </c>
      <c r="AC57" s="284" t="s">
        <v>576</v>
      </c>
      <c r="AD57" s="30"/>
      <c r="AE57" s="278" t="s">
        <v>1194</v>
      </c>
      <c r="AG57" t="s">
        <v>1315</v>
      </c>
      <c r="AH57" s="30"/>
      <c r="AT57" s="30"/>
      <c r="AU57" s="30"/>
      <c r="AV57" s="30"/>
    </row>
    <row r="58" spans="2:48" x14ac:dyDescent="0.15">
      <c r="B58"/>
      <c r="E58"/>
      <c r="F58"/>
      <c r="H58"/>
      <c r="I58"/>
      <c r="J58"/>
      <c r="W58" s="30"/>
      <c r="Y58" s="30" t="s">
        <v>1069</v>
      </c>
      <c r="Z58" s="30"/>
      <c r="AA58" s="30"/>
      <c r="AB58" s="30" t="s">
        <v>1459</v>
      </c>
      <c r="AC58" s="284" t="s">
        <v>1157</v>
      </c>
      <c r="AD58" s="30"/>
      <c r="AE58" s="278" t="s">
        <v>1195</v>
      </c>
      <c r="AH58" s="30"/>
      <c r="AT58" s="30"/>
      <c r="AU58" s="30"/>
      <c r="AV58" s="30"/>
    </row>
    <row r="59" spans="2:48" x14ac:dyDescent="0.15">
      <c r="B59"/>
      <c r="E59"/>
      <c r="F59"/>
      <c r="H59"/>
      <c r="I59"/>
      <c r="J59"/>
      <c r="W59" s="30"/>
      <c r="Y59" s="30" t="s">
        <v>1070</v>
      </c>
      <c r="Z59" s="30"/>
      <c r="AA59" s="30"/>
      <c r="AB59" s="30" t="s">
        <v>1460</v>
      </c>
      <c r="AC59" s="284" t="s">
        <v>585</v>
      </c>
      <c r="AD59" s="30"/>
      <c r="AE59" s="278" t="s">
        <v>1125</v>
      </c>
      <c r="AH59" s="30"/>
      <c r="AT59" s="30"/>
      <c r="AU59" s="30"/>
      <c r="AV59" s="30"/>
    </row>
    <row r="60" spans="2:48" x14ac:dyDescent="0.15">
      <c r="B60"/>
      <c r="E60"/>
      <c r="F60"/>
      <c r="H60"/>
      <c r="I60"/>
      <c r="J60"/>
      <c r="W60" s="30"/>
      <c r="Y60" s="30" t="s">
        <v>1071</v>
      </c>
      <c r="Z60" s="30"/>
      <c r="AA60" s="30"/>
      <c r="AB60" s="30" t="s">
        <v>1351</v>
      </c>
      <c r="AC60" s="284" t="s">
        <v>1143</v>
      </c>
      <c r="AD60" s="30"/>
      <c r="AE60" s="278" t="s">
        <v>921</v>
      </c>
      <c r="AH60" s="30"/>
      <c r="AT60" s="30"/>
      <c r="AU60" s="30"/>
      <c r="AV60" s="30"/>
    </row>
    <row r="61" spans="2:48" x14ac:dyDescent="0.15">
      <c r="B61"/>
      <c r="E61"/>
      <c r="F61"/>
      <c r="H61"/>
      <c r="I61"/>
      <c r="J61"/>
      <c r="W61" s="30"/>
      <c r="Y61" s="30" t="s">
        <v>1081</v>
      </c>
      <c r="Z61" s="30"/>
      <c r="AA61" s="30"/>
      <c r="AB61" s="30" t="s">
        <v>1352</v>
      </c>
      <c r="AC61" s="284" t="s">
        <v>1163</v>
      </c>
      <c r="AD61" s="30"/>
      <c r="AE61" s="278" t="s">
        <v>928</v>
      </c>
      <c r="AH61" s="30"/>
      <c r="AT61" s="30"/>
      <c r="AU61" s="30"/>
      <c r="AV61" s="30"/>
    </row>
    <row r="62" spans="2:48" x14ac:dyDescent="0.15">
      <c r="B62"/>
      <c r="E62"/>
      <c r="F62"/>
      <c r="H62"/>
      <c r="I62"/>
      <c r="J62"/>
      <c r="W62" s="30"/>
      <c r="Y62" s="30" t="s">
        <v>1060</v>
      </c>
      <c r="Z62" s="30"/>
      <c r="AA62" s="30"/>
      <c r="AB62" s="30" t="s">
        <v>1353</v>
      </c>
      <c r="AC62" s="284" t="s">
        <v>1149</v>
      </c>
      <c r="AD62" s="30"/>
      <c r="AE62" s="278" t="s">
        <v>1023</v>
      </c>
      <c r="AH62" s="30"/>
      <c r="AT62" s="30"/>
      <c r="AU62" s="30"/>
      <c r="AV62" s="30"/>
    </row>
    <row r="63" spans="2:48" x14ac:dyDescent="0.15">
      <c r="B63"/>
      <c r="E63"/>
      <c r="F63"/>
      <c r="H63"/>
      <c r="I63"/>
      <c r="J63"/>
      <c r="W63" s="30"/>
      <c r="Y63" s="30" t="s">
        <v>758</v>
      </c>
      <c r="Z63" s="30"/>
      <c r="AA63" s="30"/>
      <c r="AB63" s="30" t="s">
        <v>1354</v>
      </c>
      <c r="AC63" s="284" t="s">
        <v>596</v>
      </c>
      <c r="AD63" s="30"/>
      <c r="AE63" s="278" t="s">
        <v>1182</v>
      </c>
      <c r="AH63" s="30"/>
      <c r="AT63" s="30"/>
      <c r="AU63" s="30"/>
      <c r="AV63" s="30"/>
    </row>
    <row r="64" spans="2:48" x14ac:dyDescent="0.15">
      <c r="B64"/>
      <c r="E64"/>
      <c r="F64"/>
      <c r="H64"/>
      <c r="I64"/>
      <c r="J64"/>
      <c r="W64" s="30"/>
      <c r="Y64" s="30" t="s">
        <v>1101</v>
      </c>
      <c r="Z64" s="30"/>
      <c r="AA64" s="30"/>
      <c r="AB64" s="30" t="s">
        <v>1355</v>
      </c>
      <c r="AC64" s="284" t="s">
        <v>1168</v>
      </c>
      <c r="AD64" s="30"/>
      <c r="AE64" s="278" t="s">
        <v>955</v>
      </c>
      <c r="AH64" s="30"/>
      <c r="AT64" s="30"/>
      <c r="AU64" s="30"/>
      <c r="AV64" s="30"/>
    </row>
    <row r="65" spans="2:48" x14ac:dyDescent="0.15">
      <c r="B65"/>
      <c r="E65"/>
      <c r="F65"/>
      <c r="H65"/>
      <c r="I65"/>
      <c r="J65"/>
      <c r="W65" s="30"/>
      <c r="Y65" s="30" t="s">
        <v>1086</v>
      </c>
      <c r="Z65" s="30"/>
      <c r="AA65" s="30"/>
      <c r="AB65" s="30" t="s">
        <v>1356</v>
      </c>
      <c r="AC65" s="284" t="s">
        <v>607</v>
      </c>
      <c r="AD65" s="30"/>
      <c r="AE65" s="278" t="s">
        <v>961</v>
      </c>
      <c r="AH65" s="30"/>
      <c r="AT65" s="30"/>
      <c r="AU65" s="30"/>
      <c r="AV65" s="30"/>
    </row>
    <row r="66" spans="2:48" x14ac:dyDescent="0.15">
      <c r="B66"/>
      <c r="E66"/>
      <c r="F66"/>
      <c r="H66"/>
      <c r="I66"/>
      <c r="J66"/>
      <c r="W66" s="30"/>
      <c r="Y66" s="30" t="s">
        <v>1088</v>
      </c>
      <c r="Z66" s="30"/>
      <c r="AA66" s="30"/>
      <c r="AB66" s="30" t="s">
        <v>1359</v>
      </c>
      <c r="AC66" s="284" t="s">
        <v>1170</v>
      </c>
      <c r="AD66" s="30"/>
      <c r="AE66" s="278" t="s">
        <v>769</v>
      </c>
      <c r="AH66" s="30"/>
      <c r="AT66" s="30"/>
      <c r="AU66" s="30"/>
      <c r="AV66" s="30"/>
    </row>
    <row r="67" spans="2:48" x14ac:dyDescent="0.15">
      <c r="B67"/>
      <c r="E67"/>
      <c r="F67"/>
      <c r="H67"/>
      <c r="I67"/>
      <c r="J67"/>
      <c r="W67" s="30"/>
      <c r="Y67" s="30" t="s">
        <v>965</v>
      </c>
      <c r="Z67" s="30"/>
      <c r="AA67" s="30"/>
      <c r="AB67" s="30" t="s">
        <v>1360</v>
      </c>
      <c r="AC67" s="284" t="s">
        <v>1171</v>
      </c>
      <c r="AD67" s="30"/>
      <c r="AE67" s="278" t="s">
        <v>767</v>
      </c>
      <c r="AH67" s="30"/>
      <c r="AT67" s="30"/>
      <c r="AU67" s="30"/>
      <c r="AV67" s="30"/>
    </row>
    <row r="68" spans="2:48" x14ac:dyDescent="0.15">
      <c r="B68"/>
      <c r="E68"/>
      <c r="F68"/>
      <c r="H68"/>
      <c r="I68"/>
      <c r="J68"/>
      <c r="W68" s="30"/>
      <c r="Y68" s="30" t="s">
        <v>1103</v>
      </c>
      <c r="Z68" s="30"/>
      <c r="AA68" s="30"/>
      <c r="AB68" s="30" t="s">
        <v>1361</v>
      </c>
      <c r="AC68" s="284" t="s">
        <v>976</v>
      </c>
      <c r="AD68" s="30"/>
      <c r="AE68" s="278" t="s">
        <v>768</v>
      </c>
      <c r="AH68" s="30"/>
      <c r="AT68" s="30"/>
      <c r="AU68" s="30"/>
      <c r="AV68" s="30"/>
    </row>
    <row r="69" spans="2:48" x14ac:dyDescent="0.15">
      <c r="B69"/>
      <c r="E69"/>
      <c r="F69"/>
      <c r="H69"/>
      <c r="I69"/>
      <c r="J69"/>
      <c r="W69" s="30"/>
      <c r="Y69" s="30" t="s">
        <v>1087</v>
      </c>
      <c r="Z69" s="30"/>
      <c r="AA69" s="30"/>
      <c r="AB69" s="30" t="s">
        <v>1362</v>
      </c>
      <c r="AC69" s="284" t="s">
        <v>1172</v>
      </c>
      <c r="AD69" s="30"/>
      <c r="AE69" s="278" t="s">
        <v>1202</v>
      </c>
      <c r="AH69" s="30"/>
      <c r="AT69" s="30"/>
      <c r="AU69" s="30"/>
      <c r="AV69" s="30"/>
    </row>
    <row r="70" spans="2:48" x14ac:dyDescent="0.15">
      <c r="B70"/>
      <c r="E70"/>
      <c r="F70"/>
      <c r="H70"/>
      <c r="I70"/>
      <c r="J70"/>
      <c r="W70" s="30"/>
      <c r="Y70" s="30" t="s">
        <v>1089</v>
      </c>
      <c r="Z70" s="30"/>
      <c r="AA70" s="30"/>
      <c r="AB70" s="30" t="s">
        <v>1363</v>
      </c>
      <c r="AD70" s="30"/>
      <c r="AE70" s="278" t="s">
        <v>1203</v>
      </c>
      <c r="AH70" s="30"/>
      <c r="AT70" s="30"/>
      <c r="AU70" s="30"/>
      <c r="AV70" s="30"/>
    </row>
    <row r="71" spans="2:48" x14ac:dyDescent="0.15">
      <c r="B71"/>
      <c r="E71"/>
      <c r="F71"/>
      <c r="H71"/>
      <c r="I71"/>
      <c r="J71"/>
      <c r="W71" s="30"/>
      <c r="Y71" s="30" t="s">
        <v>1097</v>
      </c>
      <c r="Z71" s="30"/>
      <c r="AA71" s="30"/>
      <c r="AB71" s="30" t="s">
        <v>1370</v>
      </c>
      <c r="AD71" s="30"/>
      <c r="AE71" s="278" t="s">
        <v>1024</v>
      </c>
      <c r="AH71" s="30"/>
      <c r="AT71" s="30"/>
      <c r="AU71" s="30"/>
      <c r="AV71" s="30"/>
    </row>
    <row r="72" spans="2:48" x14ac:dyDescent="0.15">
      <c r="B72"/>
      <c r="E72"/>
      <c r="F72"/>
      <c r="H72"/>
      <c r="I72"/>
      <c r="J72"/>
      <c r="W72" s="30"/>
      <c r="Y72" s="30" t="s">
        <v>1102</v>
      </c>
      <c r="Z72" s="30"/>
      <c r="AA72" s="30"/>
      <c r="AB72" s="30" t="s">
        <v>1371</v>
      </c>
      <c r="AD72" s="30"/>
      <c r="AE72" s="278" t="s">
        <v>1183</v>
      </c>
      <c r="AH72" s="30"/>
      <c r="AT72" s="30"/>
      <c r="AU72" s="30"/>
      <c r="AV72" s="30"/>
    </row>
    <row r="73" spans="2:48" x14ac:dyDescent="0.15">
      <c r="B73"/>
      <c r="E73"/>
      <c r="F73"/>
      <c r="H73"/>
      <c r="I73"/>
      <c r="J73"/>
      <c r="W73" s="30"/>
      <c r="Y73" s="30" t="s">
        <v>1099</v>
      </c>
      <c r="Z73" s="30"/>
      <c r="AA73" s="30"/>
      <c r="AB73" s="30" t="s">
        <v>1372</v>
      </c>
      <c r="AD73" s="30"/>
      <c r="AE73" s="278" t="s">
        <v>1022</v>
      </c>
      <c r="AH73" s="30"/>
      <c r="AT73" s="30"/>
      <c r="AU73" s="30"/>
      <c r="AV73" s="30"/>
    </row>
    <row r="74" spans="2:48" x14ac:dyDescent="0.15">
      <c r="B74"/>
      <c r="E74"/>
      <c r="F74"/>
      <c r="H74"/>
      <c r="I74"/>
      <c r="J74"/>
      <c r="W74" s="30"/>
      <c r="Y74" s="30" t="s">
        <v>1100</v>
      </c>
      <c r="Z74" s="30"/>
      <c r="AA74" s="30"/>
      <c r="AB74" s="30" t="s">
        <v>1431</v>
      </c>
      <c r="AD74" s="30"/>
      <c r="AE74" s="278" t="s">
        <v>685</v>
      </c>
      <c r="AH74" s="30"/>
      <c r="AT74" s="30"/>
      <c r="AU74" s="30"/>
      <c r="AV74" s="30"/>
    </row>
    <row r="75" spans="2:48" x14ac:dyDescent="0.15">
      <c r="B75"/>
      <c r="E75"/>
      <c r="F75"/>
      <c r="H75"/>
      <c r="I75"/>
      <c r="J75"/>
      <c r="W75" s="30"/>
      <c r="Y75" s="30" t="s">
        <v>1098</v>
      </c>
      <c r="Z75" s="30"/>
      <c r="AA75" s="30"/>
      <c r="AB75" s="30" t="s">
        <v>1380</v>
      </c>
      <c r="AD75" s="30"/>
      <c r="AE75" s="278" t="s">
        <v>1175</v>
      </c>
      <c r="AH75" s="30"/>
      <c r="AT75" s="30"/>
      <c r="AU75" s="30"/>
      <c r="AV75" s="30"/>
    </row>
    <row r="76" spans="2:48" x14ac:dyDescent="0.15">
      <c r="B76"/>
      <c r="E76"/>
      <c r="F76"/>
      <c r="H76"/>
      <c r="I76"/>
      <c r="J76"/>
      <c r="W76" s="30"/>
      <c r="Y76" s="30" t="s">
        <v>1112</v>
      </c>
      <c r="Z76" s="30"/>
      <c r="AA76" s="30"/>
      <c r="AB76" s="30" t="s">
        <v>1381</v>
      </c>
      <c r="AD76" s="30"/>
      <c r="AE76" s="278" t="s">
        <v>836</v>
      </c>
      <c r="AH76" s="30"/>
      <c r="AT76" s="30"/>
      <c r="AU76" s="30"/>
      <c r="AV76" s="30"/>
    </row>
    <row r="77" spans="2:48" x14ac:dyDescent="0.15">
      <c r="B77"/>
      <c r="E77"/>
      <c r="F77"/>
      <c r="H77"/>
      <c r="I77"/>
      <c r="J77"/>
      <c r="W77" s="30"/>
      <c r="Y77" s="30" t="s">
        <v>1055</v>
      </c>
      <c r="Z77" s="30"/>
      <c r="AA77" s="30"/>
      <c r="AB77" s="30" t="s">
        <v>1382</v>
      </c>
      <c r="AD77" s="30"/>
      <c r="AE77" s="278" t="s">
        <v>1211</v>
      </c>
      <c r="AH77" s="30"/>
      <c r="AT77" s="30"/>
      <c r="AU77" s="30"/>
      <c r="AV77" s="30"/>
    </row>
    <row r="78" spans="2:48" x14ac:dyDescent="0.15">
      <c r="B78"/>
      <c r="E78"/>
      <c r="F78"/>
      <c r="H78"/>
      <c r="I78"/>
      <c r="J78"/>
      <c r="W78" s="30"/>
      <c r="Y78" s="30" t="s">
        <v>1044</v>
      </c>
      <c r="Z78" s="30"/>
      <c r="AA78" s="30"/>
      <c r="AB78" s="30" t="s">
        <v>1384</v>
      </c>
      <c r="AD78" s="30"/>
      <c r="AE78" s="278" t="s">
        <v>959</v>
      </c>
      <c r="AH78" s="30"/>
      <c r="AT78" s="30"/>
      <c r="AU78" s="30"/>
      <c r="AV78" s="30"/>
    </row>
    <row r="79" spans="2:48" x14ac:dyDescent="0.15">
      <c r="B79"/>
      <c r="E79"/>
      <c r="F79"/>
      <c r="H79"/>
      <c r="I79"/>
      <c r="J79"/>
      <c r="W79" s="30"/>
      <c r="Y79" s="30" t="s">
        <v>1048</v>
      </c>
      <c r="Z79" s="30"/>
      <c r="AA79" s="30"/>
      <c r="AB79" s="30" t="s">
        <v>1385</v>
      </c>
      <c r="AD79" s="30"/>
      <c r="AE79" s="278" t="s">
        <v>1212</v>
      </c>
      <c r="AH79" s="30"/>
      <c r="AT79" s="30"/>
      <c r="AU79" s="30"/>
      <c r="AV79" s="30"/>
    </row>
    <row r="80" spans="2:48" x14ac:dyDescent="0.15">
      <c r="B80"/>
      <c r="E80"/>
      <c r="F80"/>
      <c r="H80"/>
      <c r="I80"/>
      <c r="J80"/>
      <c r="W80" s="30"/>
      <c r="Y80" s="30" t="s">
        <v>966</v>
      </c>
      <c r="Z80" s="30"/>
      <c r="AA80" s="30"/>
      <c r="AB80" s="30" t="s">
        <v>1386</v>
      </c>
      <c r="AD80" s="30"/>
      <c r="AE80" s="278" t="s">
        <v>967</v>
      </c>
      <c r="AH80" s="30"/>
      <c r="AT80" s="30"/>
      <c r="AU80" s="30"/>
      <c r="AV80" s="30"/>
    </row>
    <row r="81" spans="2:48" x14ac:dyDescent="0.15">
      <c r="B81"/>
      <c r="E81"/>
      <c r="F81"/>
      <c r="H81"/>
      <c r="I81"/>
      <c r="J81"/>
      <c r="W81" s="30"/>
      <c r="Y81" s="30" t="s">
        <v>1046</v>
      </c>
      <c r="Z81" s="30"/>
      <c r="AA81" s="30"/>
      <c r="AB81" s="30" t="s">
        <v>1387</v>
      </c>
      <c r="AD81" s="30"/>
      <c r="AE81" s="278" t="s">
        <v>1213</v>
      </c>
      <c r="AH81" s="30"/>
      <c r="AT81" s="30"/>
      <c r="AU81" s="30"/>
      <c r="AV81" s="30"/>
    </row>
    <row r="82" spans="2:48" x14ac:dyDescent="0.15">
      <c r="B82"/>
      <c r="E82"/>
      <c r="F82"/>
      <c r="H82"/>
      <c r="I82"/>
      <c r="J82"/>
      <c r="W82" s="30"/>
      <c r="Y82" s="30" t="s">
        <v>1076</v>
      </c>
      <c r="Z82" s="30"/>
      <c r="AA82" s="30"/>
      <c r="AB82" s="30" t="s">
        <v>1390</v>
      </c>
      <c r="AD82" s="30"/>
      <c r="AE82" s="278" t="s">
        <v>1214</v>
      </c>
      <c r="AH82" s="30"/>
      <c r="AT82" s="30"/>
      <c r="AU82" s="30"/>
      <c r="AV82" s="30"/>
    </row>
    <row r="83" spans="2:48" x14ac:dyDescent="0.15">
      <c r="B83"/>
      <c r="E83"/>
      <c r="F83"/>
      <c r="H83"/>
      <c r="I83"/>
      <c r="J83"/>
      <c r="W83" s="30"/>
      <c r="Y83" s="30" t="s">
        <v>1047</v>
      </c>
      <c r="Z83" s="30"/>
      <c r="AA83" s="30"/>
      <c r="AB83" s="30" t="s">
        <v>1391</v>
      </c>
      <c r="AD83" s="30"/>
      <c r="AE83" s="278" t="s">
        <v>1204</v>
      </c>
      <c r="AH83" s="30"/>
      <c r="AT83" s="30"/>
      <c r="AU83" s="30"/>
      <c r="AV83" s="30"/>
    </row>
    <row r="84" spans="2:48" x14ac:dyDescent="0.15">
      <c r="B84"/>
      <c r="E84"/>
      <c r="F84"/>
      <c r="H84"/>
      <c r="I84"/>
      <c r="J84"/>
      <c r="W84" s="30"/>
      <c r="Y84" t="s">
        <v>1056</v>
      </c>
      <c r="Z84" s="30"/>
      <c r="AA84" s="30"/>
      <c r="AB84" s="30" t="s">
        <v>1373</v>
      </c>
      <c r="AD84" s="30"/>
      <c r="AE84" s="278" t="s">
        <v>1205</v>
      </c>
      <c r="AH84" s="30"/>
      <c r="AT84" s="30"/>
      <c r="AU84" s="30"/>
      <c r="AV84" s="30"/>
    </row>
    <row r="85" spans="2:48" x14ac:dyDescent="0.15">
      <c r="B85"/>
      <c r="E85"/>
      <c r="F85"/>
      <c r="H85"/>
      <c r="I85"/>
      <c r="J85"/>
      <c r="W85" s="30"/>
      <c r="Y85" t="s">
        <v>1072</v>
      </c>
      <c r="Z85" s="30"/>
      <c r="AA85" s="30"/>
      <c r="AB85" s="30" t="s">
        <v>1374</v>
      </c>
      <c r="AD85" s="30"/>
      <c r="AE85" s="278" t="s">
        <v>1206</v>
      </c>
      <c r="AH85" s="30"/>
      <c r="AT85" s="30"/>
      <c r="AU85" s="30"/>
      <c r="AV85" s="30"/>
    </row>
    <row r="86" spans="2:48" x14ac:dyDescent="0.15">
      <c r="B86"/>
      <c r="E86"/>
      <c r="F86"/>
      <c r="H86"/>
      <c r="I86"/>
      <c r="W86" s="30"/>
      <c r="Y86" t="s">
        <v>1073</v>
      </c>
      <c r="Z86" s="30"/>
      <c r="AA86" s="30"/>
      <c r="AB86" s="30" t="s">
        <v>1375</v>
      </c>
      <c r="AD86" s="30"/>
      <c r="AE86" s="278" t="s">
        <v>1207</v>
      </c>
      <c r="AH86" s="30"/>
      <c r="AT86" s="30"/>
      <c r="AU86" s="30"/>
      <c r="AV86" s="30"/>
    </row>
    <row r="87" spans="2:48" x14ac:dyDescent="0.15">
      <c r="B87"/>
      <c r="E87"/>
      <c r="F87"/>
      <c r="H87"/>
      <c r="I87"/>
      <c r="W87" s="30"/>
      <c r="Y87" t="s">
        <v>1074</v>
      </c>
      <c r="Z87" s="30"/>
      <c r="AA87" s="30"/>
      <c r="AB87" s="30" t="s">
        <v>1392</v>
      </c>
      <c r="AD87" s="30"/>
      <c r="AE87" s="278" t="s">
        <v>1176</v>
      </c>
      <c r="AH87" s="30"/>
      <c r="AT87" s="30"/>
      <c r="AU87" s="30"/>
      <c r="AV87" s="30"/>
    </row>
    <row r="88" spans="2:48" x14ac:dyDescent="0.15">
      <c r="B88"/>
      <c r="E88"/>
      <c r="F88"/>
      <c r="H88"/>
      <c r="I88"/>
      <c r="W88" s="30"/>
      <c r="Y88" t="s">
        <v>1080</v>
      </c>
      <c r="Z88" s="30"/>
      <c r="AA88" s="30"/>
      <c r="AB88" s="30" t="s">
        <v>1393</v>
      </c>
      <c r="AD88" s="30"/>
      <c r="AH88" s="30"/>
      <c r="AT88" s="30"/>
      <c r="AU88" s="30"/>
      <c r="AV88" s="30"/>
    </row>
    <row r="89" spans="2:48" x14ac:dyDescent="0.15">
      <c r="B89"/>
      <c r="E89"/>
      <c r="F89"/>
      <c r="H89"/>
      <c r="I89"/>
      <c r="W89" s="30"/>
      <c r="Y89" t="s">
        <v>1061</v>
      </c>
      <c r="Z89" s="30"/>
      <c r="AA89" s="30"/>
      <c r="AB89" s="30" t="s">
        <v>1394</v>
      </c>
      <c r="AD89" s="30"/>
      <c r="AH89" s="30"/>
      <c r="AT89" s="30"/>
      <c r="AU89" s="30"/>
      <c r="AV89" s="30"/>
    </row>
    <row r="90" spans="2:48" x14ac:dyDescent="0.15">
      <c r="B90"/>
      <c r="E90"/>
      <c r="F90"/>
      <c r="H90"/>
      <c r="I90"/>
      <c r="W90" s="30"/>
      <c r="Y90" t="s">
        <v>970</v>
      </c>
      <c r="Z90" s="30"/>
      <c r="AA90" s="30"/>
      <c r="AB90" s="30" t="s">
        <v>1395</v>
      </c>
      <c r="AD90" s="30"/>
      <c r="AH90" s="30"/>
      <c r="AT90" s="30"/>
      <c r="AU90" s="30"/>
      <c r="AV90" s="30"/>
    </row>
    <row r="91" spans="2:48" x14ac:dyDescent="0.15">
      <c r="B91"/>
      <c r="E91"/>
      <c r="F91"/>
      <c r="H91"/>
      <c r="I91"/>
      <c r="W91" s="30"/>
      <c r="Y91" t="s">
        <v>1045</v>
      </c>
      <c r="Z91" s="30"/>
      <c r="AA91" s="30"/>
      <c r="AB91" s="30" t="s">
        <v>1364</v>
      </c>
      <c r="AD91" s="30"/>
      <c r="AH91" s="30"/>
      <c r="AT91" s="30"/>
      <c r="AU91" s="30"/>
      <c r="AV91" s="30"/>
    </row>
    <row r="92" spans="2:48" x14ac:dyDescent="0.15">
      <c r="B92"/>
      <c r="E92"/>
      <c r="F92"/>
      <c r="H92"/>
      <c r="I92"/>
      <c r="W92" s="30"/>
      <c r="Y92" t="s">
        <v>1109</v>
      </c>
      <c r="Z92" s="30"/>
      <c r="AA92" s="30"/>
      <c r="AB92" s="30" t="s">
        <v>1365</v>
      </c>
      <c r="AD92" s="30"/>
      <c r="AH92" s="30"/>
      <c r="AT92" s="30"/>
      <c r="AU92" s="30"/>
      <c r="AV92" s="30"/>
    </row>
    <row r="93" spans="2:48" x14ac:dyDescent="0.15">
      <c r="B93"/>
      <c r="E93"/>
      <c r="F93"/>
      <c r="H93"/>
      <c r="I93"/>
      <c r="W93" s="30"/>
      <c r="Y93" t="s">
        <v>1091</v>
      </c>
      <c r="Z93" s="30"/>
      <c r="AA93" s="30"/>
      <c r="AB93" s="30" t="s">
        <v>1366</v>
      </c>
      <c r="AD93" s="30"/>
      <c r="AH93" s="30"/>
      <c r="AT93" s="30"/>
      <c r="AU93" s="30"/>
      <c r="AV93" s="30"/>
    </row>
    <row r="94" spans="2:48" x14ac:dyDescent="0.15">
      <c r="B94"/>
      <c r="E94"/>
      <c r="F94"/>
      <c r="H94"/>
      <c r="I94"/>
      <c r="W94" s="30"/>
      <c r="Y94" s="30" t="s">
        <v>1093</v>
      </c>
      <c r="Z94" s="30"/>
      <c r="AA94" s="30"/>
      <c r="AB94" s="30" t="s">
        <v>1367</v>
      </c>
      <c r="AD94" s="30"/>
      <c r="AH94" s="30"/>
      <c r="AT94" s="30"/>
      <c r="AU94" s="30"/>
      <c r="AV94" s="30"/>
    </row>
    <row r="95" spans="2:48" x14ac:dyDescent="0.15">
      <c r="B95"/>
      <c r="E95"/>
      <c r="F95"/>
      <c r="H95"/>
      <c r="I95"/>
      <c r="W95" s="30"/>
      <c r="Y95" s="30" t="s">
        <v>1094</v>
      </c>
      <c r="Z95" s="30"/>
      <c r="AA95" s="30"/>
      <c r="AB95" s="30" t="s">
        <v>172</v>
      </c>
      <c r="AD95" s="30"/>
      <c r="AH95" s="30"/>
      <c r="AT95" s="30"/>
      <c r="AU95" s="30"/>
      <c r="AV95" s="30"/>
    </row>
    <row r="96" spans="2:48" x14ac:dyDescent="0.15">
      <c r="B96"/>
      <c r="E96"/>
      <c r="F96"/>
      <c r="H96"/>
      <c r="I96"/>
      <c r="W96" s="30"/>
      <c r="Y96" s="30" t="s">
        <v>138</v>
      </c>
      <c r="Z96" s="30"/>
      <c r="AA96" s="30"/>
      <c r="AB96" s="30" t="s">
        <v>1318</v>
      </c>
      <c r="AD96" s="30"/>
      <c r="AH96" s="30"/>
      <c r="AT96" s="30"/>
      <c r="AU96" s="30"/>
      <c r="AV96" s="30"/>
    </row>
    <row r="97" spans="2:48" x14ac:dyDescent="0.15">
      <c r="B97"/>
      <c r="E97"/>
      <c r="F97"/>
      <c r="H97"/>
      <c r="I97"/>
      <c r="W97" s="30"/>
      <c r="Y97" s="30" t="s">
        <v>140</v>
      </c>
      <c r="Z97" s="30"/>
      <c r="AA97" s="30"/>
      <c r="AB97" s="30" t="s">
        <v>1407</v>
      </c>
      <c r="AD97" s="30"/>
      <c r="AH97" s="30"/>
      <c r="AT97" s="30"/>
      <c r="AU97" s="30"/>
      <c r="AV97" s="30"/>
    </row>
    <row r="98" spans="2:48" x14ac:dyDescent="0.15">
      <c r="B98"/>
      <c r="E98"/>
      <c r="F98"/>
      <c r="H98"/>
      <c r="I98"/>
      <c r="W98" s="30"/>
      <c r="Y98" s="30" t="s">
        <v>142</v>
      </c>
      <c r="Z98" s="30"/>
      <c r="AA98" s="30"/>
      <c r="AB98" s="30" t="s">
        <v>1408</v>
      </c>
      <c r="AD98" s="30"/>
      <c r="AH98" s="30"/>
      <c r="AT98" s="30"/>
      <c r="AU98" s="30"/>
      <c r="AV98" s="30"/>
    </row>
    <row r="99" spans="2:48" x14ac:dyDescent="0.15">
      <c r="B99"/>
      <c r="E99"/>
      <c r="F99"/>
      <c r="H99"/>
      <c r="I99"/>
      <c r="W99" s="30"/>
      <c r="Y99" s="30" t="s">
        <v>1096</v>
      </c>
      <c r="Z99" s="30"/>
      <c r="AA99" s="30"/>
      <c r="AB99" s="30" t="s">
        <v>1402</v>
      </c>
      <c r="AD99" s="30"/>
      <c r="AH99" s="30"/>
      <c r="AT99" s="30"/>
      <c r="AU99" s="30"/>
      <c r="AV99" s="30"/>
    </row>
    <row r="100" spans="2:48" x14ac:dyDescent="0.15">
      <c r="B100"/>
      <c r="E100"/>
      <c r="F100"/>
      <c r="H100"/>
      <c r="I100"/>
      <c r="W100" s="30"/>
      <c r="Y100" s="30" t="s">
        <v>1095</v>
      </c>
      <c r="Z100" s="30"/>
      <c r="AA100" s="30"/>
      <c r="AB100" s="30" t="s">
        <v>1403</v>
      </c>
      <c r="AD100" s="30"/>
      <c r="AH100" s="30"/>
      <c r="AT100" s="30"/>
      <c r="AU100" s="30"/>
      <c r="AV100" s="30"/>
    </row>
    <row r="101" spans="2:48" x14ac:dyDescent="0.15">
      <c r="B101"/>
      <c r="E101"/>
      <c r="F101"/>
      <c r="H101"/>
      <c r="I101"/>
      <c r="W101" s="30"/>
      <c r="Y101" s="30" t="s">
        <v>1105</v>
      </c>
      <c r="Z101" s="30"/>
      <c r="AA101" s="30"/>
      <c r="AB101" s="30" t="s">
        <v>163</v>
      </c>
      <c r="AD101" s="30"/>
      <c r="AH101" s="30"/>
      <c r="AT101" s="30"/>
      <c r="AU101" s="30"/>
      <c r="AV101" s="30"/>
    </row>
    <row r="102" spans="2:48" x14ac:dyDescent="0.15">
      <c r="B102"/>
      <c r="E102"/>
      <c r="F102"/>
      <c r="H102"/>
      <c r="I102"/>
      <c r="W102" s="30"/>
      <c r="Y102" s="30" t="s">
        <v>1106</v>
      </c>
      <c r="Z102" s="30"/>
      <c r="AA102" s="30"/>
      <c r="AB102" s="30" t="s">
        <v>1409</v>
      </c>
      <c r="AD102" s="30"/>
      <c r="AH102" s="30"/>
      <c r="AT102" s="30"/>
      <c r="AU102" s="30"/>
      <c r="AV102" s="30"/>
    </row>
    <row r="103" spans="2:48" x14ac:dyDescent="0.15">
      <c r="B103"/>
      <c r="E103"/>
      <c r="F103"/>
      <c r="H103"/>
      <c r="I103"/>
      <c r="W103" s="30"/>
      <c r="Y103" s="30" t="s">
        <v>1110</v>
      </c>
      <c r="Z103" s="30"/>
      <c r="AA103" s="30"/>
      <c r="AB103" s="30" t="s">
        <v>1410</v>
      </c>
      <c r="AD103" s="30"/>
      <c r="AH103" s="30"/>
      <c r="AT103" s="30"/>
      <c r="AU103" s="30"/>
      <c r="AV103" s="30"/>
    </row>
    <row r="104" spans="2:48" x14ac:dyDescent="0.15">
      <c r="B104"/>
      <c r="E104"/>
      <c r="F104"/>
      <c r="H104"/>
      <c r="I104"/>
      <c r="W104" s="30"/>
      <c r="Y104" s="30" t="s">
        <v>1108</v>
      </c>
      <c r="Z104" s="30"/>
      <c r="AA104" s="30"/>
      <c r="AB104" s="30" t="s">
        <v>1396</v>
      </c>
      <c r="AD104" s="30"/>
      <c r="AH104" s="30"/>
      <c r="AT104" s="30"/>
      <c r="AU104" s="30"/>
      <c r="AV104" s="30"/>
    </row>
    <row r="105" spans="2:48" x14ac:dyDescent="0.15">
      <c r="B105"/>
      <c r="E105"/>
      <c r="F105"/>
      <c r="H105"/>
      <c r="I105"/>
      <c r="W105" s="30"/>
      <c r="Y105" s="30" t="s">
        <v>1107</v>
      </c>
      <c r="Z105" s="30"/>
      <c r="AA105" s="30"/>
      <c r="AB105" s="30" t="s">
        <v>1397</v>
      </c>
      <c r="AD105" s="30"/>
      <c r="AH105" s="30"/>
      <c r="AT105" s="30"/>
      <c r="AU105" s="30"/>
      <c r="AV105" s="30"/>
    </row>
    <row r="106" spans="2:48" x14ac:dyDescent="0.15">
      <c r="B106"/>
      <c r="E106"/>
      <c r="F106"/>
      <c r="H106"/>
      <c r="I106"/>
      <c r="W106" s="30"/>
      <c r="Y106" s="30" t="s">
        <v>1090</v>
      </c>
      <c r="Z106" s="30"/>
      <c r="AA106" s="30"/>
      <c r="AB106" s="30" t="s">
        <v>1398</v>
      </c>
      <c r="AD106" s="30"/>
      <c r="AH106" s="30"/>
      <c r="AT106" s="30"/>
      <c r="AU106" s="30"/>
      <c r="AV106" s="30"/>
    </row>
    <row r="107" spans="2:48" x14ac:dyDescent="0.15">
      <c r="B107"/>
      <c r="E107"/>
      <c r="F107"/>
      <c r="H107"/>
      <c r="I107"/>
      <c r="W107" s="30"/>
      <c r="Y107" s="30" t="s">
        <v>1092</v>
      </c>
      <c r="Z107" s="30"/>
      <c r="AA107" s="30"/>
      <c r="AB107" s="30" t="s">
        <v>1412</v>
      </c>
      <c r="AD107" s="30"/>
      <c r="AH107" s="30"/>
      <c r="AT107" s="30"/>
      <c r="AU107" s="30"/>
      <c r="AV107" s="30"/>
    </row>
    <row r="108" spans="2:48" x14ac:dyDescent="0.15">
      <c r="B108"/>
      <c r="E108"/>
      <c r="F108"/>
      <c r="H108"/>
      <c r="I108"/>
      <c r="W108" s="30"/>
      <c r="Y108" s="30" t="s">
        <v>1104</v>
      </c>
      <c r="Z108" s="30"/>
      <c r="AA108" s="30"/>
      <c r="AB108" s="30" t="s">
        <v>1413</v>
      </c>
      <c r="AD108" s="30"/>
      <c r="AH108" s="30"/>
      <c r="AT108" s="30"/>
      <c r="AU108" s="30"/>
      <c r="AV108" s="30"/>
    </row>
    <row r="109" spans="2:48" x14ac:dyDescent="0.15">
      <c r="B109"/>
      <c r="E109"/>
      <c r="F109"/>
      <c r="H109"/>
      <c r="I109"/>
      <c r="W109" s="30"/>
      <c r="Y109" s="30" t="s">
        <v>760</v>
      </c>
      <c r="Z109" s="30"/>
      <c r="AA109" s="30"/>
      <c r="AB109" s="30" t="s">
        <v>1414</v>
      </c>
      <c r="AD109" s="30"/>
      <c r="AH109" s="30"/>
      <c r="AT109" s="30"/>
      <c r="AU109" s="30"/>
      <c r="AV109" s="30"/>
    </row>
    <row r="110" spans="2:48" x14ac:dyDescent="0.15">
      <c r="B110"/>
      <c r="E110"/>
      <c r="F110"/>
      <c r="H110"/>
      <c r="I110"/>
      <c r="W110" s="30"/>
      <c r="Y110" s="30" t="s">
        <v>1075</v>
      </c>
      <c r="Z110" s="30"/>
      <c r="AA110" s="30"/>
      <c r="AB110" s="30" t="s">
        <v>1415</v>
      </c>
      <c r="AD110" s="30"/>
      <c r="AH110" s="30"/>
      <c r="AT110" s="30"/>
      <c r="AU110" s="30"/>
      <c r="AV110" s="30"/>
    </row>
    <row r="111" spans="2:48" x14ac:dyDescent="0.15">
      <c r="B111"/>
      <c r="E111"/>
      <c r="F111"/>
      <c r="H111"/>
      <c r="I111"/>
      <c r="W111" s="30"/>
      <c r="Y111" s="30"/>
      <c r="Z111" s="30"/>
      <c r="AA111" s="30"/>
      <c r="AB111" s="30" t="s">
        <v>1416</v>
      </c>
      <c r="AD111" s="30"/>
      <c r="AH111" s="30"/>
      <c r="AT111" s="30"/>
      <c r="AU111" s="30"/>
      <c r="AV111" s="30"/>
    </row>
    <row r="112" spans="2:48" x14ac:dyDescent="0.15">
      <c r="B112"/>
      <c r="E112"/>
      <c r="F112"/>
      <c r="H112"/>
      <c r="I112"/>
      <c r="W112" s="30"/>
      <c r="Y112" s="30"/>
      <c r="Z112" s="30"/>
      <c r="AA112" s="30"/>
      <c r="AB112" s="30" t="s">
        <v>1421</v>
      </c>
      <c r="AD112" s="30"/>
      <c r="AH112" s="30"/>
      <c r="AT112" s="30"/>
      <c r="AU112" s="30"/>
      <c r="AV112" s="30"/>
    </row>
    <row r="113" spans="2:48" x14ac:dyDescent="0.15">
      <c r="B113"/>
      <c r="E113"/>
      <c r="F113"/>
      <c r="H113"/>
      <c r="I113"/>
      <c r="W113" s="30"/>
      <c r="Y113" s="30"/>
      <c r="Z113" s="30"/>
      <c r="AA113" s="30"/>
      <c r="AB113" s="30" t="s">
        <v>1422</v>
      </c>
      <c r="AD113" s="30"/>
      <c r="AH113" s="30"/>
      <c r="AT113" s="30"/>
      <c r="AU113" s="30"/>
      <c r="AV113" s="30"/>
    </row>
    <row r="114" spans="2:48" x14ac:dyDescent="0.15">
      <c r="B114"/>
      <c r="E114"/>
      <c r="F114"/>
      <c r="H114"/>
      <c r="I114"/>
      <c r="W114" s="30"/>
      <c r="Y114" s="30"/>
      <c r="Z114" s="30"/>
      <c r="AA114" s="30"/>
      <c r="AB114" s="30" t="s">
        <v>1423</v>
      </c>
      <c r="AD114" s="30"/>
      <c r="AH114" s="30"/>
      <c r="AT114" s="30"/>
      <c r="AU114" s="30"/>
      <c r="AV114" s="30"/>
    </row>
    <row r="115" spans="2:48" x14ac:dyDescent="0.15">
      <c r="B115"/>
      <c r="E115"/>
      <c r="F115"/>
      <c r="H115"/>
      <c r="I115"/>
      <c r="W115" s="30"/>
      <c r="Y115" s="30"/>
      <c r="Z115" s="30"/>
      <c r="AA115" s="30"/>
      <c r="AB115" s="30" t="s">
        <v>1424</v>
      </c>
      <c r="AD115" s="30"/>
      <c r="AH115" s="30"/>
      <c r="AT115" s="30"/>
      <c r="AU115" s="30"/>
      <c r="AV115" s="30"/>
    </row>
    <row r="116" spans="2:48" x14ac:dyDescent="0.15">
      <c r="B116"/>
      <c r="E116"/>
      <c r="F116"/>
      <c r="H116"/>
      <c r="I116"/>
      <c r="W116" s="30"/>
      <c r="Y116" s="30"/>
      <c r="Z116" s="30"/>
      <c r="AA116" s="30"/>
      <c r="AB116" s="30" t="s">
        <v>1346</v>
      </c>
      <c r="AD116" s="30"/>
      <c r="AH116" s="30"/>
      <c r="AT116" s="30"/>
      <c r="AU116" s="30"/>
      <c r="AV116" s="30"/>
    </row>
    <row r="117" spans="2:48" x14ac:dyDescent="0.15">
      <c r="B117"/>
      <c r="E117"/>
      <c r="F117"/>
      <c r="H117"/>
      <c r="I117"/>
      <c r="W117" s="30"/>
      <c r="Y117" s="30"/>
      <c r="Z117" s="30"/>
      <c r="AA117" s="30"/>
      <c r="AB117" s="30" t="s">
        <v>1347</v>
      </c>
      <c r="AD117" s="30"/>
      <c r="AH117" s="30"/>
      <c r="AT117" s="30"/>
      <c r="AU117" s="30"/>
      <c r="AV117" s="30"/>
    </row>
    <row r="118" spans="2:48" x14ac:dyDescent="0.15">
      <c r="B118"/>
      <c r="E118"/>
      <c r="F118"/>
      <c r="H118"/>
      <c r="I118"/>
      <c r="W118" s="30"/>
      <c r="Y118" s="30"/>
      <c r="Z118" s="30"/>
      <c r="AA118" s="30"/>
      <c r="AB118" s="30" t="s">
        <v>1348</v>
      </c>
      <c r="AD118" s="30"/>
      <c r="AH118" s="30"/>
      <c r="AT118" s="30"/>
      <c r="AU118" s="30"/>
      <c r="AV118" s="30"/>
    </row>
    <row r="119" spans="2:48" x14ac:dyDescent="0.15">
      <c r="B119"/>
      <c r="E119"/>
      <c r="F119"/>
      <c r="H119"/>
      <c r="I119"/>
      <c r="W119" s="30"/>
      <c r="Y119" s="30"/>
      <c r="Z119" s="30"/>
      <c r="AA119" s="30"/>
      <c r="AB119" s="30" t="s">
        <v>1349</v>
      </c>
      <c r="AD119" s="30"/>
      <c r="AH119" s="30"/>
      <c r="AT119" s="30"/>
      <c r="AU119" s="30"/>
      <c r="AV119" s="30"/>
    </row>
    <row r="120" spans="2:48" x14ac:dyDescent="0.15">
      <c r="B120"/>
      <c r="E120"/>
      <c r="F120"/>
      <c r="H120"/>
      <c r="I120"/>
      <c r="W120" s="30"/>
      <c r="Y120" s="30"/>
      <c r="Z120" s="30"/>
      <c r="AA120" s="30"/>
      <c r="AB120" s="30" t="s">
        <v>1467</v>
      </c>
      <c r="AD120" s="30"/>
      <c r="AH120" s="30"/>
      <c r="AT120" s="30"/>
      <c r="AU120" s="30"/>
      <c r="AV120" s="30"/>
    </row>
    <row r="121" spans="2:48" x14ac:dyDescent="0.15">
      <c r="B121"/>
      <c r="E121"/>
      <c r="F121"/>
      <c r="H121"/>
      <c r="I121"/>
      <c r="W121" s="30"/>
      <c r="Y121" s="30"/>
      <c r="Z121" s="30"/>
      <c r="AA121" s="30"/>
      <c r="AB121" s="30" t="s">
        <v>1468</v>
      </c>
      <c r="AD121" s="30"/>
      <c r="AH121" s="30"/>
      <c r="AT121" s="30"/>
      <c r="AU121" s="30"/>
      <c r="AV121" s="30"/>
    </row>
    <row r="122" spans="2:48" x14ac:dyDescent="0.15">
      <c r="B122"/>
      <c r="E122"/>
      <c r="F122"/>
      <c r="H122"/>
      <c r="W122" s="30"/>
      <c r="Y122" s="30"/>
      <c r="Z122" s="30"/>
      <c r="AA122" s="30"/>
      <c r="AB122" s="30" t="s">
        <v>1469</v>
      </c>
      <c r="AD122" s="30"/>
      <c r="AH122" s="30"/>
      <c r="AT122" s="30"/>
      <c r="AU122" s="30"/>
      <c r="AV122" s="30"/>
    </row>
    <row r="123" spans="2:48" x14ac:dyDescent="0.15">
      <c r="B123"/>
      <c r="E123"/>
      <c r="F123"/>
      <c r="H123"/>
      <c r="W123" s="30"/>
      <c r="Y123" s="30"/>
      <c r="Z123" s="30"/>
      <c r="AA123" s="30"/>
      <c r="AB123" s="30" t="s">
        <v>1426</v>
      </c>
      <c r="AD123" s="30"/>
      <c r="AH123" s="30"/>
      <c r="AT123" s="30"/>
      <c r="AU123" s="30"/>
      <c r="AV123" s="30"/>
    </row>
    <row r="124" spans="2:48" x14ac:dyDescent="0.15">
      <c r="B124"/>
      <c r="E124"/>
      <c r="F124"/>
      <c r="H124"/>
      <c r="W124" s="30"/>
      <c r="Y124" s="30"/>
      <c r="Z124" s="30"/>
      <c r="AA124" s="30"/>
      <c r="AB124" s="30" t="s">
        <v>1427</v>
      </c>
      <c r="AD124" s="30"/>
      <c r="AH124" s="30"/>
      <c r="AT124" s="30"/>
      <c r="AU124" s="30"/>
      <c r="AV124" s="30"/>
    </row>
    <row r="125" spans="2:48" x14ac:dyDescent="0.15">
      <c r="B125"/>
      <c r="E125"/>
      <c r="F125"/>
      <c r="H125"/>
      <c r="W125" s="30"/>
      <c r="Y125" s="30"/>
      <c r="Z125" s="30"/>
      <c r="AA125" s="30"/>
      <c r="AB125" s="30" t="s">
        <v>1428</v>
      </c>
      <c r="AD125" s="30"/>
      <c r="AH125" s="30"/>
      <c r="AT125" s="30"/>
      <c r="AU125" s="30"/>
      <c r="AV125" s="30"/>
    </row>
    <row r="126" spans="2:48" x14ac:dyDescent="0.15">
      <c r="B126"/>
      <c r="E126"/>
      <c r="F126"/>
      <c r="H126"/>
      <c r="W126" s="30"/>
      <c r="Y126" s="30"/>
      <c r="Z126" s="30"/>
      <c r="AA126" s="30"/>
      <c r="AB126" s="30" t="s">
        <v>1429</v>
      </c>
      <c r="AD126" s="30"/>
      <c r="AH126" s="30"/>
      <c r="AT126" s="30"/>
      <c r="AU126" s="30"/>
      <c r="AV126" s="30"/>
    </row>
    <row r="127" spans="2:48" x14ac:dyDescent="0.15">
      <c r="B127"/>
      <c r="E127"/>
      <c r="F127"/>
      <c r="H127"/>
      <c r="W127" s="30"/>
      <c r="Y127" s="30"/>
      <c r="Z127" s="30"/>
      <c r="AA127" s="30"/>
      <c r="AB127" s="30" t="s">
        <v>1430</v>
      </c>
      <c r="AD127" s="30"/>
      <c r="AH127" s="30"/>
      <c r="AT127" s="30"/>
      <c r="AU127" s="30"/>
      <c r="AV127" s="30"/>
    </row>
    <row r="128" spans="2:48" x14ac:dyDescent="0.15">
      <c r="B128"/>
      <c r="E128"/>
      <c r="F128"/>
      <c r="W128" s="30"/>
      <c r="Y128" s="30"/>
      <c r="Z128" s="30"/>
      <c r="AA128" s="30"/>
      <c r="AB128" s="30" t="s">
        <v>765</v>
      </c>
      <c r="AD128" s="30"/>
      <c r="AH128" s="30"/>
      <c r="AT128" s="30"/>
      <c r="AU128" s="30"/>
      <c r="AV128" s="30"/>
    </row>
    <row r="129" spans="2:48" x14ac:dyDescent="0.15">
      <c r="B129"/>
      <c r="E129"/>
      <c r="F129"/>
      <c r="W129" s="30"/>
      <c r="Y129" s="30"/>
      <c r="Z129" s="30"/>
      <c r="AA129" s="30"/>
      <c r="AB129" s="30" t="s">
        <v>1319</v>
      </c>
      <c r="AD129" s="30"/>
      <c r="AH129" s="30"/>
      <c r="AT129" s="30"/>
      <c r="AU129" s="30"/>
      <c r="AV129" s="30"/>
    </row>
    <row r="130" spans="2:48" x14ac:dyDescent="0.15">
      <c r="B130"/>
      <c r="E130"/>
      <c r="F130"/>
      <c r="W130" s="30"/>
      <c r="Y130" s="30"/>
      <c r="Z130" s="30"/>
      <c r="AA130" s="30"/>
      <c r="AB130" s="30" t="s">
        <v>1434</v>
      </c>
      <c r="AD130" s="30"/>
      <c r="AH130" s="30"/>
      <c r="AT130" s="30"/>
      <c r="AU130" s="30"/>
      <c r="AV130" s="30"/>
    </row>
    <row r="131" spans="2:48" x14ac:dyDescent="0.15">
      <c r="B131"/>
      <c r="E131"/>
      <c r="F131"/>
      <c r="W131" s="30"/>
      <c r="Y131" s="30"/>
      <c r="Z131" s="30"/>
      <c r="AA131" s="30"/>
      <c r="AB131" s="30" t="s">
        <v>1435</v>
      </c>
      <c r="AD131" s="30"/>
      <c r="AH131" s="30"/>
      <c r="AT131" s="30"/>
      <c r="AU131" s="30"/>
      <c r="AV131" s="30"/>
    </row>
    <row r="132" spans="2:48" x14ac:dyDescent="0.15">
      <c r="B132"/>
      <c r="E132"/>
      <c r="F132"/>
      <c r="W132" s="30"/>
      <c r="Y132" s="30"/>
      <c r="Z132" s="30"/>
      <c r="AA132" s="30"/>
      <c r="AB132" s="30" t="s">
        <v>1436</v>
      </c>
      <c r="AD132" s="30"/>
      <c r="AH132" s="30"/>
      <c r="AT132" s="30"/>
      <c r="AU132" s="30"/>
      <c r="AV132" s="30"/>
    </row>
    <row r="133" spans="2:48" x14ac:dyDescent="0.15">
      <c r="B133"/>
      <c r="E133"/>
      <c r="F133"/>
      <c r="W133" s="30"/>
      <c r="Y133" s="30"/>
      <c r="Z133" s="30"/>
      <c r="AA133" s="30"/>
      <c r="AB133" s="30" t="s">
        <v>1437</v>
      </c>
      <c r="AD133" s="30"/>
      <c r="AH133" s="30"/>
      <c r="AT133" s="30"/>
      <c r="AU133" s="30"/>
      <c r="AV133" s="30"/>
    </row>
    <row r="134" spans="2:48" x14ac:dyDescent="0.15">
      <c r="B134"/>
      <c r="E134"/>
      <c r="F134"/>
      <c r="W134" s="30"/>
      <c r="Y134" s="30"/>
      <c r="Z134" s="30"/>
      <c r="AA134" s="30"/>
      <c r="AB134" s="30" t="s">
        <v>1438</v>
      </c>
      <c r="AD134" s="30"/>
      <c r="AH134" s="30"/>
      <c r="AT134" s="30"/>
      <c r="AU134" s="30"/>
      <c r="AV134" s="30"/>
    </row>
    <row r="135" spans="2:48" x14ac:dyDescent="0.15">
      <c r="B135"/>
      <c r="E135"/>
      <c r="F135"/>
      <c r="W135" s="30"/>
      <c r="Y135" s="30"/>
      <c r="Z135" s="30"/>
      <c r="AA135" s="30"/>
      <c r="AB135" s="30" t="s">
        <v>1461</v>
      </c>
      <c r="AD135" s="30"/>
      <c r="AH135" s="30"/>
      <c r="AT135" s="30"/>
      <c r="AU135" s="30"/>
      <c r="AV135" s="30"/>
    </row>
    <row r="136" spans="2:48" x14ac:dyDescent="0.15">
      <c r="B136"/>
      <c r="E136"/>
      <c r="F136"/>
      <c r="W136" s="30"/>
      <c r="Y136" s="30"/>
      <c r="Z136" s="30"/>
      <c r="AA136" s="30"/>
      <c r="AB136" s="30" t="s">
        <v>1462</v>
      </c>
      <c r="AD136" s="30"/>
      <c r="AH136" s="30"/>
      <c r="AT136" s="30"/>
      <c r="AU136" s="30"/>
      <c r="AV136" s="30"/>
    </row>
    <row r="137" spans="2:48" x14ac:dyDescent="0.15">
      <c r="B137"/>
      <c r="E137"/>
      <c r="F137"/>
      <c r="W137" s="30"/>
      <c r="Y137" s="30"/>
      <c r="Z137" s="30"/>
      <c r="AA137" s="30"/>
      <c r="AB137" s="30" t="s">
        <v>1463</v>
      </c>
      <c r="AD137" s="30"/>
      <c r="AH137" s="30"/>
      <c r="AT137" s="30"/>
      <c r="AU137" s="30"/>
      <c r="AV137" s="30"/>
    </row>
    <row r="138" spans="2:48" x14ac:dyDescent="0.15">
      <c r="B138"/>
      <c r="E138"/>
      <c r="F138"/>
      <c r="W138" s="30"/>
      <c r="Y138" s="30"/>
      <c r="Z138" s="30"/>
      <c r="AA138" s="30"/>
      <c r="AB138" s="30" t="s">
        <v>1464</v>
      </c>
      <c r="AD138" s="30"/>
      <c r="AH138" s="30"/>
      <c r="AT138" s="30"/>
      <c r="AU138" s="30"/>
      <c r="AV138" s="30"/>
    </row>
    <row r="139" spans="2:48" x14ac:dyDescent="0.15">
      <c r="B139"/>
      <c r="E139"/>
      <c r="F139"/>
      <c r="W139" s="30"/>
      <c r="Y139" s="30"/>
      <c r="Z139" s="30"/>
      <c r="AA139" s="30"/>
      <c r="AB139" s="30" t="s">
        <v>1441</v>
      </c>
      <c r="AD139" s="30"/>
      <c r="AH139" s="30"/>
      <c r="AT139" s="30"/>
      <c r="AU139" s="30"/>
      <c r="AV139" s="30"/>
    </row>
    <row r="140" spans="2:48" x14ac:dyDescent="0.15">
      <c r="B140"/>
      <c r="E140"/>
      <c r="F140"/>
      <c r="W140" s="30"/>
      <c r="Y140" s="30"/>
      <c r="Z140" s="30"/>
      <c r="AA140" s="30"/>
      <c r="AB140" s="30" t="s">
        <v>1442</v>
      </c>
      <c r="AD140" s="30"/>
      <c r="AH140" s="30"/>
      <c r="AT140" s="30"/>
      <c r="AU140" s="30"/>
      <c r="AV140" s="30"/>
    </row>
    <row r="141" spans="2:48" x14ac:dyDescent="0.15">
      <c r="B141"/>
      <c r="E141"/>
      <c r="F141"/>
      <c r="W141" s="30"/>
      <c r="Y141" s="30"/>
      <c r="Z141" s="30"/>
      <c r="AA141" s="30"/>
      <c r="AB141" s="30" t="s">
        <v>1443</v>
      </c>
      <c r="AD141" s="30"/>
      <c r="AH141" s="30"/>
      <c r="AT141" s="30"/>
      <c r="AU141" s="30"/>
      <c r="AV141" s="30"/>
    </row>
    <row r="142" spans="2:48" x14ac:dyDescent="0.15">
      <c r="B142"/>
      <c r="E142"/>
      <c r="F142"/>
      <c r="W142" s="30"/>
      <c r="Y142" s="30"/>
      <c r="Z142" s="30"/>
      <c r="AA142" s="30"/>
      <c r="AB142" s="30" t="s">
        <v>1444</v>
      </c>
      <c r="AD142" s="30"/>
      <c r="AH142" s="30"/>
      <c r="AT142" s="30"/>
      <c r="AU142" s="30"/>
      <c r="AV142" s="30"/>
    </row>
    <row r="143" spans="2:48" x14ac:dyDescent="0.15">
      <c r="B143"/>
      <c r="E143"/>
      <c r="F143"/>
      <c r="W143" s="30"/>
      <c r="Y143" s="30"/>
      <c r="Z143" s="30"/>
      <c r="AA143" s="30"/>
      <c r="AB143" s="30" t="s">
        <v>1445</v>
      </c>
      <c r="AD143" s="30"/>
      <c r="AH143" s="30"/>
      <c r="AT143" s="30"/>
      <c r="AU143" s="30"/>
      <c r="AV143" s="30"/>
    </row>
    <row r="144" spans="2:48" x14ac:dyDescent="0.15">
      <c r="B144"/>
      <c r="E144"/>
      <c r="F144"/>
      <c r="W144" s="30"/>
      <c r="Y144" s="30"/>
      <c r="Z144" s="30"/>
      <c r="AA144" s="30"/>
      <c r="AB144" s="30" t="s">
        <v>1470</v>
      </c>
      <c r="AD144" s="30"/>
      <c r="AH144" s="30"/>
      <c r="AT144" s="30"/>
      <c r="AU144" s="30"/>
      <c r="AV144" s="30"/>
    </row>
    <row r="145" spans="2:48" x14ac:dyDescent="0.15">
      <c r="B145"/>
      <c r="E145"/>
      <c r="F145"/>
      <c r="W145" s="30"/>
      <c r="Y145" s="30"/>
      <c r="Z145" s="30"/>
      <c r="AA145" s="30"/>
      <c r="AB145" s="30" t="s">
        <v>1447</v>
      </c>
      <c r="AD145" s="30"/>
      <c r="AH145" s="30"/>
      <c r="AT145" s="30"/>
      <c r="AU145" s="30"/>
      <c r="AV145" s="30"/>
    </row>
    <row r="146" spans="2:48" x14ac:dyDescent="0.15">
      <c r="B146"/>
      <c r="E146"/>
      <c r="F146"/>
      <c r="W146" s="30"/>
      <c r="Y146" s="30"/>
      <c r="Z146" s="30"/>
      <c r="AA146" s="30"/>
      <c r="AB146" s="30" t="s">
        <v>1448</v>
      </c>
      <c r="AD146" s="30"/>
      <c r="AH146" s="30"/>
      <c r="AT146" s="30"/>
      <c r="AU146" s="30"/>
      <c r="AV146" s="30"/>
    </row>
    <row r="147" spans="2:48" x14ac:dyDescent="0.15">
      <c r="B147"/>
      <c r="E147"/>
      <c r="F147"/>
      <c r="W147" s="30"/>
      <c r="Y147" s="30"/>
      <c r="Z147" s="30"/>
      <c r="AA147" s="30"/>
      <c r="AB147" s="30" t="s">
        <v>1449</v>
      </c>
      <c r="AD147" s="30"/>
      <c r="AH147" s="30"/>
      <c r="AT147" s="30"/>
      <c r="AU147" s="30"/>
      <c r="AV147" s="30"/>
    </row>
    <row r="148" spans="2:48" x14ac:dyDescent="0.15">
      <c r="B148"/>
      <c r="E148"/>
      <c r="F148"/>
      <c r="W148" s="30"/>
      <c r="Y148" s="30"/>
      <c r="Z148" s="30"/>
      <c r="AA148" s="30"/>
      <c r="AB148" s="30" t="s">
        <v>1450</v>
      </c>
      <c r="AD148" s="30"/>
      <c r="AH148" s="30"/>
      <c r="AT148" s="30"/>
      <c r="AU148" s="30"/>
      <c r="AV148" s="30"/>
    </row>
    <row r="149" spans="2:48" x14ac:dyDescent="0.15">
      <c r="B149"/>
      <c r="E149"/>
      <c r="F149"/>
      <c r="W149" s="30"/>
      <c r="Y149" s="30"/>
      <c r="Z149" s="30"/>
      <c r="AA149" s="30"/>
      <c r="AB149" s="30" t="s">
        <v>1320</v>
      </c>
      <c r="AD149" s="30"/>
      <c r="AH149" s="30"/>
      <c r="AT149" s="30"/>
      <c r="AU149" s="30"/>
      <c r="AV149" s="30"/>
    </row>
    <row r="150" spans="2:48" x14ac:dyDescent="0.15">
      <c r="B150"/>
      <c r="E150"/>
      <c r="F150"/>
      <c r="W150" s="30"/>
      <c r="Y150" s="30"/>
      <c r="Z150" s="30"/>
      <c r="AA150" s="30"/>
      <c r="AB150" s="30" t="s">
        <v>1439</v>
      </c>
      <c r="AD150" s="30"/>
      <c r="AH150" s="30"/>
      <c r="AT150" s="30"/>
      <c r="AU150" s="30"/>
      <c r="AV150" s="30"/>
    </row>
    <row r="151" spans="2:48" x14ac:dyDescent="0.15">
      <c r="B151"/>
      <c r="E151"/>
      <c r="F151"/>
      <c r="W151" s="30"/>
      <c r="Y151" s="30"/>
      <c r="Z151" s="30"/>
      <c r="AA151" s="30"/>
      <c r="AB151" s="30" t="s">
        <v>1471</v>
      </c>
      <c r="AD151" s="30"/>
      <c r="AH151" s="30"/>
      <c r="AT151" s="30"/>
      <c r="AU151" s="30"/>
      <c r="AV151" s="30"/>
    </row>
    <row r="152" spans="2:48" x14ac:dyDescent="0.15">
      <c r="B152"/>
      <c r="E152"/>
      <c r="F152"/>
      <c r="W152" s="30"/>
      <c r="Y152" s="30"/>
      <c r="Z152" s="30"/>
      <c r="AA152" s="30"/>
      <c r="AB152" s="30" t="s">
        <v>1472</v>
      </c>
      <c r="AD152" s="30"/>
      <c r="AH152" s="30"/>
      <c r="AT152" s="30"/>
      <c r="AU152" s="30"/>
      <c r="AV152" s="30"/>
    </row>
    <row r="153" spans="2:48" x14ac:dyDescent="0.15">
      <c r="E153"/>
      <c r="F153"/>
      <c r="W153" s="30"/>
      <c r="Y153" s="30"/>
      <c r="Z153" s="30"/>
      <c r="AA153" s="30"/>
      <c r="AB153" s="30" t="s">
        <v>1321</v>
      </c>
      <c r="AD153" s="30"/>
      <c r="AH153" s="30"/>
      <c r="AT153" s="30"/>
      <c r="AU153" s="30"/>
      <c r="AV153" s="30"/>
    </row>
    <row r="154" spans="2:48" x14ac:dyDescent="0.15">
      <c r="E154"/>
      <c r="F154"/>
      <c r="W154" s="30"/>
      <c r="Y154" s="30"/>
      <c r="Z154" s="30"/>
      <c r="AA154" s="30"/>
      <c r="AB154" s="30" t="s">
        <v>1337</v>
      </c>
      <c r="AD154" s="30"/>
      <c r="AH154" s="30"/>
      <c r="AT154" s="30"/>
      <c r="AU154" s="30"/>
      <c r="AV154" s="30"/>
    </row>
    <row r="155" spans="2:48" x14ac:dyDescent="0.15">
      <c r="E155"/>
      <c r="F155"/>
      <c r="W155" s="30"/>
      <c r="Y155" s="30"/>
      <c r="Z155" s="30"/>
      <c r="AA155" s="30"/>
      <c r="AB155" s="30" t="s">
        <v>1465</v>
      </c>
      <c r="AD155" s="30"/>
      <c r="AH155" s="30"/>
      <c r="AT155" s="30"/>
      <c r="AU155" s="30"/>
      <c r="AV155" s="30"/>
    </row>
    <row r="156" spans="2:48" x14ac:dyDescent="0.15">
      <c r="E156"/>
      <c r="F156"/>
      <c r="W156" s="30"/>
      <c r="Y156" s="30"/>
      <c r="Z156" s="30"/>
      <c r="AA156" s="30"/>
      <c r="AB156" s="30" t="s">
        <v>1327</v>
      </c>
      <c r="AD156" s="30"/>
      <c r="AH156" s="30"/>
      <c r="AT156" s="30"/>
      <c r="AU156" s="30"/>
      <c r="AV156" s="30"/>
    </row>
    <row r="157" spans="2:48" x14ac:dyDescent="0.15">
      <c r="E157"/>
      <c r="F157"/>
      <c r="W157" s="30"/>
      <c r="Y157" s="30"/>
      <c r="Z157" s="30"/>
      <c r="AA157" s="30"/>
      <c r="AD157" s="30"/>
      <c r="AH157" s="30"/>
      <c r="AT157" s="30"/>
      <c r="AU157" s="30"/>
      <c r="AV157" s="30"/>
    </row>
    <row r="158" spans="2:48" x14ac:dyDescent="0.15">
      <c r="E158"/>
      <c r="F158"/>
      <c r="W158" s="30"/>
      <c r="Y158" s="30"/>
      <c r="Z158" s="30"/>
      <c r="AA158" s="30"/>
      <c r="AD158" s="30"/>
      <c r="AH158" s="30"/>
      <c r="AT158" s="30"/>
      <c r="AU158" s="30"/>
      <c r="AV158" s="30"/>
    </row>
    <row r="159" spans="2:48" x14ac:dyDescent="0.15">
      <c r="E159"/>
      <c r="F159"/>
      <c r="W159" s="30"/>
      <c r="Y159" s="30"/>
      <c r="Z159" s="30"/>
      <c r="AA159" s="30"/>
      <c r="AD159" s="30"/>
      <c r="AH159" s="30"/>
      <c r="AT159" s="30"/>
      <c r="AU159" s="30"/>
      <c r="AV159" s="30"/>
    </row>
    <row r="160" spans="2:48" x14ac:dyDescent="0.15">
      <c r="E160"/>
      <c r="F160"/>
      <c r="W160" s="30"/>
      <c r="Y160" s="30"/>
      <c r="Z160" s="30"/>
      <c r="AA160" s="30"/>
      <c r="AD160" s="30"/>
      <c r="AH160" s="30"/>
      <c r="AT160" s="30"/>
      <c r="AU160" s="30"/>
      <c r="AV160" s="30"/>
    </row>
    <row r="161" spans="5:48" x14ac:dyDescent="0.15">
      <c r="E161"/>
      <c r="F161"/>
      <c r="W161" s="30"/>
      <c r="Y161" s="30"/>
      <c r="Z161" s="30"/>
      <c r="AA161" s="30"/>
      <c r="AD161" s="30"/>
      <c r="AH161" s="30"/>
      <c r="AT161" s="30"/>
      <c r="AU161" s="30"/>
      <c r="AV161" s="30"/>
    </row>
    <row r="162" spans="5:48" x14ac:dyDescent="0.15">
      <c r="E162"/>
      <c r="F162"/>
      <c r="W162" s="30"/>
      <c r="Y162" s="30"/>
      <c r="Z162" s="30"/>
      <c r="AA162" s="30"/>
      <c r="AD162" s="30"/>
      <c r="AH162" s="30"/>
      <c r="AT162" s="30"/>
      <c r="AU162" s="30"/>
      <c r="AV162" s="30"/>
    </row>
    <row r="163" spans="5:48" x14ac:dyDescent="0.15">
      <c r="E163"/>
      <c r="F163"/>
      <c r="W163" s="30"/>
      <c r="Y163" s="30"/>
      <c r="Z163" s="30"/>
      <c r="AA163" s="30"/>
      <c r="AD163" s="30"/>
      <c r="AH163" s="30"/>
      <c r="AT163" s="30"/>
      <c r="AU163" s="30"/>
      <c r="AV163" s="30"/>
    </row>
    <row r="164" spans="5:48" x14ac:dyDescent="0.15">
      <c r="E164"/>
      <c r="F164"/>
      <c r="W164" s="30"/>
      <c r="Y164" s="30"/>
      <c r="Z164" s="30"/>
      <c r="AA164" s="30"/>
      <c r="AD164" s="30"/>
      <c r="AH164" s="30"/>
      <c r="AT164" s="30"/>
      <c r="AU164" s="30"/>
      <c r="AV164" s="30"/>
    </row>
    <row r="165" spans="5:48" x14ac:dyDescent="0.15">
      <c r="E165"/>
      <c r="F165"/>
      <c r="W165" s="30"/>
      <c r="Y165" s="30"/>
      <c r="Z165" s="30"/>
      <c r="AA165" s="30"/>
      <c r="AD165" s="30"/>
      <c r="AH165" s="30"/>
      <c r="AT165" s="30"/>
      <c r="AU165" s="30"/>
      <c r="AV165" s="30"/>
    </row>
    <row r="166" spans="5:48" x14ac:dyDescent="0.15">
      <c r="E166"/>
      <c r="F166"/>
      <c r="W166" s="30"/>
      <c r="Y166" s="30"/>
      <c r="Z166" s="30"/>
      <c r="AA166" s="30"/>
      <c r="AD166" s="30"/>
      <c r="AH166" s="30"/>
      <c r="AT166" s="30"/>
      <c r="AU166" s="30"/>
      <c r="AV166" s="30"/>
    </row>
    <row r="167" spans="5:48" x14ac:dyDescent="0.15">
      <c r="E167"/>
      <c r="F167"/>
      <c r="W167" s="30"/>
      <c r="Y167" s="30"/>
      <c r="Z167" s="30"/>
      <c r="AA167" s="30"/>
      <c r="AD167" s="30"/>
      <c r="AH167" s="30"/>
      <c r="AT167" s="30"/>
      <c r="AU167" s="30"/>
      <c r="AV167" s="30"/>
    </row>
    <row r="168" spans="5:48" x14ac:dyDescent="0.15">
      <c r="E168"/>
      <c r="F168"/>
      <c r="W168" s="30"/>
      <c r="Y168" s="30"/>
      <c r="Z168" s="30"/>
      <c r="AA168" s="30"/>
      <c r="AD168" s="30"/>
      <c r="AH168" s="30"/>
      <c r="AT168" s="30"/>
      <c r="AU168" s="30"/>
      <c r="AV168" s="30"/>
    </row>
    <row r="169" spans="5:48" x14ac:dyDescent="0.15">
      <c r="E169"/>
      <c r="F169"/>
      <c r="W169" s="30"/>
      <c r="Y169" s="30"/>
      <c r="Z169" s="30"/>
      <c r="AA169" s="30"/>
      <c r="AD169" s="30"/>
      <c r="AH169" s="30"/>
      <c r="AT169" s="30"/>
      <c r="AU169" s="30"/>
      <c r="AV169" s="30"/>
    </row>
    <row r="170" spans="5:48" x14ac:dyDescent="0.15">
      <c r="E170"/>
      <c r="F170"/>
      <c r="W170" s="30"/>
      <c r="Y170" s="30"/>
      <c r="Z170" s="30"/>
      <c r="AA170" s="30"/>
      <c r="AD170" s="30"/>
      <c r="AH170" s="30"/>
      <c r="AT170" s="30"/>
      <c r="AU170" s="30"/>
      <c r="AV170" s="30"/>
    </row>
    <row r="171" spans="5:48" x14ac:dyDescent="0.15">
      <c r="E171"/>
      <c r="F171"/>
      <c r="W171" s="30"/>
      <c r="Y171" s="30"/>
      <c r="Z171" s="30"/>
      <c r="AA171" s="30"/>
      <c r="AD171" s="30"/>
      <c r="AH171" s="30"/>
      <c r="AT171" s="30"/>
      <c r="AU171" s="30"/>
      <c r="AV171" s="30"/>
    </row>
    <row r="172" spans="5:48" x14ac:dyDescent="0.15">
      <c r="E172"/>
      <c r="F172"/>
      <c r="W172" s="30"/>
      <c r="Y172" s="30"/>
      <c r="Z172" s="30"/>
      <c r="AA172" s="30"/>
      <c r="AD172" s="30"/>
      <c r="AH172" s="30"/>
      <c r="AT172" s="30"/>
      <c r="AU172" s="30"/>
      <c r="AV172" s="30"/>
    </row>
    <row r="173" spans="5:48" x14ac:dyDescent="0.15">
      <c r="E173"/>
      <c r="F173"/>
      <c r="W173" s="30"/>
      <c r="Y173" s="30"/>
      <c r="Z173" s="30"/>
      <c r="AA173" s="30"/>
      <c r="AD173" s="30"/>
      <c r="AH173" s="30"/>
      <c r="AT173" s="30"/>
      <c r="AU173" s="30"/>
      <c r="AV173" s="30"/>
    </row>
    <row r="174" spans="5:48" x14ac:dyDescent="0.15">
      <c r="E174"/>
      <c r="F174"/>
      <c r="W174" s="30"/>
      <c r="Y174" s="30"/>
      <c r="Z174" s="30"/>
      <c r="AA174" s="30"/>
      <c r="AD174" s="30"/>
      <c r="AH174" s="30"/>
      <c r="AT174" s="30"/>
      <c r="AU174" s="30"/>
      <c r="AV174" s="30"/>
    </row>
    <row r="175" spans="5:48" x14ac:dyDescent="0.15">
      <c r="E175"/>
      <c r="F175"/>
      <c r="W175" s="30"/>
      <c r="Y175" s="30"/>
      <c r="Z175" s="30"/>
      <c r="AA175" s="30"/>
      <c r="AD175" s="30"/>
      <c r="AH175" s="30"/>
      <c r="AT175" s="30"/>
      <c r="AU175" s="30"/>
      <c r="AV175" s="30"/>
    </row>
    <row r="176" spans="5:48" x14ac:dyDescent="0.15">
      <c r="E176"/>
      <c r="F176"/>
      <c r="W176" s="30"/>
      <c r="Y176" s="30"/>
      <c r="Z176" s="30"/>
      <c r="AA176" s="30"/>
      <c r="AD176" s="30"/>
      <c r="AH176" s="30"/>
      <c r="AT176" s="30"/>
      <c r="AU176" s="30"/>
      <c r="AV176" s="30"/>
    </row>
    <row r="177" spans="5:48" x14ac:dyDescent="0.15">
      <c r="E177"/>
      <c r="F177"/>
      <c r="W177" s="30"/>
      <c r="Y177" s="30"/>
      <c r="Z177" s="30"/>
      <c r="AA177" s="30"/>
      <c r="AD177" s="30"/>
      <c r="AH177" s="30"/>
      <c r="AT177" s="30"/>
      <c r="AU177" s="30"/>
      <c r="AV177" s="30"/>
    </row>
    <row r="178" spans="5:48" x14ac:dyDescent="0.15">
      <c r="E178"/>
      <c r="F178"/>
      <c r="W178" s="30"/>
      <c r="Y178" s="30"/>
      <c r="Z178" s="30"/>
      <c r="AA178" s="30"/>
      <c r="AD178" s="30"/>
      <c r="AH178" s="30"/>
      <c r="AT178" s="30"/>
      <c r="AU178" s="30"/>
      <c r="AV178" s="30"/>
    </row>
    <row r="179" spans="5:48" x14ac:dyDescent="0.15">
      <c r="E179"/>
      <c r="F179"/>
      <c r="W179" s="30"/>
      <c r="Y179" s="30"/>
      <c r="Z179" s="30"/>
      <c r="AA179" s="30"/>
      <c r="AD179" s="30"/>
      <c r="AH179" s="30"/>
      <c r="AT179" s="30"/>
      <c r="AU179" s="30"/>
      <c r="AV179" s="30"/>
    </row>
    <row r="180" spans="5:48" x14ac:dyDescent="0.15">
      <c r="E180"/>
      <c r="F180"/>
      <c r="W180" s="30"/>
      <c r="Y180" s="30"/>
      <c r="Z180" s="30"/>
      <c r="AA180" s="30"/>
      <c r="AD180" s="30"/>
      <c r="AH180" s="30"/>
      <c r="AT180" s="30"/>
      <c r="AU180" s="30"/>
      <c r="AV180" s="30"/>
    </row>
    <row r="181" spans="5:48" x14ac:dyDescent="0.15">
      <c r="E181"/>
      <c r="F181"/>
      <c r="W181" s="30"/>
      <c r="Y181" s="30"/>
      <c r="Z181" s="30"/>
      <c r="AA181" s="30"/>
      <c r="AD181" s="30"/>
      <c r="AH181" s="30"/>
      <c r="AT181" s="30"/>
      <c r="AU181" s="30"/>
      <c r="AV181" s="30"/>
    </row>
    <row r="182" spans="5:48" x14ac:dyDescent="0.15">
      <c r="E182"/>
      <c r="F182"/>
      <c r="W182" s="30"/>
      <c r="Y182" s="30"/>
      <c r="Z182" s="30"/>
      <c r="AA182" s="30"/>
      <c r="AD182" s="30"/>
      <c r="AH182" s="30"/>
      <c r="AT182" s="30"/>
      <c r="AU182" s="30"/>
      <c r="AV182" s="30"/>
    </row>
    <row r="183" spans="5:48" x14ac:dyDescent="0.15">
      <c r="E183"/>
      <c r="F183"/>
      <c r="W183" s="30"/>
      <c r="Y183" s="30"/>
      <c r="Z183" s="30"/>
      <c r="AA183" s="30"/>
      <c r="AD183" s="30"/>
      <c r="AH183" s="30"/>
      <c r="AT183" s="30"/>
      <c r="AU183" s="30"/>
      <c r="AV183" s="30"/>
    </row>
    <row r="184" spans="5:48" x14ac:dyDescent="0.15">
      <c r="E184"/>
      <c r="F184"/>
      <c r="W184" s="30"/>
      <c r="Y184" s="30"/>
      <c r="Z184" s="30"/>
      <c r="AA184" s="30"/>
      <c r="AD184" s="30"/>
      <c r="AH184" s="30"/>
      <c r="AT184" s="30"/>
      <c r="AU184" s="30"/>
      <c r="AV184" s="30"/>
    </row>
    <row r="185" spans="5:48" x14ac:dyDescent="0.15">
      <c r="E185"/>
      <c r="F185"/>
      <c r="W185" s="30"/>
      <c r="Y185" s="30"/>
      <c r="Z185" s="30"/>
      <c r="AA185" s="30"/>
      <c r="AD185" s="30"/>
      <c r="AH185" s="30"/>
      <c r="AT185" s="30"/>
      <c r="AU185" s="30"/>
      <c r="AV185" s="30"/>
    </row>
    <row r="186" spans="5:48" x14ac:dyDescent="0.15">
      <c r="E186"/>
      <c r="F186"/>
      <c r="W186" s="30"/>
      <c r="Y186" s="30"/>
      <c r="Z186" s="30"/>
      <c r="AA186" s="30"/>
      <c r="AD186" s="30"/>
      <c r="AH186" s="30"/>
      <c r="AT186" s="30"/>
      <c r="AU186" s="30"/>
      <c r="AV186" s="30"/>
    </row>
    <row r="187" spans="5:48" x14ac:dyDescent="0.15">
      <c r="E187"/>
      <c r="F187"/>
      <c r="W187" s="30"/>
      <c r="Y187" s="30"/>
      <c r="Z187" s="30"/>
      <c r="AA187" s="30"/>
      <c r="AD187" s="30"/>
      <c r="AH187" s="30"/>
      <c r="AT187" s="30"/>
      <c r="AU187" s="30"/>
      <c r="AV187" s="30"/>
    </row>
    <row r="188" spans="5:48" x14ac:dyDescent="0.15">
      <c r="E188"/>
      <c r="F188"/>
      <c r="W188" s="30"/>
      <c r="Y188" s="30"/>
      <c r="Z188" s="30"/>
      <c r="AA188" s="30"/>
      <c r="AD188" s="30"/>
      <c r="AH188" s="30"/>
      <c r="AT188" s="30"/>
      <c r="AU188" s="30"/>
      <c r="AV188" s="30"/>
    </row>
    <row r="189" spans="5:48" x14ac:dyDescent="0.15">
      <c r="E189"/>
      <c r="F189"/>
      <c r="W189" s="30"/>
      <c r="Y189" s="30"/>
      <c r="Z189" s="30"/>
      <c r="AA189" s="30"/>
      <c r="AD189" s="30"/>
      <c r="AH189" s="30"/>
      <c r="AT189" s="30"/>
      <c r="AU189" s="30"/>
      <c r="AV189" s="30"/>
    </row>
    <row r="190" spans="5:48" x14ac:dyDescent="0.15">
      <c r="E190"/>
      <c r="F190"/>
      <c r="W190" s="30"/>
      <c r="Y190" s="30"/>
      <c r="Z190" s="30"/>
      <c r="AA190" s="30"/>
      <c r="AD190" s="30"/>
      <c r="AH190" s="30"/>
      <c r="AT190" s="30"/>
      <c r="AU190" s="30"/>
      <c r="AV190" s="30"/>
    </row>
    <row r="191" spans="5:48" x14ac:dyDescent="0.15">
      <c r="E191"/>
      <c r="F191"/>
      <c r="W191" s="30"/>
      <c r="Y191" s="30"/>
      <c r="Z191" s="30"/>
      <c r="AA191" s="30"/>
      <c r="AD191" s="30"/>
      <c r="AH191" s="30"/>
      <c r="AT191" s="30"/>
      <c r="AU191" s="30"/>
      <c r="AV191" s="30"/>
    </row>
    <row r="192" spans="5:48" x14ac:dyDescent="0.15">
      <c r="E192"/>
      <c r="F192"/>
      <c r="W192" s="30"/>
      <c r="Y192" s="30"/>
      <c r="Z192" s="30"/>
      <c r="AA192" s="30"/>
      <c r="AD192" s="30"/>
      <c r="AH192" s="30"/>
      <c r="AT192" s="30"/>
      <c r="AU192" s="30"/>
      <c r="AV192" s="30"/>
    </row>
    <row r="193" spans="5:48" x14ac:dyDescent="0.15">
      <c r="E193"/>
      <c r="F193"/>
      <c r="W193" s="30"/>
      <c r="Y193" s="30"/>
      <c r="Z193" s="30"/>
      <c r="AA193" s="30"/>
      <c r="AD193" s="30"/>
      <c r="AH193" s="30"/>
      <c r="AT193" s="30"/>
      <c r="AU193" s="30"/>
      <c r="AV193" s="30"/>
    </row>
    <row r="194" spans="5:48" x14ac:dyDescent="0.15">
      <c r="E194"/>
      <c r="F194"/>
      <c r="W194" s="30"/>
      <c r="Y194" s="30"/>
      <c r="Z194" s="30"/>
      <c r="AA194" s="30"/>
      <c r="AD194" s="30"/>
      <c r="AH194" s="30"/>
      <c r="AT194" s="30"/>
      <c r="AU194" s="30"/>
      <c r="AV194" s="30"/>
    </row>
    <row r="195" spans="5:48" x14ac:dyDescent="0.15">
      <c r="E195"/>
      <c r="F195"/>
      <c r="W195" s="30"/>
      <c r="Y195" s="30"/>
      <c r="Z195" s="30"/>
      <c r="AA195" s="30"/>
      <c r="AD195" s="30"/>
      <c r="AH195" s="30"/>
      <c r="AT195" s="30"/>
      <c r="AU195" s="30"/>
      <c r="AV195" s="30"/>
    </row>
    <row r="196" spans="5:48" x14ac:dyDescent="0.15">
      <c r="E196"/>
      <c r="F196"/>
      <c r="W196" s="30"/>
      <c r="Y196" s="30"/>
      <c r="Z196" s="30"/>
      <c r="AA196" s="30"/>
      <c r="AD196" s="30"/>
      <c r="AH196" s="30"/>
      <c r="AT196" s="30"/>
      <c r="AU196" s="30"/>
      <c r="AV196" s="30"/>
    </row>
    <row r="197" spans="5:48" x14ac:dyDescent="0.15">
      <c r="E197"/>
      <c r="F197"/>
      <c r="W197" s="30"/>
      <c r="Y197" s="30"/>
      <c r="Z197" s="30"/>
      <c r="AA197" s="30"/>
      <c r="AD197" s="30"/>
      <c r="AH197" s="30"/>
      <c r="AT197" s="30"/>
      <c r="AU197" s="30"/>
      <c r="AV197" s="30"/>
    </row>
    <row r="198" spans="5:48" x14ac:dyDescent="0.15">
      <c r="E198"/>
      <c r="F198"/>
      <c r="W198" s="30"/>
      <c r="Y198" s="30"/>
      <c r="Z198" s="30"/>
      <c r="AA198" s="30"/>
      <c r="AD198" s="30"/>
      <c r="AH198" s="30"/>
      <c r="AT198" s="30"/>
      <c r="AU198" s="30"/>
      <c r="AV198" s="30"/>
    </row>
    <row r="199" spans="5:48" x14ac:dyDescent="0.15">
      <c r="E199"/>
      <c r="F199"/>
      <c r="W199" s="30"/>
      <c r="Y199" s="30"/>
      <c r="Z199" s="30"/>
      <c r="AA199" s="30"/>
      <c r="AD199" s="30"/>
      <c r="AH199" s="30"/>
      <c r="AT199" s="30"/>
      <c r="AU199" s="30"/>
      <c r="AV199" s="30"/>
    </row>
    <row r="200" spans="5:48" x14ac:dyDescent="0.15">
      <c r="E200"/>
      <c r="F200"/>
      <c r="W200" s="30"/>
      <c r="Y200" s="30"/>
      <c r="Z200" s="30"/>
      <c r="AA200" s="30"/>
      <c r="AD200" s="30"/>
      <c r="AH200" s="30"/>
      <c r="AT200" s="30"/>
      <c r="AU200" s="30"/>
      <c r="AV200" s="30"/>
    </row>
    <row r="201" spans="5:48" x14ac:dyDescent="0.15">
      <c r="E201"/>
      <c r="F201"/>
      <c r="W201" s="30"/>
      <c r="Y201" s="30"/>
      <c r="Z201" s="30"/>
      <c r="AA201" s="30"/>
      <c r="AD201" s="30"/>
      <c r="AH201" s="30"/>
      <c r="AT201" s="30"/>
      <c r="AU201" s="30"/>
      <c r="AV201" s="30"/>
    </row>
    <row r="202" spans="5:48" x14ac:dyDescent="0.15">
      <c r="E202"/>
      <c r="F202"/>
      <c r="W202" s="30"/>
      <c r="Y202" s="30"/>
      <c r="Z202" s="30"/>
      <c r="AA202" s="30"/>
      <c r="AD202" s="30"/>
      <c r="AH202" s="30"/>
      <c r="AT202" s="30"/>
      <c r="AU202" s="30"/>
      <c r="AV202" s="30"/>
    </row>
    <row r="203" spans="5:48" x14ac:dyDescent="0.15">
      <c r="E203"/>
      <c r="F203"/>
      <c r="W203" s="30"/>
      <c r="Y203" s="30"/>
      <c r="Z203" s="30"/>
      <c r="AA203" s="30"/>
      <c r="AD203" s="30"/>
      <c r="AH203" s="30"/>
      <c r="AT203" s="30"/>
      <c r="AU203" s="30"/>
      <c r="AV203" s="30"/>
    </row>
    <row r="204" spans="5:48" x14ac:dyDescent="0.15">
      <c r="E204"/>
      <c r="F204"/>
      <c r="W204" s="30"/>
    </row>
    <row r="205" spans="5:48" x14ac:dyDescent="0.15">
      <c r="E205"/>
      <c r="F205"/>
      <c r="W205" s="30"/>
    </row>
    <row r="206" spans="5:48" x14ac:dyDescent="0.15">
      <c r="E206"/>
      <c r="F206"/>
      <c r="W206" s="30"/>
    </row>
    <row r="207" spans="5:48" x14ac:dyDescent="0.15">
      <c r="E207"/>
      <c r="F207"/>
      <c r="W207" s="30"/>
    </row>
    <row r="208" spans="5:48" x14ac:dyDescent="0.15">
      <c r="E208"/>
      <c r="F208"/>
      <c r="W208" s="30"/>
    </row>
    <row r="209" spans="5:23" x14ac:dyDescent="0.15">
      <c r="E209"/>
      <c r="F209"/>
      <c r="W209" s="30"/>
    </row>
    <row r="210" spans="5:23" x14ac:dyDescent="0.15">
      <c r="E210"/>
      <c r="F210"/>
      <c r="W210" s="30"/>
    </row>
    <row r="211" spans="5:23" x14ac:dyDescent="0.15">
      <c r="E211"/>
      <c r="F211"/>
      <c r="W211" s="30"/>
    </row>
    <row r="212" spans="5:23" x14ac:dyDescent="0.15">
      <c r="E212"/>
      <c r="F212"/>
      <c r="W212" s="30"/>
    </row>
    <row r="213" spans="5:23" x14ac:dyDescent="0.15">
      <c r="E213"/>
      <c r="F213"/>
      <c r="W213" s="30"/>
    </row>
    <row r="214" spans="5:23" x14ac:dyDescent="0.15">
      <c r="E214"/>
      <c r="F214"/>
      <c r="W214" s="30"/>
    </row>
    <row r="215" spans="5:23" x14ac:dyDescent="0.15">
      <c r="E215"/>
      <c r="F215"/>
      <c r="W215" s="30"/>
    </row>
    <row r="216" spans="5:23" x14ac:dyDescent="0.15">
      <c r="E216"/>
      <c r="F216"/>
      <c r="W216" s="30"/>
    </row>
    <row r="217" spans="5:23" x14ac:dyDescent="0.15">
      <c r="E217"/>
      <c r="F217"/>
      <c r="W217" s="30"/>
    </row>
    <row r="218" spans="5:23" x14ac:dyDescent="0.15">
      <c r="E218"/>
      <c r="F218"/>
      <c r="W218" s="30"/>
    </row>
    <row r="219" spans="5:23" x14ac:dyDescent="0.15">
      <c r="E219"/>
      <c r="F219"/>
      <c r="W219" s="30"/>
    </row>
    <row r="220" spans="5:23" x14ac:dyDescent="0.15">
      <c r="E220"/>
      <c r="F220"/>
      <c r="W220" s="30"/>
    </row>
    <row r="221" spans="5:23" x14ac:dyDescent="0.15">
      <c r="E221"/>
      <c r="F221"/>
      <c r="W221" s="30"/>
    </row>
    <row r="222" spans="5:23" x14ac:dyDescent="0.15">
      <c r="E222"/>
      <c r="F222"/>
      <c r="W222" s="30"/>
    </row>
    <row r="223" spans="5:23" x14ac:dyDescent="0.15">
      <c r="E223"/>
      <c r="F223"/>
      <c r="W223" s="30"/>
    </row>
    <row r="224" spans="5:23" x14ac:dyDescent="0.15">
      <c r="E224"/>
      <c r="F224"/>
      <c r="W224" s="30"/>
    </row>
    <row r="225" spans="5:23" x14ac:dyDescent="0.15">
      <c r="E225"/>
      <c r="F225"/>
      <c r="W225" s="30"/>
    </row>
    <row r="226" spans="5:23" x14ac:dyDescent="0.15">
      <c r="E226"/>
      <c r="F226"/>
      <c r="W226" s="30"/>
    </row>
    <row r="227" spans="5:23" x14ac:dyDescent="0.15">
      <c r="E227"/>
      <c r="F227"/>
      <c r="W227" s="30"/>
    </row>
    <row r="228" spans="5:23" x14ac:dyDescent="0.15">
      <c r="E228"/>
      <c r="F228"/>
      <c r="W228" s="30"/>
    </row>
    <row r="229" spans="5:23" x14ac:dyDescent="0.15">
      <c r="E229"/>
      <c r="F229"/>
      <c r="W229" s="30"/>
    </row>
    <row r="230" spans="5:23" x14ac:dyDescent="0.15">
      <c r="E230"/>
      <c r="F230"/>
      <c r="W230" s="30"/>
    </row>
    <row r="231" spans="5:23" x14ac:dyDescent="0.15">
      <c r="E231"/>
      <c r="F231"/>
      <c r="W231" s="30"/>
    </row>
    <row r="232" spans="5:23" x14ac:dyDescent="0.15">
      <c r="E232"/>
      <c r="F232"/>
      <c r="W232" s="30"/>
    </row>
    <row r="233" spans="5:23" x14ac:dyDescent="0.15">
      <c r="E233"/>
      <c r="F233"/>
      <c r="W233" s="30"/>
    </row>
    <row r="234" spans="5:23" x14ac:dyDescent="0.15">
      <c r="E234"/>
      <c r="F234"/>
      <c r="W234" s="30"/>
    </row>
    <row r="235" spans="5:23" x14ac:dyDescent="0.15">
      <c r="E235"/>
      <c r="F235"/>
      <c r="W235" s="30"/>
    </row>
    <row r="236" spans="5:23" x14ac:dyDescent="0.15">
      <c r="E236"/>
      <c r="F236"/>
      <c r="W236" s="30"/>
    </row>
    <row r="237" spans="5:23" x14ac:dyDescent="0.15">
      <c r="E237"/>
      <c r="F237"/>
      <c r="W237" s="30"/>
    </row>
    <row r="238" spans="5:23" x14ac:dyDescent="0.15">
      <c r="E238"/>
      <c r="F238"/>
      <c r="W238" s="30"/>
    </row>
    <row r="239" spans="5:23" x14ac:dyDescent="0.15">
      <c r="E239"/>
      <c r="F239"/>
      <c r="W239" s="30"/>
    </row>
    <row r="240" spans="5:23" x14ac:dyDescent="0.15">
      <c r="E240"/>
      <c r="F240"/>
      <c r="W240" s="30"/>
    </row>
    <row r="241" spans="5:23" x14ac:dyDescent="0.15">
      <c r="E241"/>
      <c r="F241"/>
      <c r="W241" s="30"/>
    </row>
    <row r="242" spans="5:23" x14ac:dyDescent="0.15">
      <c r="E242"/>
      <c r="F242"/>
      <c r="W242" s="30"/>
    </row>
    <row r="243" spans="5:23" x14ac:dyDescent="0.15">
      <c r="E243"/>
      <c r="F243"/>
      <c r="W243" s="30"/>
    </row>
    <row r="244" spans="5:23" x14ac:dyDescent="0.15">
      <c r="E244"/>
      <c r="F244"/>
      <c r="W244" s="30"/>
    </row>
    <row r="245" spans="5:23" x14ac:dyDescent="0.15">
      <c r="E245"/>
      <c r="F245"/>
      <c r="W245" s="30"/>
    </row>
    <row r="246" spans="5:23" x14ac:dyDescent="0.15">
      <c r="E246"/>
      <c r="F246"/>
      <c r="W246" s="30"/>
    </row>
    <row r="247" spans="5:23" x14ac:dyDescent="0.15">
      <c r="E247"/>
      <c r="F247"/>
      <c r="W247" s="30"/>
    </row>
    <row r="248" spans="5:23" x14ac:dyDescent="0.15">
      <c r="E248"/>
      <c r="F248"/>
      <c r="W248" s="30"/>
    </row>
    <row r="249" spans="5:23" x14ac:dyDescent="0.15">
      <c r="E249"/>
      <c r="F249"/>
      <c r="W249" s="30"/>
    </row>
    <row r="250" spans="5:23" x14ac:dyDescent="0.15">
      <c r="E250"/>
      <c r="F250"/>
      <c r="W250" s="30"/>
    </row>
    <row r="251" spans="5:23" x14ac:dyDescent="0.15">
      <c r="E251"/>
      <c r="F251"/>
      <c r="W251" s="30"/>
    </row>
    <row r="252" spans="5:23" x14ac:dyDescent="0.15">
      <c r="E252"/>
      <c r="F252"/>
      <c r="W252" s="30"/>
    </row>
    <row r="253" spans="5:23" x14ac:dyDescent="0.15">
      <c r="E253"/>
      <c r="F253"/>
      <c r="W253" s="30"/>
    </row>
    <row r="254" spans="5:23" x14ac:dyDescent="0.15">
      <c r="E254"/>
      <c r="F254"/>
      <c r="W254" s="30"/>
    </row>
    <row r="255" spans="5:23" x14ac:dyDescent="0.15">
      <c r="E255"/>
      <c r="F255"/>
      <c r="W255" s="30"/>
    </row>
    <row r="256" spans="5:23" x14ac:dyDescent="0.15">
      <c r="E256"/>
      <c r="F256"/>
      <c r="W256" s="30"/>
    </row>
    <row r="257" spans="5:23" x14ac:dyDescent="0.15">
      <c r="E257"/>
      <c r="F257"/>
      <c r="W257" s="30"/>
    </row>
    <row r="258" spans="5:23" x14ac:dyDescent="0.15">
      <c r="E258"/>
      <c r="F258"/>
      <c r="W258" s="30"/>
    </row>
    <row r="259" spans="5:23" x14ac:dyDescent="0.15">
      <c r="E259"/>
      <c r="F259"/>
      <c r="W259" s="30"/>
    </row>
    <row r="260" spans="5:23" x14ac:dyDescent="0.15">
      <c r="E260"/>
      <c r="F260"/>
      <c r="W260" s="30"/>
    </row>
    <row r="261" spans="5:23" x14ac:dyDescent="0.15">
      <c r="E261"/>
      <c r="F261"/>
      <c r="W261" s="30"/>
    </row>
    <row r="262" spans="5:23" x14ac:dyDescent="0.15">
      <c r="E262"/>
      <c r="F262"/>
      <c r="W262" s="30"/>
    </row>
    <row r="263" spans="5:23" x14ac:dyDescent="0.15">
      <c r="E263"/>
      <c r="F263"/>
      <c r="W263" s="30"/>
    </row>
    <row r="264" spans="5:23" x14ac:dyDescent="0.15">
      <c r="E264"/>
      <c r="F264"/>
      <c r="W264" s="30"/>
    </row>
    <row r="265" spans="5:23" x14ac:dyDescent="0.15">
      <c r="E265"/>
      <c r="F265"/>
      <c r="W265" s="30"/>
    </row>
    <row r="266" spans="5:23" x14ac:dyDescent="0.15">
      <c r="E266"/>
      <c r="F266"/>
      <c r="W266" s="30"/>
    </row>
    <row r="267" spans="5:23" x14ac:dyDescent="0.15">
      <c r="E267"/>
      <c r="F267"/>
      <c r="W267" s="30"/>
    </row>
    <row r="268" spans="5:23" x14ac:dyDescent="0.15">
      <c r="E268"/>
      <c r="F268"/>
      <c r="W268" s="30"/>
    </row>
    <row r="269" spans="5:23" x14ac:dyDescent="0.15">
      <c r="E269"/>
      <c r="F269"/>
      <c r="W269" s="30"/>
    </row>
    <row r="270" spans="5:23" x14ac:dyDescent="0.15">
      <c r="E270"/>
      <c r="F270"/>
      <c r="W270" s="30"/>
    </row>
    <row r="271" spans="5:23" x14ac:dyDescent="0.15">
      <c r="E271"/>
      <c r="F271"/>
      <c r="W271" s="30"/>
    </row>
    <row r="272" spans="5:23" x14ac:dyDescent="0.15">
      <c r="E272"/>
      <c r="F272"/>
      <c r="W272" s="30"/>
    </row>
    <row r="273" spans="5:6" x14ac:dyDescent="0.15">
      <c r="E273"/>
      <c r="F273"/>
    </row>
    <row r="274" spans="5:6" x14ac:dyDescent="0.15">
      <c r="E274"/>
      <c r="F274"/>
    </row>
    <row r="275" spans="5:6" x14ac:dyDescent="0.15">
      <c r="E275"/>
      <c r="F275"/>
    </row>
    <row r="276" spans="5:6" x14ac:dyDescent="0.15">
      <c r="E276"/>
      <c r="F276"/>
    </row>
    <row r="277" spans="5:6" x14ac:dyDescent="0.15">
      <c r="E277"/>
      <c r="F277"/>
    </row>
    <row r="278" spans="5:6" x14ac:dyDescent="0.15">
      <c r="E278"/>
      <c r="F278"/>
    </row>
    <row r="279" spans="5:6" x14ac:dyDescent="0.15">
      <c r="E279"/>
      <c r="F279"/>
    </row>
    <row r="280" spans="5:6" x14ac:dyDescent="0.15">
      <c r="E280"/>
      <c r="F280"/>
    </row>
    <row r="281" spans="5:6" x14ac:dyDescent="0.15">
      <c r="E281"/>
      <c r="F281"/>
    </row>
    <row r="282" spans="5:6" x14ac:dyDescent="0.15">
      <c r="E282"/>
      <c r="F282"/>
    </row>
    <row r="283" spans="5:6" x14ac:dyDescent="0.15">
      <c r="E283"/>
      <c r="F283"/>
    </row>
    <row r="284" spans="5:6" x14ac:dyDescent="0.15">
      <c r="E284"/>
      <c r="F284"/>
    </row>
    <row r="285" spans="5:6" x14ac:dyDescent="0.15">
      <c r="E285"/>
      <c r="F285"/>
    </row>
    <row r="286" spans="5:6" x14ac:dyDescent="0.15">
      <c r="E286"/>
      <c r="F286"/>
    </row>
    <row r="287" spans="5:6" x14ac:dyDescent="0.15">
      <c r="E287"/>
      <c r="F287"/>
    </row>
    <row r="288" spans="5:6" x14ac:dyDescent="0.15">
      <c r="E288"/>
      <c r="F288"/>
    </row>
    <row r="289" spans="5:6" x14ac:dyDescent="0.15">
      <c r="E289"/>
      <c r="F289"/>
    </row>
    <row r="290" spans="5:6" x14ac:dyDescent="0.15">
      <c r="F290"/>
    </row>
    <row r="291" spans="5:6" x14ac:dyDescent="0.15">
      <c r="F291"/>
    </row>
    <row r="292" spans="5:6" x14ac:dyDescent="0.15">
      <c r="F292"/>
    </row>
    <row r="293" spans="5:6" x14ac:dyDescent="0.15">
      <c r="F293"/>
    </row>
    <row r="294" spans="5:6" x14ac:dyDescent="0.15">
      <c r="F294"/>
    </row>
    <row r="295" spans="5:6" x14ac:dyDescent="0.15">
      <c r="F295"/>
    </row>
    <row r="296" spans="5:6" x14ac:dyDescent="0.15">
      <c r="F296"/>
    </row>
    <row r="297" spans="5:6" x14ac:dyDescent="0.15">
      <c r="F297"/>
    </row>
    <row r="298" spans="5:6" x14ac:dyDescent="0.15">
      <c r="F298"/>
    </row>
    <row r="299" spans="5:6" x14ac:dyDescent="0.15">
      <c r="F299"/>
    </row>
    <row r="300" spans="5:6" x14ac:dyDescent="0.15">
      <c r="F300"/>
    </row>
    <row r="301" spans="5:6" x14ac:dyDescent="0.15">
      <c r="F301"/>
    </row>
    <row r="302" spans="5:6" x14ac:dyDescent="0.15">
      <c r="F302"/>
    </row>
    <row r="303" spans="5:6" x14ac:dyDescent="0.15">
      <c r="F303"/>
    </row>
    <row r="304" spans="5:6" x14ac:dyDescent="0.15">
      <c r="F304"/>
    </row>
    <row r="305" spans="6:6" x14ac:dyDescent="0.15">
      <c r="F305"/>
    </row>
    <row r="306" spans="6:6" x14ac:dyDescent="0.15">
      <c r="F306"/>
    </row>
    <row r="307" spans="6:6" x14ac:dyDescent="0.15">
      <c r="F307"/>
    </row>
    <row r="308" spans="6:6" x14ac:dyDescent="0.15">
      <c r="F308"/>
    </row>
    <row r="309" spans="6:6" x14ac:dyDescent="0.15">
      <c r="F309"/>
    </row>
    <row r="310" spans="6:6" x14ac:dyDescent="0.15">
      <c r="F310"/>
    </row>
    <row r="311" spans="6:6" x14ac:dyDescent="0.15">
      <c r="F311"/>
    </row>
    <row r="312" spans="6:6" x14ac:dyDescent="0.15">
      <c r="F312"/>
    </row>
    <row r="313" spans="6:6" x14ac:dyDescent="0.15">
      <c r="F313"/>
    </row>
    <row r="314" spans="6:6" x14ac:dyDescent="0.15">
      <c r="F314"/>
    </row>
    <row r="315" spans="6:6" x14ac:dyDescent="0.15">
      <c r="F315"/>
    </row>
    <row r="316" spans="6:6" x14ac:dyDescent="0.15">
      <c r="F316"/>
    </row>
    <row r="317" spans="6:6" x14ac:dyDescent="0.15">
      <c r="F317"/>
    </row>
    <row r="318" spans="6:6" x14ac:dyDescent="0.15">
      <c r="F318"/>
    </row>
    <row r="319" spans="6:6" x14ac:dyDescent="0.15">
      <c r="F319"/>
    </row>
    <row r="320" spans="6:6" x14ac:dyDescent="0.15">
      <c r="F320"/>
    </row>
    <row r="321" spans="6:6" x14ac:dyDescent="0.15">
      <c r="F321"/>
    </row>
    <row r="322" spans="6:6" x14ac:dyDescent="0.15">
      <c r="F322"/>
    </row>
    <row r="323" spans="6:6" x14ac:dyDescent="0.15">
      <c r="F323"/>
    </row>
    <row r="324" spans="6:6" x14ac:dyDescent="0.15">
      <c r="F324"/>
    </row>
    <row r="325" spans="6:6" x14ac:dyDescent="0.15">
      <c r="F325"/>
    </row>
    <row r="326" spans="6:6" x14ac:dyDescent="0.15">
      <c r="F326"/>
    </row>
    <row r="327" spans="6:6" x14ac:dyDescent="0.15">
      <c r="F327"/>
    </row>
    <row r="328" spans="6:6" x14ac:dyDescent="0.15">
      <c r="F328"/>
    </row>
    <row r="329" spans="6:6" x14ac:dyDescent="0.15">
      <c r="F329"/>
    </row>
    <row r="330" spans="6:6" x14ac:dyDescent="0.15">
      <c r="F330"/>
    </row>
    <row r="331" spans="6:6" x14ac:dyDescent="0.15">
      <c r="F331"/>
    </row>
    <row r="332" spans="6:6" x14ac:dyDescent="0.15">
      <c r="F332"/>
    </row>
    <row r="333" spans="6:6" x14ac:dyDescent="0.15">
      <c r="F333"/>
    </row>
    <row r="334" spans="6:6" x14ac:dyDescent="0.15">
      <c r="F334"/>
    </row>
    <row r="335" spans="6:6" x14ac:dyDescent="0.15">
      <c r="F335"/>
    </row>
    <row r="336" spans="6:6" x14ac:dyDescent="0.15">
      <c r="F336"/>
    </row>
    <row r="337" spans="6:6" x14ac:dyDescent="0.15">
      <c r="F337"/>
    </row>
    <row r="338" spans="6:6" x14ac:dyDescent="0.15">
      <c r="F338"/>
    </row>
    <row r="339" spans="6:6" x14ac:dyDescent="0.15">
      <c r="F339"/>
    </row>
    <row r="340" spans="6:6" x14ac:dyDescent="0.15">
      <c r="F340"/>
    </row>
    <row r="341" spans="6:6" x14ac:dyDescent="0.15">
      <c r="F341"/>
    </row>
    <row r="342" spans="6:6" x14ac:dyDescent="0.15">
      <c r="F342"/>
    </row>
    <row r="343" spans="6:6" x14ac:dyDescent="0.15">
      <c r="F343"/>
    </row>
    <row r="344" spans="6:6" x14ac:dyDescent="0.15">
      <c r="F344"/>
    </row>
    <row r="345" spans="6:6" x14ac:dyDescent="0.15">
      <c r="F345"/>
    </row>
    <row r="346" spans="6:6" x14ac:dyDescent="0.15">
      <c r="F346"/>
    </row>
    <row r="347" spans="6:6" x14ac:dyDescent="0.15">
      <c r="F347"/>
    </row>
    <row r="348" spans="6:6" x14ac:dyDescent="0.15">
      <c r="F348"/>
    </row>
    <row r="349" spans="6:6" x14ac:dyDescent="0.15">
      <c r="F349"/>
    </row>
    <row r="350" spans="6:6" x14ac:dyDescent="0.15">
      <c r="F350"/>
    </row>
    <row r="351" spans="6:6" x14ac:dyDescent="0.15">
      <c r="F351"/>
    </row>
    <row r="352" spans="6:6" x14ac:dyDescent="0.15">
      <c r="F352"/>
    </row>
    <row r="353" spans="6:6" x14ac:dyDescent="0.15">
      <c r="F353"/>
    </row>
    <row r="354" spans="6:6" x14ac:dyDescent="0.15">
      <c r="F354"/>
    </row>
    <row r="355" spans="6:6" x14ac:dyDescent="0.15">
      <c r="F355"/>
    </row>
    <row r="356" spans="6:6" x14ac:dyDescent="0.15">
      <c r="F356"/>
    </row>
    <row r="357" spans="6:6" x14ac:dyDescent="0.15">
      <c r="F357"/>
    </row>
    <row r="358" spans="6:6" x14ac:dyDescent="0.15">
      <c r="F358"/>
    </row>
    <row r="359" spans="6:6" x14ac:dyDescent="0.15">
      <c r="F359"/>
    </row>
    <row r="360" spans="6:6" x14ac:dyDescent="0.15">
      <c r="F360"/>
    </row>
    <row r="361" spans="6:6" x14ac:dyDescent="0.15">
      <c r="F361"/>
    </row>
    <row r="362" spans="6:6" x14ac:dyDescent="0.15">
      <c r="F362"/>
    </row>
    <row r="363" spans="6:6" x14ac:dyDescent="0.15">
      <c r="F363"/>
    </row>
    <row r="364" spans="6:6" x14ac:dyDescent="0.15">
      <c r="F364"/>
    </row>
    <row r="365" spans="6:6" x14ac:dyDescent="0.15">
      <c r="F365"/>
    </row>
    <row r="366" spans="6:6" x14ac:dyDescent="0.15">
      <c r="F366"/>
    </row>
    <row r="367" spans="6:6" x14ac:dyDescent="0.15">
      <c r="F367"/>
    </row>
    <row r="368" spans="6:6" x14ac:dyDescent="0.15">
      <c r="F368"/>
    </row>
    <row r="369" spans="6:6" x14ac:dyDescent="0.15">
      <c r="F369"/>
    </row>
    <row r="370" spans="6:6" x14ac:dyDescent="0.15">
      <c r="F370"/>
    </row>
    <row r="371" spans="6:6" x14ac:dyDescent="0.15">
      <c r="F371"/>
    </row>
    <row r="372" spans="6:6" x14ac:dyDescent="0.15">
      <c r="F372"/>
    </row>
    <row r="373" spans="6:6" x14ac:dyDescent="0.15">
      <c r="F373"/>
    </row>
    <row r="374" spans="6:6" x14ac:dyDescent="0.15">
      <c r="F374"/>
    </row>
    <row r="375" spans="6:6" x14ac:dyDescent="0.15">
      <c r="F375"/>
    </row>
    <row r="376" spans="6:6" x14ac:dyDescent="0.15">
      <c r="F376"/>
    </row>
    <row r="377" spans="6:6" x14ac:dyDescent="0.15">
      <c r="F377"/>
    </row>
    <row r="378" spans="6:6" x14ac:dyDescent="0.15">
      <c r="F378"/>
    </row>
    <row r="379" spans="6:6" x14ac:dyDescent="0.15">
      <c r="F379"/>
    </row>
    <row r="380" spans="6:6" x14ac:dyDescent="0.15">
      <c r="F380"/>
    </row>
    <row r="381" spans="6:6" x14ac:dyDescent="0.15">
      <c r="F381"/>
    </row>
    <row r="382" spans="6:6" x14ac:dyDescent="0.15">
      <c r="F382"/>
    </row>
    <row r="383" spans="6:6" x14ac:dyDescent="0.15">
      <c r="F383"/>
    </row>
    <row r="384" spans="6:6" x14ac:dyDescent="0.15">
      <c r="F384"/>
    </row>
    <row r="385" spans="6:6" x14ac:dyDescent="0.15">
      <c r="F385"/>
    </row>
    <row r="386" spans="6:6" x14ac:dyDescent="0.15">
      <c r="F386"/>
    </row>
    <row r="387" spans="6:6" x14ac:dyDescent="0.15">
      <c r="F387"/>
    </row>
    <row r="388" spans="6:6" x14ac:dyDescent="0.15">
      <c r="F388"/>
    </row>
    <row r="389" spans="6:6" x14ac:dyDescent="0.15">
      <c r="F389"/>
    </row>
    <row r="390" spans="6:6" x14ac:dyDescent="0.15">
      <c r="F390"/>
    </row>
    <row r="391" spans="6:6" x14ac:dyDescent="0.15">
      <c r="F391"/>
    </row>
    <row r="392" spans="6:6" x14ac:dyDescent="0.15">
      <c r="F392"/>
    </row>
    <row r="393" spans="6:6" x14ac:dyDescent="0.15">
      <c r="F393"/>
    </row>
    <row r="394" spans="6:6" x14ac:dyDescent="0.15">
      <c r="F394"/>
    </row>
    <row r="395" spans="6:6" x14ac:dyDescent="0.15">
      <c r="F395"/>
    </row>
    <row r="396" spans="6:6" x14ac:dyDescent="0.15">
      <c r="F396"/>
    </row>
    <row r="397" spans="6:6" x14ac:dyDescent="0.15">
      <c r="F397"/>
    </row>
    <row r="398" spans="6:6" x14ac:dyDescent="0.15">
      <c r="F398"/>
    </row>
    <row r="399" spans="6:6" x14ac:dyDescent="0.15">
      <c r="F399"/>
    </row>
    <row r="400" spans="6:6" x14ac:dyDescent="0.15">
      <c r="F400"/>
    </row>
    <row r="401" spans="6:6" x14ac:dyDescent="0.15">
      <c r="F401"/>
    </row>
    <row r="402" spans="6:6" x14ac:dyDescent="0.15">
      <c r="F402"/>
    </row>
    <row r="403" spans="6:6" x14ac:dyDescent="0.15">
      <c r="F403"/>
    </row>
    <row r="404" spans="6:6" x14ac:dyDescent="0.15">
      <c r="F404"/>
    </row>
    <row r="405" spans="6:6" x14ac:dyDescent="0.15">
      <c r="F405"/>
    </row>
    <row r="406" spans="6:6" x14ac:dyDescent="0.15">
      <c r="F406"/>
    </row>
    <row r="407" spans="6:6" x14ac:dyDescent="0.15">
      <c r="F407"/>
    </row>
    <row r="408" spans="6:6" x14ac:dyDescent="0.15">
      <c r="F408"/>
    </row>
    <row r="409" spans="6:6" x14ac:dyDescent="0.15">
      <c r="F409"/>
    </row>
    <row r="410" spans="6:6" x14ac:dyDescent="0.15">
      <c r="F410"/>
    </row>
    <row r="411" spans="6:6" x14ac:dyDescent="0.15">
      <c r="F411"/>
    </row>
    <row r="412" spans="6:6" x14ac:dyDescent="0.15">
      <c r="F412"/>
    </row>
    <row r="413" spans="6:6" x14ac:dyDescent="0.15">
      <c r="F413"/>
    </row>
    <row r="414" spans="6:6" x14ac:dyDescent="0.15">
      <c r="F414"/>
    </row>
    <row r="415" spans="6:6" x14ac:dyDescent="0.15">
      <c r="F415"/>
    </row>
    <row r="416" spans="6:6" x14ac:dyDescent="0.15">
      <c r="F416"/>
    </row>
    <row r="417" spans="6:6" x14ac:dyDescent="0.15">
      <c r="F417"/>
    </row>
    <row r="418" spans="6:6" x14ac:dyDescent="0.15">
      <c r="F418"/>
    </row>
    <row r="419" spans="6:6" x14ac:dyDescent="0.15">
      <c r="F419"/>
    </row>
    <row r="420" spans="6:6" x14ac:dyDescent="0.15">
      <c r="F420"/>
    </row>
    <row r="421" spans="6:6" x14ac:dyDescent="0.15">
      <c r="F421"/>
    </row>
    <row r="422" spans="6:6" x14ac:dyDescent="0.15">
      <c r="F422"/>
    </row>
    <row r="423" spans="6:6" x14ac:dyDescent="0.15">
      <c r="F423"/>
    </row>
    <row r="424" spans="6:6" x14ac:dyDescent="0.15">
      <c r="F424"/>
    </row>
    <row r="425" spans="6:6" x14ac:dyDescent="0.15">
      <c r="F425"/>
    </row>
    <row r="426" spans="6:6" x14ac:dyDescent="0.15">
      <c r="F426"/>
    </row>
    <row r="427" spans="6:6" x14ac:dyDescent="0.15">
      <c r="F427"/>
    </row>
    <row r="428" spans="6:6" x14ac:dyDescent="0.15">
      <c r="F428"/>
    </row>
    <row r="429" spans="6:6" x14ac:dyDescent="0.15">
      <c r="F429"/>
    </row>
    <row r="430" spans="6:6" x14ac:dyDescent="0.15">
      <c r="F430"/>
    </row>
    <row r="431" spans="6:6" x14ac:dyDescent="0.15">
      <c r="F431"/>
    </row>
    <row r="432" spans="6:6" x14ac:dyDescent="0.15">
      <c r="F432"/>
    </row>
  </sheetData>
  <sheetProtection selectLockedCells="1" selectUnlockedCells="1"/>
  <sortState xmlns:xlrd2="http://schemas.microsoft.com/office/spreadsheetml/2017/richdata2" ref="AB2:AB1073">
    <sortCondition ref="AB2"/>
  </sortState>
  <conditionalFormatting sqref="Y8:Y11 F7:F12 U8:V29 B2 A2:A8 D2:E3 D4:D7 C2:C10 I2:J6 J7 E4:E23 J9 I7:I11 K2:K12 M4:Q29 M3:P3 M2:Q2 L2:L14 S6:V7 R2:V5 S8:S29 Y2:Y6 G2 F3:G6 G7:G16">
    <cfRule type="duplicateValues" dxfId="5997" priority="4232"/>
  </conditionalFormatting>
  <conditionalFormatting sqref="F2:F12">
    <cfRule type="duplicateValues" dxfId="5996" priority="4288"/>
  </conditionalFormatting>
  <conditionalFormatting sqref="AC2:AC69">
    <cfRule type="duplicateValues" dxfId="5995" priority="4348"/>
  </conditionalFormatting>
  <conditionalFormatting sqref="AE2:AE87">
    <cfRule type="duplicateValues" dxfId="5994" priority="4563"/>
  </conditionalFormatting>
  <conditionalFormatting sqref="H3:H14">
    <cfRule type="duplicateValues" dxfId="5993" priority="4619"/>
  </conditionalFormatting>
  <conditionalFormatting sqref="AE29:AE46 Y7 AO2:AT28 AL20:AL30 AJ20:AJ95 Z2:AF2 AJ2:AM19 AI40:AI48 Z19:Z21 AB19:AB71 AD3:AE6 AD7:AD55 AE7:AE27 AN38:AN40 AO36:AT95 AN29:AT35 AN2:AN23 X2:X24 Z3:AC18 Y12:Y110 AC19:AC30 AH2:AI39">
    <cfRule type="duplicateValues" dxfId="5992" priority="4620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rgb="FFE27070"/>
  </sheetPr>
  <dimension ref="A1:V1834"/>
  <sheetViews>
    <sheetView zoomScale="80" zoomScaleNormal="80" workbookViewId="0">
      <selection activeCell="R34" sqref="R34"/>
    </sheetView>
  </sheetViews>
  <sheetFormatPr baseColWidth="10" defaultColWidth="8.83203125" defaultRowHeight="14" x14ac:dyDescent="0.15"/>
  <cols>
    <col min="1" max="1" width="31.5" bestFit="1" customWidth="1"/>
    <col min="2" max="2" width="17.1640625" customWidth="1"/>
    <col min="3" max="3" width="31.5" bestFit="1" customWidth="1"/>
    <col min="6" max="9" width="8.83203125" style="30"/>
    <col min="12" max="13" width="8.83203125" style="30"/>
    <col min="16" max="17" width="8.83203125" style="30"/>
    <col min="20" max="20" width="8.83203125" style="30"/>
  </cols>
  <sheetData>
    <row r="1" spans="1:22" x14ac:dyDescent="0.15">
      <c r="A1" s="58" t="s">
        <v>432</v>
      </c>
      <c r="B1" s="58" t="s">
        <v>173</v>
      </c>
      <c r="C1" s="58" t="s">
        <v>174</v>
      </c>
      <c r="D1" s="58" t="s">
        <v>175</v>
      </c>
      <c r="E1" s="58" t="s">
        <v>504</v>
      </c>
      <c r="F1" s="58" t="s">
        <v>503</v>
      </c>
      <c r="G1" s="58" t="s">
        <v>502</v>
      </c>
      <c r="H1" s="58" t="s">
        <v>501</v>
      </c>
      <c r="I1" s="58" t="s">
        <v>510</v>
      </c>
      <c r="J1" s="58" t="s">
        <v>176</v>
      </c>
      <c r="K1" s="58" t="s">
        <v>177</v>
      </c>
      <c r="L1" s="58" t="s">
        <v>505</v>
      </c>
      <c r="M1" s="58" t="s">
        <v>507</v>
      </c>
      <c r="N1" s="58" t="s">
        <v>178</v>
      </c>
      <c r="O1" s="58" t="s">
        <v>179</v>
      </c>
      <c r="P1" s="58" t="s">
        <v>506</v>
      </c>
      <c r="Q1" s="58" t="s">
        <v>508</v>
      </c>
      <c r="R1" s="58" t="s">
        <v>180</v>
      </c>
      <c r="S1" s="58" t="s">
        <v>181</v>
      </c>
      <c r="T1" s="58" t="s">
        <v>509</v>
      </c>
      <c r="U1" s="58" t="s">
        <v>182</v>
      </c>
      <c r="V1" s="58" t="s">
        <v>183</v>
      </c>
    </row>
    <row r="2" spans="1:22" x14ac:dyDescent="0.15">
      <c r="A2" s="278"/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</row>
    <row r="3" spans="1:22" x14ac:dyDescent="0.1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</row>
    <row r="4" spans="1:22" x14ac:dyDescent="0.15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278"/>
      <c r="U4" s="278"/>
      <c r="V4" s="278"/>
    </row>
    <row r="5" spans="1:22" x14ac:dyDescent="0.15">
      <c r="A5" s="278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</row>
    <row r="6" spans="1:22" x14ac:dyDescent="0.15">
      <c r="A6" s="278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</row>
    <row r="7" spans="1:22" x14ac:dyDescent="0.15">
      <c r="A7" s="278"/>
      <c r="B7" s="278"/>
      <c r="C7" s="278"/>
      <c r="D7" s="278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278"/>
      <c r="Q7" s="278"/>
      <c r="R7" s="278"/>
      <c r="S7" s="278"/>
      <c r="T7" s="278"/>
      <c r="U7" s="278"/>
      <c r="V7" s="278"/>
    </row>
    <row r="8" spans="1:22" x14ac:dyDescent="0.15">
      <c r="A8" s="278"/>
      <c r="B8" s="278"/>
      <c r="C8" s="278"/>
      <c r="D8" s="278"/>
      <c r="E8" s="278"/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  <c r="R8" s="278"/>
      <c r="S8" s="278"/>
      <c r="T8" s="278"/>
      <c r="U8" s="278"/>
      <c r="V8" s="278"/>
    </row>
    <row r="9" spans="1:22" x14ac:dyDescent="0.15">
      <c r="A9" s="278"/>
      <c r="B9" s="278"/>
      <c r="C9" s="278"/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</row>
    <row r="10" spans="1:22" x14ac:dyDescent="0.15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</row>
    <row r="11" spans="1:22" x14ac:dyDescent="0.15">
      <c r="A11" s="278"/>
      <c r="B11" s="278"/>
      <c r="C11" s="278"/>
      <c r="D11" s="278"/>
      <c r="E11" s="278"/>
      <c r="F11" s="278"/>
      <c r="G11" s="278"/>
      <c r="H11" s="278"/>
      <c r="I11" s="278"/>
      <c r="J11" s="278"/>
      <c r="K11" s="278"/>
      <c r="L11" s="278"/>
      <c r="M11" s="278"/>
      <c r="N11" s="278"/>
      <c r="O11" s="278"/>
      <c r="P11" s="278"/>
      <c r="Q11" s="278"/>
      <c r="R11" s="278"/>
      <c r="S11" s="278"/>
      <c r="T11" s="278"/>
      <c r="U11" s="278"/>
      <c r="V11" s="278"/>
    </row>
    <row r="12" spans="1:22" x14ac:dyDescent="0.15">
      <c r="A12" s="278"/>
      <c r="B12" s="278"/>
      <c r="C12" s="278"/>
      <c r="D12" s="278"/>
      <c r="E12" s="278"/>
      <c r="F12" s="278"/>
      <c r="G12" s="278"/>
      <c r="H12" s="278"/>
      <c r="I12" s="278"/>
      <c r="J12" s="278"/>
      <c r="K12" s="278"/>
      <c r="L12" s="278"/>
      <c r="M12" s="278"/>
      <c r="N12" s="278"/>
      <c r="O12" s="278"/>
      <c r="P12" s="278"/>
      <c r="Q12" s="278"/>
      <c r="R12" s="278"/>
      <c r="S12" s="278"/>
      <c r="T12" s="278"/>
      <c r="U12" s="278"/>
      <c r="V12" s="278"/>
    </row>
    <row r="13" spans="1:22" x14ac:dyDescent="0.1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78"/>
      <c r="P13" s="278"/>
      <c r="Q13" s="278"/>
      <c r="R13" s="278"/>
      <c r="S13" s="278"/>
      <c r="T13" s="278"/>
      <c r="U13" s="278"/>
      <c r="V13" s="278"/>
    </row>
    <row r="14" spans="1:22" x14ac:dyDescent="0.15">
      <c r="A14" s="278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</row>
    <row r="15" spans="1:22" x14ac:dyDescent="0.15">
      <c r="A15" s="278"/>
      <c r="B15" s="278"/>
      <c r="C15" s="278"/>
      <c r="D15" s="278"/>
      <c r="E15" s="278"/>
      <c r="F15" s="278"/>
      <c r="G15" s="278"/>
      <c r="H15" s="278"/>
      <c r="I15" s="278"/>
      <c r="J15" s="278"/>
      <c r="K15" s="278"/>
      <c r="L15" s="278"/>
      <c r="M15" s="278"/>
      <c r="N15" s="278"/>
      <c r="O15" s="278"/>
      <c r="P15" s="278"/>
      <c r="Q15" s="278"/>
      <c r="R15" s="278"/>
      <c r="S15" s="278"/>
      <c r="T15" s="278"/>
      <c r="U15" s="278"/>
      <c r="V15" s="278"/>
    </row>
    <row r="16" spans="1:22" x14ac:dyDescent="0.15">
      <c r="A16" s="278"/>
      <c r="B16" s="278"/>
      <c r="C16" s="278"/>
      <c r="D16" s="278"/>
      <c r="E16" s="278"/>
      <c r="F16" s="278"/>
      <c r="G16" s="278"/>
      <c r="H16" s="278"/>
      <c r="I16" s="278"/>
      <c r="J16" s="278"/>
      <c r="K16" s="278"/>
      <c r="L16" s="278"/>
      <c r="M16" s="278"/>
      <c r="N16" s="278"/>
      <c r="O16" s="278"/>
      <c r="P16" s="278"/>
      <c r="Q16" s="278"/>
      <c r="R16" s="278"/>
      <c r="S16" s="278"/>
      <c r="T16" s="278"/>
      <c r="U16" s="278"/>
      <c r="V16" s="278"/>
    </row>
    <row r="17" spans="1:22" x14ac:dyDescent="0.15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</row>
    <row r="18" spans="1:22" x14ac:dyDescent="0.15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</row>
    <row r="19" spans="1:22" x14ac:dyDescent="0.15">
      <c r="A19" s="278"/>
      <c r="B19" s="278"/>
      <c r="C19" s="278"/>
      <c r="D19" s="278"/>
      <c r="E19" s="278"/>
      <c r="F19" s="278"/>
      <c r="G19" s="278"/>
      <c r="H19" s="278"/>
      <c r="I19" s="278"/>
      <c r="J19" s="278"/>
      <c r="K19" s="278"/>
      <c r="L19" s="278"/>
      <c r="M19" s="278"/>
      <c r="N19" s="278"/>
      <c r="O19" s="278"/>
      <c r="P19" s="278"/>
      <c r="Q19" s="278"/>
      <c r="R19" s="278"/>
      <c r="S19" s="278"/>
      <c r="T19" s="278"/>
      <c r="U19" s="278"/>
      <c r="V19" s="278"/>
    </row>
    <row r="20" spans="1:22" x14ac:dyDescent="0.15">
      <c r="A20" s="278"/>
      <c r="B20" s="278"/>
      <c r="C20" s="278"/>
      <c r="D20" s="278"/>
      <c r="E20" s="278"/>
      <c r="F20" s="278"/>
      <c r="G20" s="278"/>
      <c r="H20" s="278"/>
      <c r="I20" s="278"/>
      <c r="J20" s="278"/>
      <c r="K20" s="278"/>
      <c r="L20" s="278"/>
      <c r="M20" s="278"/>
      <c r="N20" s="278"/>
      <c r="O20" s="278"/>
      <c r="P20" s="278"/>
      <c r="Q20" s="278"/>
      <c r="R20" s="278"/>
      <c r="S20" s="278"/>
      <c r="T20" s="278"/>
      <c r="U20" s="278"/>
      <c r="V20" s="278"/>
    </row>
    <row r="21" spans="1:22" x14ac:dyDescent="0.15">
      <c r="A21" s="278"/>
      <c r="B21" s="278"/>
      <c r="C21" s="278"/>
      <c r="D21" s="278"/>
      <c r="E21" s="278"/>
      <c r="F21" s="278"/>
      <c r="G21" s="278"/>
      <c r="H21" s="278"/>
      <c r="I21" s="278"/>
      <c r="J21" s="278"/>
      <c r="K21" s="278"/>
      <c r="L21" s="278"/>
      <c r="M21" s="278"/>
      <c r="N21" s="278"/>
      <c r="O21" s="278"/>
      <c r="P21" s="278"/>
      <c r="Q21" s="278"/>
      <c r="R21" s="278"/>
      <c r="S21" s="278"/>
      <c r="T21" s="278"/>
      <c r="U21" s="278"/>
      <c r="V21" s="278"/>
    </row>
    <row r="22" spans="1:22" x14ac:dyDescent="0.15">
      <c r="A22" s="278"/>
      <c r="B22" s="278"/>
      <c r="C22" s="278"/>
      <c r="D22" s="278"/>
      <c r="E22" s="278"/>
      <c r="F22" s="278"/>
      <c r="G22" s="278"/>
      <c r="H22" s="278"/>
      <c r="I22" s="278"/>
      <c r="J22" s="278"/>
      <c r="K22" s="278"/>
      <c r="L22" s="278"/>
      <c r="M22" s="278"/>
      <c r="N22" s="278"/>
      <c r="O22" s="278"/>
      <c r="P22" s="278"/>
      <c r="Q22" s="278"/>
      <c r="R22" s="278"/>
      <c r="S22" s="278"/>
      <c r="T22" s="278"/>
      <c r="U22" s="278"/>
      <c r="V22" s="278"/>
    </row>
    <row r="23" spans="1:22" x14ac:dyDescent="0.15">
      <c r="A23" s="278"/>
      <c r="B23" s="278"/>
      <c r="C23" s="278"/>
      <c r="D23" s="278"/>
      <c r="E23" s="278"/>
      <c r="F23" s="278"/>
      <c r="G23" s="278"/>
      <c r="H23" s="278"/>
      <c r="I23" s="278"/>
      <c r="J23" s="278"/>
      <c r="K23" s="278"/>
      <c r="L23" s="278"/>
      <c r="M23" s="278"/>
      <c r="N23" s="278"/>
      <c r="O23" s="278"/>
      <c r="P23" s="278"/>
      <c r="Q23" s="278"/>
      <c r="R23" s="278"/>
      <c r="S23" s="278"/>
      <c r="T23" s="278"/>
      <c r="U23" s="278"/>
      <c r="V23" s="278"/>
    </row>
    <row r="24" spans="1:22" x14ac:dyDescent="0.15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278"/>
      <c r="M24" s="278"/>
      <c r="N24" s="278"/>
      <c r="O24" s="278"/>
      <c r="P24" s="278"/>
      <c r="Q24" s="278"/>
      <c r="R24" s="278"/>
      <c r="S24" s="278"/>
      <c r="T24" s="278"/>
      <c r="U24" s="278"/>
      <c r="V24" s="278"/>
    </row>
    <row r="25" spans="1:22" x14ac:dyDescent="0.15">
      <c r="A25" s="278"/>
      <c r="B25" s="278"/>
      <c r="C25" s="278"/>
      <c r="D25" s="278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278"/>
      <c r="T25" s="278"/>
      <c r="U25" s="278"/>
      <c r="V25" s="278"/>
    </row>
    <row r="26" spans="1:22" x14ac:dyDescent="0.15">
      <c r="A26" s="278"/>
      <c r="B26" s="278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</row>
    <row r="27" spans="1:22" x14ac:dyDescent="0.15">
      <c r="A27" s="278"/>
      <c r="B27" s="278"/>
      <c r="C27" s="278"/>
      <c r="D27" s="278"/>
      <c r="E27" s="278"/>
      <c r="F27" s="278"/>
      <c r="G27" s="278"/>
      <c r="H27" s="278"/>
      <c r="I27" s="278"/>
      <c r="J27" s="278"/>
      <c r="K27" s="278"/>
      <c r="L27" s="278"/>
      <c r="M27" s="278"/>
      <c r="N27" s="278"/>
      <c r="O27" s="278"/>
      <c r="P27" s="278"/>
      <c r="Q27" s="278"/>
      <c r="R27" s="278"/>
      <c r="S27" s="278"/>
      <c r="T27" s="278"/>
      <c r="U27" s="278"/>
      <c r="V27" s="278"/>
    </row>
    <row r="28" spans="1:22" x14ac:dyDescent="0.15">
      <c r="A28" s="278"/>
      <c r="B28" s="278"/>
      <c r="C28" s="278"/>
      <c r="D28" s="278"/>
      <c r="E28" s="278"/>
      <c r="F28" s="278"/>
      <c r="G28" s="278"/>
      <c r="H28" s="278"/>
      <c r="I28" s="278"/>
      <c r="J28" s="278"/>
      <c r="K28" s="278"/>
      <c r="L28" s="278"/>
      <c r="M28" s="278"/>
      <c r="N28" s="278"/>
      <c r="O28" s="278"/>
      <c r="P28" s="278"/>
      <c r="Q28" s="278"/>
      <c r="R28" s="278"/>
      <c r="S28" s="278"/>
      <c r="T28" s="278"/>
      <c r="U28" s="278"/>
      <c r="V28" s="278"/>
    </row>
    <row r="29" spans="1:22" x14ac:dyDescent="0.15">
      <c r="A29" s="278"/>
      <c r="B29" s="278"/>
      <c r="C29" s="278"/>
      <c r="D29" s="278"/>
      <c r="E29" s="278"/>
      <c r="F29" s="278"/>
      <c r="G29" s="278"/>
      <c r="H29" s="278"/>
      <c r="I29" s="278"/>
      <c r="J29" s="278"/>
      <c r="K29" s="278"/>
      <c r="L29" s="278"/>
      <c r="M29" s="278"/>
      <c r="N29" s="278"/>
      <c r="O29" s="278"/>
      <c r="P29" s="278"/>
      <c r="Q29" s="278"/>
      <c r="R29" s="278"/>
      <c r="S29" s="278"/>
      <c r="T29" s="278"/>
      <c r="U29" s="278"/>
      <c r="V29" s="278"/>
    </row>
    <row r="30" spans="1:22" x14ac:dyDescent="0.15">
      <c r="A30" s="278"/>
      <c r="B30" s="278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</row>
    <row r="31" spans="1:22" x14ac:dyDescent="0.15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278"/>
      <c r="M31" s="278"/>
      <c r="N31" s="278"/>
      <c r="O31" s="278"/>
      <c r="P31" s="278"/>
      <c r="Q31" s="278"/>
      <c r="R31" s="278"/>
      <c r="S31" s="278"/>
      <c r="T31" s="278"/>
      <c r="U31" s="278"/>
      <c r="V31" s="278"/>
    </row>
    <row r="32" spans="1:22" x14ac:dyDescent="0.15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8"/>
      <c r="Q32" s="278"/>
      <c r="R32" s="278"/>
      <c r="S32" s="278"/>
      <c r="T32" s="278"/>
      <c r="U32" s="278"/>
      <c r="V32" s="278"/>
    </row>
    <row r="33" spans="1:22" x14ac:dyDescent="0.15">
      <c r="A33" s="278"/>
      <c r="B33" s="278"/>
      <c r="C33" s="278"/>
      <c r="D33" s="278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  <c r="S33" s="278"/>
      <c r="T33" s="278"/>
      <c r="U33" s="278"/>
      <c r="V33" s="278"/>
    </row>
    <row r="34" spans="1:22" x14ac:dyDescent="0.15">
      <c r="A34" s="278"/>
      <c r="B34" s="278"/>
      <c r="C34" s="278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8"/>
      <c r="T34" s="278"/>
      <c r="U34" s="278"/>
      <c r="V34" s="278"/>
    </row>
    <row r="35" spans="1:22" x14ac:dyDescent="0.15">
      <c r="A35" s="278"/>
      <c r="B35" s="278"/>
      <c r="C35" s="278"/>
      <c r="D35" s="278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  <c r="S35" s="278"/>
      <c r="T35" s="278"/>
      <c r="U35" s="278"/>
      <c r="V35" s="278"/>
    </row>
    <row r="36" spans="1:22" x14ac:dyDescent="0.15">
      <c r="A36" s="278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  <c r="V36" s="278"/>
    </row>
    <row r="37" spans="1:22" x14ac:dyDescent="0.15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</row>
    <row r="38" spans="1:22" x14ac:dyDescent="0.15">
      <c r="A38" s="278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</row>
    <row r="39" spans="1:22" x14ac:dyDescent="0.15">
      <c r="A39" s="278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</row>
    <row r="40" spans="1:22" x14ac:dyDescent="0.15">
      <c r="A40" s="278"/>
      <c r="B40" s="278"/>
      <c r="C40" s="278"/>
      <c r="D40" s="278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  <c r="S40" s="278"/>
      <c r="T40" s="278"/>
      <c r="U40" s="278"/>
      <c r="V40" s="278"/>
    </row>
    <row r="41" spans="1:22" x14ac:dyDescent="0.15">
      <c r="A41" s="278"/>
      <c r="B41" s="278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</row>
    <row r="42" spans="1:22" x14ac:dyDescent="0.15">
      <c r="A42" s="278"/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  <c r="S42" s="278"/>
      <c r="T42" s="278"/>
      <c r="U42" s="278"/>
      <c r="V42" s="278"/>
    </row>
    <row r="43" spans="1:22" x14ac:dyDescent="0.15">
      <c r="A43" s="278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  <c r="S43" s="278"/>
      <c r="T43" s="278"/>
      <c r="U43" s="278"/>
      <c r="V43" s="278"/>
    </row>
    <row r="44" spans="1:22" x14ac:dyDescent="0.15">
      <c r="A44" s="278"/>
      <c r="B44" s="278"/>
      <c r="C44" s="278"/>
      <c r="D44" s="278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  <c r="S44" s="278"/>
      <c r="T44" s="278"/>
      <c r="U44" s="278"/>
      <c r="V44" s="278"/>
    </row>
    <row r="45" spans="1:22" x14ac:dyDescent="0.15">
      <c r="A45" s="278"/>
      <c r="B45" s="278"/>
      <c r="C45" s="278"/>
      <c r="D45" s="278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  <c r="S45" s="278"/>
      <c r="T45" s="278"/>
      <c r="U45" s="278"/>
      <c r="V45" s="278"/>
    </row>
    <row r="46" spans="1:22" x14ac:dyDescent="0.15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  <c r="S46" s="278"/>
      <c r="T46" s="278"/>
      <c r="U46" s="278"/>
      <c r="V46" s="278"/>
    </row>
    <row r="47" spans="1:22" x14ac:dyDescent="0.15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  <c r="S47" s="278"/>
      <c r="T47" s="278"/>
      <c r="U47" s="278"/>
      <c r="V47" s="278"/>
    </row>
    <row r="48" spans="1:22" x14ac:dyDescent="0.15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  <c r="S48" s="278"/>
      <c r="T48" s="278"/>
      <c r="U48" s="278"/>
      <c r="V48" s="278"/>
    </row>
    <row r="49" spans="1:22" x14ac:dyDescent="0.15">
      <c r="A49" s="278"/>
      <c r="B49" s="278"/>
      <c r="C49" s="278"/>
      <c r="D49" s="278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  <c r="S49" s="278"/>
      <c r="T49" s="278"/>
      <c r="U49" s="278"/>
      <c r="V49" s="278"/>
    </row>
    <row r="50" spans="1:22" x14ac:dyDescent="0.15">
      <c r="A50" s="278"/>
      <c r="B50" s="278"/>
      <c r="C50" s="278"/>
      <c r="D50" s="278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  <c r="S50" s="278"/>
      <c r="T50" s="278"/>
      <c r="U50" s="278"/>
      <c r="V50" s="278"/>
    </row>
    <row r="51" spans="1:22" x14ac:dyDescent="0.1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8"/>
      <c r="V51" s="278"/>
    </row>
    <row r="52" spans="1:22" x14ac:dyDescent="0.15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  <c r="S52" s="278"/>
      <c r="T52" s="278"/>
      <c r="U52" s="278"/>
      <c r="V52" s="278"/>
    </row>
    <row r="53" spans="1:22" x14ac:dyDescent="0.15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  <c r="S53" s="278"/>
      <c r="T53" s="278"/>
      <c r="U53" s="278"/>
      <c r="V53" s="278"/>
    </row>
    <row r="54" spans="1:22" x14ac:dyDescent="0.15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  <c r="S54" s="278"/>
      <c r="T54" s="278"/>
      <c r="U54" s="278"/>
      <c r="V54" s="278"/>
    </row>
    <row r="55" spans="1:22" x14ac:dyDescent="0.15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  <c r="S55" s="278"/>
      <c r="T55" s="278"/>
      <c r="U55" s="278"/>
      <c r="V55" s="278"/>
    </row>
    <row r="56" spans="1:22" x14ac:dyDescent="0.15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  <c r="S56" s="278"/>
      <c r="T56" s="278"/>
      <c r="U56" s="278"/>
      <c r="V56" s="278"/>
    </row>
    <row r="57" spans="1:22" x14ac:dyDescent="0.15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  <c r="S57" s="278"/>
      <c r="T57" s="278"/>
      <c r="U57" s="278"/>
      <c r="V57" s="278"/>
    </row>
    <row r="58" spans="1:22" x14ac:dyDescent="0.15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  <c r="S58" s="278"/>
      <c r="T58" s="278"/>
      <c r="U58" s="278"/>
      <c r="V58" s="278"/>
    </row>
    <row r="59" spans="1:22" x14ac:dyDescent="0.15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  <c r="S59" s="278"/>
      <c r="T59" s="278"/>
      <c r="U59" s="278"/>
      <c r="V59" s="278"/>
    </row>
    <row r="60" spans="1:22" x14ac:dyDescent="0.15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  <c r="S60" s="278"/>
      <c r="T60" s="278"/>
      <c r="U60" s="278"/>
      <c r="V60" s="278"/>
    </row>
    <row r="61" spans="1:22" x14ac:dyDescent="0.15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  <c r="S61" s="278"/>
      <c r="T61" s="278"/>
      <c r="U61" s="278"/>
      <c r="V61" s="278"/>
    </row>
    <row r="62" spans="1:22" x14ac:dyDescent="0.15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  <c r="S62" s="278"/>
      <c r="T62" s="278"/>
      <c r="U62" s="278"/>
      <c r="V62" s="278"/>
    </row>
    <row r="63" spans="1:22" x14ac:dyDescent="0.15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  <c r="S63" s="278"/>
      <c r="T63" s="278"/>
      <c r="U63" s="278"/>
      <c r="V63" s="278"/>
    </row>
    <row r="64" spans="1:22" x14ac:dyDescent="0.15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</row>
    <row r="65" spans="1:22" x14ac:dyDescent="0.15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  <c r="S65" s="278"/>
      <c r="T65" s="278"/>
      <c r="U65" s="278"/>
      <c r="V65" s="278"/>
    </row>
    <row r="66" spans="1:22" x14ac:dyDescent="0.15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  <c r="S66" s="278"/>
      <c r="T66" s="278"/>
      <c r="U66" s="278"/>
      <c r="V66" s="278"/>
    </row>
    <row r="67" spans="1:22" x14ac:dyDescent="0.15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  <c r="S67" s="278"/>
      <c r="T67" s="278"/>
      <c r="U67" s="278"/>
      <c r="V67" s="278"/>
    </row>
    <row r="68" spans="1:22" x14ac:dyDescent="0.15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  <c r="S68" s="278"/>
      <c r="T68" s="278"/>
      <c r="U68" s="278"/>
      <c r="V68" s="278"/>
    </row>
    <row r="69" spans="1:22" x14ac:dyDescent="0.15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  <c r="S69" s="278"/>
      <c r="T69" s="278"/>
      <c r="U69" s="278"/>
      <c r="V69" s="278"/>
    </row>
    <row r="70" spans="1:22" x14ac:dyDescent="0.15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  <c r="S70" s="278"/>
      <c r="T70" s="278"/>
      <c r="U70" s="278"/>
      <c r="V70" s="278"/>
    </row>
    <row r="71" spans="1:22" x14ac:dyDescent="0.15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  <c r="S71" s="278"/>
      <c r="T71" s="278"/>
      <c r="U71" s="278"/>
      <c r="V71" s="278"/>
    </row>
    <row r="72" spans="1:22" x14ac:dyDescent="0.15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  <c r="S72" s="278"/>
      <c r="T72" s="278"/>
      <c r="U72" s="278"/>
      <c r="V72" s="278"/>
    </row>
    <row r="73" spans="1:22" x14ac:dyDescent="0.15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  <c r="S73" s="278"/>
      <c r="T73" s="278"/>
      <c r="U73" s="278"/>
      <c r="V73" s="278"/>
    </row>
    <row r="74" spans="1:22" x14ac:dyDescent="0.15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  <c r="S74" s="278"/>
      <c r="T74" s="278"/>
      <c r="U74" s="278"/>
      <c r="V74" s="278"/>
    </row>
    <row r="75" spans="1:22" x14ac:dyDescent="0.15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  <c r="S75" s="278"/>
      <c r="T75" s="278"/>
      <c r="U75" s="278"/>
      <c r="V75" s="278"/>
    </row>
    <row r="76" spans="1:22" x14ac:dyDescent="0.15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  <c r="S76" s="278"/>
      <c r="T76" s="278"/>
      <c r="U76" s="278"/>
      <c r="V76" s="278"/>
    </row>
    <row r="77" spans="1:22" x14ac:dyDescent="0.15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  <c r="S77" s="278"/>
      <c r="T77" s="278"/>
      <c r="U77" s="278"/>
      <c r="V77" s="278"/>
    </row>
    <row r="78" spans="1:22" x14ac:dyDescent="0.15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  <c r="S78" s="278"/>
      <c r="T78" s="278"/>
      <c r="U78" s="278"/>
      <c r="V78" s="278"/>
    </row>
    <row r="79" spans="1:22" x14ac:dyDescent="0.15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  <c r="S79" s="278"/>
      <c r="T79" s="278"/>
      <c r="U79" s="278"/>
      <c r="V79" s="278"/>
    </row>
    <row r="80" spans="1:22" x14ac:dyDescent="0.15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  <c r="S80" s="278"/>
      <c r="T80" s="278"/>
      <c r="U80" s="278"/>
      <c r="V80" s="278"/>
    </row>
    <row r="81" spans="1:22" x14ac:dyDescent="0.15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  <c r="S81" s="278"/>
      <c r="T81" s="278"/>
      <c r="U81" s="278"/>
      <c r="V81" s="278"/>
    </row>
    <row r="82" spans="1:22" x14ac:dyDescent="0.15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  <c r="S82" s="278"/>
      <c r="T82" s="278"/>
      <c r="U82" s="278"/>
      <c r="V82" s="278"/>
    </row>
    <row r="83" spans="1:22" x14ac:dyDescent="0.15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  <c r="S83" s="278"/>
      <c r="T83" s="278"/>
      <c r="U83" s="278"/>
      <c r="V83" s="278"/>
    </row>
    <row r="84" spans="1:22" x14ac:dyDescent="0.15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  <c r="S84" s="278"/>
      <c r="T84" s="278"/>
      <c r="U84" s="278"/>
      <c r="V84" s="278"/>
    </row>
    <row r="85" spans="1:22" x14ac:dyDescent="0.15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  <c r="S85" s="278"/>
      <c r="T85" s="278"/>
      <c r="U85" s="278"/>
      <c r="V85" s="278"/>
    </row>
    <row r="86" spans="1:22" x14ac:dyDescent="0.15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  <c r="S86" s="278"/>
      <c r="T86" s="278"/>
      <c r="U86" s="278"/>
      <c r="V86" s="278"/>
    </row>
    <row r="87" spans="1:22" x14ac:dyDescent="0.15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  <c r="S87" s="278"/>
      <c r="T87" s="278"/>
      <c r="U87" s="278"/>
      <c r="V87" s="278"/>
    </row>
    <row r="88" spans="1:22" x14ac:dyDescent="0.15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278"/>
      <c r="V88" s="278"/>
    </row>
    <row r="89" spans="1:22" x14ac:dyDescent="0.15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  <c r="S89" s="278"/>
      <c r="T89" s="278"/>
      <c r="U89" s="278"/>
      <c r="V89" s="278"/>
    </row>
    <row r="90" spans="1:22" x14ac:dyDescent="0.15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  <c r="S90" s="278"/>
      <c r="T90" s="278"/>
      <c r="U90" s="278"/>
      <c r="V90" s="278"/>
    </row>
    <row r="91" spans="1:22" x14ac:dyDescent="0.15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U91" s="278"/>
      <c r="V91" s="278"/>
    </row>
    <row r="92" spans="1:22" x14ac:dyDescent="0.15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U92" s="278"/>
      <c r="V92" s="278"/>
    </row>
    <row r="93" spans="1:22" x14ac:dyDescent="0.15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U93" s="278"/>
      <c r="V93" s="278"/>
    </row>
    <row r="94" spans="1:22" x14ac:dyDescent="0.15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  <c r="S94" s="278"/>
      <c r="T94" s="278"/>
      <c r="U94" s="278"/>
      <c r="V94" s="278"/>
    </row>
    <row r="95" spans="1:22" x14ac:dyDescent="0.15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  <c r="S95" s="278"/>
      <c r="T95" s="278"/>
      <c r="U95" s="278"/>
      <c r="V95" s="278"/>
    </row>
    <row r="96" spans="1:22" x14ac:dyDescent="0.15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  <c r="S96" s="278"/>
      <c r="T96" s="278"/>
      <c r="U96" s="278"/>
      <c r="V96" s="278"/>
    </row>
    <row r="97" spans="1:22" x14ac:dyDescent="0.15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  <c r="S97" s="278"/>
      <c r="T97" s="278"/>
      <c r="U97" s="278"/>
      <c r="V97" s="278"/>
    </row>
    <row r="98" spans="1:22" x14ac:dyDescent="0.15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  <c r="S98" s="278"/>
      <c r="T98" s="278"/>
      <c r="U98" s="278"/>
      <c r="V98" s="278"/>
    </row>
    <row r="99" spans="1:22" x14ac:dyDescent="0.15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  <c r="S99" s="278"/>
      <c r="T99" s="278"/>
      <c r="U99" s="278"/>
      <c r="V99" s="278"/>
    </row>
    <row r="100" spans="1:22" x14ac:dyDescent="0.15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  <c r="S100" s="278"/>
      <c r="T100" s="278"/>
      <c r="U100" s="278"/>
      <c r="V100" s="278"/>
    </row>
    <row r="101" spans="1:22" x14ac:dyDescent="0.15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  <c r="S101" s="278"/>
      <c r="T101" s="278"/>
      <c r="U101" s="278"/>
      <c r="V101" s="278"/>
    </row>
    <row r="102" spans="1:22" x14ac:dyDescent="0.15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  <c r="S102" s="278"/>
      <c r="T102" s="278"/>
      <c r="U102" s="278"/>
      <c r="V102" s="278"/>
    </row>
    <row r="103" spans="1:22" x14ac:dyDescent="0.15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  <c r="S103" s="278"/>
      <c r="T103" s="278"/>
      <c r="U103" s="278"/>
      <c r="V103" s="278"/>
    </row>
    <row r="104" spans="1:22" x14ac:dyDescent="0.15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  <c r="S104" s="278"/>
      <c r="T104" s="278"/>
      <c r="U104" s="278"/>
      <c r="V104" s="278"/>
    </row>
    <row r="105" spans="1:22" x14ac:dyDescent="0.15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  <c r="S105" s="278"/>
      <c r="T105" s="278"/>
      <c r="U105" s="278"/>
      <c r="V105" s="278"/>
    </row>
    <row r="106" spans="1:22" x14ac:dyDescent="0.15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  <c r="S106" s="278"/>
      <c r="T106" s="278"/>
      <c r="U106" s="278"/>
      <c r="V106" s="278"/>
    </row>
    <row r="107" spans="1:22" x14ac:dyDescent="0.15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  <c r="S107" s="278"/>
      <c r="T107" s="278"/>
      <c r="U107" s="278"/>
      <c r="V107" s="278"/>
    </row>
    <row r="108" spans="1:22" x14ac:dyDescent="0.15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  <c r="S108" s="278"/>
      <c r="T108" s="278"/>
      <c r="U108" s="278"/>
      <c r="V108" s="278"/>
    </row>
    <row r="109" spans="1:22" x14ac:dyDescent="0.15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  <c r="S109" s="278"/>
      <c r="T109" s="278"/>
      <c r="U109" s="278"/>
      <c r="V109" s="278"/>
    </row>
    <row r="110" spans="1:22" x14ac:dyDescent="0.15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  <c r="S110" s="278"/>
      <c r="T110" s="278"/>
      <c r="U110" s="278"/>
      <c r="V110" s="278"/>
    </row>
    <row r="111" spans="1:22" x14ac:dyDescent="0.15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  <c r="S111" s="278"/>
      <c r="T111" s="278"/>
      <c r="U111" s="278"/>
      <c r="V111" s="278"/>
    </row>
    <row r="112" spans="1:22" x14ac:dyDescent="0.15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  <c r="S112" s="278"/>
      <c r="T112" s="278"/>
      <c r="U112" s="278"/>
      <c r="V112" s="278"/>
    </row>
    <row r="113" spans="1:22" x14ac:dyDescent="0.15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  <c r="S113" s="278"/>
      <c r="T113" s="278"/>
      <c r="U113" s="278"/>
      <c r="V113" s="278"/>
    </row>
    <row r="114" spans="1:22" x14ac:dyDescent="0.15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  <c r="S114" s="278"/>
      <c r="T114" s="278"/>
      <c r="U114" s="278"/>
      <c r="V114" s="278"/>
    </row>
    <row r="115" spans="1:22" x14ac:dyDescent="0.15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  <c r="S115" s="278"/>
      <c r="T115" s="278"/>
      <c r="U115" s="278"/>
      <c r="V115" s="278"/>
    </row>
    <row r="116" spans="1:22" x14ac:dyDescent="0.15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  <c r="S116" s="278"/>
      <c r="T116" s="278"/>
      <c r="U116" s="278"/>
      <c r="V116" s="278"/>
    </row>
    <row r="117" spans="1:22" x14ac:dyDescent="0.15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  <c r="S117" s="278"/>
      <c r="T117" s="278"/>
      <c r="U117" s="278"/>
      <c r="V117" s="278"/>
    </row>
    <row r="118" spans="1:22" x14ac:dyDescent="0.15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  <c r="S118" s="278"/>
      <c r="T118" s="278"/>
      <c r="U118" s="278"/>
      <c r="V118" s="278"/>
    </row>
    <row r="119" spans="1:22" x14ac:dyDescent="0.15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  <c r="S119" s="278"/>
      <c r="T119" s="278"/>
      <c r="U119" s="278"/>
      <c r="V119" s="278"/>
    </row>
    <row r="120" spans="1:22" x14ac:dyDescent="0.15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  <c r="S120" s="278"/>
      <c r="T120" s="278"/>
      <c r="U120" s="278"/>
      <c r="V120" s="278"/>
    </row>
    <row r="121" spans="1:22" x14ac:dyDescent="0.15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  <c r="S121" s="278"/>
      <c r="T121" s="278"/>
      <c r="U121" s="278"/>
      <c r="V121" s="278"/>
    </row>
    <row r="122" spans="1:22" x14ac:dyDescent="0.15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  <c r="S122" s="278"/>
      <c r="T122" s="278"/>
      <c r="U122" s="278"/>
      <c r="V122" s="278"/>
    </row>
    <row r="123" spans="1:22" x14ac:dyDescent="0.15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  <c r="S123" s="278"/>
      <c r="T123" s="278"/>
      <c r="U123" s="278"/>
      <c r="V123" s="278"/>
    </row>
    <row r="124" spans="1:22" x14ac:dyDescent="0.15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  <c r="S124" s="278"/>
      <c r="T124" s="278"/>
      <c r="U124" s="278"/>
      <c r="V124" s="278"/>
    </row>
    <row r="125" spans="1:22" x14ac:dyDescent="0.15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  <c r="S125" s="278"/>
      <c r="T125" s="278"/>
      <c r="U125" s="278"/>
      <c r="V125" s="278"/>
    </row>
    <row r="126" spans="1:22" x14ac:dyDescent="0.15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  <c r="S126" s="278"/>
      <c r="T126" s="278"/>
      <c r="U126" s="278"/>
      <c r="V126" s="278"/>
    </row>
    <row r="127" spans="1:22" x14ac:dyDescent="0.15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  <c r="S127" s="278"/>
      <c r="T127" s="278"/>
      <c r="U127" s="278"/>
      <c r="V127" s="278"/>
    </row>
    <row r="128" spans="1:22" x14ac:dyDescent="0.15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</row>
    <row r="129" spans="1:22" x14ac:dyDescent="0.15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  <c r="S129" s="278"/>
      <c r="T129" s="278"/>
      <c r="U129" s="278"/>
      <c r="V129" s="278"/>
    </row>
    <row r="130" spans="1:22" x14ac:dyDescent="0.15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  <c r="S130" s="278"/>
      <c r="T130" s="278"/>
      <c r="U130" s="278"/>
      <c r="V130" s="278"/>
    </row>
    <row r="131" spans="1:22" x14ac:dyDescent="0.15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  <c r="S131" s="278"/>
      <c r="T131" s="278"/>
      <c r="U131" s="278"/>
      <c r="V131" s="278"/>
    </row>
    <row r="132" spans="1:22" x14ac:dyDescent="0.15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  <c r="S132" s="278"/>
      <c r="T132" s="278"/>
      <c r="U132" s="278"/>
      <c r="V132" s="278"/>
    </row>
    <row r="133" spans="1:22" x14ac:dyDescent="0.15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  <c r="S133" s="278"/>
      <c r="T133" s="278"/>
      <c r="U133" s="278"/>
      <c r="V133" s="278"/>
    </row>
    <row r="134" spans="1:22" x14ac:dyDescent="0.15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  <c r="S134" s="278"/>
      <c r="T134" s="278"/>
      <c r="U134" s="278"/>
      <c r="V134" s="278"/>
    </row>
    <row r="135" spans="1:22" x14ac:dyDescent="0.15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  <c r="S135" s="278"/>
      <c r="T135" s="278"/>
      <c r="U135" s="278"/>
      <c r="V135" s="278"/>
    </row>
    <row r="136" spans="1:22" x14ac:dyDescent="0.15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  <c r="S136" s="278"/>
      <c r="T136" s="278"/>
      <c r="U136" s="278"/>
      <c r="V136" s="278"/>
    </row>
    <row r="137" spans="1:22" x14ac:dyDescent="0.15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  <c r="S137" s="278"/>
      <c r="T137" s="278"/>
      <c r="U137" s="278"/>
      <c r="V137" s="278"/>
    </row>
    <row r="138" spans="1:22" x14ac:dyDescent="0.15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  <c r="S138" s="278"/>
      <c r="T138" s="278"/>
      <c r="U138" s="278"/>
      <c r="V138" s="278"/>
    </row>
    <row r="139" spans="1:22" x14ac:dyDescent="0.15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  <c r="S139" s="278"/>
      <c r="T139" s="278"/>
      <c r="U139" s="278"/>
      <c r="V139" s="278"/>
    </row>
    <row r="140" spans="1:22" x14ac:dyDescent="0.15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  <c r="S140" s="278"/>
      <c r="T140" s="278"/>
      <c r="U140" s="278"/>
      <c r="V140" s="278"/>
    </row>
    <row r="141" spans="1:22" x14ac:dyDescent="0.15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  <c r="S141" s="278"/>
      <c r="T141" s="278"/>
      <c r="U141" s="278"/>
      <c r="V141" s="278"/>
    </row>
    <row r="142" spans="1:22" x14ac:dyDescent="0.15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  <c r="S142" s="278"/>
      <c r="T142" s="278"/>
      <c r="U142" s="278"/>
      <c r="V142" s="278"/>
    </row>
    <row r="143" spans="1:22" x14ac:dyDescent="0.15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  <c r="S143" s="278"/>
      <c r="T143" s="278"/>
      <c r="U143" s="278"/>
      <c r="V143" s="278"/>
    </row>
    <row r="144" spans="1:22" x14ac:dyDescent="0.15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  <c r="S144" s="278"/>
      <c r="T144" s="278"/>
      <c r="U144" s="278"/>
      <c r="V144" s="278"/>
    </row>
    <row r="145" spans="1:22" x14ac:dyDescent="0.15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  <c r="S145" s="278"/>
      <c r="T145" s="278"/>
      <c r="U145" s="278"/>
      <c r="V145" s="278"/>
    </row>
    <row r="146" spans="1:22" x14ac:dyDescent="0.15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  <c r="S146" s="278"/>
      <c r="T146" s="278"/>
      <c r="U146" s="278"/>
      <c r="V146" s="278"/>
    </row>
    <row r="147" spans="1:22" x14ac:dyDescent="0.15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  <c r="S147" s="278"/>
      <c r="T147" s="278"/>
      <c r="U147" s="278"/>
      <c r="V147" s="278"/>
    </row>
    <row r="148" spans="1:22" x14ac:dyDescent="0.15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  <c r="S148" s="278"/>
      <c r="T148" s="278"/>
      <c r="U148" s="278"/>
      <c r="V148" s="278"/>
    </row>
    <row r="149" spans="1:22" x14ac:dyDescent="0.15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  <c r="S149" s="278"/>
      <c r="T149" s="278"/>
      <c r="U149" s="278"/>
      <c r="V149" s="278"/>
    </row>
    <row r="150" spans="1:22" x14ac:dyDescent="0.15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  <c r="S150" s="278"/>
      <c r="T150" s="278"/>
      <c r="U150" s="278"/>
      <c r="V150" s="278"/>
    </row>
    <row r="151" spans="1:22" x14ac:dyDescent="0.15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  <c r="S151" s="278"/>
      <c r="T151" s="278"/>
      <c r="U151" s="278"/>
      <c r="V151" s="278"/>
    </row>
    <row r="152" spans="1:22" x14ac:dyDescent="0.15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  <c r="S152" s="278"/>
      <c r="T152" s="278"/>
      <c r="U152" s="278"/>
      <c r="V152" s="278"/>
    </row>
    <row r="153" spans="1:22" x14ac:dyDescent="0.15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  <c r="S153" s="278"/>
      <c r="T153" s="278"/>
      <c r="U153" s="278"/>
      <c r="V153" s="278"/>
    </row>
    <row r="154" spans="1:22" x14ac:dyDescent="0.15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  <c r="S154" s="278"/>
      <c r="T154" s="278"/>
      <c r="U154" s="278"/>
      <c r="V154" s="278"/>
    </row>
    <row r="155" spans="1:22" x14ac:dyDescent="0.15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  <c r="S155" s="278"/>
      <c r="T155" s="278"/>
      <c r="U155" s="278"/>
      <c r="V155" s="278"/>
    </row>
    <row r="156" spans="1:22" x14ac:dyDescent="0.15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  <c r="S156" s="278"/>
      <c r="T156" s="278"/>
      <c r="U156" s="278"/>
      <c r="V156" s="278"/>
    </row>
    <row r="157" spans="1:22" x14ac:dyDescent="0.15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  <c r="S157" s="278"/>
      <c r="T157" s="278"/>
      <c r="U157" s="278"/>
      <c r="V157" s="278"/>
    </row>
    <row r="158" spans="1:22" x14ac:dyDescent="0.15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  <c r="S158" s="278"/>
      <c r="T158" s="278"/>
      <c r="U158" s="278"/>
      <c r="V158" s="278"/>
    </row>
    <row r="159" spans="1:22" x14ac:dyDescent="0.15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  <c r="S159" s="278"/>
      <c r="T159" s="278"/>
      <c r="U159" s="278"/>
      <c r="V159" s="278"/>
    </row>
    <row r="160" spans="1:22" x14ac:dyDescent="0.15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  <c r="S160" s="278"/>
      <c r="T160" s="278"/>
      <c r="U160" s="278"/>
      <c r="V160" s="278"/>
    </row>
    <row r="161" spans="1:22" x14ac:dyDescent="0.15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  <c r="S161" s="278"/>
      <c r="T161" s="278"/>
      <c r="U161" s="278"/>
      <c r="V161" s="278"/>
    </row>
    <row r="162" spans="1:22" x14ac:dyDescent="0.15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  <c r="S162" s="278"/>
      <c r="T162" s="278"/>
      <c r="U162" s="278"/>
      <c r="V162" s="278"/>
    </row>
    <row r="163" spans="1:22" x14ac:dyDescent="0.15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  <c r="S163" s="278"/>
      <c r="T163" s="278"/>
      <c r="U163" s="278"/>
      <c r="V163" s="278"/>
    </row>
    <row r="164" spans="1:22" x14ac:dyDescent="0.15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  <c r="S164" s="278"/>
      <c r="T164" s="278"/>
      <c r="U164" s="278"/>
      <c r="V164" s="278"/>
    </row>
    <row r="165" spans="1:22" x14ac:dyDescent="0.15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  <c r="S165" s="278"/>
      <c r="T165" s="278"/>
      <c r="U165" s="278"/>
      <c r="V165" s="278"/>
    </row>
    <row r="166" spans="1:22" x14ac:dyDescent="0.15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  <c r="S166" s="278"/>
      <c r="T166" s="278"/>
      <c r="U166" s="278"/>
      <c r="V166" s="278"/>
    </row>
    <row r="167" spans="1:22" x14ac:dyDescent="0.15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  <c r="S167" s="278"/>
      <c r="T167" s="278"/>
      <c r="U167" s="278"/>
      <c r="V167" s="278"/>
    </row>
    <row r="168" spans="1:22" x14ac:dyDescent="0.15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  <c r="S168" s="278"/>
      <c r="T168" s="278"/>
      <c r="U168" s="278"/>
      <c r="V168" s="278"/>
    </row>
    <row r="169" spans="1:22" x14ac:dyDescent="0.15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  <c r="S169" s="278"/>
      <c r="T169" s="278"/>
      <c r="U169" s="278"/>
      <c r="V169" s="278"/>
    </row>
    <row r="170" spans="1:22" x14ac:dyDescent="0.15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  <c r="S170" s="278"/>
      <c r="T170" s="278"/>
      <c r="U170" s="278"/>
      <c r="V170" s="278"/>
    </row>
    <row r="171" spans="1:22" x14ac:dyDescent="0.15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  <c r="S171" s="278"/>
      <c r="T171" s="278"/>
      <c r="U171" s="278"/>
      <c r="V171" s="278"/>
    </row>
    <row r="172" spans="1:22" x14ac:dyDescent="0.15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  <c r="T172" s="278"/>
      <c r="U172" s="278"/>
      <c r="V172" s="278"/>
    </row>
    <row r="173" spans="1:22" x14ac:dyDescent="0.15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  <c r="S173" s="278"/>
      <c r="T173" s="278"/>
      <c r="U173" s="278"/>
      <c r="V173" s="278"/>
    </row>
    <row r="174" spans="1:22" x14ac:dyDescent="0.15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  <c r="S174" s="278"/>
      <c r="T174" s="278"/>
      <c r="U174" s="278"/>
      <c r="V174" s="278"/>
    </row>
    <row r="175" spans="1:22" x14ac:dyDescent="0.15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  <c r="S175" s="278"/>
      <c r="T175" s="278"/>
      <c r="U175" s="278"/>
      <c r="V175" s="278"/>
    </row>
    <row r="176" spans="1:22" x14ac:dyDescent="0.15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  <c r="S176" s="278"/>
      <c r="T176" s="278"/>
      <c r="U176" s="278"/>
      <c r="V176" s="278"/>
    </row>
    <row r="177" spans="1:22" x14ac:dyDescent="0.15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  <c r="S177" s="278"/>
      <c r="T177" s="278"/>
      <c r="U177" s="278"/>
      <c r="V177" s="278"/>
    </row>
    <row r="178" spans="1:22" x14ac:dyDescent="0.15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  <c r="S178" s="278"/>
      <c r="T178" s="278"/>
      <c r="U178" s="278"/>
      <c r="V178" s="278"/>
    </row>
    <row r="179" spans="1:22" x14ac:dyDescent="0.15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  <c r="S179" s="278"/>
      <c r="T179" s="278"/>
      <c r="U179" s="278"/>
      <c r="V179" s="278"/>
    </row>
    <row r="180" spans="1:22" x14ac:dyDescent="0.15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  <c r="S180" s="278"/>
      <c r="T180" s="278"/>
      <c r="U180" s="278"/>
      <c r="V180" s="278"/>
    </row>
    <row r="181" spans="1:22" x14ac:dyDescent="0.15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  <c r="S181" s="278"/>
      <c r="T181" s="278"/>
      <c r="U181" s="278"/>
      <c r="V181" s="278"/>
    </row>
    <row r="182" spans="1:22" x14ac:dyDescent="0.15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  <c r="S182" s="278"/>
      <c r="T182" s="278"/>
      <c r="U182" s="278"/>
      <c r="V182" s="278"/>
    </row>
    <row r="183" spans="1:22" x14ac:dyDescent="0.15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  <c r="S183" s="278"/>
      <c r="T183" s="278"/>
      <c r="U183" s="278"/>
      <c r="V183" s="278"/>
    </row>
    <row r="184" spans="1:22" x14ac:dyDescent="0.15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  <c r="S184" s="278"/>
      <c r="T184" s="278"/>
      <c r="U184" s="278"/>
      <c r="V184" s="278"/>
    </row>
    <row r="185" spans="1:22" x14ac:dyDescent="0.15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  <c r="S185" s="278"/>
      <c r="T185" s="278"/>
      <c r="U185" s="278"/>
      <c r="V185" s="278"/>
    </row>
    <row r="186" spans="1:22" x14ac:dyDescent="0.15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  <c r="S186" s="278"/>
      <c r="T186" s="278"/>
      <c r="U186" s="278"/>
      <c r="V186" s="278"/>
    </row>
    <row r="187" spans="1:22" x14ac:dyDescent="0.15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  <c r="S187" s="278"/>
      <c r="T187" s="278"/>
      <c r="U187" s="278"/>
      <c r="V187" s="278"/>
    </row>
    <row r="188" spans="1:22" x14ac:dyDescent="0.15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  <c r="S188" s="278"/>
      <c r="T188" s="278"/>
      <c r="U188" s="278"/>
      <c r="V188" s="278"/>
    </row>
    <row r="189" spans="1:22" x14ac:dyDescent="0.15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  <c r="S189" s="278"/>
      <c r="T189" s="278"/>
      <c r="U189" s="278"/>
      <c r="V189" s="278"/>
    </row>
    <row r="190" spans="1:22" x14ac:dyDescent="0.15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  <c r="S190" s="278"/>
      <c r="T190" s="278"/>
      <c r="U190" s="278"/>
      <c r="V190" s="278"/>
    </row>
    <row r="191" spans="1:22" x14ac:dyDescent="0.15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  <c r="S191" s="278"/>
      <c r="T191" s="278"/>
      <c r="U191" s="278"/>
      <c r="V191" s="278"/>
    </row>
    <row r="192" spans="1:22" x14ac:dyDescent="0.15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  <c r="S192" s="278"/>
      <c r="T192" s="278"/>
      <c r="U192" s="278"/>
      <c r="V192" s="278"/>
    </row>
    <row r="193" spans="1:22" x14ac:dyDescent="0.15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  <c r="S193" s="278"/>
      <c r="T193" s="278"/>
      <c r="U193" s="278"/>
      <c r="V193" s="278"/>
    </row>
    <row r="194" spans="1:22" x14ac:dyDescent="0.15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  <c r="S194" s="278"/>
      <c r="T194" s="278"/>
      <c r="U194" s="278"/>
      <c r="V194" s="278"/>
    </row>
    <row r="195" spans="1:22" x14ac:dyDescent="0.15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  <c r="S195" s="278"/>
      <c r="T195" s="278"/>
      <c r="U195" s="278"/>
      <c r="V195" s="278"/>
    </row>
    <row r="196" spans="1:22" x14ac:dyDescent="0.15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  <c r="S196" s="278"/>
      <c r="T196" s="278"/>
      <c r="U196" s="278"/>
      <c r="V196" s="278"/>
    </row>
    <row r="197" spans="1:22" x14ac:dyDescent="0.15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  <c r="S197" s="278"/>
      <c r="T197" s="278"/>
      <c r="U197" s="278"/>
      <c r="V197" s="278"/>
    </row>
    <row r="198" spans="1:22" x14ac:dyDescent="0.15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  <c r="S198" s="278"/>
      <c r="T198" s="278"/>
      <c r="U198" s="278"/>
      <c r="V198" s="278"/>
    </row>
    <row r="199" spans="1:22" x14ac:dyDescent="0.15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  <c r="S199" s="278"/>
      <c r="T199" s="278"/>
      <c r="U199" s="278"/>
      <c r="V199" s="278"/>
    </row>
    <row r="200" spans="1:22" x14ac:dyDescent="0.15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  <c r="S200" s="278"/>
      <c r="T200" s="278"/>
      <c r="U200" s="278"/>
      <c r="V200" s="278"/>
    </row>
    <row r="201" spans="1:22" x14ac:dyDescent="0.15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  <c r="S201" s="278"/>
      <c r="T201" s="278"/>
      <c r="U201" s="278"/>
      <c r="V201" s="278"/>
    </row>
    <row r="202" spans="1:22" x14ac:dyDescent="0.15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  <c r="S202" s="278"/>
      <c r="T202" s="278"/>
      <c r="U202" s="278"/>
      <c r="V202" s="278"/>
    </row>
    <row r="203" spans="1:22" x14ac:dyDescent="0.15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  <c r="S203" s="278"/>
      <c r="T203" s="278"/>
      <c r="U203" s="278"/>
      <c r="V203" s="278"/>
    </row>
    <row r="204" spans="1:22" x14ac:dyDescent="0.15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  <c r="S204" s="278"/>
      <c r="T204" s="278"/>
      <c r="U204" s="278"/>
      <c r="V204" s="278"/>
    </row>
    <row r="205" spans="1:22" x14ac:dyDescent="0.15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  <c r="S205" s="278"/>
      <c r="T205" s="278"/>
      <c r="U205" s="278"/>
      <c r="V205" s="278"/>
    </row>
    <row r="206" spans="1:22" x14ac:dyDescent="0.15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  <c r="S206" s="278"/>
      <c r="T206" s="278"/>
      <c r="U206" s="278"/>
      <c r="V206" s="278"/>
    </row>
    <row r="207" spans="1:22" x14ac:dyDescent="0.15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  <c r="S207" s="278"/>
      <c r="T207" s="278"/>
      <c r="U207" s="278"/>
      <c r="V207" s="278"/>
    </row>
    <row r="208" spans="1:22" x14ac:dyDescent="0.15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  <c r="S208" s="278"/>
      <c r="T208" s="278"/>
      <c r="U208" s="278"/>
      <c r="V208" s="278"/>
    </row>
    <row r="209" spans="1:22" x14ac:dyDescent="0.15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  <c r="S209" s="278"/>
      <c r="T209" s="278"/>
      <c r="U209" s="278"/>
      <c r="V209" s="278"/>
    </row>
    <row r="210" spans="1:22" x14ac:dyDescent="0.15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  <c r="S210" s="278"/>
      <c r="T210" s="278"/>
      <c r="U210" s="278"/>
      <c r="V210" s="278"/>
    </row>
    <row r="211" spans="1:22" x14ac:dyDescent="0.15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</row>
    <row r="212" spans="1:22" x14ac:dyDescent="0.15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  <c r="S212" s="278"/>
      <c r="T212" s="278"/>
      <c r="U212" s="278"/>
      <c r="V212" s="278"/>
    </row>
    <row r="213" spans="1:22" x14ac:dyDescent="0.15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  <c r="S213" s="278"/>
      <c r="T213" s="278"/>
      <c r="U213" s="278"/>
      <c r="V213" s="278"/>
    </row>
    <row r="214" spans="1:22" x14ac:dyDescent="0.15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  <c r="S214" s="278"/>
      <c r="T214" s="278"/>
      <c r="U214" s="278"/>
      <c r="V214" s="278"/>
    </row>
    <row r="215" spans="1:22" x14ac:dyDescent="0.15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  <c r="S215" s="278"/>
      <c r="T215" s="278"/>
      <c r="U215" s="278"/>
      <c r="V215" s="278"/>
    </row>
    <row r="216" spans="1:22" x14ac:dyDescent="0.15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  <c r="S216" s="278"/>
      <c r="T216" s="278"/>
      <c r="U216" s="278"/>
      <c r="V216" s="278"/>
    </row>
    <row r="217" spans="1:22" x14ac:dyDescent="0.15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  <c r="S217" s="278"/>
      <c r="T217" s="278"/>
      <c r="U217" s="278"/>
      <c r="V217" s="278"/>
    </row>
    <row r="218" spans="1:22" x14ac:dyDescent="0.15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278"/>
      <c r="M218" s="278"/>
      <c r="N218" s="278"/>
      <c r="O218" s="278"/>
      <c r="P218" s="278"/>
      <c r="Q218" s="278"/>
      <c r="R218" s="278"/>
      <c r="S218" s="278"/>
      <c r="T218" s="278"/>
      <c r="U218" s="278"/>
      <c r="V218" s="278"/>
    </row>
    <row r="219" spans="1:22" x14ac:dyDescent="0.15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278"/>
      <c r="M219" s="278"/>
      <c r="N219" s="278"/>
      <c r="O219" s="278"/>
      <c r="P219" s="278"/>
      <c r="Q219" s="278"/>
      <c r="R219" s="278"/>
      <c r="S219" s="278"/>
      <c r="T219" s="278"/>
      <c r="U219" s="278"/>
      <c r="V219" s="278"/>
    </row>
    <row r="220" spans="1:22" x14ac:dyDescent="0.15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278"/>
      <c r="M220" s="278"/>
      <c r="N220" s="278"/>
      <c r="O220" s="278"/>
      <c r="P220" s="278"/>
      <c r="Q220" s="278"/>
      <c r="R220" s="278"/>
      <c r="S220" s="278"/>
      <c r="T220" s="278"/>
      <c r="U220" s="278"/>
      <c r="V220" s="278"/>
    </row>
    <row r="221" spans="1:22" x14ac:dyDescent="0.15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278"/>
      <c r="M221" s="278"/>
      <c r="N221" s="278"/>
      <c r="O221" s="278"/>
      <c r="P221" s="278"/>
      <c r="Q221" s="278"/>
      <c r="R221" s="278"/>
      <c r="S221" s="278"/>
      <c r="T221" s="278"/>
      <c r="U221" s="278"/>
      <c r="V221" s="278"/>
    </row>
    <row r="222" spans="1:22" x14ac:dyDescent="0.15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/>
      <c r="O222" s="278"/>
      <c r="P222" s="278"/>
      <c r="Q222" s="278"/>
      <c r="R222" s="278"/>
      <c r="S222" s="278"/>
      <c r="T222" s="278"/>
      <c r="U222" s="278"/>
      <c r="V222" s="278"/>
    </row>
    <row r="223" spans="1:22" x14ac:dyDescent="0.15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278"/>
      <c r="M223" s="278"/>
      <c r="N223" s="278"/>
      <c r="O223" s="278"/>
      <c r="P223" s="278"/>
      <c r="Q223" s="278"/>
      <c r="R223" s="278"/>
      <c r="S223" s="278"/>
      <c r="T223" s="278"/>
      <c r="U223" s="278"/>
      <c r="V223" s="278"/>
    </row>
    <row r="224" spans="1:22" x14ac:dyDescent="0.15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278"/>
      <c r="M224" s="278"/>
      <c r="N224" s="278"/>
      <c r="O224" s="278"/>
      <c r="P224" s="278"/>
      <c r="Q224" s="278"/>
      <c r="R224" s="278"/>
      <c r="S224" s="278"/>
      <c r="T224" s="278"/>
      <c r="U224" s="278"/>
      <c r="V224" s="278"/>
    </row>
    <row r="225" spans="1:22" x14ac:dyDescent="0.15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278"/>
      <c r="M225" s="278"/>
      <c r="N225" s="278"/>
      <c r="O225" s="278"/>
      <c r="P225" s="278"/>
      <c r="Q225" s="278"/>
      <c r="R225" s="278"/>
      <c r="S225" s="278"/>
      <c r="T225" s="278"/>
      <c r="U225" s="278"/>
      <c r="V225" s="278"/>
    </row>
    <row r="226" spans="1:22" x14ac:dyDescent="0.15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278"/>
      <c r="Q226" s="278"/>
      <c r="R226" s="278"/>
      <c r="S226" s="278"/>
      <c r="T226" s="278"/>
      <c r="U226" s="278"/>
      <c r="V226" s="278"/>
    </row>
    <row r="227" spans="1:22" x14ac:dyDescent="0.15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278"/>
      <c r="M227" s="278"/>
      <c r="N227" s="278"/>
      <c r="O227" s="278"/>
      <c r="P227" s="278"/>
      <c r="Q227" s="278"/>
      <c r="R227" s="278"/>
      <c r="S227" s="278"/>
      <c r="T227" s="278"/>
      <c r="U227" s="278"/>
      <c r="V227" s="278"/>
    </row>
    <row r="228" spans="1:22" x14ac:dyDescent="0.15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278"/>
      <c r="M228" s="278"/>
      <c r="N228" s="278"/>
      <c r="O228" s="278"/>
      <c r="P228" s="278"/>
      <c r="Q228" s="278"/>
      <c r="R228" s="278"/>
      <c r="S228" s="278"/>
      <c r="T228" s="278"/>
      <c r="U228" s="278"/>
      <c r="V228" s="278"/>
    </row>
    <row r="229" spans="1:22" x14ac:dyDescent="0.15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278"/>
      <c r="M229" s="278"/>
      <c r="N229" s="278"/>
      <c r="O229" s="278"/>
      <c r="P229" s="278"/>
      <c r="Q229" s="278"/>
      <c r="R229" s="278"/>
      <c r="S229" s="278"/>
      <c r="T229" s="278"/>
      <c r="U229" s="278"/>
      <c r="V229" s="278"/>
    </row>
    <row r="230" spans="1:22" x14ac:dyDescent="0.15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278"/>
      <c r="M230" s="278"/>
      <c r="N230" s="278"/>
      <c r="O230" s="278"/>
      <c r="P230" s="278"/>
      <c r="Q230" s="278"/>
      <c r="R230" s="278"/>
      <c r="S230" s="278"/>
      <c r="T230" s="278"/>
      <c r="U230" s="278"/>
      <c r="V230" s="278"/>
    </row>
    <row r="231" spans="1:22" x14ac:dyDescent="0.15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278"/>
      <c r="M231" s="278"/>
      <c r="N231" s="278"/>
      <c r="O231" s="278"/>
      <c r="P231" s="278"/>
      <c r="Q231" s="278"/>
      <c r="R231" s="278"/>
      <c r="S231" s="278"/>
      <c r="T231" s="278"/>
      <c r="U231" s="278"/>
      <c r="V231" s="278"/>
    </row>
    <row r="232" spans="1:22" x14ac:dyDescent="0.15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278"/>
      <c r="M232" s="278"/>
      <c r="N232" s="278"/>
      <c r="O232" s="278"/>
      <c r="P232" s="278"/>
      <c r="Q232" s="278"/>
      <c r="R232" s="278"/>
      <c r="S232" s="278"/>
      <c r="T232" s="278"/>
      <c r="U232" s="278"/>
      <c r="V232" s="278"/>
    </row>
    <row r="233" spans="1:22" x14ac:dyDescent="0.15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278"/>
      <c r="M233" s="278"/>
      <c r="N233" s="278"/>
      <c r="O233" s="278"/>
      <c r="P233" s="278"/>
      <c r="Q233" s="278"/>
      <c r="R233" s="278"/>
      <c r="S233" s="278"/>
      <c r="T233" s="278"/>
      <c r="U233" s="278"/>
      <c r="V233" s="278"/>
    </row>
    <row r="234" spans="1:22" x14ac:dyDescent="0.15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278"/>
      <c r="M234" s="278"/>
      <c r="N234" s="278"/>
      <c r="O234" s="278"/>
      <c r="P234" s="278"/>
      <c r="Q234" s="278"/>
      <c r="R234" s="278"/>
      <c r="S234" s="278"/>
      <c r="T234" s="278"/>
      <c r="U234" s="278"/>
      <c r="V234" s="278"/>
    </row>
    <row r="235" spans="1:22" x14ac:dyDescent="0.15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278"/>
      <c r="M235" s="278"/>
      <c r="N235" s="278"/>
      <c r="O235" s="278"/>
      <c r="P235" s="278"/>
      <c r="Q235" s="278"/>
      <c r="R235" s="278"/>
      <c r="S235" s="278"/>
      <c r="T235" s="278"/>
      <c r="U235" s="278"/>
      <c r="V235" s="278"/>
    </row>
    <row r="236" spans="1:22" x14ac:dyDescent="0.15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278"/>
      <c r="M236" s="278"/>
      <c r="N236" s="278"/>
      <c r="O236" s="278"/>
      <c r="P236" s="278"/>
      <c r="Q236" s="278"/>
      <c r="R236" s="278"/>
      <c r="S236" s="278"/>
      <c r="T236" s="278"/>
      <c r="U236" s="278"/>
      <c r="V236" s="278"/>
    </row>
    <row r="237" spans="1:22" x14ac:dyDescent="0.15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278"/>
      <c r="M237" s="278"/>
      <c r="N237" s="278"/>
      <c r="O237" s="278"/>
      <c r="P237" s="278"/>
      <c r="Q237" s="278"/>
      <c r="R237" s="278"/>
      <c r="S237" s="278"/>
      <c r="T237" s="278"/>
      <c r="U237" s="278"/>
      <c r="V237" s="278"/>
    </row>
    <row r="238" spans="1:22" x14ac:dyDescent="0.15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278"/>
      <c r="M238" s="278"/>
      <c r="N238" s="278"/>
      <c r="O238" s="278"/>
      <c r="P238" s="278"/>
      <c r="Q238" s="278"/>
      <c r="R238" s="278"/>
      <c r="S238" s="278"/>
      <c r="T238" s="278"/>
      <c r="U238" s="278"/>
      <c r="V238" s="278"/>
    </row>
    <row r="239" spans="1:22" x14ac:dyDescent="0.15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278"/>
      <c r="M239" s="278"/>
      <c r="N239" s="278"/>
      <c r="O239" s="278"/>
      <c r="P239" s="278"/>
      <c r="Q239" s="278"/>
      <c r="R239" s="278"/>
      <c r="S239" s="278"/>
      <c r="T239" s="278"/>
      <c r="U239" s="278"/>
      <c r="V239" s="278"/>
    </row>
    <row r="240" spans="1:22" x14ac:dyDescent="0.15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278"/>
      <c r="M240" s="278"/>
      <c r="N240" s="278"/>
      <c r="O240" s="278"/>
      <c r="P240" s="278"/>
      <c r="Q240" s="278"/>
      <c r="R240" s="278"/>
      <c r="S240" s="278"/>
      <c r="T240" s="278"/>
      <c r="U240" s="278"/>
      <c r="V240" s="278"/>
    </row>
    <row r="241" spans="1:22" x14ac:dyDescent="0.15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278"/>
      <c r="M241" s="278"/>
      <c r="N241" s="278"/>
      <c r="O241" s="278"/>
      <c r="P241" s="278"/>
      <c r="Q241" s="278"/>
      <c r="R241" s="278"/>
      <c r="S241" s="278"/>
      <c r="T241" s="278"/>
      <c r="U241" s="278"/>
      <c r="V241" s="278"/>
    </row>
    <row r="242" spans="1:22" x14ac:dyDescent="0.15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278"/>
      <c r="M242" s="278"/>
      <c r="N242" s="278"/>
      <c r="O242" s="278"/>
      <c r="P242" s="278"/>
      <c r="Q242" s="278"/>
      <c r="R242" s="278"/>
      <c r="S242" s="278"/>
      <c r="T242" s="278"/>
      <c r="U242" s="278"/>
      <c r="V242" s="278"/>
    </row>
    <row r="243" spans="1:22" x14ac:dyDescent="0.15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278"/>
      <c r="M243" s="278"/>
      <c r="N243" s="278"/>
      <c r="O243" s="278"/>
      <c r="P243" s="278"/>
      <c r="Q243" s="278"/>
      <c r="R243" s="278"/>
      <c r="S243" s="278"/>
      <c r="T243" s="278"/>
      <c r="U243" s="278"/>
      <c r="V243" s="278"/>
    </row>
    <row r="244" spans="1:22" x14ac:dyDescent="0.15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278"/>
      <c r="M244" s="278"/>
      <c r="N244" s="278"/>
      <c r="O244" s="278"/>
      <c r="P244" s="278"/>
      <c r="Q244" s="278"/>
      <c r="R244" s="278"/>
      <c r="S244" s="278"/>
      <c r="T244" s="278"/>
      <c r="U244" s="278"/>
      <c r="V244" s="278"/>
    </row>
    <row r="245" spans="1:22" x14ac:dyDescent="0.15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8"/>
      <c r="P245" s="278"/>
      <c r="Q245" s="278"/>
      <c r="R245" s="278"/>
      <c r="S245" s="278"/>
      <c r="T245" s="278"/>
      <c r="U245" s="278"/>
      <c r="V245" s="278"/>
    </row>
    <row r="246" spans="1:22" x14ac:dyDescent="0.15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278"/>
      <c r="M246" s="278"/>
      <c r="N246" s="278"/>
      <c r="O246" s="278"/>
      <c r="P246" s="278"/>
      <c r="Q246" s="278"/>
      <c r="R246" s="278"/>
      <c r="S246" s="278"/>
      <c r="T246" s="278"/>
      <c r="U246" s="278"/>
      <c r="V246" s="278"/>
    </row>
    <row r="247" spans="1:22" x14ac:dyDescent="0.15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278"/>
      <c r="M247" s="278"/>
      <c r="N247" s="278"/>
      <c r="O247" s="278"/>
      <c r="P247" s="278"/>
      <c r="Q247" s="278"/>
      <c r="R247" s="278"/>
      <c r="S247" s="278"/>
      <c r="T247" s="278"/>
      <c r="U247" s="278"/>
      <c r="V247" s="278"/>
    </row>
    <row r="248" spans="1:22" x14ac:dyDescent="0.15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278"/>
      <c r="M248" s="278"/>
      <c r="N248" s="278"/>
      <c r="O248" s="278"/>
      <c r="P248" s="278"/>
      <c r="Q248" s="278"/>
      <c r="R248" s="278"/>
      <c r="S248" s="278"/>
      <c r="T248" s="278"/>
      <c r="U248" s="278"/>
      <c r="V248" s="278"/>
    </row>
    <row r="249" spans="1:22" x14ac:dyDescent="0.15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278"/>
      <c r="M249" s="278"/>
      <c r="N249" s="278"/>
      <c r="O249" s="278"/>
      <c r="P249" s="278"/>
      <c r="Q249" s="278"/>
      <c r="R249" s="278"/>
      <c r="S249" s="278"/>
      <c r="T249" s="278"/>
      <c r="U249" s="278"/>
      <c r="V249" s="278"/>
    </row>
    <row r="250" spans="1:22" x14ac:dyDescent="0.15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278"/>
      <c r="M250" s="278"/>
      <c r="N250" s="278"/>
      <c r="O250" s="278"/>
      <c r="P250" s="278"/>
      <c r="Q250" s="278"/>
      <c r="R250" s="278"/>
      <c r="S250" s="278"/>
      <c r="T250" s="278"/>
      <c r="U250" s="278"/>
      <c r="V250" s="278"/>
    </row>
    <row r="251" spans="1:22" x14ac:dyDescent="0.15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278"/>
      <c r="M251" s="278"/>
      <c r="N251" s="278"/>
      <c r="O251" s="278"/>
      <c r="P251" s="278"/>
      <c r="Q251" s="278"/>
      <c r="R251" s="278"/>
      <c r="S251" s="278"/>
      <c r="T251" s="278"/>
      <c r="U251" s="278"/>
      <c r="V251" s="278"/>
    </row>
    <row r="252" spans="1:22" x14ac:dyDescent="0.15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278"/>
      <c r="M252" s="278"/>
      <c r="N252" s="278"/>
      <c r="O252" s="278"/>
      <c r="P252" s="278"/>
      <c r="Q252" s="278"/>
      <c r="R252" s="278"/>
      <c r="S252" s="278"/>
      <c r="T252" s="278"/>
      <c r="U252" s="278"/>
      <c r="V252" s="278"/>
    </row>
    <row r="253" spans="1:22" x14ac:dyDescent="0.15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278"/>
      <c r="M253" s="278"/>
      <c r="N253" s="278"/>
      <c r="O253" s="278"/>
      <c r="P253" s="278"/>
      <c r="Q253" s="278"/>
      <c r="R253" s="278"/>
      <c r="S253" s="278"/>
      <c r="T253" s="278"/>
      <c r="U253" s="278"/>
      <c r="V253" s="278"/>
    </row>
    <row r="254" spans="1:22" x14ac:dyDescent="0.15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278"/>
      <c r="M254" s="278"/>
      <c r="N254" s="278"/>
      <c r="O254" s="278"/>
      <c r="P254" s="278"/>
      <c r="Q254" s="278"/>
      <c r="R254" s="278"/>
      <c r="S254" s="278"/>
      <c r="T254" s="278"/>
      <c r="U254" s="278"/>
      <c r="V254" s="278"/>
    </row>
    <row r="255" spans="1:22" x14ac:dyDescent="0.15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278"/>
      <c r="M255" s="278"/>
      <c r="N255" s="278"/>
      <c r="O255" s="278"/>
      <c r="P255" s="278"/>
      <c r="Q255" s="278"/>
      <c r="R255" s="278"/>
      <c r="S255" s="278"/>
      <c r="T255" s="278"/>
      <c r="U255" s="278"/>
      <c r="V255" s="278"/>
    </row>
    <row r="256" spans="1:22" x14ac:dyDescent="0.15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278"/>
      <c r="M256" s="278"/>
      <c r="N256" s="278"/>
      <c r="O256" s="278"/>
      <c r="P256" s="278"/>
      <c r="Q256" s="278"/>
      <c r="R256" s="278"/>
      <c r="S256" s="278"/>
      <c r="T256" s="278"/>
      <c r="U256" s="278"/>
      <c r="V256" s="278"/>
    </row>
    <row r="257" spans="1:22" x14ac:dyDescent="0.15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278"/>
      <c r="M257" s="278"/>
      <c r="N257" s="278"/>
      <c r="O257" s="278"/>
      <c r="P257" s="278"/>
      <c r="Q257" s="278"/>
      <c r="R257" s="278"/>
      <c r="S257" s="278"/>
      <c r="T257" s="278"/>
      <c r="U257" s="278"/>
      <c r="V257" s="278"/>
    </row>
    <row r="258" spans="1:22" x14ac:dyDescent="0.15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278"/>
      <c r="M258" s="278"/>
      <c r="N258" s="278"/>
      <c r="O258" s="278"/>
      <c r="P258" s="278"/>
      <c r="Q258" s="278"/>
      <c r="R258" s="278"/>
      <c r="S258" s="278"/>
      <c r="T258" s="278"/>
      <c r="U258" s="278"/>
      <c r="V258" s="278"/>
    </row>
    <row r="259" spans="1:22" x14ac:dyDescent="0.15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278"/>
      <c r="M259" s="278"/>
      <c r="N259" s="278"/>
      <c r="O259" s="278"/>
      <c r="P259" s="278"/>
      <c r="Q259" s="278"/>
      <c r="R259" s="278"/>
      <c r="S259" s="278"/>
      <c r="T259" s="278"/>
      <c r="U259" s="278"/>
      <c r="V259" s="278"/>
    </row>
    <row r="260" spans="1:22" x14ac:dyDescent="0.15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278"/>
      <c r="P260" s="278"/>
      <c r="Q260" s="278"/>
      <c r="R260" s="278"/>
      <c r="S260" s="278"/>
      <c r="T260" s="278"/>
      <c r="U260" s="278"/>
      <c r="V260" s="278"/>
    </row>
    <row r="261" spans="1:22" x14ac:dyDescent="0.15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278"/>
      <c r="M261" s="278"/>
      <c r="N261" s="278"/>
      <c r="O261" s="278"/>
      <c r="P261" s="278"/>
      <c r="Q261" s="278"/>
      <c r="R261" s="278"/>
      <c r="S261" s="278"/>
      <c r="T261" s="278"/>
      <c r="U261" s="278"/>
      <c r="V261" s="278"/>
    </row>
    <row r="262" spans="1:22" x14ac:dyDescent="0.15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278"/>
      <c r="M262" s="278"/>
      <c r="N262" s="278"/>
      <c r="O262" s="278"/>
      <c r="P262" s="278"/>
      <c r="Q262" s="278"/>
      <c r="R262" s="278"/>
      <c r="S262" s="278"/>
      <c r="T262" s="278"/>
      <c r="U262" s="278"/>
      <c r="V262" s="278"/>
    </row>
    <row r="263" spans="1:22" x14ac:dyDescent="0.15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278"/>
      <c r="M263" s="278"/>
      <c r="N263" s="278"/>
      <c r="O263" s="278"/>
      <c r="P263" s="278"/>
      <c r="Q263" s="278"/>
      <c r="R263" s="278"/>
      <c r="S263" s="278"/>
      <c r="T263" s="278"/>
      <c r="U263" s="278"/>
      <c r="V263" s="278"/>
    </row>
    <row r="264" spans="1:22" x14ac:dyDescent="0.15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278"/>
      <c r="M264" s="278"/>
      <c r="N264" s="278"/>
      <c r="O264" s="278"/>
      <c r="P264" s="278"/>
      <c r="Q264" s="278"/>
      <c r="R264" s="278"/>
      <c r="S264" s="278"/>
      <c r="T264" s="278"/>
      <c r="U264" s="278"/>
      <c r="V264" s="278"/>
    </row>
    <row r="265" spans="1:22" x14ac:dyDescent="0.15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278"/>
      <c r="M265" s="278"/>
      <c r="N265" s="278"/>
      <c r="O265" s="278"/>
      <c r="P265" s="278"/>
      <c r="Q265" s="278"/>
      <c r="R265" s="278"/>
      <c r="S265" s="278"/>
      <c r="T265" s="278"/>
      <c r="U265" s="278"/>
      <c r="V265" s="278"/>
    </row>
    <row r="266" spans="1:22" x14ac:dyDescent="0.15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278"/>
      <c r="M266" s="278"/>
      <c r="N266" s="278"/>
      <c r="O266" s="278"/>
      <c r="P266" s="278"/>
      <c r="Q266" s="278"/>
      <c r="R266" s="278"/>
      <c r="S266" s="278"/>
      <c r="T266" s="278"/>
      <c r="U266" s="278"/>
      <c r="V266" s="278"/>
    </row>
    <row r="267" spans="1:22" x14ac:dyDescent="0.15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278"/>
      <c r="M267" s="278"/>
      <c r="N267" s="278"/>
      <c r="O267" s="278"/>
      <c r="P267" s="278"/>
      <c r="Q267" s="278"/>
      <c r="R267" s="278"/>
      <c r="S267" s="278"/>
      <c r="T267" s="278"/>
      <c r="U267" s="278"/>
      <c r="V267" s="278"/>
    </row>
    <row r="268" spans="1:22" x14ac:dyDescent="0.15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278"/>
      <c r="M268" s="278"/>
      <c r="N268" s="278"/>
      <c r="O268" s="278"/>
      <c r="P268" s="278"/>
      <c r="Q268" s="278"/>
      <c r="R268" s="278"/>
      <c r="S268" s="278"/>
      <c r="T268" s="278"/>
      <c r="U268" s="278"/>
      <c r="V268" s="278"/>
    </row>
    <row r="269" spans="1:22" x14ac:dyDescent="0.15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278"/>
      <c r="M269" s="278"/>
      <c r="N269" s="278"/>
      <c r="O269" s="278"/>
      <c r="P269" s="278"/>
      <c r="Q269" s="278"/>
      <c r="R269" s="278"/>
      <c r="S269" s="278"/>
      <c r="T269" s="278"/>
      <c r="U269" s="278"/>
      <c r="V269" s="278"/>
    </row>
    <row r="270" spans="1:22" x14ac:dyDescent="0.15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278"/>
      <c r="M270" s="278"/>
      <c r="N270" s="278"/>
      <c r="O270" s="278"/>
      <c r="P270" s="278"/>
      <c r="Q270" s="278"/>
      <c r="R270" s="278"/>
      <c r="S270" s="278"/>
      <c r="T270" s="278"/>
      <c r="U270" s="278"/>
      <c r="V270" s="278"/>
    </row>
    <row r="271" spans="1:22" x14ac:dyDescent="0.15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278"/>
      <c r="M271" s="278"/>
      <c r="N271" s="278"/>
      <c r="O271" s="278"/>
      <c r="P271" s="278"/>
      <c r="Q271" s="278"/>
      <c r="R271" s="278"/>
      <c r="S271" s="278"/>
      <c r="T271" s="278"/>
      <c r="U271" s="278"/>
      <c r="V271" s="278"/>
    </row>
    <row r="272" spans="1:22" x14ac:dyDescent="0.15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278"/>
      <c r="M272" s="278"/>
      <c r="N272" s="278"/>
      <c r="O272" s="278"/>
      <c r="P272" s="278"/>
      <c r="Q272" s="278"/>
      <c r="R272" s="278"/>
      <c r="S272" s="278"/>
      <c r="T272" s="278"/>
      <c r="U272" s="278"/>
      <c r="V272" s="278"/>
    </row>
    <row r="273" spans="1:22" x14ac:dyDescent="0.15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278"/>
      <c r="M273" s="278"/>
      <c r="N273" s="278"/>
      <c r="O273" s="278"/>
      <c r="P273" s="278"/>
      <c r="Q273" s="278"/>
      <c r="R273" s="278"/>
      <c r="S273" s="278"/>
      <c r="T273" s="278"/>
      <c r="U273" s="278"/>
      <c r="V273" s="278"/>
    </row>
    <row r="274" spans="1:22" x14ac:dyDescent="0.15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278"/>
      <c r="M274" s="278"/>
      <c r="N274" s="278"/>
      <c r="O274" s="278"/>
      <c r="P274" s="278"/>
      <c r="Q274" s="278"/>
      <c r="R274" s="278"/>
      <c r="S274" s="278"/>
      <c r="T274" s="278"/>
      <c r="U274" s="278"/>
      <c r="V274" s="278"/>
    </row>
    <row r="275" spans="1:22" x14ac:dyDescent="0.15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278"/>
      <c r="M275" s="278"/>
      <c r="N275" s="278"/>
      <c r="O275" s="278"/>
      <c r="P275" s="278"/>
      <c r="Q275" s="278"/>
      <c r="R275" s="278"/>
      <c r="S275" s="278"/>
      <c r="T275" s="278"/>
      <c r="U275" s="278"/>
      <c r="V275" s="278"/>
    </row>
    <row r="276" spans="1:22" x14ac:dyDescent="0.15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278"/>
      <c r="M276" s="278"/>
      <c r="N276" s="278"/>
      <c r="O276" s="278"/>
      <c r="P276" s="278"/>
      <c r="Q276" s="278"/>
      <c r="R276" s="278"/>
      <c r="S276" s="278"/>
      <c r="T276" s="278"/>
      <c r="U276" s="278"/>
      <c r="V276" s="278"/>
    </row>
    <row r="277" spans="1:22" x14ac:dyDescent="0.15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278"/>
      <c r="M277" s="278"/>
      <c r="N277" s="278"/>
      <c r="O277" s="278"/>
      <c r="P277" s="278"/>
      <c r="Q277" s="278"/>
      <c r="R277" s="278"/>
      <c r="S277" s="278"/>
      <c r="T277" s="278"/>
      <c r="U277" s="278"/>
      <c r="V277" s="278"/>
    </row>
    <row r="278" spans="1:22" x14ac:dyDescent="0.15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278"/>
      <c r="M278" s="278"/>
      <c r="N278" s="278"/>
      <c r="O278" s="278"/>
      <c r="P278" s="278"/>
      <c r="Q278" s="278"/>
      <c r="R278" s="278"/>
      <c r="S278" s="278"/>
      <c r="T278" s="278"/>
      <c r="U278" s="278"/>
      <c r="V278" s="278"/>
    </row>
    <row r="279" spans="1:22" x14ac:dyDescent="0.15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278"/>
      <c r="M279" s="278"/>
      <c r="N279" s="278"/>
      <c r="O279" s="278"/>
      <c r="P279" s="278"/>
      <c r="Q279" s="278"/>
      <c r="R279" s="278"/>
      <c r="S279" s="278"/>
      <c r="T279" s="278"/>
      <c r="U279" s="278"/>
      <c r="V279" s="278"/>
    </row>
    <row r="280" spans="1:22" x14ac:dyDescent="0.15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278"/>
      <c r="M280" s="278"/>
      <c r="N280" s="278"/>
      <c r="O280" s="278"/>
      <c r="P280" s="278"/>
      <c r="Q280" s="278"/>
      <c r="R280" s="278"/>
      <c r="S280" s="278"/>
      <c r="T280" s="278"/>
      <c r="U280" s="278"/>
      <c r="V280" s="278"/>
    </row>
    <row r="281" spans="1:22" x14ac:dyDescent="0.15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278"/>
      <c r="M281" s="278"/>
      <c r="N281" s="278"/>
      <c r="O281" s="278"/>
      <c r="P281" s="278"/>
      <c r="Q281" s="278"/>
      <c r="R281" s="278"/>
      <c r="S281" s="278"/>
      <c r="T281" s="278"/>
      <c r="U281" s="278"/>
      <c r="V281" s="278"/>
    </row>
    <row r="282" spans="1:22" x14ac:dyDescent="0.15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278"/>
      <c r="M282" s="278"/>
      <c r="N282" s="278"/>
      <c r="O282" s="278"/>
      <c r="P282" s="278"/>
      <c r="Q282" s="278"/>
      <c r="R282" s="278"/>
      <c r="S282" s="278"/>
      <c r="T282" s="278"/>
      <c r="U282" s="278"/>
      <c r="V282" s="278"/>
    </row>
    <row r="283" spans="1:22" x14ac:dyDescent="0.15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278"/>
      <c r="M283" s="278"/>
      <c r="N283" s="278"/>
      <c r="O283" s="278"/>
      <c r="P283" s="278"/>
      <c r="Q283" s="278"/>
      <c r="R283" s="278"/>
      <c r="S283" s="278"/>
      <c r="T283" s="278"/>
      <c r="U283" s="278"/>
      <c r="V283" s="278"/>
    </row>
    <row r="284" spans="1:22" x14ac:dyDescent="0.15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278"/>
      <c r="M284" s="278"/>
      <c r="N284" s="278"/>
      <c r="O284" s="278"/>
      <c r="P284" s="278"/>
      <c r="Q284" s="278"/>
      <c r="R284" s="278"/>
      <c r="S284" s="278"/>
      <c r="T284" s="278"/>
      <c r="U284" s="278"/>
      <c r="V284" s="278"/>
    </row>
    <row r="285" spans="1:22" x14ac:dyDescent="0.15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278"/>
      <c r="M285" s="278"/>
      <c r="N285" s="278"/>
      <c r="O285" s="278"/>
      <c r="P285" s="278"/>
      <c r="Q285" s="278"/>
      <c r="R285" s="278"/>
      <c r="S285" s="278"/>
      <c r="T285" s="278"/>
      <c r="U285" s="278"/>
      <c r="V285" s="278"/>
    </row>
    <row r="286" spans="1:22" x14ac:dyDescent="0.15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278"/>
      <c r="M286" s="278"/>
      <c r="N286" s="278"/>
      <c r="O286" s="278"/>
      <c r="P286" s="278"/>
      <c r="Q286" s="278"/>
      <c r="R286" s="278"/>
      <c r="S286" s="278"/>
      <c r="T286" s="278"/>
      <c r="U286" s="278"/>
      <c r="V286" s="278"/>
    </row>
    <row r="287" spans="1:22" x14ac:dyDescent="0.15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278"/>
      <c r="M287" s="278"/>
      <c r="N287" s="278"/>
      <c r="O287" s="278"/>
      <c r="P287" s="278"/>
      <c r="Q287" s="278"/>
      <c r="R287" s="278"/>
      <c r="S287" s="278"/>
      <c r="T287" s="278"/>
      <c r="U287" s="278"/>
      <c r="V287" s="278"/>
    </row>
    <row r="288" spans="1:22" x14ac:dyDescent="0.15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278"/>
      <c r="M288" s="278"/>
      <c r="N288" s="278"/>
      <c r="O288" s="278"/>
      <c r="P288" s="278"/>
      <c r="Q288" s="278"/>
      <c r="R288" s="278"/>
      <c r="S288" s="278"/>
      <c r="T288" s="278"/>
      <c r="U288" s="278"/>
      <c r="V288" s="278"/>
    </row>
    <row r="289" spans="1:22" x14ac:dyDescent="0.15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278"/>
      <c r="M289" s="278"/>
      <c r="N289" s="278"/>
      <c r="O289" s="278"/>
      <c r="P289" s="278"/>
      <c r="Q289" s="278"/>
      <c r="R289" s="278"/>
      <c r="S289" s="278"/>
      <c r="T289" s="278"/>
      <c r="U289" s="278"/>
      <c r="V289" s="278"/>
    </row>
    <row r="290" spans="1:22" x14ac:dyDescent="0.15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278"/>
      <c r="M290" s="278"/>
      <c r="N290" s="278"/>
      <c r="O290" s="278"/>
      <c r="P290" s="278"/>
      <c r="Q290" s="278"/>
      <c r="R290" s="278"/>
      <c r="S290" s="278"/>
      <c r="T290" s="278"/>
      <c r="U290" s="278"/>
      <c r="V290" s="278"/>
    </row>
    <row r="291" spans="1:22" x14ac:dyDescent="0.15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278"/>
      <c r="M291" s="278"/>
      <c r="N291" s="278"/>
      <c r="O291" s="278"/>
      <c r="P291" s="278"/>
      <c r="Q291" s="278"/>
      <c r="R291" s="278"/>
      <c r="S291" s="278"/>
      <c r="T291" s="278"/>
      <c r="U291" s="278"/>
      <c r="V291" s="278"/>
    </row>
    <row r="292" spans="1:22" x14ac:dyDescent="0.15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278"/>
      <c r="M292" s="278"/>
      <c r="N292" s="278"/>
      <c r="O292" s="278"/>
      <c r="P292" s="278"/>
      <c r="Q292" s="278"/>
      <c r="R292" s="278"/>
      <c r="S292" s="278"/>
      <c r="T292" s="278"/>
      <c r="U292" s="278"/>
      <c r="V292" s="278"/>
    </row>
    <row r="293" spans="1:22" x14ac:dyDescent="0.15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278"/>
      <c r="M293" s="278"/>
      <c r="N293" s="278"/>
      <c r="O293" s="278"/>
      <c r="P293" s="278"/>
      <c r="Q293" s="278"/>
      <c r="R293" s="278"/>
      <c r="S293" s="278"/>
      <c r="T293" s="278"/>
      <c r="U293" s="278"/>
      <c r="V293" s="278"/>
    </row>
    <row r="294" spans="1:22" x14ac:dyDescent="0.15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278"/>
      <c r="M294" s="278"/>
      <c r="N294" s="278"/>
      <c r="O294" s="278"/>
      <c r="P294" s="278"/>
      <c r="Q294" s="278"/>
      <c r="R294" s="278"/>
      <c r="S294" s="278"/>
      <c r="T294" s="278"/>
      <c r="U294" s="278"/>
      <c r="V294" s="278"/>
    </row>
    <row r="295" spans="1:22" x14ac:dyDescent="0.15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278"/>
      <c r="M295" s="278"/>
      <c r="N295" s="278"/>
      <c r="O295" s="278"/>
      <c r="P295" s="278"/>
      <c r="Q295" s="278"/>
      <c r="R295" s="278"/>
      <c r="S295" s="278"/>
      <c r="T295" s="278"/>
      <c r="U295" s="278"/>
      <c r="V295" s="278"/>
    </row>
    <row r="296" spans="1:22" x14ac:dyDescent="0.15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278"/>
      <c r="M296" s="278"/>
      <c r="N296" s="278"/>
      <c r="O296" s="278"/>
      <c r="P296" s="278"/>
      <c r="Q296" s="278"/>
      <c r="R296" s="278"/>
      <c r="S296" s="278"/>
      <c r="T296" s="278"/>
      <c r="U296" s="278"/>
      <c r="V296" s="278"/>
    </row>
    <row r="297" spans="1:22" x14ac:dyDescent="0.15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278"/>
      <c r="M297" s="278"/>
      <c r="N297" s="278"/>
      <c r="O297" s="278"/>
      <c r="P297" s="278"/>
      <c r="Q297" s="278"/>
      <c r="R297" s="278"/>
      <c r="S297" s="278"/>
      <c r="T297" s="278"/>
      <c r="U297" s="278"/>
      <c r="V297" s="278"/>
    </row>
    <row r="298" spans="1:22" x14ac:dyDescent="0.15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278"/>
      <c r="M298" s="278"/>
      <c r="N298" s="278"/>
      <c r="O298" s="278"/>
      <c r="P298" s="278"/>
      <c r="Q298" s="278"/>
      <c r="R298" s="278"/>
      <c r="S298" s="278"/>
      <c r="T298" s="278"/>
      <c r="U298" s="278"/>
      <c r="V298" s="278"/>
    </row>
    <row r="299" spans="1:22" x14ac:dyDescent="0.15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278"/>
      <c r="M299" s="278"/>
      <c r="N299" s="278"/>
      <c r="O299" s="278"/>
      <c r="P299" s="278"/>
      <c r="Q299" s="278"/>
      <c r="R299" s="278"/>
      <c r="S299" s="278"/>
      <c r="T299" s="278"/>
      <c r="U299" s="278"/>
      <c r="V299" s="278"/>
    </row>
    <row r="300" spans="1:22" x14ac:dyDescent="0.15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278"/>
      <c r="M300" s="278"/>
      <c r="N300" s="278"/>
      <c r="O300" s="278"/>
      <c r="P300" s="278"/>
      <c r="Q300" s="278"/>
      <c r="R300" s="278"/>
      <c r="S300" s="278"/>
      <c r="T300" s="278"/>
      <c r="U300" s="278"/>
      <c r="V300" s="278"/>
    </row>
    <row r="301" spans="1:22" x14ac:dyDescent="0.15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278"/>
      <c r="M301" s="278"/>
      <c r="N301" s="278"/>
      <c r="O301" s="278"/>
      <c r="P301" s="278"/>
      <c r="Q301" s="278"/>
      <c r="R301" s="278"/>
      <c r="S301" s="278"/>
      <c r="T301" s="278"/>
      <c r="U301" s="278"/>
      <c r="V301" s="278"/>
    </row>
    <row r="302" spans="1:22" x14ac:dyDescent="0.15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278"/>
      <c r="M302" s="278"/>
      <c r="N302" s="278"/>
      <c r="O302" s="278"/>
      <c r="P302" s="278"/>
      <c r="Q302" s="278"/>
      <c r="R302" s="278"/>
      <c r="S302" s="278"/>
      <c r="T302" s="278"/>
      <c r="U302" s="278"/>
      <c r="V302" s="278"/>
    </row>
    <row r="303" spans="1:22" x14ac:dyDescent="0.15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278"/>
      <c r="M303" s="278"/>
      <c r="N303" s="278"/>
      <c r="O303" s="278"/>
      <c r="P303" s="278"/>
      <c r="Q303" s="278"/>
      <c r="R303" s="278"/>
      <c r="S303" s="278"/>
      <c r="T303" s="278"/>
      <c r="U303" s="278"/>
      <c r="V303" s="278"/>
    </row>
    <row r="304" spans="1:22" x14ac:dyDescent="0.15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278"/>
      <c r="M304" s="278"/>
      <c r="N304" s="278"/>
      <c r="O304" s="278"/>
      <c r="P304" s="278"/>
      <c r="Q304" s="278"/>
      <c r="R304" s="278"/>
      <c r="S304" s="278"/>
      <c r="T304" s="278"/>
      <c r="U304" s="278"/>
      <c r="V304" s="278"/>
    </row>
    <row r="305" spans="1:22" x14ac:dyDescent="0.15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278"/>
      <c r="M305" s="278"/>
      <c r="N305" s="278"/>
      <c r="O305" s="278"/>
      <c r="P305" s="278"/>
      <c r="Q305" s="278"/>
      <c r="R305" s="278"/>
      <c r="S305" s="278"/>
      <c r="T305" s="278"/>
      <c r="U305" s="278"/>
      <c r="V305" s="278"/>
    </row>
    <row r="306" spans="1:22" x14ac:dyDescent="0.15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278"/>
      <c r="M306" s="278"/>
      <c r="N306" s="278"/>
      <c r="O306" s="278"/>
      <c r="P306" s="278"/>
      <c r="Q306" s="278"/>
      <c r="R306" s="278"/>
      <c r="S306" s="278"/>
      <c r="T306" s="278"/>
      <c r="U306" s="278"/>
      <c r="V306" s="278"/>
    </row>
    <row r="307" spans="1:22" x14ac:dyDescent="0.15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278"/>
      <c r="M307" s="278"/>
      <c r="N307" s="278"/>
      <c r="O307" s="278"/>
      <c r="P307" s="278"/>
      <c r="Q307" s="278"/>
      <c r="R307" s="278"/>
      <c r="S307" s="278"/>
      <c r="T307" s="278"/>
      <c r="U307" s="278"/>
      <c r="V307" s="278"/>
    </row>
    <row r="308" spans="1:22" x14ac:dyDescent="0.15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278"/>
      <c r="M308" s="278"/>
      <c r="N308" s="278"/>
      <c r="O308" s="278"/>
      <c r="P308" s="278"/>
      <c r="Q308" s="278"/>
      <c r="R308" s="278"/>
      <c r="S308" s="278"/>
      <c r="T308" s="278"/>
      <c r="U308" s="278"/>
      <c r="V308" s="278"/>
    </row>
    <row r="309" spans="1:22" x14ac:dyDescent="0.15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278"/>
      <c r="M309" s="278"/>
      <c r="N309" s="278"/>
      <c r="O309" s="278"/>
      <c r="P309" s="278"/>
      <c r="Q309" s="278"/>
      <c r="R309" s="278"/>
      <c r="S309" s="278"/>
      <c r="T309" s="278"/>
      <c r="U309" s="278"/>
      <c r="V309" s="278"/>
    </row>
    <row r="310" spans="1:22" x14ac:dyDescent="0.15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278"/>
      <c r="M310" s="278"/>
      <c r="N310" s="278"/>
      <c r="O310" s="278"/>
      <c r="P310" s="278"/>
      <c r="Q310" s="278"/>
      <c r="R310" s="278"/>
      <c r="S310" s="278"/>
      <c r="T310" s="278"/>
      <c r="U310" s="278"/>
      <c r="V310" s="278"/>
    </row>
    <row r="311" spans="1:22" x14ac:dyDescent="0.15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278"/>
      <c r="M311" s="278"/>
      <c r="N311" s="278"/>
      <c r="O311" s="278"/>
      <c r="P311" s="278"/>
      <c r="Q311" s="278"/>
      <c r="R311" s="278"/>
      <c r="S311" s="278"/>
      <c r="T311" s="278"/>
      <c r="U311" s="278"/>
      <c r="V311" s="278"/>
    </row>
    <row r="312" spans="1:22" x14ac:dyDescent="0.15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278"/>
      <c r="M312" s="278"/>
      <c r="N312" s="278"/>
      <c r="O312" s="278"/>
      <c r="P312" s="278"/>
      <c r="Q312" s="278"/>
      <c r="R312" s="278"/>
      <c r="S312" s="278"/>
      <c r="T312" s="278"/>
      <c r="U312" s="278"/>
      <c r="V312" s="278"/>
    </row>
    <row r="313" spans="1:22" x14ac:dyDescent="0.15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278"/>
      <c r="M313" s="278"/>
      <c r="N313" s="278"/>
      <c r="O313" s="278"/>
      <c r="P313" s="278"/>
      <c r="Q313" s="278"/>
      <c r="R313" s="278"/>
      <c r="S313" s="278"/>
      <c r="T313" s="278"/>
      <c r="U313" s="278"/>
      <c r="V313" s="278"/>
    </row>
    <row r="314" spans="1:22" x14ac:dyDescent="0.15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278"/>
      <c r="M314" s="278"/>
      <c r="N314" s="278"/>
      <c r="O314" s="278"/>
      <c r="P314" s="278"/>
      <c r="Q314" s="278"/>
      <c r="R314" s="278"/>
      <c r="S314" s="278"/>
      <c r="T314" s="278"/>
      <c r="U314" s="278"/>
      <c r="V314" s="278"/>
    </row>
    <row r="315" spans="1:22" x14ac:dyDescent="0.15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278"/>
      <c r="M315" s="278"/>
      <c r="N315" s="278"/>
      <c r="O315" s="278"/>
      <c r="P315" s="278"/>
      <c r="Q315" s="278"/>
      <c r="R315" s="278"/>
      <c r="S315" s="278"/>
      <c r="T315" s="278"/>
      <c r="U315" s="278"/>
      <c r="V315" s="278"/>
    </row>
    <row r="316" spans="1:22" x14ac:dyDescent="0.15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278"/>
      <c r="M316" s="278"/>
      <c r="N316" s="278"/>
      <c r="O316" s="278"/>
      <c r="P316" s="278"/>
      <c r="Q316" s="278"/>
      <c r="R316" s="278"/>
      <c r="S316" s="278"/>
      <c r="T316" s="278"/>
      <c r="U316" s="278"/>
      <c r="V316" s="278"/>
    </row>
    <row r="317" spans="1:22" x14ac:dyDescent="0.15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278"/>
      <c r="M317" s="278"/>
      <c r="N317" s="278"/>
      <c r="O317" s="278"/>
      <c r="P317" s="278"/>
      <c r="Q317" s="278"/>
      <c r="R317" s="278"/>
      <c r="S317" s="278"/>
      <c r="T317" s="278"/>
      <c r="U317" s="278"/>
      <c r="V317" s="278"/>
    </row>
    <row r="318" spans="1:22" x14ac:dyDescent="0.15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278"/>
      <c r="M318" s="278"/>
      <c r="N318" s="278"/>
      <c r="O318" s="278"/>
      <c r="P318" s="278"/>
      <c r="Q318" s="278"/>
      <c r="R318" s="278"/>
      <c r="S318" s="278"/>
      <c r="T318" s="278"/>
      <c r="U318" s="278"/>
      <c r="V318" s="278"/>
    </row>
    <row r="319" spans="1:22" x14ac:dyDescent="0.15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278"/>
      <c r="M319" s="278"/>
      <c r="N319" s="278"/>
      <c r="O319" s="278"/>
      <c r="P319" s="278"/>
      <c r="Q319" s="278"/>
      <c r="R319" s="278"/>
      <c r="S319" s="278"/>
      <c r="T319" s="278"/>
      <c r="U319" s="278"/>
      <c r="V319" s="278"/>
    </row>
    <row r="320" spans="1:22" x14ac:dyDescent="0.15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278"/>
      <c r="M320" s="278"/>
      <c r="N320" s="278"/>
      <c r="O320" s="278"/>
      <c r="P320" s="278"/>
      <c r="Q320" s="278"/>
      <c r="R320" s="278"/>
      <c r="S320" s="278"/>
      <c r="T320" s="278"/>
      <c r="U320" s="278"/>
      <c r="V320" s="278"/>
    </row>
    <row r="321" spans="1:22" x14ac:dyDescent="0.15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278"/>
      <c r="M321" s="278"/>
      <c r="N321" s="278"/>
      <c r="O321" s="278"/>
      <c r="P321" s="278"/>
      <c r="Q321" s="278"/>
      <c r="R321" s="278"/>
      <c r="S321" s="278"/>
      <c r="T321" s="278"/>
      <c r="U321" s="278"/>
      <c r="V321" s="278"/>
    </row>
    <row r="322" spans="1:22" x14ac:dyDescent="0.15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278"/>
      <c r="M322" s="278"/>
      <c r="N322" s="278"/>
      <c r="O322" s="278"/>
      <c r="P322" s="278"/>
      <c r="Q322" s="278"/>
      <c r="R322" s="278"/>
      <c r="S322" s="278"/>
      <c r="T322" s="278"/>
      <c r="U322" s="278"/>
      <c r="V322" s="278"/>
    </row>
    <row r="323" spans="1:22" x14ac:dyDescent="0.15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278"/>
      <c r="M323" s="278"/>
      <c r="N323" s="278"/>
      <c r="O323" s="278"/>
      <c r="P323" s="278"/>
      <c r="Q323" s="278"/>
      <c r="R323" s="278"/>
      <c r="S323" s="278"/>
      <c r="T323" s="278"/>
      <c r="U323" s="278"/>
      <c r="V323" s="278"/>
    </row>
    <row r="324" spans="1:22" x14ac:dyDescent="0.15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278"/>
      <c r="M324" s="278"/>
      <c r="N324" s="278"/>
      <c r="O324" s="278"/>
      <c r="P324" s="278"/>
      <c r="Q324" s="278"/>
      <c r="R324" s="278"/>
      <c r="S324" s="278"/>
      <c r="T324" s="278"/>
      <c r="U324" s="278"/>
      <c r="V324" s="278"/>
    </row>
    <row r="325" spans="1:22" x14ac:dyDescent="0.15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278"/>
      <c r="M325" s="278"/>
      <c r="N325" s="278"/>
      <c r="O325" s="278"/>
      <c r="P325" s="278"/>
      <c r="Q325" s="278"/>
      <c r="R325" s="278"/>
      <c r="S325" s="278"/>
      <c r="T325" s="278"/>
      <c r="U325" s="278"/>
      <c r="V325" s="278"/>
    </row>
    <row r="326" spans="1:22" x14ac:dyDescent="0.15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278"/>
      <c r="M326" s="278"/>
      <c r="N326" s="278"/>
      <c r="O326" s="278"/>
      <c r="P326" s="278"/>
      <c r="Q326" s="278"/>
      <c r="R326" s="278"/>
      <c r="S326" s="278"/>
      <c r="T326" s="278"/>
      <c r="U326" s="278"/>
      <c r="V326" s="278"/>
    </row>
    <row r="327" spans="1:22" x14ac:dyDescent="0.15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278"/>
      <c r="M327" s="278"/>
      <c r="N327" s="278"/>
      <c r="O327" s="278"/>
      <c r="P327" s="278"/>
      <c r="Q327" s="278"/>
      <c r="R327" s="278"/>
      <c r="S327" s="278"/>
      <c r="T327" s="278"/>
      <c r="U327" s="278"/>
      <c r="V327" s="278"/>
    </row>
    <row r="328" spans="1:22" x14ac:dyDescent="0.15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278"/>
      <c r="M328" s="278"/>
      <c r="N328" s="278"/>
      <c r="O328" s="278"/>
      <c r="P328" s="278"/>
      <c r="Q328" s="278"/>
      <c r="R328" s="278"/>
      <c r="S328" s="278"/>
      <c r="T328" s="278"/>
      <c r="U328" s="278"/>
      <c r="V328" s="278"/>
    </row>
    <row r="329" spans="1:22" x14ac:dyDescent="0.15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278"/>
      <c r="M329" s="278"/>
      <c r="N329" s="278"/>
      <c r="O329" s="278"/>
      <c r="P329" s="278"/>
      <c r="Q329" s="278"/>
      <c r="R329" s="278"/>
      <c r="S329" s="278"/>
      <c r="T329" s="278"/>
      <c r="U329" s="278"/>
      <c r="V329" s="278"/>
    </row>
    <row r="330" spans="1:22" x14ac:dyDescent="0.15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278"/>
      <c r="M330" s="278"/>
      <c r="N330" s="278"/>
      <c r="O330" s="278"/>
      <c r="P330" s="278"/>
      <c r="Q330" s="278"/>
      <c r="R330" s="278"/>
      <c r="S330" s="278"/>
      <c r="T330" s="278"/>
      <c r="U330" s="278"/>
      <c r="V330" s="278"/>
    </row>
    <row r="331" spans="1:22" x14ac:dyDescent="0.15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278"/>
      <c r="M331" s="278"/>
      <c r="N331" s="278"/>
      <c r="O331" s="278"/>
      <c r="P331" s="278"/>
      <c r="Q331" s="278"/>
      <c r="R331" s="278"/>
      <c r="S331" s="278"/>
      <c r="T331" s="278"/>
      <c r="U331" s="278"/>
      <c r="V331" s="278"/>
    </row>
    <row r="332" spans="1:22" x14ac:dyDescent="0.15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278"/>
      <c r="M332" s="278"/>
      <c r="N332" s="278"/>
      <c r="O332" s="278"/>
      <c r="P332" s="278"/>
      <c r="Q332" s="278"/>
      <c r="R332" s="278"/>
      <c r="S332" s="278"/>
      <c r="T332" s="278"/>
      <c r="U332" s="278"/>
      <c r="V332" s="278"/>
    </row>
    <row r="333" spans="1:22" x14ac:dyDescent="0.15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278"/>
      <c r="M333" s="278"/>
      <c r="N333" s="278"/>
      <c r="O333" s="278"/>
      <c r="P333" s="278"/>
      <c r="Q333" s="278"/>
      <c r="R333" s="278"/>
      <c r="S333" s="278"/>
      <c r="T333" s="278"/>
      <c r="U333" s="278"/>
      <c r="V333" s="278"/>
    </row>
    <row r="334" spans="1:22" x14ac:dyDescent="0.15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278"/>
      <c r="M334" s="278"/>
      <c r="N334" s="278"/>
      <c r="O334" s="278"/>
      <c r="P334" s="278"/>
      <c r="Q334" s="278"/>
      <c r="R334" s="278"/>
      <c r="S334" s="278"/>
      <c r="T334" s="278"/>
      <c r="U334" s="278"/>
      <c r="V334" s="278"/>
    </row>
    <row r="335" spans="1:22" x14ac:dyDescent="0.15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278"/>
      <c r="M335" s="278"/>
      <c r="N335" s="278"/>
      <c r="O335" s="278"/>
      <c r="P335" s="278"/>
      <c r="Q335" s="278"/>
      <c r="R335" s="278"/>
      <c r="S335" s="278"/>
      <c r="T335" s="278"/>
      <c r="U335" s="278"/>
      <c r="V335" s="278"/>
    </row>
    <row r="336" spans="1:22" x14ac:dyDescent="0.15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278"/>
      <c r="M336" s="278"/>
      <c r="N336" s="278"/>
      <c r="O336" s="278"/>
      <c r="P336" s="278"/>
      <c r="Q336" s="278"/>
      <c r="R336" s="278"/>
      <c r="S336" s="278"/>
      <c r="T336" s="278"/>
      <c r="U336" s="278"/>
      <c r="V336" s="278"/>
    </row>
    <row r="337" spans="1:22" x14ac:dyDescent="0.15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278"/>
      <c r="M337" s="278"/>
      <c r="N337" s="278"/>
      <c r="O337" s="278"/>
      <c r="P337" s="278"/>
      <c r="Q337" s="278"/>
      <c r="R337" s="278"/>
      <c r="S337" s="278"/>
      <c r="T337" s="278"/>
      <c r="U337" s="278"/>
      <c r="V337" s="278"/>
    </row>
    <row r="338" spans="1:22" x14ac:dyDescent="0.15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278"/>
      <c r="M338" s="278"/>
      <c r="N338" s="278"/>
      <c r="O338" s="278"/>
      <c r="P338" s="278"/>
      <c r="Q338" s="278"/>
      <c r="R338" s="278"/>
      <c r="S338" s="278"/>
      <c r="T338" s="278"/>
      <c r="U338" s="278"/>
      <c r="V338" s="278"/>
    </row>
    <row r="339" spans="1:22" x14ac:dyDescent="0.15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278"/>
      <c r="M339" s="278"/>
      <c r="N339" s="278"/>
      <c r="O339" s="278"/>
      <c r="P339" s="278"/>
      <c r="Q339" s="278"/>
      <c r="R339" s="278"/>
      <c r="S339" s="278"/>
      <c r="T339" s="278"/>
      <c r="U339" s="278"/>
      <c r="V339" s="278"/>
    </row>
    <row r="340" spans="1:22" x14ac:dyDescent="0.15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278"/>
      <c r="M340" s="278"/>
      <c r="N340" s="278"/>
      <c r="O340" s="278"/>
      <c r="P340" s="278"/>
      <c r="Q340" s="278"/>
      <c r="R340" s="278"/>
      <c r="S340" s="278"/>
      <c r="T340" s="278"/>
      <c r="U340" s="278"/>
      <c r="V340" s="278"/>
    </row>
    <row r="341" spans="1:22" x14ac:dyDescent="0.15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278"/>
      <c r="M341" s="278"/>
      <c r="N341" s="278"/>
      <c r="O341" s="278"/>
      <c r="P341" s="278"/>
      <c r="Q341" s="278"/>
      <c r="R341" s="278"/>
      <c r="S341" s="278"/>
      <c r="T341" s="278"/>
      <c r="U341" s="278"/>
      <c r="V341" s="278"/>
    </row>
    <row r="342" spans="1:22" x14ac:dyDescent="0.15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278"/>
      <c r="M342" s="278"/>
      <c r="N342" s="278"/>
      <c r="O342" s="278"/>
      <c r="P342" s="278"/>
      <c r="Q342" s="278"/>
      <c r="R342" s="278"/>
      <c r="S342" s="278"/>
      <c r="T342" s="278"/>
      <c r="U342" s="278"/>
      <c r="V342" s="278"/>
    </row>
    <row r="343" spans="1:22" x14ac:dyDescent="0.15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278"/>
      <c r="M343" s="278"/>
      <c r="N343" s="278"/>
      <c r="O343" s="278"/>
      <c r="P343" s="278"/>
      <c r="Q343" s="278"/>
      <c r="R343" s="278"/>
      <c r="S343" s="278"/>
      <c r="T343" s="278"/>
      <c r="U343" s="278"/>
      <c r="V343" s="278"/>
    </row>
    <row r="344" spans="1:22" x14ac:dyDescent="0.15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278"/>
      <c r="M344" s="278"/>
      <c r="N344" s="278"/>
      <c r="O344" s="278"/>
      <c r="P344" s="278"/>
      <c r="Q344" s="278"/>
      <c r="R344" s="278"/>
      <c r="S344" s="278"/>
      <c r="T344" s="278"/>
      <c r="U344" s="278"/>
      <c r="V344" s="278"/>
    </row>
    <row r="345" spans="1:22" x14ac:dyDescent="0.15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278"/>
      <c r="M345" s="278"/>
      <c r="N345" s="278"/>
      <c r="O345" s="278"/>
      <c r="P345" s="278"/>
      <c r="Q345" s="278"/>
      <c r="R345" s="278"/>
      <c r="S345" s="278"/>
      <c r="T345" s="278"/>
      <c r="U345" s="278"/>
      <c r="V345" s="278"/>
    </row>
    <row r="346" spans="1:22" x14ac:dyDescent="0.15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278"/>
      <c r="M346" s="278"/>
      <c r="N346" s="278"/>
      <c r="O346" s="278"/>
      <c r="P346" s="278"/>
      <c r="Q346" s="278"/>
      <c r="R346" s="278"/>
      <c r="S346" s="278"/>
      <c r="T346" s="278"/>
      <c r="U346" s="278"/>
      <c r="V346" s="278"/>
    </row>
    <row r="347" spans="1:22" x14ac:dyDescent="0.15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278"/>
      <c r="M347" s="278"/>
      <c r="N347" s="278"/>
      <c r="O347" s="278"/>
      <c r="P347" s="278"/>
      <c r="Q347" s="278"/>
      <c r="R347" s="278"/>
      <c r="S347" s="278"/>
      <c r="T347" s="278"/>
      <c r="U347" s="278"/>
      <c r="V347" s="278"/>
    </row>
    <row r="348" spans="1:22" x14ac:dyDescent="0.15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278"/>
      <c r="M348" s="278"/>
      <c r="N348" s="278"/>
      <c r="O348" s="278"/>
      <c r="P348" s="278"/>
      <c r="Q348" s="278"/>
      <c r="R348" s="278"/>
      <c r="S348" s="278"/>
      <c r="T348" s="278"/>
      <c r="U348" s="278"/>
      <c r="V348" s="278"/>
    </row>
    <row r="349" spans="1:22" x14ac:dyDescent="0.15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278"/>
      <c r="M349" s="278"/>
      <c r="N349" s="278"/>
      <c r="O349" s="278"/>
      <c r="P349" s="278"/>
      <c r="Q349" s="278"/>
      <c r="R349" s="278"/>
      <c r="S349" s="278"/>
      <c r="T349" s="278"/>
      <c r="U349" s="278"/>
      <c r="V349" s="278"/>
    </row>
    <row r="350" spans="1:22" x14ac:dyDescent="0.15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278"/>
      <c r="M350" s="278"/>
      <c r="N350" s="278"/>
      <c r="O350" s="278"/>
      <c r="P350" s="278"/>
      <c r="Q350" s="278"/>
      <c r="R350" s="278"/>
      <c r="S350" s="278"/>
      <c r="T350" s="278"/>
      <c r="U350" s="278"/>
      <c r="V350" s="278"/>
    </row>
    <row r="351" spans="1:22" x14ac:dyDescent="0.15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278"/>
      <c r="M351" s="278"/>
      <c r="N351" s="278"/>
      <c r="O351" s="278"/>
      <c r="P351" s="278"/>
      <c r="Q351" s="278"/>
      <c r="R351" s="278"/>
      <c r="S351" s="278"/>
      <c r="T351" s="278"/>
      <c r="U351" s="278"/>
      <c r="V351" s="278"/>
    </row>
    <row r="352" spans="1:22" x14ac:dyDescent="0.15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278"/>
      <c r="M352" s="278"/>
      <c r="N352" s="278"/>
      <c r="O352" s="278"/>
      <c r="P352" s="278"/>
      <c r="Q352" s="278"/>
      <c r="R352" s="278"/>
      <c r="S352" s="278"/>
      <c r="T352" s="278"/>
      <c r="U352" s="278"/>
      <c r="V352" s="278"/>
    </row>
    <row r="353" spans="1:22" x14ac:dyDescent="0.15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278"/>
      <c r="M353" s="278"/>
      <c r="N353" s="278"/>
      <c r="O353" s="278"/>
      <c r="P353" s="278"/>
      <c r="Q353" s="278"/>
      <c r="R353" s="278"/>
      <c r="S353" s="278"/>
      <c r="T353" s="278"/>
      <c r="U353" s="278"/>
      <c r="V353" s="278"/>
    </row>
    <row r="354" spans="1:22" x14ac:dyDescent="0.15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278"/>
      <c r="M354" s="278"/>
      <c r="N354" s="278"/>
      <c r="O354" s="278"/>
      <c r="P354" s="278"/>
      <c r="Q354" s="278"/>
      <c r="R354" s="278"/>
      <c r="S354" s="278"/>
      <c r="T354" s="278"/>
      <c r="U354" s="278"/>
      <c r="V354" s="278"/>
    </row>
    <row r="355" spans="1:22" x14ac:dyDescent="0.15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278"/>
      <c r="M355" s="278"/>
      <c r="N355" s="278"/>
      <c r="O355" s="278"/>
      <c r="P355" s="278"/>
      <c r="Q355" s="278"/>
      <c r="R355" s="278"/>
      <c r="S355" s="278"/>
      <c r="T355" s="278"/>
      <c r="U355" s="278"/>
      <c r="V355" s="278"/>
    </row>
    <row r="356" spans="1:22" x14ac:dyDescent="0.15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278"/>
      <c r="M356" s="278"/>
      <c r="N356" s="278"/>
      <c r="O356" s="278"/>
      <c r="P356" s="278"/>
      <c r="Q356" s="278"/>
      <c r="R356" s="278"/>
      <c r="S356" s="278"/>
      <c r="T356" s="278"/>
      <c r="U356" s="278"/>
      <c r="V356" s="278"/>
    </row>
    <row r="357" spans="1:22" x14ac:dyDescent="0.15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278"/>
      <c r="M357" s="278"/>
      <c r="N357" s="278"/>
      <c r="O357" s="278"/>
      <c r="P357" s="278"/>
      <c r="Q357" s="278"/>
      <c r="R357" s="278"/>
      <c r="S357" s="278"/>
      <c r="T357" s="278"/>
      <c r="U357" s="278"/>
      <c r="V357" s="278"/>
    </row>
    <row r="358" spans="1:22" x14ac:dyDescent="0.15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278"/>
      <c r="M358" s="278"/>
      <c r="N358" s="278"/>
      <c r="O358" s="278"/>
      <c r="P358" s="278"/>
      <c r="Q358" s="278"/>
      <c r="R358" s="278"/>
      <c r="S358" s="278"/>
      <c r="T358" s="278"/>
      <c r="U358" s="278"/>
      <c r="V358" s="278"/>
    </row>
    <row r="359" spans="1:22" x14ac:dyDescent="0.15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278"/>
      <c r="M359" s="278"/>
      <c r="N359" s="278"/>
      <c r="O359" s="278"/>
      <c r="P359" s="278"/>
      <c r="Q359" s="278"/>
      <c r="R359" s="278"/>
      <c r="S359" s="278"/>
      <c r="T359" s="278"/>
      <c r="U359" s="278"/>
      <c r="V359" s="278"/>
    </row>
    <row r="360" spans="1:22" x14ac:dyDescent="0.15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278"/>
      <c r="M360" s="278"/>
      <c r="N360" s="278"/>
      <c r="O360" s="278"/>
      <c r="P360" s="278"/>
      <c r="Q360" s="278"/>
      <c r="R360" s="278"/>
      <c r="S360" s="278"/>
      <c r="T360" s="278"/>
      <c r="U360" s="278"/>
      <c r="V360" s="278"/>
    </row>
    <row r="361" spans="1:22" x14ac:dyDescent="0.15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278"/>
      <c r="M361" s="278"/>
      <c r="N361" s="278"/>
      <c r="O361" s="278"/>
      <c r="P361" s="278"/>
      <c r="Q361" s="278"/>
      <c r="R361" s="278"/>
      <c r="S361" s="278"/>
      <c r="T361" s="278"/>
      <c r="U361" s="278"/>
      <c r="V361" s="278"/>
    </row>
    <row r="362" spans="1:22" x14ac:dyDescent="0.15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278"/>
      <c r="M362" s="278"/>
      <c r="N362" s="278"/>
      <c r="O362" s="278"/>
      <c r="P362" s="278"/>
      <c r="Q362" s="278"/>
      <c r="R362" s="278"/>
      <c r="S362" s="278"/>
      <c r="T362" s="278"/>
      <c r="U362" s="278"/>
      <c r="V362" s="278"/>
    </row>
    <row r="363" spans="1:22" x14ac:dyDescent="0.15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278"/>
      <c r="M363" s="278"/>
      <c r="N363" s="278"/>
      <c r="O363" s="278"/>
      <c r="P363" s="278"/>
      <c r="Q363" s="278"/>
      <c r="R363" s="278"/>
      <c r="S363" s="278"/>
      <c r="T363" s="278"/>
      <c r="U363" s="278"/>
      <c r="V363" s="278"/>
    </row>
    <row r="364" spans="1:22" x14ac:dyDescent="0.15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278"/>
      <c r="M364" s="278"/>
      <c r="N364" s="278"/>
      <c r="O364" s="278"/>
      <c r="P364" s="278"/>
      <c r="Q364" s="278"/>
      <c r="R364" s="278"/>
      <c r="S364" s="278"/>
      <c r="T364" s="278"/>
      <c r="U364" s="278"/>
      <c r="V364" s="278"/>
    </row>
    <row r="365" spans="1:22" x14ac:dyDescent="0.15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278"/>
      <c r="M365" s="278"/>
      <c r="N365" s="278"/>
      <c r="O365" s="278"/>
      <c r="P365" s="278"/>
      <c r="Q365" s="278"/>
      <c r="R365" s="278"/>
      <c r="S365" s="278"/>
      <c r="T365" s="278"/>
      <c r="U365" s="278"/>
      <c r="V365" s="278"/>
    </row>
    <row r="366" spans="1:22" x14ac:dyDescent="0.15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278"/>
      <c r="M366" s="278"/>
      <c r="N366" s="278"/>
      <c r="O366" s="278"/>
      <c r="P366" s="278"/>
      <c r="Q366" s="278"/>
      <c r="R366" s="278"/>
      <c r="S366" s="278"/>
      <c r="T366" s="278"/>
      <c r="U366" s="278"/>
      <c r="V366" s="278"/>
    </row>
    <row r="367" spans="1:22" x14ac:dyDescent="0.15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278"/>
      <c r="M367" s="278"/>
      <c r="N367" s="278"/>
      <c r="O367" s="278"/>
      <c r="P367" s="278"/>
      <c r="Q367" s="278"/>
      <c r="R367" s="278"/>
      <c r="S367" s="278"/>
      <c r="T367" s="278"/>
      <c r="U367" s="278"/>
      <c r="V367" s="278"/>
    </row>
    <row r="368" spans="1:22" x14ac:dyDescent="0.15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278"/>
      <c r="M368" s="278"/>
      <c r="N368" s="278"/>
      <c r="O368" s="278"/>
      <c r="P368" s="278"/>
      <c r="Q368" s="278"/>
      <c r="R368" s="278"/>
      <c r="S368" s="278"/>
      <c r="T368" s="278"/>
      <c r="U368" s="278"/>
      <c r="V368" s="278"/>
    </row>
    <row r="369" spans="1:22" x14ac:dyDescent="0.15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278"/>
      <c r="M369" s="278"/>
      <c r="N369" s="278"/>
      <c r="O369" s="278"/>
      <c r="P369" s="278"/>
      <c r="Q369" s="278"/>
      <c r="R369" s="278"/>
      <c r="S369" s="278"/>
      <c r="T369" s="278"/>
      <c r="U369" s="278"/>
      <c r="V369" s="278"/>
    </row>
    <row r="370" spans="1:22" x14ac:dyDescent="0.15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278"/>
      <c r="M370" s="278"/>
      <c r="N370" s="278"/>
      <c r="O370" s="278"/>
      <c r="P370" s="278"/>
      <c r="Q370" s="278"/>
      <c r="R370" s="278"/>
      <c r="S370" s="278"/>
      <c r="T370" s="278"/>
      <c r="U370" s="278"/>
      <c r="V370" s="278"/>
    </row>
    <row r="371" spans="1:22" x14ac:dyDescent="0.15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278"/>
      <c r="M371" s="278"/>
      <c r="N371" s="278"/>
      <c r="O371" s="278"/>
      <c r="P371" s="278"/>
      <c r="Q371" s="278"/>
      <c r="R371" s="278"/>
      <c r="S371" s="278"/>
      <c r="T371" s="278"/>
      <c r="U371" s="278"/>
      <c r="V371" s="278"/>
    </row>
    <row r="372" spans="1:22" x14ac:dyDescent="0.15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278"/>
      <c r="M372" s="278"/>
      <c r="N372" s="278"/>
      <c r="O372" s="278"/>
      <c r="P372" s="278"/>
      <c r="Q372" s="278"/>
      <c r="R372" s="278"/>
      <c r="S372" s="278"/>
      <c r="T372" s="278"/>
      <c r="U372" s="278"/>
      <c r="V372" s="278"/>
    </row>
    <row r="373" spans="1:22" x14ac:dyDescent="0.15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278"/>
      <c r="M373" s="278"/>
      <c r="N373" s="278"/>
      <c r="O373" s="278"/>
      <c r="P373" s="278"/>
      <c r="Q373" s="278"/>
      <c r="R373" s="278"/>
      <c r="S373" s="278"/>
      <c r="T373" s="278"/>
      <c r="U373" s="278"/>
      <c r="V373" s="278"/>
    </row>
    <row r="374" spans="1:22" x14ac:dyDescent="0.15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278"/>
      <c r="M374" s="278"/>
      <c r="N374" s="278"/>
      <c r="O374" s="278"/>
      <c r="P374" s="278"/>
      <c r="Q374" s="278"/>
      <c r="R374" s="278"/>
      <c r="S374" s="278"/>
      <c r="T374" s="278"/>
      <c r="U374" s="278"/>
      <c r="V374" s="278"/>
    </row>
    <row r="375" spans="1:22" x14ac:dyDescent="0.15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278"/>
      <c r="M375" s="278"/>
      <c r="N375" s="278"/>
      <c r="O375" s="278"/>
      <c r="P375" s="278"/>
      <c r="Q375" s="278"/>
      <c r="R375" s="278"/>
      <c r="S375" s="278"/>
      <c r="T375" s="278"/>
      <c r="U375" s="278"/>
      <c r="V375" s="278"/>
    </row>
    <row r="376" spans="1:22" x14ac:dyDescent="0.15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278"/>
      <c r="M376" s="278"/>
      <c r="N376" s="278"/>
      <c r="O376" s="278"/>
      <c r="P376" s="278"/>
      <c r="Q376" s="278"/>
      <c r="R376" s="278"/>
      <c r="S376" s="278"/>
      <c r="T376" s="278"/>
      <c r="U376" s="278"/>
      <c r="V376" s="278"/>
    </row>
    <row r="377" spans="1:22" x14ac:dyDescent="0.15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278"/>
      <c r="M377" s="278"/>
      <c r="N377" s="278"/>
      <c r="O377" s="278"/>
      <c r="P377" s="278"/>
      <c r="Q377" s="278"/>
      <c r="R377" s="278"/>
      <c r="S377" s="278"/>
      <c r="T377" s="278"/>
      <c r="U377" s="278"/>
      <c r="V377" s="278"/>
    </row>
    <row r="378" spans="1:22" x14ac:dyDescent="0.15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278"/>
      <c r="M378" s="278"/>
      <c r="N378" s="278"/>
      <c r="O378" s="278"/>
      <c r="P378" s="278"/>
      <c r="Q378" s="278"/>
      <c r="R378" s="278"/>
      <c r="S378" s="278"/>
      <c r="T378" s="278"/>
      <c r="U378" s="278"/>
      <c r="V378" s="278"/>
    </row>
    <row r="379" spans="1:22" x14ac:dyDescent="0.15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278"/>
      <c r="M379" s="278"/>
      <c r="N379" s="278"/>
      <c r="O379" s="278"/>
      <c r="P379" s="278"/>
      <c r="Q379" s="278"/>
      <c r="R379" s="278"/>
      <c r="S379" s="278"/>
      <c r="T379" s="278"/>
      <c r="U379" s="278"/>
      <c r="V379" s="278"/>
    </row>
    <row r="380" spans="1:22" x14ac:dyDescent="0.15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278"/>
      <c r="M380" s="278"/>
      <c r="N380" s="278"/>
      <c r="O380" s="278"/>
      <c r="P380" s="278"/>
      <c r="Q380" s="278"/>
      <c r="R380" s="278"/>
      <c r="S380" s="278"/>
      <c r="T380" s="278"/>
      <c r="U380" s="278"/>
      <c r="V380" s="278"/>
    </row>
    <row r="381" spans="1:22" x14ac:dyDescent="0.15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278"/>
      <c r="M381" s="278"/>
      <c r="N381" s="278"/>
      <c r="O381" s="278"/>
      <c r="P381" s="278"/>
      <c r="Q381" s="278"/>
      <c r="R381" s="278"/>
      <c r="S381" s="278"/>
      <c r="T381" s="278"/>
      <c r="U381" s="278"/>
      <c r="V381" s="278"/>
    </row>
    <row r="382" spans="1:22" x14ac:dyDescent="0.15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278"/>
      <c r="M382" s="278"/>
      <c r="N382" s="278"/>
      <c r="O382" s="278"/>
      <c r="P382" s="278"/>
      <c r="Q382" s="278"/>
      <c r="R382" s="278"/>
      <c r="S382" s="278"/>
      <c r="T382" s="278"/>
      <c r="U382" s="278"/>
      <c r="V382" s="278"/>
    </row>
    <row r="383" spans="1:22" x14ac:dyDescent="0.15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278"/>
      <c r="M383" s="278"/>
      <c r="N383" s="278"/>
      <c r="O383" s="278"/>
      <c r="P383" s="278"/>
      <c r="Q383" s="278"/>
      <c r="R383" s="278"/>
      <c r="S383" s="278"/>
      <c r="T383" s="278"/>
      <c r="U383" s="278"/>
      <c r="V383" s="278"/>
    </row>
    <row r="384" spans="1:22" x14ac:dyDescent="0.15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278"/>
      <c r="M384" s="278"/>
      <c r="N384" s="278"/>
      <c r="O384" s="278"/>
      <c r="P384" s="278"/>
      <c r="Q384" s="278"/>
      <c r="R384" s="278"/>
      <c r="S384" s="278"/>
      <c r="T384" s="278"/>
      <c r="U384" s="278"/>
      <c r="V384" s="278"/>
    </row>
    <row r="385" spans="1:22" x14ac:dyDescent="0.15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278"/>
      <c r="M385" s="278"/>
      <c r="N385" s="278"/>
      <c r="O385" s="278"/>
      <c r="P385" s="278"/>
      <c r="Q385" s="278"/>
      <c r="R385" s="278"/>
      <c r="S385" s="278"/>
      <c r="T385" s="278"/>
      <c r="U385" s="278"/>
      <c r="V385" s="278"/>
    </row>
    <row r="386" spans="1:22" x14ac:dyDescent="0.15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278"/>
      <c r="M386" s="278"/>
      <c r="N386" s="278"/>
      <c r="O386" s="278"/>
      <c r="P386" s="278"/>
      <c r="Q386" s="278"/>
      <c r="R386" s="278"/>
      <c r="S386" s="278"/>
      <c r="T386" s="278"/>
      <c r="U386" s="278"/>
      <c r="V386" s="278"/>
    </row>
    <row r="387" spans="1:22" x14ac:dyDescent="0.15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278"/>
      <c r="M387" s="278"/>
      <c r="N387" s="278"/>
      <c r="O387" s="278"/>
      <c r="P387" s="278"/>
      <c r="Q387" s="278"/>
      <c r="R387" s="278"/>
      <c r="S387" s="278"/>
      <c r="T387" s="278"/>
      <c r="U387" s="278"/>
      <c r="V387" s="278"/>
    </row>
    <row r="388" spans="1:22" x14ac:dyDescent="0.15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278"/>
      <c r="M388" s="278"/>
      <c r="N388" s="278"/>
      <c r="O388" s="278"/>
      <c r="P388" s="278"/>
      <c r="Q388" s="278"/>
      <c r="R388" s="278"/>
      <c r="S388" s="278"/>
      <c r="T388" s="278"/>
      <c r="U388" s="278"/>
      <c r="V388" s="278"/>
    </row>
    <row r="389" spans="1:22" x14ac:dyDescent="0.15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278"/>
      <c r="M389" s="278"/>
      <c r="N389" s="278"/>
      <c r="O389" s="278"/>
      <c r="P389" s="278"/>
      <c r="Q389" s="278"/>
      <c r="R389" s="278"/>
      <c r="S389" s="278"/>
      <c r="T389" s="278"/>
      <c r="U389" s="278"/>
      <c r="V389" s="278"/>
    </row>
    <row r="390" spans="1:22" x14ac:dyDescent="0.15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278"/>
      <c r="M390" s="278"/>
      <c r="N390" s="278"/>
      <c r="O390" s="278"/>
      <c r="P390" s="278"/>
      <c r="Q390" s="278"/>
      <c r="R390" s="278"/>
      <c r="S390" s="278"/>
      <c r="T390" s="278"/>
      <c r="U390" s="278"/>
      <c r="V390" s="278"/>
    </row>
    <row r="391" spans="1:22" x14ac:dyDescent="0.15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278"/>
      <c r="M391" s="278"/>
      <c r="N391" s="278"/>
      <c r="O391" s="278"/>
      <c r="P391" s="278"/>
      <c r="Q391" s="278"/>
      <c r="R391" s="278"/>
      <c r="S391" s="278"/>
      <c r="T391" s="278"/>
      <c r="U391" s="278"/>
      <c r="V391" s="278"/>
    </row>
    <row r="392" spans="1:22" x14ac:dyDescent="0.15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278"/>
      <c r="M392" s="278"/>
      <c r="N392" s="278"/>
      <c r="O392" s="278"/>
      <c r="P392" s="278"/>
      <c r="Q392" s="278"/>
      <c r="R392" s="278"/>
      <c r="S392" s="278"/>
      <c r="T392" s="278"/>
      <c r="U392" s="278"/>
      <c r="V392" s="278"/>
    </row>
    <row r="393" spans="1:22" x14ac:dyDescent="0.15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278"/>
      <c r="M393" s="278"/>
      <c r="N393" s="278"/>
      <c r="O393" s="278"/>
      <c r="P393" s="278"/>
      <c r="Q393" s="278"/>
      <c r="R393" s="278"/>
      <c r="S393" s="278"/>
      <c r="T393" s="278"/>
      <c r="U393" s="278"/>
      <c r="V393" s="278"/>
    </row>
    <row r="394" spans="1:22" x14ac:dyDescent="0.15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278"/>
      <c r="M394" s="278"/>
      <c r="N394" s="278"/>
      <c r="O394" s="278"/>
      <c r="P394" s="278"/>
      <c r="Q394" s="278"/>
      <c r="R394" s="278"/>
      <c r="S394" s="278"/>
      <c r="T394" s="278"/>
      <c r="U394" s="278"/>
      <c r="V394" s="278"/>
    </row>
    <row r="395" spans="1:22" x14ac:dyDescent="0.15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278"/>
      <c r="M395" s="278"/>
      <c r="N395" s="278"/>
      <c r="O395" s="278"/>
      <c r="P395" s="278"/>
      <c r="Q395" s="278"/>
      <c r="R395" s="278"/>
      <c r="S395" s="278"/>
      <c r="T395" s="278"/>
      <c r="U395" s="278"/>
      <c r="V395" s="278"/>
    </row>
    <row r="396" spans="1:22" x14ac:dyDescent="0.15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278"/>
      <c r="M396" s="278"/>
      <c r="N396" s="278"/>
      <c r="O396" s="278"/>
      <c r="P396" s="278"/>
      <c r="Q396" s="278"/>
      <c r="R396" s="278"/>
      <c r="S396" s="278"/>
      <c r="T396" s="278"/>
      <c r="U396" s="278"/>
      <c r="V396" s="278"/>
    </row>
    <row r="397" spans="1:22" x14ac:dyDescent="0.15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278"/>
      <c r="M397" s="278"/>
      <c r="N397" s="278"/>
      <c r="O397" s="278"/>
      <c r="P397" s="278"/>
      <c r="Q397" s="278"/>
      <c r="R397" s="278"/>
      <c r="S397" s="278"/>
      <c r="T397" s="278"/>
      <c r="U397" s="278"/>
      <c r="V397" s="278"/>
    </row>
    <row r="398" spans="1:22" x14ac:dyDescent="0.15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278"/>
      <c r="M398" s="278"/>
      <c r="N398" s="278"/>
      <c r="O398" s="278"/>
      <c r="P398" s="278"/>
      <c r="Q398" s="278"/>
      <c r="R398" s="278"/>
      <c r="S398" s="278"/>
      <c r="T398" s="278"/>
      <c r="U398" s="278"/>
      <c r="V398" s="278"/>
    </row>
    <row r="399" spans="1:22" x14ac:dyDescent="0.15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278"/>
      <c r="M399" s="278"/>
      <c r="N399" s="278"/>
      <c r="O399" s="278"/>
      <c r="P399" s="278"/>
      <c r="Q399" s="278"/>
      <c r="R399" s="278"/>
      <c r="S399" s="278"/>
      <c r="T399" s="278"/>
      <c r="U399" s="278"/>
      <c r="V399" s="278"/>
    </row>
    <row r="400" spans="1:22" x14ac:dyDescent="0.15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278"/>
      <c r="M400" s="278"/>
      <c r="N400" s="278"/>
      <c r="O400" s="278"/>
      <c r="P400" s="278"/>
      <c r="Q400" s="278"/>
      <c r="R400" s="278"/>
      <c r="S400" s="278"/>
      <c r="T400" s="278"/>
      <c r="U400" s="278"/>
      <c r="V400" s="278"/>
    </row>
    <row r="401" spans="1:22" x14ac:dyDescent="0.15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278"/>
      <c r="M401" s="278"/>
      <c r="N401" s="278"/>
      <c r="O401" s="278"/>
      <c r="P401" s="278"/>
      <c r="Q401" s="278"/>
      <c r="R401" s="278"/>
      <c r="S401" s="278"/>
      <c r="T401" s="278"/>
      <c r="U401" s="278"/>
      <c r="V401" s="278"/>
    </row>
    <row r="402" spans="1:22" x14ac:dyDescent="0.15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278"/>
      <c r="Q402" s="278"/>
      <c r="R402" s="278"/>
      <c r="S402" s="278"/>
      <c r="T402" s="278"/>
      <c r="U402" s="278"/>
      <c r="V402" s="278"/>
    </row>
    <row r="403" spans="1:22" x14ac:dyDescent="0.15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278"/>
      <c r="M403" s="278"/>
      <c r="N403" s="278"/>
      <c r="O403" s="278"/>
      <c r="P403" s="278"/>
      <c r="Q403" s="278"/>
      <c r="R403" s="278"/>
      <c r="S403" s="278"/>
      <c r="T403" s="278"/>
      <c r="U403" s="278"/>
      <c r="V403" s="278"/>
    </row>
    <row r="404" spans="1:22" x14ac:dyDescent="0.15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278"/>
      <c r="M404" s="278"/>
      <c r="N404" s="278"/>
      <c r="O404" s="278"/>
      <c r="P404" s="278"/>
      <c r="Q404" s="278"/>
      <c r="R404" s="278"/>
      <c r="S404" s="278"/>
      <c r="T404" s="278"/>
      <c r="U404" s="278"/>
      <c r="V404" s="278"/>
    </row>
    <row r="405" spans="1:22" x14ac:dyDescent="0.15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278"/>
      <c r="M405" s="278"/>
      <c r="N405" s="278"/>
      <c r="O405" s="278"/>
      <c r="P405" s="278"/>
      <c r="Q405" s="278"/>
      <c r="R405" s="278"/>
      <c r="S405" s="278"/>
      <c r="T405" s="278"/>
      <c r="U405" s="278"/>
      <c r="V405" s="278"/>
    </row>
    <row r="406" spans="1:22" x14ac:dyDescent="0.15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278"/>
      <c r="M406" s="278"/>
      <c r="N406" s="278"/>
      <c r="O406" s="278"/>
      <c r="P406" s="278"/>
      <c r="Q406" s="278"/>
      <c r="R406" s="278"/>
      <c r="S406" s="278"/>
      <c r="T406" s="278"/>
      <c r="U406" s="278"/>
      <c r="V406" s="278"/>
    </row>
    <row r="407" spans="1:22" x14ac:dyDescent="0.15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278"/>
      <c r="M407" s="278"/>
      <c r="N407" s="278"/>
      <c r="O407" s="278"/>
      <c r="P407" s="278"/>
      <c r="Q407" s="278"/>
      <c r="R407" s="278"/>
      <c r="S407" s="278"/>
      <c r="T407" s="278"/>
      <c r="U407" s="278"/>
      <c r="V407" s="278"/>
    </row>
    <row r="408" spans="1:22" x14ac:dyDescent="0.15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278"/>
      <c r="M408" s="278"/>
      <c r="N408" s="278"/>
      <c r="O408" s="278"/>
      <c r="P408" s="278"/>
      <c r="Q408" s="278"/>
      <c r="R408" s="278"/>
      <c r="S408" s="278"/>
      <c r="T408" s="278"/>
      <c r="U408" s="278"/>
      <c r="V408" s="278"/>
    </row>
    <row r="409" spans="1:22" x14ac:dyDescent="0.15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278"/>
      <c r="M409" s="278"/>
      <c r="N409" s="278"/>
      <c r="O409" s="278"/>
      <c r="P409" s="278"/>
      <c r="Q409" s="278"/>
      <c r="R409" s="278"/>
      <c r="S409" s="278"/>
      <c r="T409" s="278"/>
      <c r="U409" s="278"/>
      <c r="V409" s="278"/>
    </row>
    <row r="410" spans="1:22" x14ac:dyDescent="0.15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278"/>
      <c r="M410" s="278"/>
      <c r="N410" s="278"/>
      <c r="O410" s="278"/>
      <c r="P410" s="278"/>
      <c r="Q410" s="278"/>
      <c r="R410" s="278"/>
      <c r="S410" s="278"/>
      <c r="T410" s="278"/>
      <c r="U410" s="278"/>
      <c r="V410" s="278"/>
    </row>
    <row r="411" spans="1:22" x14ac:dyDescent="0.15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278"/>
      <c r="M411" s="278"/>
      <c r="N411" s="278"/>
      <c r="O411" s="278"/>
      <c r="P411" s="278"/>
      <c r="Q411" s="278"/>
      <c r="R411" s="278"/>
      <c r="S411" s="278"/>
      <c r="T411" s="278"/>
      <c r="U411" s="278"/>
      <c r="V411" s="278"/>
    </row>
    <row r="412" spans="1:22" x14ac:dyDescent="0.15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278"/>
      <c r="M412" s="278"/>
      <c r="N412" s="278"/>
      <c r="O412" s="278"/>
      <c r="P412" s="278"/>
      <c r="Q412" s="278"/>
      <c r="R412" s="278"/>
      <c r="S412" s="278"/>
      <c r="T412" s="278"/>
      <c r="U412" s="278"/>
      <c r="V412" s="278"/>
    </row>
    <row r="413" spans="1:22" x14ac:dyDescent="0.15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278"/>
      <c r="M413" s="278"/>
      <c r="N413" s="278"/>
      <c r="O413" s="278"/>
      <c r="P413" s="278"/>
      <c r="Q413" s="278"/>
      <c r="R413" s="278"/>
      <c r="S413" s="278"/>
      <c r="T413" s="278"/>
      <c r="U413" s="278"/>
      <c r="V413" s="278"/>
    </row>
    <row r="414" spans="1:22" x14ac:dyDescent="0.15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278"/>
      <c r="M414" s="278"/>
      <c r="N414" s="278"/>
      <c r="O414" s="278"/>
      <c r="P414" s="278"/>
      <c r="Q414" s="278"/>
      <c r="R414" s="278"/>
      <c r="S414" s="278"/>
      <c r="T414" s="278"/>
      <c r="U414" s="278"/>
      <c r="V414" s="278"/>
    </row>
    <row r="415" spans="1:22" x14ac:dyDescent="0.15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278"/>
      <c r="M415" s="278"/>
      <c r="N415" s="278"/>
      <c r="O415" s="278"/>
      <c r="P415" s="278"/>
      <c r="Q415" s="278"/>
      <c r="R415" s="278"/>
      <c r="S415" s="278"/>
      <c r="T415" s="278"/>
      <c r="U415" s="278"/>
      <c r="V415" s="278"/>
    </row>
    <row r="416" spans="1:22" x14ac:dyDescent="0.15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278"/>
      <c r="M416" s="278"/>
      <c r="N416" s="278"/>
      <c r="O416" s="278"/>
      <c r="P416" s="278"/>
      <c r="Q416" s="278"/>
      <c r="R416" s="278"/>
      <c r="S416" s="278"/>
      <c r="T416" s="278"/>
      <c r="U416" s="278"/>
      <c r="V416" s="278"/>
    </row>
    <row r="417" spans="1:22" x14ac:dyDescent="0.15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278"/>
      <c r="M417" s="278"/>
      <c r="N417" s="278"/>
      <c r="O417" s="278"/>
      <c r="P417" s="278"/>
      <c r="Q417" s="278"/>
      <c r="R417" s="278"/>
      <c r="S417" s="278"/>
      <c r="T417" s="278"/>
      <c r="U417" s="278"/>
      <c r="V417" s="278"/>
    </row>
    <row r="418" spans="1:22" x14ac:dyDescent="0.15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278"/>
      <c r="M418" s="278"/>
      <c r="N418" s="278"/>
      <c r="O418" s="278"/>
      <c r="P418" s="278"/>
      <c r="Q418" s="278"/>
      <c r="R418" s="278"/>
      <c r="S418" s="278"/>
      <c r="T418" s="278"/>
      <c r="U418" s="278"/>
      <c r="V418" s="278"/>
    </row>
    <row r="419" spans="1:22" x14ac:dyDescent="0.15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278"/>
      <c r="M419" s="278"/>
      <c r="N419" s="278"/>
      <c r="O419" s="278"/>
      <c r="P419" s="278"/>
      <c r="Q419" s="278"/>
      <c r="R419" s="278"/>
      <c r="S419" s="278"/>
      <c r="T419" s="278"/>
      <c r="U419" s="278"/>
      <c r="V419" s="278"/>
    </row>
    <row r="420" spans="1:22" x14ac:dyDescent="0.15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278"/>
      <c r="M420" s="278"/>
      <c r="N420" s="278"/>
      <c r="O420" s="278"/>
      <c r="P420" s="278"/>
      <c r="Q420" s="278"/>
      <c r="R420" s="278"/>
      <c r="S420" s="278"/>
      <c r="T420" s="278"/>
      <c r="U420" s="278"/>
      <c r="V420" s="278"/>
    </row>
    <row r="421" spans="1:22" x14ac:dyDescent="0.15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278"/>
      <c r="M421" s="278"/>
      <c r="N421" s="278"/>
      <c r="O421" s="278"/>
      <c r="P421" s="278"/>
      <c r="Q421" s="278"/>
      <c r="R421" s="278"/>
      <c r="S421" s="278"/>
      <c r="T421" s="278"/>
      <c r="U421" s="278"/>
      <c r="V421" s="278"/>
    </row>
    <row r="422" spans="1:22" x14ac:dyDescent="0.15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278"/>
      <c r="M422" s="278"/>
      <c r="N422" s="278"/>
      <c r="O422" s="278"/>
      <c r="P422" s="278"/>
      <c r="Q422" s="278"/>
      <c r="R422" s="278"/>
      <c r="S422" s="278"/>
      <c r="T422" s="278"/>
      <c r="U422" s="278"/>
      <c r="V422" s="278"/>
    </row>
    <row r="423" spans="1:22" x14ac:dyDescent="0.15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278"/>
      <c r="M423" s="278"/>
      <c r="N423" s="278"/>
      <c r="O423" s="278"/>
      <c r="P423" s="278"/>
      <c r="Q423" s="278"/>
      <c r="R423" s="278"/>
      <c r="S423" s="278"/>
      <c r="T423" s="278"/>
      <c r="U423" s="278"/>
      <c r="V423" s="278"/>
    </row>
    <row r="424" spans="1:22" x14ac:dyDescent="0.15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278"/>
      <c r="M424" s="278"/>
      <c r="N424" s="278"/>
      <c r="O424" s="278"/>
      <c r="P424" s="278"/>
      <c r="Q424" s="278"/>
      <c r="R424" s="278"/>
      <c r="S424" s="278"/>
      <c r="T424" s="278"/>
      <c r="U424" s="278"/>
      <c r="V424" s="278"/>
    </row>
    <row r="425" spans="1:22" x14ac:dyDescent="0.15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278"/>
      <c r="M425" s="278"/>
      <c r="N425" s="278"/>
      <c r="O425" s="278"/>
      <c r="P425" s="278"/>
      <c r="Q425" s="278"/>
      <c r="R425" s="278"/>
      <c r="S425" s="278"/>
      <c r="T425" s="278"/>
      <c r="U425" s="278"/>
      <c r="V425" s="278"/>
    </row>
    <row r="426" spans="1:22" x14ac:dyDescent="0.15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278"/>
      <c r="M426" s="278"/>
      <c r="N426" s="278"/>
      <c r="O426" s="278"/>
      <c r="P426" s="278"/>
      <c r="Q426" s="278"/>
      <c r="R426" s="278"/>
      <c r="S426" s="278"/>
      <c r="T426" s="278"/>
      <c r="U426" s="278"/>
      <c r="V426" s="278"/>
    </row>
    <row r="427" spans="1:22" x14ac:dyDescent="0.15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278"/>
      <c r="M427" s="278"/>
      <c r="N427" s="278"/>
      <c r="O427" s="278"/>
      <c r="P427" s="278"/>
      <c r="Q427" s="278"/>
      <c r="R427" s="278"/>
      <c r="S427" s="278"/>
      <c r="T427" s="278"/>
      <c r="U427" s="278"/>
      <c r="V427" s="278"/>
    </row>
    <row r="428" spans="1:22" x14ac:dyDescent="0.15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278"/>
      <c r="M428" s="278"/>
      <c r="N428" s="278"/>
      <c r="O428" s="278"/>
      <c r="P428" s="278"/>
      <c r="Q428" s="278"/>
      <c r="R428" s="278"/>
      <c r="S428" s="278"/>
      <c r="T428" s="278"/>
      <c r="U428" s="278"/>
      <c r="V428" s="278"/>
    </row>
    <row r="429" spans="1:22" x14ac:dyDescent="0.15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278"/>
      <c r="M429" s="278"/>
      <c r="N429" s="278"/>
      <c r="O429" s="278"/>
      <c r="P429" s="278"/>
      <c r="Q429" s="278"/>
      <c r="R429" s="278"/>
      <c r="S429" s="278"/>
      <c r="T429" s="278"/>
      <c r="U429" s="278"/>
      <c r="V429" s="278"/>
    </row>
    <row r="430" spans="1:22" x14ac:dyDescent="0.15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278"/>
      <c r="M430" s="278"/>
      <c r="N430" s="278"/>
      <c r="O430" s="278"/>
      <c r="P430" s="278"/>
      <c r="Q430" s="278"/>
      <c r="R430" s="278"/>
      <c r="S430" s="278"/>
      <c r="T430" s="278"/>
      <c r="U430" s="278"/>
      <c r="V430" s="278"/>
    </row>
    <row r="431" spans="1:22" x14ac:dyDescent="0.15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278"/>
      <c r="M431" s="278"/>
      <c r="N431" s="278"/>
      <c r="O431" s="278"/>
      <c r="P431" s="278"/>
      <c r="Q431" s="278"/>
      <c r="R431" s="278"/>
      <c r="S431" s="278"/>
      <c r="T431" s="278"/>
      <c r="U431" s="278"/>
      <c r="V431" s="278"/>
    </row>
    <row r="432" spans="1:22" x14ac:dyDescent="0.15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278"/>
      <c r="M432" s="278"/>
      <c r="N432" s="278"/>
      <c r="O432" s="278"/>
      <c r="P432" s="278"/>
      <c r="Q432" s="278"/>
      <c r="R432" s="278"/>
      <c r="S432" s="278"/>
      <c r="T432" s="278"/>
      <c r="U432" s="278"/>
      <c r="V432" s="278"/>
    </row>
    <row r="433" spans="1:22" x14ac:dyDescent="0.15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278"/>
      <c r="M433" s="278"/>
      <c r="N433" s="278"/>
      <c r="O433" s="278"/>
      <c r="P433" s="278"/>
      <c r="Q433" s="278"/>
      <c r="R433" s="278"/>
      <c r="S433" s="278"/>
      <c r="T433" s="278"/>
      <c r="U433" s="278"/>
      <c r="V433" s="278"/>
    </row>
    <row r="434" spans="1:22" x14ac:dyDescent="0.15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278"/>
      <c r="M434" s="278"/>
      <c r="N434" s="278"/>
      <c r="O434" s="278"/>
      <c r="P434" s="278"/>
      <c r="Q434" s="278"/>
      <c r="R434" s="278"/>
      <c r="S434" s="278"/>
      <c r="T434" s="278"/>
      <c r="U434" s="278"/>
      <c r="V434" s="278"/>
    </row>
    <row r="435" spans="1:22" x14ac:dyDescent="0.15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278"/>
      <c r="M435" s="278"/>
      <c r="N435" s="278"/>
      <c r="O435" s="278"/>
      <c r="P435" s="278"/>
      <c r="Q435" s="278"/>
      <c r="R435" s="278"/>
      <c r="S435" s="278"/>
      <c r="T435" s="278"/>
      <c r="U435" s="278"/>
      <c r="V435" s="278"/>
    </row>
    <row r="436" spans="1:22" x14ac:dyDescent="0.15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278"/>
      <c r="M436" s="278"/>
      <c r="N436" s="278"/>
      <c r="O436" s="278"/>
      <c r="P436" s="278"/>
      <c r="Q436" s="278"/>
      <c r="R436" s="278"/>
      <c r="S436" s="278"/>
      <c r="T436" s="278"/>
      <c r="U436" s="278"/>
      <c r="V436" s="278"/>
    </row>
    <row r="437" spans="1:22" x14ac:dyDescent="0.15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278"/>
      <c r="M437" s="278"/>
      <c r="N437" s="278"/>
      <c r="O437" s="278"/>
      <c r="P437" s="278"/>
      <c r="Q437" s="278"/>
      <c r="R437" s="278"/>
      <c r="S437" s="278"/>
      <c r="T437" s="278"/>
      <c r="U437" s="278"/>
      <c r="V437" s="278"/>
    </row>
    <row r="438" spans="1:22" x14ac:dyDescent="0.15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278"/>
      <c r="M438" s="278"/>
      <c r="N438" s="278"/>
      <c r="O438" s="278"/>
      <c r="P438" s="278"/>
      <c r="Q438" s="278"/>
      <c r="R438" s="278"/>
      <c r="S438" s="278"/>
      <c r="T438" s="278"/>
      <c r="U438" s="278"/>
      <c r="V438" s="278"/>
    </row>
    <row r="439" spans="1:22" x14ac:dyDescent="0.15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278"/>
      <c r="M439" s="278"/>
      <c r="N439" s="278"/>
      <c r="O439" s="278"/>
      <c r="P439" s="278"/>
      <c r="Q439" s="278"/>
      <c r="R439" s="278"/>
      <c r="S439" s="278"/>
      <c r="T439" s="278"/>
      <c r="U439" s="278"/>
      <c r="V439" s="278"/>
    </row>
    <row r="440" spans="1:22" x14ac:dyDescent="0.15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278"/>
      <c r="M440" s="278"/>
      <c r="N440" s="278"/>
      <c r="O440" s="278"/>
      <c r="P440" s="278"/>
      <c r="Q440" s="278"/>
      <c r="R440" s="278"/>
      <c r="S440" s="278"/>
      <c r="T440" s="278"/>
      <c r="U440" s="278"/>
      <c r="V440" s="278"/>
    </row>
    <row r="441" spans="1:22" x14ac:dyDescent="0.15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278"/>
      <c r="M441" s="278"/>
      <c r="N441" s="278"/>
      <c r="O441" s="278"/>
      <c r="P441" s="278"/>
      <c r="Q441" s="278"/>
      <c r="R441" s="278"/>
      <c r="S441" s="278"/>
      <c r="T441" s="278"/>
      <c r="U441" s="278"/>
      <c r="V441" s="278"/>
    </row>
    <row r="442" spans="1:22" x14ac:dyDescent="0.15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278"/>
      <c r="M442" s="278"/>
      <c r="N442" s="278"/>
      <c r="O442" s="278"/>
      <c r="P442" s="278"/>
      <c r="Q442" s="278"/>
      <c r="R442" s="278"/>
      <c r="S442" s="278"/>
      <c r="T442" s="278"/>
      <c r="U442" s="278"/>
      <c r="V442" s="278"/>
    </row>
    <row r="443" spans="1:22" x14ac:dyDescent="0.15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278"/>
      <c r="M443" s="278"/>
      <c r="N443" s="278"/>
      <c r="O443" s="278"/>
      <c r="P443" s="278"/>
      <c r="Q443" s="278"/>
      <c r="R443" s="278"/>
      <c r="S443" s="278"/>
      <c r="T443" s="278"/>
      <c r="U443" s="278"/>
      <c r="V443" s="278"/>
    </row>
    <row r="444" spans="1:22" x14ac:dyDescent="0.15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278"/>
      <c r="M444" s="278"/>
      <c r="N444" s="278"/>
      <c r="O444" s="278"/>
      <c r="P444" s="278"/>
      <c r="Q444" s="278"/>
      <c r="R444" s="278"/>
      <c r="S444" s="278"/>
      <c r="T444" s="278"/>
      <c r="U444" s="278"/>
      <c r="V444" s="278"/>
    </row>
    <row r="445" spans="1:22" x14ac:dyDescent="0.15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278"/>
      <c r="M445" s="278"/>
      <c r="N445" s="278"/>
      <c r="O445" s="278"/>
      <c r="P445" s="278"/>
      <c r="Q445" s="278"/>
      <c r="R445" s="278"/>
      <c r="S445" s="278"/>
      <c r="T445" s="278"/>
      <c r="U445" s="278"/>
      <c r="V445" s="278"/>
    </row>
    <row r="446" spans="1:22" x14ac:dyDescent="0.15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278"/>
      <c r="M446" s="278"/>
      <c r="N446" s="278"/>
      <c r="O446" s="278"/>
      <c r="P446" s="278"/>
      <c r="Q446" s="278"/>
      <c r="R446" s="278"/>
      <c r="S446" s="278"/>
      <c r="T446" s="278"/>
      <c r="U446" s="278"/>
      <c r="V446" s="278"/>
    </row>
    <row r="447" spans="1:22" x14ac:dyDescent="0.15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278"/>
      <c r="M447" s="278"/>
      <c r="N447" s="278"/>
      <c r="O447" s="278"/>
      <c r="P447" s="278"/>
      <c r="Q447" s="278"/>
      <c r="R447" s="278"/>
      <c r="S447" s="278"/>
      <c r="T447" s="278"/>
      <c r="U447" s="278"/>
      <c r="V447" s="278"/>
    </row>
    <row r="448" spans="1:22" x14ac:dyDescent="0.15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278"/>
      <c r="M448" s="278"/>
      <c r="N448" s="278"/>
      <c r="O448" s="278"/>
      <c r="P448" s="278"/>
      <c r="Q448" s="278"/>
      <c r="R448" s="278"/>
      <c r="S448" s="278"/>
      <c r="T448" s="278"/>
      <c r="U448" s="278"/>
      <c r="V448" s="278"/>
    </row>
    <row r="449" spans="1:22" x14ac:dyDescent="0.15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278"/>
      <c r="M449" s="278"/>
      <c r="N449" s="278"/>
      <c r="O449" s="278"/>
      <c r="P449" s="278"/>
      <c r="Q449" s="278"/>
      <c r="R449" s="278"/>
      <c r="S449" s="278"/>
      <c r="T449" s="278"/>
      <c r="U449" s="278"/>
      <c r="V449" s="278"/>
    </row>
    <row r="450" spans="1:22" x14ac:dyDescent="0.15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278"/>
      <c r="M450" s="278"/>
      <c r="N450" s="278"/>
      <c r="O450" s="278"/>
      <c r="P450" s="278"/>
      <c r="Q450" s="278"/>
      <c r="R450" s="278"/>
      <c r="S450" s="278"/>
      <c r="T450" s="278"/>
      <c r="U450" s="278"/>
      <c r="V450" s="278"/>
    </row>
    <row r="451" spans="1:22" x14ac:dyDescent="0.15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278"/>
      <c r="M451" s="278"/>
      <c r="N451" s="278"/>
      <c r="O451" s="278"/>
      <c r="P451" s="278"/>
      <c r="Q451" s="278"/>
      <c r="R451" s="278"/>
      <c r="S451" s="278"/>
      <c r="T451" s="278"/>
      <c r="U451" s="278"/>
      <c r="V451" s="278"/>
    </row>
    <row r="452" spans="1:22" x14ac:dyDescent="0.15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278"/>
      <c r="M452" s="278"/>
      <c r="N452" s="278"/>
      <c r="O452" s="278"/>
      <c r="P452" s="278"/>
      <c r="Q452" s="278"/>
      <c r="R452" s="278"/>
      <c r="S452" s="278"/>
      <c r="T452" s="278"/>
      <c r="U452" s="278"/>
      <c r="V452" s="278"/>
    </row>
    <row r="453" spans="1:22" x14ac:dyDescent="0.15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278"/>
      <c r="M453" s="278"/>
      <c r="N453" s="278"/>
      <c r="O453" s="278"/>
      <c r="P453" s="278"/>
      <c r="Q453" s="278"/>
      <c r="R453" s="278"/>
      <c r="S453" s="278"/>
      <c r="T453" s="278"/>
      <c r="U453" s="278"/>
      <c r="V453" s="278"/>
    </row>
    <row r="454" spans="1:22" x14ac:dyDescent="0.15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278"/>
      <c r="M454" s="278"/>
      <c r="N454" s="278"/>
      <c r="O454" s="278"/>
      <c r="P454" s="278"/>
      <c r="Q454" s="278"/>
      <c r="R454" s="278"/>
      <c r="S454" s="278"/>
      <c r="T454" s="278"/>
      <c r="U454" s="278"/>
      <c r="V454" s="278"/>
    </row>
    <row r="455" spans="1:22" x14ac:dyDescent="0.15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278"/>
      <c r="M455" s="278"/>
      <c r="N455" s="278"/>
      <c r="O455" s="278"/>
      <c r="P455" s="278"/>
      <c r="Q455" s="278"/>
      <c r="R455" s="278"/>
      <c r="S455" s="278"/>
      <c r="T455" s="278"/>
      <c r="U455" s="278"/>
      <c r="V455" s="278"/>
    </row>
    <row r="456" spans="1:22" x14ac:dyDescent="0.15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278"/>
      <c r="M456" s="278"/>
      <c r="N456" s="278"/>
      <c r="O456" s="278"/>
      <c r="P456" s="278"/>
      <c r="Q456" s="278"/>
      <c r="R456" s="278"/>
      <c r="S456" s="278"/>
      <c r="T456" s="278"/>
      <c r="U456" s="278"/>
      <c r="V456" s="278"/>
    </row>
    <row r="457" spans="1:22" x14ac:dyDescent="0.15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278"/>
      <c r="M457" s="278"/>
      <c r="N457" s="278"/>
      <c r="O457" s="278"/>
      <c r="P457" s="278"/>
      <c r="Q457" s="278"/>
      <c r="R457" s="278"/>
      <c r="S457" s="278"/>
      <c r="T457" s="278"/>
      <c r="U457" s="278"/>
      <c r="V457" s="278"/>
    </row>
    <row r="458" spans="1:22" x14ac:dyDescent="0.15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278"/>
      <c r="M458" s="278"/>
      <c r="N458" s="278"/>
      <c r="O458" s="278"/>
      <c r="P458" s="278"/>
      <c r="Q458" s="278"/>
      <c r="R458" s="278"/>
      <c r="S458" s="278"/>
      <c r="T458" s="278"/>
      <c r="U458" s="278"/>
      <c r="V458" s="278"/>
    </row>
    <row r="459" spans="1:22" x14ac:dyDescent="0.15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278"/>
      <c r="M459" s="278"/>
      <c r="N459" s="278"/>
      <c r="O459" s="278"/>
      <c r="P459" s="278"/>
      <c r="Q459" s="278"/>
      <c r="R459" s="278"/>
      <c r="S459" s="278"/>
      <c r="T459" s="278"/>
      <c r="U459" s="278"/>
      <c r="V459" s="278"/>
    </row>
    <row r="460" spans="1:22" x14ac:dyDescent="0.15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278"/>
      <c r="M460" s="278"/>
      <c r="N460" s="278"/>
      <c r="O460" s="278"/>
      <c r="P460" s="278"/>
      <c r="Q460" s="278"/>
      <c r="R460" s="278"/>
      <c r="S460" s="278"/>
      <c r="T460" s="278"/>
      <c r="U460" s="278"/>
      <c r="V460" s="278"/>
    </row>
    <row r="461" spans="1:22" x14ac:dyDescent="0.15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278"/>
      <c r="M461" s="278"/>
      <c r="N461" s="278"/>
      <c r="O461" s="278"/>
      <c r="P461" s="278"/>
      <c r="Q461" s="278"/>
      <c r="R461" s="278"/>
      <c r="S461" s="278"/>
      <c r="T461" s="278"/>
      <c r="U461" s="278"/>
      <c r="V461" s="278"/>
    </row>
    <row r="462" spans="1:22" x14ac:dyDescent="0.15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278"/>
      <c r="M462" s="278"/>
      <c r="N462" s="278"/>
      <c r="O462" s="278"/>
      <c r="P462" s="278"/>
      <c r="Q462" s="278"/>
      <c r="R462" s="278"/>
      <c r="S462" s="278"/>
      <c r="T462" s="278"/>
      <c r="U462" s="278"/>
      <c r="V462" s="278"/>
    </row>
    <row r="463" spans="1:22" x14ac:dyDescent="0.15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278"/>
      <c r="M463" s="278"/>
      <c r="N463" s="278"/>
      <c r="O463" s="278"/>
      <c r="P463" s="278"/>
      <c r="Q463" s="278"/>
      <c r="R463" s="278"/>
      <c r="S463" s="278"/>
      <c r="T463" s="278"/>
      <c r="U463" s="278"/>
      <c r="V463" s="278"/>
    </row>
    <row r="464" spans="1:22" x14ac:dyDescent="0.15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278"/>
      <c r="M464" s="278"/>
      <c r="N464" s="278"/>
      <c r="O464" s="278"/>
      <c r="P464" s="278"/>
      <c r="Q464" s="278"/>
      <c r="R464" s="278"/>
      <c r="S464" s="278"/>
      <c r="T464" s="278"/>
      <c r="U464" s="278"/>
      <c r="V464" s="278"/>
    </row>
    <row r="465" spans="1:22" x14ac:dyDescent="0.15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278"/>
      <c r="M465" s="278"/>
      <c r="N465" s="278"/>
      <c r="O465" s="278"/>
      <c r="P465" s="278"/>
      <c r="Q465" s="278"/>
      <c r="R465" s="278"/>
      <c r="S465" s="278"/>
      <c r="T465" s="278"/>
      <c r="U465" s="278"/>
      <c r="V465" s="278"/>
    </row>
    <row r="466" spans="1:22" x14ac:dyDescent="0.15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278"/>
      <c r="M466" s="278"/>
      <c r="N466" s="278"/>
      <c r="O466" s="278"/>
      <c r="P466" s="278"/>
      <c r="Q466" s="278"/>
      <c r="R466" s="278"/>
      <c r="S466" s="278"/>
      <c r="T466" s="278"/>
      <c r="U466" s="278"/>
      <c r="V466" s="278"/>
    </row>
    <row r="467" spans="1:22" x14ac:dyDescent="0.15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278"/>
      <c r="M467" s="278"/>
      <c r="N467" s="278"/>
      <c r="O467" s="278"/>
      <c r="P467" s="278"/>
      <c r="Q467" s="278"/>
      <c r="R467" s="278"/>
      <c r="S467" s="278"/>
      <c r="T467" s="278"/>
      <c r="U467" s="278"/>
      <c r="V467" s="278"/>
    </row>
    <row r="468" spans="1:22" x14ac:dyDescent="0.15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278"/>
      <c r="M468" s="278"/>
      <c r="N468" s="278"/>
      <c r="O468" s="278"/>
      <c r="P468" s="278"/>
      <c r="Q468" s="278"/>
      <c r="R468" s="278"/>
      <c r="S468" s="278"/>
      <c r="T468" s="278"/>
      <c r="U468" s="278"/>
      <c r="V468" s="278"/>
    </row>
    <row r="469" spans="1:22" x14ac:dyDescent="0.15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278"/>
      <c r="M469" s="278"/>
      <c r="N469" s="278"/>
      <c r="O469" s="278"/>
      <c r="P469" s="278"/>
      <c r="Q469" s="278"/>
      <c r="R469" s="278"/>
      <c r="S469" s="278"/>
      <c r="T469" s="278"/>
      <c r="U469" s="278"/>
      <c r="V469" s="278"/>
    </row>
    <row r="470" spans="1:22" x14ac:dyDescent="0.15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278"/>
      <c r="M470" s="278"/>
      <c r="N470" s="278"/>
      <c r="O470" s="278"/>
      <c r="P470" s="278"/>
      <c r="Q470" s="278"/>
      <c r="R470" s="278"/>
      <c r="S470" s="278"/>
      <c r="T470" s="278"/>
      <c r="U470" s="278"/>
      <c r="V470" s="278"/>
    </row>
    <row r="471" spans="1:22" x14ac:dyDescent="0.15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278"/>
      <c r="M471" s="278"/>
      <c r="N471" s="278"/>
      <c r="O471" s="278"/>
      <c r="P471" s="278"/>
      <c r="Q471" s="278"/>
      <c r="R471" s="278"/>
      <c r="S471" s="278"/>
      <c r="T471" s="278"/>
      <c r="U471" s="278"/>
      <c r="V471" s="278"/>
    </row>
    <row r="472" spans="1:22" x14ac:dyDescent="0.15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278"/>
      <c r="M472" s="278"/>
      <c r="N472" s="278"/>
      <c r="O472" s="278"/>
      <c r="P472" s="278"/>
      <c r="Q472" s="278"/>
      <c r="R472" s="278"/>
      <c r="S472" s="278"/>
      <c r="T472" s="278"/>
      <c r="U472" s="278"/>
      <c r="V472" s="278"/>
    </row>
    <row r="473" spans="1:22" x14ac:dyDescent="0.15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278"/>
      <c r="M473" s="278"/>
      <c r="N473" s="278"/>
      <c r="O473" s="278"/>
      <c r="P473" s="278"/>
      <c r="Q473" s="278"/>
      <c r="R473" s="278"/>
      <c r="S473" s="278"/>
      <c r="T473" s="278"/>
      <c r="U473" s="278"/>
      <c r="V473" s="278"/>
    </row>
    <row r="474" spans="1:22" x14ac:dyDescent="0.15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278"/>
      <c r="M474" s="278"/>
      <c r="N474" s="278"/>
      <c r="O474" s="278"/>
      <c r="P474" s="278"/>
      <c r="Q474" s="278"/>
      <c r="R474" s="278"/>
      <c r="S474" s="278"/>
      <c r="T474" s="278"/>
      <c r="U474" s="278"/>
      <c r="V474" s="278"/>
    </row>
    <row r="475" spans="1:22" x14ac:dyDescent="0.15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278"/>
      <c r="M475" s="278"/>
      <c r="N475" s="278"/>
      <c r="O475" s="278"/>
      <c r="P475" s="278"/>
      <c r="Q475" s="278"/>
      <c r="R475" s="278"/>
      <c r="S475" s="278"/>
      <c r="T475" s="278"/>
      <c r="U475" s="278"/>
      <c r="V475" s="278"/>
    </row>
    <row r="476" spans="1:22" x14ac:dyDescent="0.15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278"/>
      <c r="M476" s="278"/>
      <c r="N476" s="278"/>
      <c r="O476" s="278"/>
      <c r="P476" s="278"/>
      <c r="Q476" s="278"/>
      <c r="R476" s="278"/>
      <c r="S476" s="278"/>
      <c r="T476" s="278"/>
      <c r="U476" s="278"/>
      <c r="V476" s="278"/>
    </row>
    <row r="477" spans="1:22" x14ac:dyDescent="0.15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278"/>
      <c r="M477" s="278"/>
      <c r="N477" s="278"/>
      <c r="O477" s="278"/>
      <c r="P477" s="278"/>
      <c r="Q477" s="278"/>
      <c r="R477" s="278"/>
      <c r="S477" s="278"/>
      <c r="T477" s="278"/>
      <c r="U477" s="278"/>
      <c r="V477" s="278"/>
    </row>
    <row r="478" spans="1:22" x14ac:dyDescent="0.15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278"/>
      <c r="M478" s="278"/>
      <c r="N478" s="278"/>
      <c r="O478" s="278"/>
      <c r="P478" s="278"/>
      <c r="Q478" s="278"/>
      <c r="R478" s="278"/>
      <c r="S478" s="278"/>
      <c r="T478" s="278"/>
      <c r="U478" s="278"/>
      <c r="V478" s="278"/>
    </row>
    <row r="479" spans="1:22" x14ac:dyDescent="0.15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278"/>
      <c r="M479" s="278"/>
      <c r="N479" s="278"/>
      <c r="O479" s="278"/>
      <c r="P479" s="278"/>
      <c r="Q479" s="278"/>
      <c r="R479" s="278"/>
      <c r="S479" s="278"/>
      <c r="T479" s="278"/>
      <c r="U479" s="278"/>
      <c r="V479" s="278"/>
    </row>
    <row r="480" spans="1:22" x14ac:dyDescent="0.15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/>
      <c r="U480" s="278"/>
      <c r="V480" s="278"/>
    </row>
    <row r="481" spans="1:22" x14ac:dyDescent="0.15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278"/>
      <c r="M481" s="278"/>
      <c r="N481" s="278"/>
      <c r="O481" s="278"/>
      <c r="P481" s="278"/>
      <c r="Q481" s="278"/>
      <c r="R481" s="278"/>
      <c r="S481" s="278"/>
      <c r="T481" s="278"/>
      <c r="U481" s="278"/>
      <c r="V481" s="278"/>
    </row>
    <row r="482" spans="1:22" x14ac:dyDescent="0.15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278"/>
      <c r="M482" s="278"/>
      <c r="N482" s="278"/>
      <c r="O482" s="278"/>
      <c r="P482" s="278"/>
      <c r="Q482" s="278"/>
      <c r="R482" s="278"/>
      <c r="S482" s="278"/>
      <c r="T482" s="278"/>
      <c r="U482" s="278"/>
      <c r="V482" s="278"/>
    </row>
    <row r="483" spans="1:22" x14ac:dyDescent="0.15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278"/>
      <c r="M483" s="278"/>
      <c r="N483" s="278"/>
      <c r="O483" s="278"/>
      <c r="P483" s="278"/>
      <c r="Q483" s="278"/>
      <c r="R483" s="278"/>
      <c r="S483" s="278"/>
      <c r="T483" s="278"/>
      <c r="U483" s="278"/>
      <c r="V483" s="278"/>
    </row>
    <row r="484" spans="1:22" x14ac:dyDescent="0.15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278"/>
      <c r="M484" s="278"/>
      <c r="N484" s="278"/>
      <c r="O484" s="278"/>
      <c r="P484" s="278"/>
      <c r="Q484" s="278"/>
      <c r="R484" s="278"/>
      <c r="S484" s="278"/>
      <c r="T484" s="278"/>
      <c r="U484" s="278"/>
      <c r="V484" s="278"/>
    </row>
    <row r="485" spans="1:22" x14ac:dyDescent="0.15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278"/>
      <c r="M485" s="278"/>
      <c r="N485" s="278"/>
      <c r="O485" s="278"/>
      <c r="P485" s="278"/>
      <c r="Q485" s="278"/>
      <c r="R485" s="278"/>
      <c r="S485" s="278"/>
      <c r="T485" s="278"/>
      <c r="U485" s="278"/>
      <c r="V485" s="278"/>
    </row>
    <row r="486" spans="1:22" x14ac:dyDescent="0.15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278"/>
      <c r="M486" s="278"/>
      <c r="N486" s="278"/>
      <c r="O486" s="278"/>
      <c r="P486" s="278"/>
      <c r="Q486" s="278"/>
      <c r="R486" s="278"/>
      <c r="S486" s="278"/>
      <c r="T486" s="278"/>
      <c r="U486" s="278"/>
      <c r="V486" s="278"/>
    </row>
    <row r="487" spans="1:22" x14ac:dyDescent="0.15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278"/>
      <c r="M487" s="278"/>
      <c r="N487" s="278"/>
      <c r="O487" s="278"/>
      <c r="P487" s="278"/>
      <c r="Q487" s="278"/>
      <c r="R487" s="278"/>
      <c r="S487" s="278"/>
      <c r="T487" s="278"/>
      <c r="U487" s="278"/>
      <c r="V487" s="278"/>
    </row>
    <row r="488" spans="1:22" x14ac:dyDescent="0.15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278"/>
      <c r="M488" s="278"/>
      <c r="N488" s="278"/>
      <c r="O488" s="278"/>
      <c r="P488" s="278"/>
      <c r="Q488" s="278"/>
      <c r="R488" s="278"/>
      <c r="S488" s="278"/>
      <c r="T488" s="278"/>
      <c r="U488" s="278"/>
      <c r="V488" s="278"/>
    </row>
    <row r="489" spans="1:22" x14ac:dyDescent="0.15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278"/>
      <c r="M489" s="278"/>
      <c r="N489" s="278"/>
      <c r="O489" s="278"/>
      <c r="P489" s="278"/>
      <c r="Q489" s="278"/>
      <c r="R489" s="278"/>
      <c r="S489" s="278"/>
      <c r="T489" s="278"/>
      <c r="U489" s="278"/>
      <c r="V489" s="278"/>
    </row>
    <row r="490" spans="1:22" x14ac:dyDescent="0.15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278"/>
      <c r="M490" s="278"/>
      <c r="N490" s="278"/>
      <c r="O490" s="278"/>
      <c r="P490" s="278"/>
      <c r="Q490" s="278"/>
      <c r="R490" s="278"/>
      <c r="S490" s="278"/>
      <c r="T490" s="278"/>
      <c r="U490" s="278"/>
      <c r="V490" s="278"/>
    </row>
    <row r="491" spans="1:22" x14ac:dyDescent="0.15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278"/>
      <c r="M491" s="278"/>
      <c r="N491" s="278"/>
      <c r="O491" s="278"/>
      <c r="P491" s="278"/>
      <c r="Q491" s="278"/>
      <c r="R491" s="278"/>
      <c r="S491" s="278"/>
      <c r="T491" s="278"/>
      <c r="U491" s="278"/>
      <c r="V491" s="278"/>
    </row>
    <row r="492" spans="1:22" x14ac:dyDescent="0.15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278"/>
      <c r="M492" s="278"/>
      <c r="N492" s="278"/>
      <c r="O492" s="278"/>
      <c r="P492" s="278"/>
      <c r="Q492" s="278"/>
      <c r="R492" s="278"/>
      <c r="S492" s="278"/>
      <c r="T492" s="278"/>
      <c r="U492" s="278"/>
      <c r="V492" s="278"/>
    </row>
    <row r="493" spans="1:22" x14ac:dyDescent="0.15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278"/>
      <c r="M493" s="278"/>
      <c r="N493" s="278"/>
      <c r="O493" s="278"/>
      <c r="P493" s="278"/>
      <c r="Q493" s="278"/>
      <c r="R493" s="278"/>
      <c r="S493" s="278"/>
      <c r="T493" s="278"/>
      <c r="U493" s="278"/>
      <c r="V493" s="278"/>
    </row>
    <row r="494" spans="1:22" x14ac:dyDescent="0.15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278"/>
      <c r="M494" s="278"/>
      <c r="N494" s="278"/>
      <c r="O494" s="278"/>
      <c r="P494" s="278"/>
      <c r="Q494" s="278"/>
      <c r="R494" s="278"/>
      <c r="S494" s="278"/>
      <c r="T494" s="278"/>
      <c r="U494" s="278"/>
      <c r="V494" s="278"/>
    </row>
    <row r="495" spans="1:22" x14ac:dyDescent="0.15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278"/>
      <c r="M495" s="278"/>
      <c r="N495" s="278"/>
      <c r="O495" s="278"/>
      <c r="P495" s="278"/>
      <c r="Q495" s="278"/>
      <c r="R495" s="278"/>
      <c r="S495" s="278"/>
      <c r="T495" s="278"/>
      <c r="U495" s="278"/>
      <c r="V495" s="278"/>
    </row>
    <row r="496" spans="1:22" x14ac:dyDescent="0.15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278"/>
      <c r="M496" s="278"/>
      <c r="N496" s="278"/>
      <c r="O496" s="278"/>
      <c r="P496" s="278"/>
      <c r="Q496" s="278"/>
      <c r="R496" s="278"/>
      <c r="S496" s="278"/>
      <c r="T496" s="278"/>
      <c r="U496" s="278"/>
      <c r="V496" s="278"/>
    </row>
    <row r="497" spans="1:22" x14ac:dyDescent="0.15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278"/>
      <c r="M497" s="278"/>
      <c r="N497" s="278"/>
      <c r="O497" s="278"/>
      <c r="P497" s="278"/>
      <c r="Q497" s="278"/>
      <c r="R497" s="278"/>
      <c r="S497" s="278"/>
      <c r="T497" s="278"/>
      <c r="U497" s="278"/>
      <c r="V497" s="278"/>
    </row>
    <row r="498" spans="1:22" x14ac:dyDescent="0.15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278"/>
      <c r="M498" s="278"/>
      <c r="N498" s="278"/>
      <c r="O498" s="278"/>
      <c r="P498" s="278"/>
      <c r="Q498" s="278"/>
      <c r="R498" s="278"/>
      <c r="S498" s="278"/>
      <c r="T498" s="278"/>
      <c r="U498" s="278"/>
      <c r="V498" s="278"/>
    </row>
    <row r="499" spans="1:22" x14ac:dyDescent="0.15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278"/>
      <c r="M499" s="278"/>
      <c r="N499" s="278"/>
      <c r="O499" s="278"/>
      <c r="P499" s="278"/>
      <c r="Q499" s="278"/>
      <c r="R499" s="278"/>
      <c r="S499" s="278"/>
      <c r="T499" s="278"/>
      <c r="U499" s="278"/>
      <c r="V499" s="278"/>
    </row>
    <row r="500" spans="1:22" x14ac:dyDescent="0.15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278"/>
      <c r="M500" s="278"/>
      <c r="N500" s="278"/>
      <c r="O500" s="278"/>
      <c r="P500" s="278"/>
      <c r="Q500" s="278"/>
      <c r="R500" s="278"/>
      <c r="S500" s="278"/>
      <c r="T500" s="278"/>
      <c r="U500" s="278"/>
      <c r="V500" s="278"/>
    </row>
    <row r="501" spans="1:22" x14ac:dyDescent="0.15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278"/>
      <c r="M501" s="278"/>
      <c r="N501" s="278"/>
      <c r="O501" s="278"/>
      <c r="P501" s="278"/>
      <c r="Q501" s="278"/>
      <c r="R501" s="278"/>
      <c r="S501" s="278"/>
      <c r="T501" s="278"/>
      <c r="U501" s="278"/>
      <c r="V501" s="278"/>
    </row>
    <row r="502" spans="1:22" x14ac:dyDescent="0.15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278"/>
      <c r="M502" s="278"/>
      <c r="N502" s="278"/>
      <c r="O502" s="278"/>
      <c r="P502" s="278"/>
      <c r="Q502" s="278"/>
      <c r="R502" s="278"/>
      <c r="S502" s="278"/>
      <c r="T502" s="278"/>
      <c r="U502" s="278"/>
      <c r="V502" s="278"/>
    </row>
    <row r="503" spans="1:22" x14ac:dyDescent="0.15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278"/>
      <c r="M503" s="278"/>
      <c r="N503" s="278"/>
      <c r="O503" s="278"/>
      <c r="P503" s="278"/>
      <c r="Q503" s="278"/>
      <c r="R503" s="278"/>
      <c r="S503" s="278"/>
      <c r="T503" s="278"/>
      <c r="U503" s="278"/>
      <c r="V503" s="278"/>
    </row>
    <row r="504" spans="1:22" x14ac:dyDescent="0.15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278"/>
      <c r="M504" s="278"/>
      <c r="N504" s="278"/>
      <c r="O504" s="278"/>
      <c r="P504" s="278"/>
      <c r="Q504" s="278"/>
      <c r="R504" s="278"/>
      <c r="S504" s="278"/>
      <c r="T504" s="278"/>
      <c r="U504" s="278"/>
      <c r="V504" s="278"/>
    </row>
    <row r="505" spans="1:22" x14ac:dyDescent="0.15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278"/>
      <c r="M505" s="278"/>
      <c r="N505" s="278"/>
      <c r="O505" s="278"/>
      <c r="P505" s="278"/>
      <c r="Q505" s="278"/>
      <c r="R505" s="278"/>
      <c r="S505" s="278"/>
      <c r="T505" s="278"/>
      <c r="U505" s="278"/>
      <c r="V505" s="278"/>
    </row>
    <row r="506" spans="1:22" x14ac:dyDescent="0.15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278"/>
      <c r="M506" s="278"/>
      <c r="N506" s="278"/>
      <c r="O506" s="278"/>
      <c r="P506" s="278"/>
      <c r="Q506" s="278"/>
      <c r="R506" s="278"/>
      <c r="S506" s="278"/>
      <c r="T506" s="278"/>
      <c r="U506" s="278"/>
      <c r="V506" s="278"/>
    </row>
    <row r="507" spans="1:22" x14ac:dyDescent="0.15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278"/>
      <c r="M507" s="278"/>
      <c r="N507" s="278"/>
      <c r="O507" s="278"/>
      <c r="P507" s="278"/>
      <c r="Q507" s="278"/>
      <c r="R507" s="278"/>
      <c r="S507" s="278"/>
      <c r="T507" s="278"/>
      <c r="U507" s="278"/>
      <c r="V507" s="278"/>
    </row>
    <row r="508" spans="1:22" x14ac:dyDescent="0.15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278"/>
      <c r="M508" s="278"/>
      <c r="N508" s="278"/>
      <c r="O508" s="278"/>
      <c r="P508" s="278"/>
      <c r="Q508" s="278"/>
      <c r="R508" s="278"/>
      <c r="S508" s="278"/>
      <c r="T508" s="278"/>
      <c r="U508" s="278"/>
      <c r="V508" s="278"/>
    </row>
    <row r="509" spans="1:22" x14ac:dyDescent="0.15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278"/>
      <c r="M509" s="278"/>
      <c r="N509" s="278"/>
      <c r="O509" s="278"/>
      <c r="P509" s="278"/>
      <c r="Q509" s="278"/>
      <c r="R509" s="278"/>
      <c r="S509" s="278"/>
      <c r="T509" s="278"/>
      <c r="U509" s="278"/>
      <c r="V509" s="278"/>
    </row>
    <row r="510" spans="1:22" x14ac:dyDescent="0.15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278"/>
      <c r="M510" s="278"/>
      <c r="N510" s="278"/>
      <c r="O510" s="278"/>
      <c r="P510" s="278"/>
      <c r="Q510" s="278"/>
      <c r="R510" s="278"/>
      <c r="S510" s="278"/>
      <c r="T510" s="278"/>
      <c r="U510" s="278"/>
      <c r="V510" s="278"/>
    </row>
    <row r="511" spans="1:22" x14ac:dyDescent="0.15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278"/>
      <c r="M511" s="278"/>
      <c r="N511" s="278"/>
      <c r="O511" s="278"/>
      <c r="P511" s="278"/>
      <c r="Q511" s="278"/>
      <c r="R511" s="278"/>
      <c r="S511" s="278"/>
      <c r="T511" s="278"/>
      <c r="U511" s="278"/>
      <c r="V511" s="278"/>
    </row>
    <row r="512" spans="1:22" x14ac:dyDescent="0.15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278"/>
      <c r="M512" s="278"/>
      <c r="N512" s="278"/>
      <c r="O512" s="278"/>
      <c r="P512" s="278"/>
      <c r="Q512" s="278"/>
      <c r="R512" s="278"/>
      <c r="S512" s="278"/>
      <c r="T512" s="278"/>
      <c r="U512" s="278"/>
      <c r="V512" s="278"/>
    </row>
    <row r="513" spans="1:22" x14ac:dyDescent="0.15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278"/>
      <c r="M513" s="278"/>
      <c r="N513" s="278"/>
      <c r="O513" s="278"/>
      <c r="P513" s="278"/>
      <c r="Q513" s="278"/>
      <c r="R513" s="278"/>
      <c r="S513" s="278"/>
      <c r="T513" s="278"/>
      <c r="U513" s="278"/>
      <c r="V513" s="278"/>
    </row>
    <row r="514" spans="1:22" x14ac:dyDescent="0.15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278"/>
      <c r="M514" s="278"/>
      <c r="N514" s="278"/>
      <c r="O514" s="278"/>
      <c r="P514" s="278"/>
      <c r="Q514" s="278"/>
      <c r="R514" s="278"/>
      <c r="S514" s="278"/>
      <c r="T514" s="278"/>
      <c r="U514" s="278"/>
      <c r="V514" s="278"/>
    </row>
    <row r="515" spans="1:22" x14ac:dyDescent="0.15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278"/>
      <c r="M515" s="278"/>
      <c r="N515" s="278"/>
      <c r="O515" s="278"/>
      <c r="P515" s="278"/>
      <c r="Q515" s="278"/>
      <c r="R515" s="278"/>
      <c r="S515" s="278"/>
      <c r="T515" s="278"/>
      <c r="U515" s="278"/>
      <c r="V515" s="278"/>
    </row>
    <row r="516" spans="1:22" x14ac:dyDescent="0.15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278"/>
      <c r="M516" s="278"/>
      <c r="N516" s="278"/>
      <c r="O516" s="278"/>
      <c r="P516" s="278"/>
      <c r="Q516" s="278"/>
      <c r="R516" s="278"/>
      <c r="S516" s="278"/>
      <c r="T516" s="278"/>
      <c r="U516" s="278"/>
      <c r="V516" s="278"/>
    </row>
    <row r="517" spans="1:22" x14ac:dyDescent="0.15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278"/>
      <c r="M517" s="278"/>
      <c r="N517" s="278"/>
      <c r="O517" s="278"/>
      <c r="P517" s="278"/>
      <c r="Q517" s="278"/>
      <c r="R517" s="278"/>
      <c r="S517" s="278"/>
      <c r="T517" s="278"/>
      <c r="U517" s="278"/>
      <c r="V517" s="278"/>
    </row>
    <row r="518" spans="1:22" x14ac:dyDescent="0.15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278"/>
      <c r="M518" s="278"/>
      <c r="N518" s="278"/>
      <c r="O518" s="278"/>
      <c r="P518" s="278"/>
      <c r="Q518" s="278"/>
      <c r="R518" s="278"/>
      <c r="S518" s="278"/>
      <c r="T518" s="278"/>
      <c r="U518" s="278"/>
      <c r="V518" s="278"/>
    </row>
    <row r="519" spans="1:22" x14ac:dyDescent="0.15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278"/>
      <c r="M519" s="278"/>
      <c r="N519" s="278"/>
      <c r="O519" s="278"/>
      <c r="P519" s="278"/>
      <c r="Q519" s="278"/>
      <c r="R519" s="278"/>
      <c r="S519" s="278"/>
      <c r="T519" s="278"/>
      <c r="U519" s="278"/>
      <c r="V519" s="278"/>
    </row>
    <row r="520" spans="1:22" x14ac:dyDescent="0.15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278"/>
      <c r="M520" s="278"/>
      <c r="N520" s="278"/>
      <c r="O520" s="278"/>
      <c r="P520" s="278"/>
      <c r="Q520" s="278"/>
      <c r="R520" s="278"/>
      <c r="S520" s="278"/>
      <c r="T520" s="278"/>
      <c r="U520" s="278"/>
      <c r="V520" s="278"/>
    </row>
    <row r="521" spans="1:22" x14ac:dyDescent="0.15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278"/>
      <c r="M521" s="278"/>
      <c r="N521" s="278"/>
      <c r="O521" s="278"/>
      <c r="P521" s="278"/>
      <c r="Q521" s="278"/>
      <c r="R521" s="278"/>
      <c r="S521" s="278"/>
      <c r="T521" s="278"/>
      <c r="U521" s="278"/>
      <c r="V521" s="278"/>
    </row>
    <row r="522" spans="1:22" x14ac:dyDescent="0.15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278"/>
      <c r="M522" s="278"/>
      <c r="N522" s="278"/>
      <c r="O522" s="278"/>
      <c r="P522" s="278"/>
      <c r="Q522" s="278"/>
      <c r="R522" s="278"/>
      <c r="S522" s="278"/>
      <c r="T522" s="278"/>
      <c r="U522" s="278"/>
      <c r="V522" s="278"/>
    </row>
    <row r="523" spans="1:22" x14ac:dyDescent="0.15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278"/>
      <c r="M523" s="278"/>
      <c r="N523" s="278"/>
      <c r="O523" s="278"/>
      <c r="P523" s="278"/>
      <c r="Q523" s="278"/>
      <c r="R523" s="278"/>
      <c r="S523" s="278"/>
      <c r="T523" s="278"/>
      <c r="U523" s="278"/>
      <c r="V523" s="278"/>
    </row>
    <row r="524" spans="1:22" x14ac:dyDescent="0.15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278"/>
      <c r="M524" s="278"/>
      <c r="N524" s="278"/>
      <c r="O524" s="278"/>
      <c r="P524" s="278"/>
      <c r="Q524" s="278"/>
      <c r="R524" s="278"/>
      <c r="S524" s="278"/>
      <c r="T524" s="278"/>
      <c r="U524" s="278"/>
      <c r="V524" s="278"/>
    </row>
    <row r="525" spans="1:22" x14ac:dyDescent="0.15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278"/>
      <c r="M525" s="278"/>
      <c r="N525" s="278"/>
      <c r="O525" s="278"/>
      <c r="P525" s="278"/>
      <c r="Q525" s="278"/>
      <c r="R525" s="278"/>
      <c r="S525" s="278"/>
      <c r="T525" s="278"/>
      <c r="U525" s="278"/>
      <c r="V525" s="278"/>
    </row>
    <row r="526" spans="1:22" x14ac:dyDescent="0.15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278"/>
      <c r="Q526" s="278"/>
      <c r="R526" s="278"/>
      <c r="S526" s="278"/>
      <c r="T526" s="278"/>
      <c r="U526" s="278"/>
      <c r="V526" s="278"/>
    </row>
    <row r="527" spans="1:22" x14ac:dyDescent="0.15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278"/>
      <c r="M527" s="278"/>
      <c r="N527" s="278"/>
      <c r="O527" s="278"/>
      <c r="P527" s="278"/>
      <c r="Q527" s="278"/>
      <c r="R527" s="278"/>
      <c r="S527" s="278"/>
      <c r="T527" s="278"/>
      <c r="U527" s="278"/>
      <c r="V527" s="278"/>
    </row>
    <row r="528" spans="1:22" x14ac:dyDescent="0.15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278"/>
      <c r="M528" s="278"/>
      <c r="N528" s="278"/>
      <c r="O528" s="278"/>
      <c r="P528" s="278"/>
      <c r="Q528" s="278"/>
      <c r="R528" s="278"/>
      <c r="S528" s="278"/>
      <c r="T528" s="278"/>
      <c r="U528" s="278"/>
      <c r="V528" s="278"/>
    </row>
    <row r="529" spans="1:22" x14ac:dyDescent="0.15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278"/>
      <c r="M529" s="278"/>
      <c r="N529" s="278"/>
      <c r="O529" s="278"/>
      <c r="P529" s="278"/>
      <c r="Q529" s="278"/>
      <c r="R529" s="278"/>
      <c r="S529" s="278"/>
      <c r="T529" s="278"/>
      <c r="U529" s="278"/>
      <c r="V529" s="278"/>
    </row>
    <row r="530" spans="1:22" x14ac:dyDescent="0.15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278"/>
      <c r="M530" s="278"/>
      <c r="N530" s="278"/>
      <c r="O530" s="278"/>
      <c r="P530" s="278"/>
      <c r="Q530" s="278"/>
      <c r="R530" s="278"/>
      <c r="S530" s="278"/>
      <c r="T530" s="278"/>
      <c r="U530" s="278"/>
      <c r="V530" s="278"/>
    </row>
    <row r="531" spans="1:22" x14ac:dyDescent="0.15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278"/>
      <c r="M531" s="278"/>
      <c r="N531" s="278"/>
      <c r="O531" s="278"/>
      <c r="P531" s="278"/>
      <c r="Q531" s="278"/>
      <c r="R531" s="278"/>
      <c r="S531" s="278"/>
      <c r="T531" s="278"/>
      <c r="U531" s="278"/>
      <c r="V531" s="278"/>
    </row>
    <row r="532" spans="1:22" x14ac:dyDescent="0.15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278"/>
      <c r="M532" s="278"/>
      <c r="N532" s="278"/>
      <c r="O532" s="278"/>
      <c r="P532" s="278"/>
      <c r="Q532" s="278"/>
      <c r="R532" s="278"/>
      <c r="S532" s="278"/>
      <c r="T532" s="278"/>
      <c r="U532" s="278"/>
      <c r="V532" s="278"/>
    </row>
    <row r="533" spans="1:22" x14ac:dyDescent="0.15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278"/>
      <c r="M533" s="278"/>
      <c r="N533" s="278"/>
      <c r="O533" s="278"/>
      <c r="P533" s="278"/>
      <c r="Q533" s="278"/>
      <c r="R533" s="278"/>
      <c r="S533" s="278"/>
      <c r="T533" s="278"/>
      <c r="U533" s="278"/>
      <c r="V533" s="278"/>
    </row>
    <row r="534" spans="1:22" x14ac:dyDescent="0.15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278"/>
      <c r="M534" s="278"/>
      <c r="N534" s="278"/>
      <c r="O534" s="278"/>
      <c r="P534" s="278"/>
      <c r="Q534" s="278"/>
      <c r="R534" s="278"/>
      <c r="S534" s="278"/>
      <c r="T534" s="278"/>
      <c r="U534" s="278"/>
      <c r="V534" s="278"/>
    </row>
    <row r="535" spans="1:22" x14ac:dyDescent="0.15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278"/>
      <c r="M535" s="278"/>
      <c r="N535" s="278"/>
      <c r="O535" s="278"/>
      <c r="P535" s="278"/>
      <c r="Q535" s="278"/>
      <c r="R535" s="278"/>
      <c r="S535" s="278"/>
      <c r="T535" s="278"/>
      <c r="U535" s="278"/>
      <c r="V535" s="278"/>
    </row>
    <row r="536" spans="1:22" x14ac:dyDescent="0.15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278"/>
      <c r="M536" s="278"/>
      <c r="N536" s="278"/>
      <c r="O536" s="278"/>
      <c r="P536" s="278"/>
      <c r="Q536" s="278"/>
      <c r="R536" s="278"/>
      <c r="S536" s="278"/>
      <c r="T536" s="278"/>
      <c r="U536" s="278"/>
      <c r="V536" s="278"/>
    </row>
    <row r="537" spans="1:22" x14ac:dyDescent="0.15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278"/>
      <c r="M537" s="278"/>
      <c r="N537" s="278"/>
      <c r="O537" s="278"/>
      <c r="P537" s="278"/>
      <c r="Q537" s="278"/>
      <c r="R537" s="278"/>
      <c r="S537" s="278"/>
      <c r="T537" s="278"/>
      <c r="U537" s="278"/>
      <c r="V537" s="278"/>
    </row>
    <row r="538" spans="1:22" x14ac:dyDescent="0.15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278"/>
      <c r="M538" s="278"/>
      <c r="N538" s="278"/>
      <c r="O538" s="278"/>
      <c r="P538" s="278"/>
      <c r="Q538" s="278"/>
      <c r="R538" s="278"/>
      <c r="S538" s="278"/>
      <c r="T538" s="278"/>
      <c r="U538" s="278"/>
      <c r="V538" s="278"/>
    </row>
    <row r="539" spans="1:22" x14ac:dyDescent="0.15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278"/>
      <c r="M539" s="278"/>
      <c r="N539" s="278"/>
      <c r="O539" s="278"/>
      <c r="P539" s="278"/>
      <c r="Q539" s="278"/>
      <c r="R539" s="278"/>
      <c r="S539" s="278"/>
      <c r="T539" s="278"/>
      <c r="U539" s="278"/>
      <c r="V539" s="278"/>
    </row>
    <row r="540" spans="1:22" x14ac:dyDescent="0.15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278"/>
      <c r="M540" s="278"/>
      <c r="N540" s="278"/>
      <c r="O540" s="278"/>
      <c r="P540" s="278"/>
      <c r="Q540" s="278"/>
      <c r="R540" s="278"/>
      <c r="S540" s="278"/>
      <c r="T540" s="278"/>
      <c r="U540" s="278"/>
      <c r="V540" s="278"/>
    </row>
    <row r="541" spans="1:22" x14ac:dyDescent="0.15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278"/>
      <c r="M541" s="278"/>
      <c r="N541" s="278"/>
      <c r="O541" s="278"/>
      <c r="P541" s="278"/>
      <c r="Q541" s="278"/>
      <c r="R541" s="278"/>
      <c r="S541" s="278"/>
      <c r="T541" s="278"/>
      <c r="U541" s="278"/>
      <c r="V541" s="278"/>
    </row>
    <row r="542" spans="1:22" x14ac:dyDescent="0.15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278"/>
      <c r="M542" s="278"/>
      <c r="N542" s="278"/>
      <c r="O542" s="278"/>
      <c r="P542" s="278"/>
      <c r="Q542" s="278"/>
      <c r="R542" s="278"/>
      <c r="S542" s="278"/>
      <c r="T542" s="278"/>
      <c r="U542" s="278"/>
      <c r="V542" s="278"/>
    </row>
    <row r="543" spans="1:22" x14ac:dyDescent="0.15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278"/>
      <c r="M543" s="278"/>
      <c r="N543" s="278"/>
      <c r="O543" s="278"/>
      <c r="P543" s="278"/>
      <c r="Q543" s="278"/>
      <c r="R543" s="278"/>
      <c r="S543" s="278"/>
      <c r="T543" s="278"/>
      <c r="U543" s="278"/>
      <c r="V543" s="278"/>
    </row>
    <row r="544" spans="1:22" x14ac:dyDescent="0.15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  <c r="Q544" s="278"/>
      <c r="R544" s="278"/>
      <c r="S544" s="278"/>
      <c r="T544" s="278"/>
      <c r="U544" s="278"/>
      <c r="V544" s="278"/>
    </row>
    <row r="545" spans="1:22" x14ac:dyDescent="0.15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278"/>
      <c r="M545" s="278"/>
      <c r="N545" s="278"/>
      <c r="O545" s="278"/>
      <c r="P545" s="278"/>
      <c r="Q545" s="278"/>
      <c r="R545" s="278"/>
      <c r="S545" s="278"/>
      <c r="T545" s="278"/>
      <c r="U545" s="278"/>
      <c r="V545" s="278"/>
    </row>
    <row r="546" spans="1:22" x14ac:dyDescent="0.15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278"/>
      <c r="M546" s="278"/>
      <c r="N546" s="278"/>
      <c r="O546" s="278"/>
      <c r="P546" s="278"/>
      <c r="Q546" s="278"/>
      <c r="R546" s="278"/>
      <c r="S546" s="278"/>
      <c r="T546" s="278"/>
      <c r="U546" s="278"/>
      <c r="V546" s="278"/>
    </row>
    <row r="547" spans="1:22" x14ac:dyDescent="0.15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278"/>
      <c r="M547" s="278"/>
      <c r="N547" s="278"/>
      <c r="O547" s="278"/>
      <c r="P547" s="278"/>
      <c r="Q547" s="278"/>
      <c r="R547" s="278"/>
      <c r="S547" s="278"/>
      <c r="T547" s="278"/>
      <c r="U547" s="278"/>
      <c r="V547" s="278"/>
    </row>
    <row r="548" spans="1:22" x14ac:dyDescent="0.15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278"/>
      <c r="M548" s="278"/>
      <c r="N548" s="278"/>
      <c r="O548" s="278"/>
      <c r="P548" s="278"/>
      <c r="Q548" s="278"/>
      <c r="R548" s="278"/>
      <c r="S548" s="278"/>
      <c r="T548" s="278"/>
      <c r="U548" s="278"/>
      <c r="V548" s="278"/>
    </row>
    <row r="549" spans="1:22" x14ac:dyDescent="0.15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278"/>
      <c r="M549" s="278"/>
      <c r="N549" s="278"/>
      <c r="O549" s="278"/>
      <c r="P549" s="278"/>
      <c r="Q549" s="278"/>
      <c r="R549" s="278"/>
      <c r="S549" s="278"/>
      <c r="T549" s="278"/>
      <c r="U549" s="278"/>
      <c r="V549" s="278"/>
    </row>
    <row r="550" spans="1:22" x14ac:dyDescent="0.15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278"/>
      <c r="M550" s="278"/>
      <c r="N550" s="278"/>
      <c r="O550" s="278"/>
      <c r="P550" s="278"/>
      <c r="Q550" s="278"/>
      <c r="R550" s="278"/>
      <c r="S550" s="278"/>
      <c r="T550" s="278"/>
      <c r="U550" s="278"/>
      <c r="V550" s="278"/>
    </row>
    <row r="551" spans="1:22" x14ac:dyDescent="0.15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278"/>
      <c r="M551" s="278"/>
      <c r="N551" s="278"/>
      <c r="O551" s="278"/>
      <c r="P551" s="278"/>
      <c r="Q551" s="278"/>
      <c r="R551" s="278"/>
      <c r="S551" s="278"/>
      <c r="T551" s="278"/>
      <c r="U551" s="278"/>
      <c r="V551" s="278"/>
    </row>
    <row r="552" spans="1:22" x14ac:dyDescent="0.15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278"/>
      <c r="M552" s="278"/>
      <c r="N552" s="278"/>
      <c r="O552" s="278"/>
      <c r="P552" s="278"/>
      <c r="Q552" s="278"/>
      <c r="R552" s="278"/>
      <c r="S552" s="278"/>
      <c r="T552" s="278"/>
      <c r="U552" s="278"/>
      <c r="V552" s="278"/>
    </row>
    <row r="553" spans="1:22" x14ac:dyDescent="0.15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278"/>
      <c r="M553" s="278"/>
      <c r="N553" s="278"/>
      <c r="O553" s="278"/>
      <c r="P553" s="278"/>
      <c r="Q553" s="278"/>
      <c r="R553" s="278"/>
      <c r="S553" s="278"/>
      <c r="T553" s="278"/>
      <c r="U553" s="278"/>
      <c r="V553" s="278"/>
    </row>
    <row r="554" spans="1:22" x14ac:dyDescent="0.15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278"/>
      <c r="M554" s="278"/>
      <c r="N554" s="278"/>
      <c r="O554" s="278"/>
      <c r="P554" s="278"/>
      <c r="Q554" s="278"/>
      <c r="R554" s="278"/>
      <c r="S554" s="278"/>
      <c r="T554" s="278"/>
      <c r="U554" s="278"/>
      <c r="V554" s="278"/>
    </row>
    <row r="555" spans="1:22" x14ac:dyDescent="0.15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278"/>
      <c r="M555" s="278"/>
      <c r="N555" s="278"/>
      <c r="O555" s="278"/>
      <c r="P555" s="278"/>
      <c r="Q555" s="278"/>
      <c r="R555" s="278"/>
      <c r="S555" s="278"/>
      <c r="T555" s="278"/>
      <c r="U555" s="278"/>
      <c r="V555" s="278"/>
    </row>
    <row r="556" spans="1:22" x14ac:dyDescent="0.15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278"/>
      <c r="M556" s="278"/>
      <c r="N556" s="278"/>
      <c r="O556" s="278"/>
      <c r="P556" s="278"/>
      <c r="Q556" s="278"/>
      <c r="R556" s="278"/>
      <c r="S556" s="278"/>
      <c r="T556" s="278"/>
      <c r="U556" s="278"/>
      <c r="V556" s="278"/>
    </row>
    <row r="557" spans="1:22" x14ac:dyDescent="0.15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278"/>
      <c r="M557" s="278"/>
      <c r="N557" s="278"/>
      <c r="O557" s="278"/>
      <c r="P557" s="278"/>
      <c r="Q557" s="278"/>
      <c r="R557" s="278"/>
      <c r="S557" s="278"/>
      <c r="T557" s="278"/>
      <c r="U557" s="278"/>
      <c r="V557" s="278"/>
    </row>
    <row r="558" spans="1:22" x14ac:dyDescent="0.15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278"/>
      <c r="M558" s="278"/>
      <c r="N558" s="278"/>
      <c r="O558" s="278"/>
      <c r="P558" s="278"/>
      <c r="Q558" s="278"/>
      <c r="R558" s="278"/>
      <c r="S558" s="278"/>
      <c r="T558" s="278"/>
      <c r="U558" s="278"/>
      <c r="V558" s="278"/>
    </row>
    <row r="559" spans="1:22" x14ac:dyDescent="0.15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278"/>
      <c r="M559" s="278"/>
      <c r="N559" s="278"/>
      <c r="O559" s="278"/>
      <c r="P559" s="278"/>
      <c r="Q559" s="278"/>
      <c r="R559" s="278"/>
      <c r="S559" s="278"/>
      <c r="T559" s="278"/>
      <c r="U559" s="278"/>
      <c r="V559" s="278"/>
    </row>
    <row r="560" spans="1:22" x14ac:dyDescent="0.15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278"/>
      <c r="M560" s="278"/>
      <c r="N560" s="278"/>
      <c r="O560" s="278"/>
      <c r="P560" s="278"/>
      <c r="Q560" s="278"/>
      <c r="R560" s="278"/>
      <c r="S560" s="278"/>
      <c r="T560" s="278"/>
      <c r="U560" s="278"/>
      <c r="V560" s="278"/>
    </row>
    <row r="561" spans="1:22" x14ac:dyDescent="0.15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278"/>
      <c r="M561" s="278"/>
      <c r="N561" s="278"/>
      <c r="O561" s="278"/>
      <c r="P561" s="278"/>
      <c r="Q561" s="278"/>
      <c r="R561" s="278"/>
      <c r="S561" s="278"/>
      <c r="T561" s="278"/>
      <c r="U561" s="278"/>
      <c r="V561" s="278"/>
    </row>
    <row r="562" spans="1:22" x14ac:dyDescent="0.15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278"/>
      <c r="M562" s="278"/>
      <c r="N562" s="278"/>
      <c r="O562" s="278"/>
      <c r="P562" s="278"/>
      <c r="Q562" s="278"/>
      <c r="R562" s="278"/>
      <c r="S562" s="278"/>
      <c r="T562" s="278"/>
      <c r="U562" s="278"/>
      <c r="V562" s="278"/>
    </row>
    <row r="563" spans="1:22" x14ac:dyDescent="0.15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278"/>
      <c r="M563" s="278"/>
      <c r="N563" s="278"/>
      <c r="O563" s="278"/>
      <c r="P563" s="278"/>
      <c r="Q563" s="278"/>
      <c r="R563" s="278"/>
      <c r="S563" s="278"/>
      <c r="T563" s="278"/>
      <c r="U563" s="278"/>
      <c r="V563" s="278"/>
    </row>
    <row r="564" spans="1:22" x14ac:dyDescent="0.15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278"/>
      <c r="M564" s="278"/>
      <c r="N564" s="278"/>
      <c r="O564" s="278"/>
      <c r="P564" s="278"/>
      <c r="Q564" s="278"/>
      <c r="R564" s="278"/>
      <c r="S564" s="278"/>
      <c r="T564" s="278"/>
      <c r="U564" s="278"/>
      <c r="V564" s="278"/>
    </row>
    <row r="565" spans="1:22" x14ac:dyDescent="0.15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278"/>
      <c r="M565" s="278"/>
      <c r="N565" s="278"/>
      <c r="O565" s="278"/>
      <c r="P565" s="278"/>
      <c r="Q565" s="278"/>
      <c r="R565" s="278"/>
      <c r="S565" s="278"/>
      <c r="T565" s="278"/>
      <c r="U565" s="278"/>
      <c r="V565" s="278"/>
    </row>
    <row r="566" spans="1:22" x14ac:dyDescent="0.15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278"/>
      <c r="M566" s="278"/>
      <c r="N566" s="278"/>
      <c r="O566" s="278"/>
      <c r="P566" s="278"/>
      <c r="Q566" s="278"/>
      <c r="R566" s="278"/>
      <c r="S566" s="278"/>
      <c r="T566" s="278"/>
      <c r="U566" s="278"/>
      <c r="V566" s="278"/>
    </row>
    <row r="567" spans="1:22" x14ac:dyDescent="0.15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278"/>
      <c r="M567" s="278"/>
      <c r="N567" s="278"/>
      <c r="O567" s="278"/>
      <c r="P567" s="278"/>
      <c r="Q567" s="278"/>
      <c r="R567" s="278"/>
      <c r="S567" s="278"/>
      <c r="T567" s="278"/>
      <c r="U567" s="278"/>
      <c r="V567" s="278"/>
    </row>
    <row r="568" spans="1:22" x14ac:dyDescent="0.15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278"/>
      <c r="M568" s="278"/>
      <c r="N568" s="278"/>
      <c r="O568" s="278"/>
      <c r="P568" s="278"/>
      <c r="Q568" s="278"/>
      <c r="R568" s="278"/>
      <c r="S568" s="278"/>
      <c r="T568" s="278"/>
      <c r="U568" s="278"/>
      <c r="V568" s="278"/>
    </row>
    <row r="569" spans="1:22" x14ac:dyDescent="0.15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278"/>
      <c r="M569" s="278"/>
      <c r="N569" s="278"/>
      <c r="O569" s="278"/>
      <c r="P569" s="278"/>
      <c r="Q569" s="278"/>
      <c r="R569" s="278"/>
      <c r="S569" s="278"/>
      <c r="T569" s="278"/>
      <c r="U569" s="278"/>
      <c r="V569" s="278"/>
    </row>
    <row r="570" spans="1:22" x14ac:dyDescent="0.15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278"/>
      <c r="M570" s="278"/>
      <c r="N570" s="278"/>
      <c r="O570" s="278"/>
      <c r="P570" s="278"/>
      <c r="Q570" s="278"/>
      <c r="R570" s="278"/>
      <c r="S570" s="278"/>
      <c r="T570" s="278"/>
      <c r="U570" s="278"/>
      <c r="V570" s="278"/>
    </row>
    <row r="571" spans="1:22" x14ac:dyDescent="0.15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278"/>
      <c r="M571" s="278"/>
      <c r="N571" s="278"/>
      <c r="O571" s="278"/>
      <c r="P571" s="278"/>
      <c r="Q571" s="278"/>
      <c r="R571" s="278"/>
      <c r="S571" s="278"/>
      <c r="T571" s="278"/>
      <c r="U571" s="278"/>
      <c r="V571" s="278"/>
    </row>
    <row r="572" spans="1:22" x14ac:dyDescent="0.15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278"/>
      <c r="M572" s="278"/>
      <c r="N572" s="278"/>
      <c r="O572" s="278"/>
      <c r="P572" s="278"/>
      <c r="Q572" s="278"/>
      <c r="R572" s="278"/>
      <c r="S572" s="278"/>
      <c r="T572" s="278"/>
      <c r="U572" s="278"/>
      <c r="V572" s="278"/>
    </row>
    <row r="573" spans="1:22" x14ac:dyDescent="0.15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278"/>
      <c r="M573" s="278"/>
      <c r="N573" s="278"/>
      <c r="O573" s="278"/>
      <c r="P573" s="278"/>
      <c r="Q573" s="278"/>
      <c r="R573" s="278"/>
      <c r="S573" s="278"/>
      <c r="T573" s="278"/>
      <c r="U573" s="278"/>
      <c r="V573" s="278"/>
    </row>
    <row r="574" spans="1:22" x14ac:dyDescent="0.15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278"/>
      <c r="M574" s="278"/>
      <c r="N574" s="278"/>
      <c r="O574" s="278"/>
      <c r="P574" s="278"/>
      <c r="Q574" s="278"/>
      <c r="R574" s="278"/>
      <c r="S574" s="278"/>
      <c r="T574" s="278"/>
      <c r="U574" s="278"/>
      <c r="V574" s="278"/>
    </row>
    <row r="575" spans="1:22" x14ac:dyDescent="0.15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278"/>
      <c r="M575" s="278"/>
      <c r="N575" s="278"/>
      <c r="O575" s="278"/>
      <c r="P575" s="278"/>
      <c r="Q575" s="278"/>
      <c r="R575" s="278"/>
      <c r="S575" s="278"/>
      <c r="T575" s="278"/>
      <c r="U575" s="278"/>
      <c r="V575" s="278"/>
    </row>
    <row r="576" spans="1:22" x14ac:dyDescent="0.15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278"/>
      <c r="M576" s="278"/>
      <c r="N576" s="278"/>
      <c r="O576" s="278"/>
      <c r="P576" s="278"/>
      <c r="Q576" s="278"/>
      <c r="R576" s="278"/>
      <c r="S576" s="278"/>
      <c r="T576" s="278"/>
      <c r="U576" s="278"/>
      <c r="V576" s="278"/>
    </row>
    <row r="577" spans="1:22" x14ac:dyDescent="0.15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278"/>
      <c r="M577" s="278"/>
      <c r="N577" s="278"/>
      <c r="O577" s="278"/>
      <c r="P577" s="278"/>
      <c r="Q577" s="278"/>
      <c r="R577" s="278"/>
      <c r="S577" s="278"/>
      <c r="T577" s="278"/>
      <c r="U577" s="278"/>
      <c r="V577" s="278"/>
    </row>
    <row r="578" spans="1:22" x14ac:dyDescent="0.15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278"/>
      <c r="M578" s="278"/>
      <c r="N578" s="278"/>
      <c r="O578" s="278"/>
      <c r="P578" s="278"/>
      <c r="Q578" s="278"/>
      <c r="R578" s="278"/>
      <c r="S578" s="278"/>
      <c r="T578" s="278"/>
      <c r="U578" s="278"/>
      <c r="V578" s="278"/>
    </row>
    <row r="579" spans="1:22" x14ac:dyDescent="0.15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278"/>
      <c r="M579" s="278"/>
      <c r="N579" s="278"/>
      <c r="O579" s="278"/>
      <c r="P579" s="278"/>
      <c r="Q579" s="278"/>
      <c r="R579" s="278"/>
      <c r="S579" s="278"/>
      <c r="T579" s="278"/>
      <c r="U579" s="278"/>
      <c r="V579" s="278"/>
    </row>
    <row r="580" spans="1:22" x14ac:dyDescent="0.15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278"/>
      <c r="M580" s="278"/>
      <c r="N580" s="278"/>
      <c r="O580" s="278"/>
      <c r="P580" s="278"/>
      <c r="Q580" s="278"/>
      <c r="R580" s="278"/>
      <c r="S580" s="278"/>
      <c r="T580" s="278"/>
      <c r="U580" s="278"/>
      <c r="V580" s="278"/>
    </row>
    <row r="581" spans="1:22" x14ac:dyDescent="0.15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278"/>
      <c r="M581" s="278"/>
      <c r="N581" s="278"/>
      <c r="O581" s="278"/>
      <c r="P581" s="278"/>
      <c r="Q581" s="278"/>
      <c r="R581" s="278"/>
      <c r="S581" s="278"/>
      <c r="T581" s="278"/>
      <c r="U581" s="278"/>
      <c r="V581" s="278"/>
    </row>
    <row r="582" spans="1:22" x14ac:dyDescent="0.15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278"/>
      <c r="M582" s="278"/>
      <c r="N582" s="278"/>
      <c r="O582" s="278"/>
      <c r="P582" s="278"/>
      <c r="Q582" s="278"/>
      <c r="R582" s="278"/>
      <c r="S582" s="278"/>
      <c r="T582" s="278"/>
      <c r="U582" s="278"/>
      <c r="V582" s="278"/>
    </row>
    <row r="583" spans="1:22" x14ac:dyDescent="0.15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278"/>
      <c r="M583" s="278"/>
      <c r="N583" s="278"/>
      <c r="O583" s="278"/>
      <c r="P583" s="278"/>
      <c r="Q583" s="278"/>
      <c r="R583" s="278"/>
      <c r="S583" s="278"/>
      <c r="T583" s="278"/>
      <c r="U583" s="278"/>
      <c r="V583" s="278"/>
    </row>
    <row r="584" spans="1:22" x14ac:dyDescent="0.15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278"/>
      <c r="M584" s="278"/>
      <c r="N584" s="278"/>
      <c r="O584" s="278"/>
      <c r="P584" s="278"/>
      <c r="Q584" s="278"/>
      <c r="R584" s="278"/>
      <c r="S584" s="278"/>
      <c r="T584" s="278"/>
      <c r="U584" s="278"/>
      <c r="V584" s="278"/>
    </row>
    <row r="585" spans="1:22" x14ac:dyDescent="0.15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278"/>
      <c r="M585" s="278"/>
      <c r="N585" s="278"/>
      <c r="O585" s="278"/>
      <c r="P585" s="278"/>
      <c r="Q585" s="278"/>
      <c r="R585" s="278"/>
      <c r="S585" s="278"/>
      <c r="T585" s="278"/>
      <c r="U585" s="278"/>
      <c r="V585" s="278"/>
    </row>
    <row r="586" spans="1:22" x14ac:dyDescent="0.15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278"/>
      <c r="M586" s="278"/>
      <c r="N586" s="278"/>
      <c r="O586" s="278"/>
      <c r="P586" s="278"/>
      <c r="Q586" s="278"/>
      <c r="R586" s="278"/>
      <c r="S586" s="278"/>
      <c r="T586" s="278"/>
      <c r="U586" s="278"/>
      <c r="V586" s="278"/>
    </row>
    <row r="587" spans="1:22" x14ac:dyDescent="0.15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278"/>
      <c r="M587" s="278"/>
      <c r="N587" s="278"/>
      <c r="O587" s="278"/>
      <c r="P587" s="278"/>
      <c r="Q587" s="278"/>
      <c r="R587" s="278"/>
      <c r="S587" s="278"/>
      <c r="T587" s="278"/>
      <c r="U587" s="278"/>
      <c r="V587" s="278"/>
    </row>
    <row r="588" spans="1:22" x14ac:dyDescent="0.15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278"/>
      <c r="M588" s="278"/>
      <c r="N588" s="278"/>
      <c r="O588" s="278"/>
      <c r="P588" s="278"/>
      <c r="Q588" s="278"/>
      <c r="R588" s="278"/>
      <c r="S588" s="278"/>
      <c r="T588" s="278"/>
      <c r="U588" s="278"/>
      <c r="V588" s="278"/>
    </row>
    <row r="589" spans="1:22" x14ac:dyDescent="0.15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278"/>
      <c r="M589" s="278"/>
      <c r="N589" s="278"/>
      <c r="O589" s="278"/>
      <c r="P589" s="278"/>
      <c r="Q589" s="278"/>
      <c r="R589" s="278"/>
      <c r="S589" s="278"/>
      <c r="T589" s="278"/>
      <c r="U589" s="278"/>
      <c r="V589" s="278"/>
    </row>
    <row r="590" spans="1:22" x14ac:dyDescent="0.15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278"/>
      <c r="M590" s="278"/>
      <c r="N590" s="278"/>
      <c r="O590" s="278"/>
      <c r="P590" s="278"/>
      <c r="Q590" s="278"/>
      <c r="R590" s="278"/>
      <c r="S590" s="278"/>
      <c r="T590" s="278"/>
      <c r="U590" s="278"/>
      <c r="V590" s="278"/>
    </row>
    <row r="591" spans="1:22" x14ac:dyDescent="0.15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278"/>
      <c r="M591" s="278"/>
      <c r="N591" s="278"/>
      <c r="O591" s="278"/>
      <c r="P591" s="278"/>
      <c r="Q591" s="278"/>
      <c r="R591" s="278"/>
      <c r="S591" s="278"/>
      <c r="T591" s="278"/>
      <c r="U591" s="278"/>
      <c r="V591" s="278"/>
    </row>
    <row r="592" spans="1:22" x14ac:dyDescent="0.15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278"/>
      <c r="M592" s="278"/>
      <c r="N592" s="278"/>
      <c r="O592" s="278"/>
      <c r="P592" s="278"/>
      <c r="Q592" s="278"/>
      <c r="R592" s="278"/>
      <c r="S592" s="278"/>
      <c r="T592" s="278"/>
      <c r="U592" s="278"/>
      <c r="V592" s="278"/>
    </row>
    <row r="593" spans="1:22" x14ac:dyDescent="0.15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278"/>
      <c r="M593" s="278"/>
      <c r="N593" s="278"/>
      <c r="O593" s="278"/>
      <c r="P593" s="278"/>
      <c r="Q593" s="278"/>
      <c r="R593" s="278"/>
      <c r="S593" s="278"/>
      <c r="T593" s="278"/>
      <c r="U593" s="278"/>
      <c r="V593" s="278"/>
    </row>
    <row r="594" spans="1:22" x14ac:dyDescent="0.15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278"/>
      <c r="M594" s="278"/>
      <c r="N594" s="278"/>
      <c r="O594" s="278"/>
      <c r="P594" s="278"/>
      <c r="Q594" s="278"/>
      <c r="R594" s="278"/>
      <c r="S594" s="278"/>
      <c r="T594" s="278"/>
      <c r="U594" s="278"/>
      <c r="V594" s="278"/>
    </row>
    <row r="595" spans="1:22" x14ac:dyDescent="0.15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278"/>
      <c r="M595" s="278"/>
      <c r="N595" s="278"/>
      <c r="O595" s="278"/>
      <c r="P595" s="278"/>
      <c r="Q595" s="278"/>
      <c r="R595" s="278"/>
      <c r="S595" s="278"/>
      <c r="T595" s="278"/>
      <c r="U595" s="278"/>
      <c r="V595" s="278"/>
    </row>
    <row r="596" spans="1:22" x14ac:dyDescent="0.15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278"/>
      <c r="M596" s="278"/>
      <c r="N596" s="278"/>
      <c r="O596" s="278"/>
      <c r="P596" s="278"/>
      <c r="Q596" s="278"/>
      <c r="R596" s="278"/>
      <c r="S596" s="278"/>
      <c r="T596" s="278"/>
      <c r="U596" s="278"/>
      <c r="V596" s="278"/>
    </row>
    <row r="597" spans="1:22" x14ac:dyDescent="0.15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278"/>
      <c r="M597" s="278"/>
      <c r="N597" s="278"/>
      <c r="O597" s="278"/>
      <c r="P597" s="278"/>
      <c r="Q597" s="278"/>
      <c r="R597" s="278"/>
      <c r="S597" s="278"/>
      <c r="T597" s="278"/>
      <c r="U597" s="278"/>
      <c r="V597" s="278"/>
    </row>
    <row r="598" spans="1:22" x14ac:dyDescent="0.15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278"/>
      <c r="M598" s="278"/>
      <c r="N598" s="278"/>
      <c r="O598" s="278"/>
      <c r="P598" s="278"/>
      <c r="Q598" s="278"/>
      <c r="R598" s="278"/>
      <c r="S598" s="278"/>
      <c r="T598" s="278"/>
      <c r="U598" s="278"/>
      <c r="V598" s="278"/>
    </row>
    <row r="599" spans="1:22" x14ac:dyDescent="0.15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278"/>
      <c r="M599" s="278"/>
      <c r="N599" s="278"/>
      <c r="O599" s="278"/>
      <c r="P599" s="278"/>
      <c r="Q599" s="278"/>
      <c r="R599" s="278"/>
      <c r="S599" s="278"/>
      <c r="T599" s="278"/>
      <c r="U599" s="278"/>
      <c r="V599" s="278"/>
    </row>
    <row r="600" spans="1:22" x14ac:dyDescent="0.15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278"/>
      <c r="M600" s="278"/>
      <c r="N600" s="278"/>
      <c r="O600" s="278"/>
      <c r="P600" s="278"/>
      <c r="Q600" s="278"/>
      <c r="R600" s="278"/>
      <c r="S600" s="278"/>
      <c r="T600" s="278"/>
      <c r="U600" s="278"/>
      <c r="V600" s="278"/>
    </row>
    <row r="601" spans="1:22" x14ac:dyDescent="0.15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278"/>
      <c r="M601" s="278"/>
      <c r="N601" s="278"/>
      <c r="O601" s="278"/>
      <c r="P601" s="278"/>
      <c r="Q601" s="278"/>
      <c r="R601" s="278"/>
      <c r="S601" s="278"/>
      <c r="T601" s="278"/>
      <c r="U601" s="278"/>
      <c r="V601" s="278"/>
    </row>
    <row r="602" spans="1:22" x14ac:dyDescent="0.15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278"/>
      <c r="M602" s="278"/>
      <c r="N602" s="278"/>
      <c r="O602" s="278"/>
      <c r="P602" s="278"/>
      <c r="Q602" s="278"/>
      <c r="R602" s="278"/>
      <c r="S602" s="278"/>
      <c r="T602" s="278"/>
      <c r="U602" s="278"/>
      <c r="V602" s="278"/>
    </row>
    <row r="603" spans="1:22" x14ac:dyDescent="0.15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278"/>
      <c r="M603" s="278"/>
      <c r="N603" s="278"/>
      <c r="O603" s="278"/>
      <c r="P603" s="278"/>
      <c r="Q603" s="278"/>
      <c r="R603" s="278"/>
      <c r="S603" s="278"/>
      <c r="T603" s="278"/>
      <c r="U603" s="278"/>
      <c r="V603" s="278"/>
    </row>
    <row r="604" spans="1:22" x14ac:dyDescent="0.15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278"/>
      <c r="M604" s="278"/>
      <c r="N604" s="278"/>
      <c r="O604" s="278"/>
      <c r="P604" s="278"/>
      <c r="Q604" s="278"/>
      <c r="R604" s="278"/>
      <c r="S604" s="278"/>
      <c r="T604" s="278"/>
      <c r="U604" s="278"/>
      <c r="V604" s="278"/>
    </row>
    <row r="605" spans="1:22" x14ac:dyDescent="0.15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278"/>
      <c r="M605" s="278"/>
      <c r="N605" s="278"/>
      <c r="O605" s="278"/>
      <c r="P605" s="278"/>
      <c r="Q605" s="278"/>
      <c r="R605" s="278"/>
      <c r="S605" s="278"/>
      <c r="T605" s="278"/>
      <c r="U605" s="278"/>
      <c r="V605" s="278"/>
    </row>
    <row r="606" spans="1:22" x14ac:dyDescent="0.15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278"/>
      <c r="M606" s="278"/>
      <c r="N606" s="278"/>
      <c r="O606" s="278"/>
      <c r="P606" s="278"/>
      <c r="Q606" s="278"/>
      <c r="R606" s="278"/>
      <c r="S606" s="278"/>
      <c r="T606" s="278"/>
      <c r="U606" s="278"/>
      <c r="V606" s="278"/>
    </row>
    <row r="607" spans="1:22" x14ac:dyDescent="0.15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278"/>
      <c r="M607" s="278"/>
      <c r="N607" s="278"/>
      <c r="O607" s="278"/>
      <c r="P607" s="278"/>
      <c r="Q607" s="278"/>
      <c r="R607" s="278"/>
      <c r="S607" s="278"/>
      <c r="T607" s="278"/>
      <c r="U607" s="278"/>
      <c r="V607" s="278"/>
    </row>
    <row r="608" spans="1:22" x14ac:dyDescent="0.15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278"/>
      <c r="M608" s="278"/>
      <c r="N608" s="278"/>
      <c r="O608" s="278"/>
      <c r="P608" s="278"/>
      <c r="Q608" s="278"/>
      <c r="R608" s="278"/>
      <c r="S608" s="278"/>
      <c r="T608" s="278"/>
      <c r="U608" s="278"/>
      <c r="V608" s="278"/>
    </row>
    <row r="609" spans="1:22" x14ac:dyDescent="0.15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278"/>
      <c r="M609" s="278"/>
      <c r="N609" s="278"/>
      <c r="O609" s="278"/>
      <c r="P609" s="278"/>
      <c r="Q609" s="278"/>
      <c r="R609" s="278"/>
      <c r="S609" s="278"/>
      <c r="T609" s="278"/>
      <c r="U609" s="278"/>
      <c r="V609" s="278"/>
    </row>
    <row r="610" spans="1:22" x14ac:dyDescent="0.15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278"/>
      <c r="M610" s="278"/>
      <c r="N610" s="278"/>
      <c r="O610" s="278"/>
      <c r="P610" s="278"/>
      <c r="Q610" s="278"/>
      <c r="R610" s="278"/>
      <c r="S610" s="278"/>
      <c r="T610" s="278"/>
      <c r="U610" s="278"/>
      <c r="V610" s="278"/>
    </row>
    <row r="611" spans="1:22" x14ac:dyDescent="0.15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278"/>
      <c r="M611" s="278"/>
      <c r="N611" s="278"/>
      <c r="O611" s="278"/>
      <c r="P611" s="278"/>
      <c r="Q611" s="278"/>
      <c r="R611" s="278"/>
      <c r="S611" s="278"/>
      <c r="T611" s="278"/>
      <c r="U611" s="278"/>
      <c r="V611" s="278"/>
    </row>
    <row r="612" spans="1:22" x14ac:dyDescent="0.15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278"/>
      <c r="M612" s="278"/>
      <c r="N612" s="278"/>
      <c r="O612" s="278"/>
      <c r="P612" s="278"/>
      <c r="Q612" s="278"/>
      <c r="R612" s="278"/>
      <c r="S612" s="278"/>
      <c r="T612" s="278"/>
      <c r="U612" s="278"/>
      <c r="V612" s="278"/>
    </row>
    <row r="613" spans="1:22" x14ac:dyDescent="0.15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278"/>
      <c r="M613" s="278"/>
      <c r="N613" s="278"/>
      <c r="O613" s="278"/>
      <c r="P613" s="278"/>
      <c r="Q613" s="278"/>
      <c r="R613" s="278"/>
      <c r="S613" s="278"/>
      <c r="T613" s="278"/>
      <c r="U613" s="278"/>
      <c r="V613" s="278"/>
    </row>
    <row r="614" spans="1:22" x14ac:dyDescent="0.15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278"/>
      <c r="M614" s="278"/>
      <c r="N614" s="278"/>
      <c r="O614" s="278"/>
      <c r="P614" s="278"/>
      <c r="Q614" s="278"/>
      <c r="R614" s="278"/>
      <c r="S614" s="278"/>
      <c r="T614" s="278"/>
      <c r="U614" s="278"/>
      <c r="V614" s="278"/>
    </row>
    <row r="615" spans="1:22" x14ac:dyDescent="0.15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278"/>
      <c r="M615" s="278"/>
      <c r="N615" s="278"/>
      <c r="O615" s="278"/>
      <c r="P615" s="278"/>
      <c r="Q615" s="278"/>
      <c r="R615" s="278"/>
      <c r="S615" s="278"/>
      <c r="T615" s="278"/>
      <c r="U615" s="278"/>
      <c r="V615" s="278"/>
    </row>
    <row r="616" spans="1:22" x14ac:dyDescent="0.15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278"/>
      <c r="M616" s="278"/>
      <c r="N616" s="278"/>
      <c r="O616" s="278"/>
      <c r="P616" s="278"/>
      <c r="Q616" s="278"/>
      <c r="R616" s="278"/>
      <c r="S616" s="278"/>
      <c r="T616" s="278"/>
      <c r="U616" s="278"/>
      <c r="V616" s="278"/>
    </row>
    <row r="617" spans="1:22" x14ac:dyDescent="0.15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278"/>
      <c r="M617" s="278"/>
      <c r="N617" s="278"/>
      <c r="O617" s="278"/>
      <c r="P617" s="278"/>
      <c r="Q617" s="278"/>
      <c r="R617" s="278"/>
      <c r="S617" s="278"/>
      <c r="T617" s="278"/>
      <c r="U617" s="278"/>
      <c r="V617" s="278"/>
    </row>
    <row r="618" spans="1:22" x14ac:dyDescent="0.15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278"/>
      <c r="M618" s="278"/>
      <c r="N618" s="278"/>
      <c r="O618" s="278"/>
      <c r="P618" s="278"/>
      <c r="Q618" s="278"/>
      <c r="R618" s="278"/>
      <c r="S618" s="278"/>
      <c r="T618" s="278"/>
      <c r="U618" s="278"/>
      <c r="V618" s="278"/>
    </row>
    <row r="619" spans="1:22" x14ac:dyDescent="0.15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278"/>
      <c r="M619" s="278"/>
      <c r="N619" s="278"/>
      <c r="O619" s="278"/>
      <c r="P619" s="278"/>
      <c r="Q619" s="278"/>
      <c r="R619" s="278"/>
      <c r="S619" s="278"/>
      <c r="T619" s="278"/>
      <c r="U619" s="278"/>
      <c r="V619" s="278"/>
    </row>
    <row r="620" spans="1:22" x14ac:dyDescent="0.15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278"/>
      <c r="M620" s="278"/>
      <c r="N620" s="278"/>
      <c r="O620" s="278"/>
      <c r="P620" s="278"/>
      <c r="Q620" s="278"/>
      <c r="R620" s="278"/>
      <c r="S620" s="278"/>
      <c r="T620" s="278"/>
      <c r="U620" s="278"/>
      <c r="V620" s="278"/>
    </row>
    <row r="621" spans="1:22" x14ac:dyDescent="0.15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278"/>
      <c r="M621" s="278"/>
      <c r="N621" s="278"/>
      <c r="O621" s="278"/>
      <c r="P621" s="278"/>
      <c r="Q621" s="278"/>
      <c r="R621" s="278"/>
      <c r="S621" s="278"/>
      <c r="T621" s="278"/>
      <c r="U621" s="278"/>
      <c r="V621" s="278"/>
    </row>
    <row r="622" spans="1:22" x14ac:dyDescent="0.15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278"/>
      <c r="M622" s="278"/>
      <c r="N622" s="278"/>
      <c r="O622" s="278"/>
      <c r="P622" s="278"/>
      <c r="Q622" s="278"/>
      <c r="R622" s="278"/>
      <c r="S622" s="278"/>
      <c r="T622" s="278"/>
      <c r="U622" s="278"/>
      <c r="V622" s="278"/>
    </row>
    <row r="623" spans="1:22" x14ac:dyDescent="0.15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278"/>
      <c r="M623" s="278"/>
      <c r="N623" s="278"/>
      <c r="O623" s="278"/>
      <c r="P623" s="278"/>
      <c r="Q623" s="278"/>
      <c r="R623" s="278"/>
      <c r="S623" s="278"/>
      <c r="T623" s="278"/>
      <c r="U623" s="278"/>
      <c r="V623" s="278"/>
    </row>
    <row r="624" spans="1:22" x14ac:dyDescent="0.15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278"/>
      <c r="M624" s="278"/>
      <c r="N624" s="278"/>
      <c r="O624" s="278"/>
      <c r="P624" s="278"/>
      <c r="Q624" s="278"/>
      <c r="R624" s="278"/>
      <c r="S624" s="278"/>
      <c r="T624" s="278"/>
      <c r="U624" s="278"/>
      <c r="V624" s="278"/>
    </row>
    <row r="625" spans="1:22" x14ac:dyDescent="0.15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278"/>
      <c r="M625" s="278"/>
      <c r="N625" s="278"/>
      <c r="O625" s="278"/>
      <c r="P625" s="278"/>
      <c r="Q625" s="278"/>
      <c r="R625" s="278"/>
      <c r="S625" s="278"/>
      <c r="T625" s="278"/>
      <c r="U625" s="278"/>
      <c r="V625" s="278"/>
    </row>
    <row r="626" spans="1:22" x14ac:dyDescent="0.15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278"/>
      <c r="M626" s="278"/>
      <c r="N626" s="278"/>
      <c r="O626" s="278"/>
      <c r="P626" s="278"/>
      <c r="Q626" s="278"/>
      <c r="R626" s="278"/>
      <c r="S626" s="278"/>
      <c r="T626" s="278"/>
      <c r="U626" s="278"/>
      <c r="V626" s="278"/>
    </row>
    <row r="627" spans="1:22" x14ac:dyDescent="0.15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278"/>
      <c r="M627" s="278"/>
      <c r="N627" s="278"/>
      <c r="O627" s="278"/>
      <c r="P627" s="278"/>
      <c r="Q627" s="278"/>
      <c r="R627" s="278"/>
      <c r="S627" s="278"/>
      <c r="T627" s="278"/>
      <c r="U627" s="278"/>
      <c r="V627" s="278"/>
    </row>
    <row r="628" spans="1:22" x14ac:dyDescent="0.15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278"/>
      <c r="M628" s="278"/>
      <c r="N628" s="278"/>
      <c r="O628" s="278"/>
      <c r="P628" s="278"/>
      <c r="Q628" s="278"/>
      <c r="R628" s="278"/>
      <c r="S628" s="278"/>
      <c r="T628" s="278"/>
      <c r="U628" s="278"/>
      <c r="V628" s="278"/>
    </row>
    <row r="629" spans="1:22" x14ac:dyDescent="0.15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278"/>
      <c r="M629" s="278"/>
      <c r="N629" s="278"/>
      <c r="O629" s="278"/>
      <c r="P629" s="278"/>
      <c r="Q629" s="278"/>
      <c r="R629" s="278"/>
      <c r="S629" s="278"/>
      <c r="T629" s="278"/>
      <c r="U629" s="278"/>
      <c r="V629" s="278"/>
    </row>
    <row r="630" spans="1:22" x14ac:dyDescent="0.15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278"/>
      <c r="M630" s="278"/>
      <c r="N630" s="278"/>
      <c r="O630" s="278"/>
      <c r="P630" s="278"/>
      <c r="Q630" s="278"/>
      <c r="R630" s="278"/>
      <c r="S630" s="278"/>
      <c r="T630" s="278"/>
      <c r="U630" s="278"/>
      <c r="V630" s="278"/>
    </row>
    <row r="631" spans="1:22" x14ac:dyDescent="0.15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278"/>
      <c r="M631" s="278"/>
      <c r="N631" s="278"/>
      <c r="O631" s="278"/>
      <c r="P631" s="278"/>
      <c r="Q631" s="278"/>
      <c r="R631" s="278"/>
      <c r="S631" s="278"/>
      <c r="T631" s="278"/>
      <c r="U631" s="278"/>
      <c r="V631" s="278"/>
    </row>
    <row r="632" spans="1:22" x14ac:dyDescent="0.15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278"/>
      <c r="M632" s="278"/>
      <c r="N632" s="278"/>
      <c r="O632" s="278"/>
      <c r="P632" s="278"/>
      <c r="Q632" s="278"/>
      <c r="R632" s="278"/>
      <c r="S632" s="278"/>
      <c r="T632" s="278"/>
      <c r="U632" s="278"/>
      <c r="V632" s="278"/>
    </row>
    <row r="633" spans="1:22" x14ac:dyDescent="0.15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278"/>
      <c r="M633" s="278"/>
      <c r="N633" s="278"/>
      <c r="O633" s="278"/>
      <c r="P633" s="278"/>
      <c r="Q633" s="278"/>
      <c r="R633" s="278"/>
      <c r="S633" s="278"/>
      <c r="T633" s="278"/>
      <c r="U633" s="278"/>
      <c r="V633" s="278"/>
    </row>
    <row r="634" spans="1:22" x14ac:dyDescent="0.15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278"/>
      <c r="M634" s="278"/>
      <c r="N634" s="278"/>
      <c r="O634" s="278"/>
      <c r="P634" s="278"/>
      <c r="Q634" s="278"/>
      <c r="R634" s="278"/>
      <c r="S634" s="278"/>
      <c r="T634" s="278"/>
      <c r="U634" s="278"/>
      <c r="V634" s="278"/>
    </row>
    <row r="635" spans="1:22" x14ac:dyDescent="0.15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278"/>
      <c r="M635" s="278"/>
      <c r="N635" s="278"/>
      <c r="O635" s="278"/>
      <c r="P635" s="278"/>
      <c r="Q635" s="278"/>
      <c r="R635" s="278"/>
      <c r="S635" s="278"/>
      <c r="T635" s="278"/>
      <c r="U635" s="278"/>
      <c r="V635" s="278"/>
    </row>
    <row r="636" spans="1:22" x14ac:dyDescent="0.15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278"/>
      <c r="M636" s="278"/>
      <c r="N636" s="278"/>
      <c r="O636" s="278"/>
      <c r="P636" s="278"/>
      <c r="Q636" s="278"/>
      <c r="R636" s="278"/>
      <c r="S636" s="278"/>
      <c r="T636" s="278"/>
      <c r="U636" s="278"/>
      <c r="V636" s="278"/>
    </row>
    <row r="637" spans="1:22" x14ac:dyDescent="0.15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278"/>
      <c r="M637" s="278"/>
      <c r="N637" s="278"/>
      <c r="O637" s="278"/>
      <c r="P637" s="278"/>
      <c r="Q637" s="278"/>
      <c r="R637" s="278"/>
      <c r="S637" s="278"/>
      <c r="T637" s="278"/>
      <c r="U637" s="278"/>
      <c r="V637" s="278"/>
    </row>
    <row r="638" spans="1:22" x14ac:dyDescent="0.15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278"/>
      <c r="M638" s="278"/>
      <c r="N638" s="278"/>
      <c r="O638" s="278"/>
      <c r="P638" s="278"/>
      <c r="Q638" s="278"/>
      <c r="R638" s="278"/>
      <c r="S638" s="278"/>
      <c r="T638" s="278"/>
      <c r="U638" s="278"/>
      <c r="V638" s="278"/>
    </row>
    <row r="639" spans="1:22" x14ac:dyDescent="0.15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278"/>
      <c r="M639" s="278"/>
      <c r="N639" s="278"/>
      <c r="O639" s="278"/>
      <c r="P639" s="278"/>
      <c r="Q639" s="278"/>
      <c r="R639" s="278"/>
      <c r="S639" s="278"/>
      <c r="T639" s="278"/>
      <c r="U639" s="278"/>
      <c r="V639" s="278"/>
    </row>
    <row r="640" spans="1:22" x14ac:dyDescent="0.15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278"/>
      <c r="M640" s="278"/>
      <c r="N640" s="278"/>
      <c r="O640" s="278"/>
      <c r="P640" s="278"/>
      <c r="Q640" s="278"/>
      <c r="R640" s="278"/>
      <c r="S640" s="278"/>
      <c r="T640" s="278"/>
      <c r="U640" s="278"/>
      <c r="V640" s="278"/>
    </row>
    <row r="641" spans="1:22" x14ac:dyDescent="0.15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278"/>
      <c r="M641" s="278"/>
      <c r="N641" s="278"/>
      <c r="O641" s="278"/>
      <c r="P641" s="278"/>
      <c r="Q641" s="278"/>
      <c r="R641" s="278"/>
      <c r="S641" s="278"/>
      <c r="T641" s="278"/>
      <c r="U641" s="278"/>
      <c r="V641" s="278"/>
    </row>
    <row r="642" spans="1:22" x14ac:dyDescent="0.15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278"/>
      <c r="M642" s="278"/>
      <c r="N642" s="278"/>
      <c r="O642" s="278"/>
      <c r="P642" s="278"/>
      <c r="Q642" s="278"/>
      <c r="R642" s="278"/>
      <c r="S642" s="278"/>
      <c r="T642" s="278"/>
      <c r="U642" s="278"/>
      <c r="V642" s="278"/>
    </row>
    <row r="643" spans="1:22" x14ac:dyDescent="0.15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278"/>
      <c r="M643" s="278"/>
      <c r="N643" s="278"/>
      <c r="O643" s="278"/>
      <c r="P643" s="278"/>
      <c r="Q643" s="278"/>
      <c r="R643" s="278"/>
      <c r="S643" s="278"/>
      <c r="T643" s="278"/>
      <c r="U643" s="278"/>
      <c r="V643" s="278"/>
    </row>
    <row r="644" spans="1:22" x14ac:dyDescent="0.15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278"/>
      <c r="M644" s="278"/>
      <c r="N644" s="278"/>
      <c r="O644" s="278"/>
      <c r="P644" s="278"/>
      <c r="Q644" s="278"/>
      <c r="R644" s="278"/>
      <c r="S644" s="278"/>
      <c r="T644" s="278"/>
      <c r="U644" s="278"/>
      <c r="V644" s="278"/>
    </row>
    <row r="645" spans="1:22" x14ac:dyDescent="0.15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278"/>
      <c r="M645" s="278"/>
      <c r="N645" s="278"/>
      <c r="O645" s="278"/>
      <c r="P645" s="278"/>
      <c r="Q645" s="278"/>
      <c r="R645" s="278"/>
      <c r="S645" s="278"/>
      <c r="T645" s="278"/>
      <c r="U645" s="278"/>
      <c r="V645" s="278"/>
    </row>
    <row r="646" spans="1:22" x14ac:dyDescent="0.15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278"/>
      <c r="M646" s="278"/>
      <c r="N646" s="278"/>
      <c r="O646" s="278"/>
      <c r="P646" s="278"/>
      <c r="Q646" s="278"/>
      <c r="R646" s="278"/>
      <c r="S646" s="278"/>
      <c r="T646" s="278"/>
      <c r="U646" s="278"/>
      <c r="V646" s="278"/>
    </row>
    <row r="647" spans="1:22" x14ac:dyDescent="0.15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278"/>
      <c r="M647" s="278"/>
      <c r="N647" s="278"/>
      <c r="O647" s="278"/>
      <c r="P647" s="278"/>
      <c r="Q647" s="278"/>
      <c r="R647" s="278"/>
      <c r="S647" s="278"/>
      <c r="T647" s="278"/>
      <c r="U647" s="278"/>
      <c r="V647" s="278"/>
    </row>
    <row r="648" spans="1:22" x14ac:dyDescent="0.15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278"/>
      <c r="M648" s="278"/>
      <c r="N648" s="278"/>
      <c r="O648" s="278"/>
      <c r="P648" s="278"/>
      <c r="Q648" s="278"/>
      <c r="R648" s="278"/>
      <c r="S648" s="278"/>
      <c r="T648" s="278"/>
      <c r="U648" s="278"/>
      <c r="V648" s="278"/>
    </row>
    <row r="649" spans="1:22" x14ac:dyDescent="0.15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278"/>
      <c r="M649" s="278"/>
      <c r="N649" s="278"/>
      <c r="O649" s="278"/>
      <c r="P649" s="278"/>
      <c r="Q649" s="278"/>
      <c r="R649" s="278"/>
      <c r="S649" s="278"/>
      <c r="T649" s="278"/>
      <c r="U649" s="278"/>
      <c r="V649" s="278"/>
    </row>
    <row r="650" spans="1:22" x14ac:dyDescent="0.15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278"/>
      <c r="M650" s="278"/>
      <c r="N650" s="278"/>
      <c r="O650" s="278"/>
      <c r="P650" s="278"/>
      <c r="Q650" s="278"/>
      <c r="R650" s="278"/>
      <c r="S650" s="278"/>
      <c r="T650" s="278"/>
      <c r="U650" s="278"/>
      <c r="V650" s="278"/>
    </row>
    <row r="651" spans="1:22" x14ac:dyDescent="0.15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278"/>
      <c r="M651" s="278"/>
      <c r="N651" s="278"/>
      <c r="O651" s="278"/>
      <c r="P651" s="278"/>
      <c r="Q651" s="278"/>
      <c r="R651" s="278"/>
      <c r="S651" s="278"/>
      <c r="T651" s="278"/>
      <c r="U651" s="278"/>
      <c r="V651" s="278"/>
    </row>
    <row r="652" spans="1:22" x14ac:dyDescent="0.15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278"/>
      <c r="M652" s="278"/>
      <c r="N652" s="278"/>
      <c r="O652" s="278"/>
      <c r="P652" s="278"/>
      <c r="Q652" s="278"/>
      <c r="R652" s="278"/>
      <c r="S652" s="278"/>
      <c r="T652" s="278"/>
      <c r="U652" s="278"/>
      <c r="V652" s="278"/>
    </row>
    <row r="653" spans="1:22" x14ac:dyDescent="0.15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278"/>
      <c r="M653" s="278"/>
      <c r="N653" s="278"/>
      <c r="O653" s="278"/>
      <c r="P653" s="278"/>
      <c r="Q653" s="278"/>
      <c r="R653" s="278"/>
      <c r="S653" s="278"/>
      <c r="T653" s="278"/>
      <c r="U653" s="278"/>
      <c r="V653" s="278"/>
    </row>
    <row r="654" spans="1:22" x14ac:dyDescent="0.15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278"/>
      <c r="M654" s="278"/>
      <c r="N654" s="278"/>
      <c r="O654" s="278"/>
      <c r="P654" s="278"/>
      <c r="Q654" s="278"/>
      <c r="R654" s="278"/>
      <c r="S654" s="278"/>
      <c r="T654" s="278"/>
      <c r="U654" s="278"/>
      <c r="V654" s="278"/>
    </row>
    <row r="655" spans="1:22" x14ac:dyDescent="0.15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278"/>
      <c r="M655" s="278"/>
      <c r="N655" s="278"/>
      <c r="O655" s="278"/>
      <c r="P655" s="278"/>
      <c r="Q655" s="278"/>
      <c r="R655" s="278"/>
      <c r="S655" s="278"/>
      <c r="T655" s="278"/>
      <c r="U655" s="278"/>
      <c r="V655" s="278"/>
    </row>
    <row r="656" spans="1:22" x14ac:dyDescent="0.15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278"/>
      <c r="M656" s="278"/>
      <c r="N656" s="278"/>
      <c r="O656" s="278"/>
      <c r="P656" s="278"/>
      <c r="Q656" s="278"/>
      <c r="R656" s="278"/>
      <c r="S656" s="278"/>
      <c r="T656" s="278"/>
      <c r="U656" s="278"/>
      <c r="V656" s="278"/>
    </row>
    <row r="657" spans="1:22" x14ac:dyDescent="0.15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278"/>
      <c r="M657" s="278"/>
      <c r="N657" s="278"/>
      <c r="O657" s="278"/>
      <c r="P657" s="278"/>
      <c r="Q657" s="278"/>
      <c r="R657" s="278"/>
      <c r="S657" s="278"/>
      <c r="T657" s="278"/>
      <c r="U657" s="278"/>
      <c r="V657" s="278"/>
    </row>
    <row r="658" spans="1:22" x14ac:dyDescent="0.15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278"/>
      <c r="M658" s="278"/>
      <c r="N658" s="278"/>
      <c r="O658" s="278"/>
      <c r="P658" s="278"/>
      <c r="Q658" s="278"/>
      <c r="R658" s="278"/>
      <c r="S658" s="278"/>
      <c r="T658" s="278"/>
      <c r="U658" s="278"/>
      <c r="V658" s="278"/>
    </row>
    <row r="659" spans="1:22" x14ac:dyDescent="0.15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278"/>
      <c r="M659" s="278"/>
      <c r="N659" s="278"/>
      <c r="O659" s="278"/>
      <c r="P659" s="278"/>
      <c r="Q659" s="278"/>
      <c r="R659" s="278"/>
      <c r="S659" s="278"/>
      <c r="T659" s="278"/>
      <c r="U659" s="278"/>
      <c r="V659" s="278"/>
    </row>
    <row r="660" spans="1:22" x14ac:dyDescent="0.15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278"/>
      <c r="M660" s="278"/>
      <c r="N660" s="278"/>
      <c r="O660" s="278"/>
      <c r="P660" s="278"/>
      <c r="Q660" s="278"/>
      <c r="R660" s="278"/>
      <c r="S660" s="278"/>
      <c r="T660" s="278"/>
      <c r="U660" s="278"/>
      <c r="V660" s="278"/>
    </row>
    <row r="661" spans="1:22" x14ac:dyDescent="0.15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278"/>
      <c r="M661" s="278"/>
      <c r="N661" s="278"/>
      <c r="O661" s="278"/>
      <c r="P661" s="278"/>
      <c r="Q661" s="278"/>
      <c r="R661" s="278"/>
      <c r="S661" s="278"/>
      <c r="T661" s="278"/>
      <c r="U661" s="278"/>
      <c r="V661" s="278"/>
    </row>
    <row r="662" spans="1:22" x14ac:dyDescent="0.15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278"/>
      <c r="M662" s="278"/>
      <c r="N662" s="278"/>
      <c r="O662" s="278"/>
      <c r="P662" s="278"/>
      <c r="Q662" s="278"/>
      <c r="R662" s="278"/>
      <c r="S662" s="278"/>
      <c r="T662" s="278"/>
      <c r="U662" s="278"/>
      <c r="V662" s="278"/>
    </row>
    <row r="663" spans="1:22" x14ac:dyDescent="0.15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278"/>
      <c r="M663" s="278"/>
      <c r="N663" s="278"/>
      <c r="O663" s="278"/>
      <c r="P663" s="278"/>
      <c r="Q663" s="278"/>
      <c r="R663" s="278"/>
      <c r="S663" s="278"/>
      <c r="T663" s="278"/>
      <c r="U663" s="278"/>
      <c r="V663" s="278"/>
    </row>
    <row r="664" spans="1:22" x14ac:dyDescent="0.15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278"/>
      <c r="M664" s="278"/>
      <c r="N664" s="278"/>
      <c r="O664" s="278"/>
      <c r="P664" s="278"/>
      <c r="Q664" s="278"/>
      <c r="R664" s="278"/>
      <c r="S664" s="278"/>
      <c r="T664" s="278"/>
      <c r="U664" s="278"/>
      <c r="V664" s="278"/>
    </row>
    <row r="665" spans="1:22" x14ac:dyDescent="0.15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278"/>
      <c r="M665" s="278"/>
      <c r="N665" s="278"/>
      <c r="O665" s="278"/>
      <c r="P665" s="278"/>
      <c r="Q665" s="278"/>
      <c r="R665" s="278"/>
      <c r="S665" s="278"/>
      <c r="T665" s="278"/>
      <c r="U665" s="278"/>
      <c r="V665" s="278"/>
    </row>
    <row r="666" spans="1:22" x14ac:dyDescent="0.15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278"/>
      <c r="M666" s="278"/>
      <c r="N666" s="278"/>
      <c r="O666" s="278"/>
      <c r="P666" s="278"/>
      <c r="Q666" s="278"/>
      <c r="R666" s="278"/>
      <c r="S666" s="278"/>
      <c r="T666" s="278"/>
      <c r="U666" s="278"/>
      <c r="V666" s="278"/>
    </row>
    <row r="667" spans="1:22" x14ac:dyDescent="0.15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278"/>
      <c r="M667" s="278"/>
      <c r="N667" s="278"/>
      <c r="O667" s="278"/>
      <c r="P667" s="278"/>
      <c r="Q667" s="278"/>
      <c r="R667" s="278"/>
      <c r="S667" s="278"/>
      <c r="T667" s="278"/>
      <c r="U667" s="278"/>
      <c r="V667" s="278"/>
    </row>
    <row r="668" spans="1:22" x14ac:dyDescent="0.15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278"/>
      <c r="M668" s="278"/>
      <c r="N668" s="278"/>
      <c r="O668" s="278"/>
      <c r="P668" s="278"/>
      <c r="Q668" s="278"/>
      <c r="R668" s="278"/>
      <c r="S668" s="278"/>
      <c r="T668" s="278"/>
      <c r="U668" s="278"/>
      <c r="V668" s="278"/>
    </row>
    <row r="669" spans="1:22" x14ac:dyDescent="0.15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278"/>
      <c r="M669" s="278"/>
      <c r="N669" s="278"/>
      <c r="O669" s="278"/>
      <c r="P669" s="278"/>
      <c r="Q669" s="278"/>
      <c r="R669" s="278"/>
      <c r="S669" s="278"/>
      <c r="T669" s="278"/>
      <c r="U669" s="278"/>
      <c r="V669" s="278"/>
    </row>
    <row r="670" spans="1:22" x14ac:dyDescent="0.15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278"/>
      <c r="M670" s="278"/>
      <c r="N670" s="278"/>
      <c r="O670" s="278"/>
      <c r="P670" s="278"/>
      <c r="Q670" s="278"/>
      <c r="R670" s="278"/>
      <c r="S670" s="278"/>
      <c r="T670" s="278"/>
      <c r="U670" s="278"/>
      <c r="V670" s="278"/>
    </row>
    <row r="671" spans="1:22" x14ac:dyDescent="0.15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278"/>
      <c r="M671" s="278"/>
      <c r="N671" s="278"/>
      <c r="O671" s="278"/>
      <c r="P671" s="278"/>
      <c r="Q671" s="278"/>
      <c r="R671" s="278"/>
      <c r="S671" s="278"/>
      <c r="T671" s="278"/>
      <c r="U671" s="278"/>
      <c r="V671" s="278"/>
    </row>
    <row r="672" spans="1:22" x14ac:dyDescent="0.15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278"/>
      <c r="M672" s="278"/>
      <c r="N672" s="278"/>
      <c r="O672" s="278"/>
      <c r="P672" s="278"/>
      <c r="Q672" s="278"/>
      <c r="R672" s="278"/>
      <c r="S672" s="278"/>
      <c r="T672" s="278"/>
      <c r="U672" s="278"/>
      <c r="V672" s="278"/>
    </row>
    <row r="673" spans="1:22" x14ac:dyDescent="0.15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278"/>
      <c r="M673" s="278"/>
      <c r="N673" s="278"/>
      <c r="O673" s="278"/>
      <c r="P673" s="278"/>
      <c r="Q673" s="278"/>
      <c r="R673" s="278"/>
      <c r="S673" s="278"/>
      <c r="T673" s="278"/>
      <c r="U673" s="278"/>
      <c r="V673" s="278"/>
    </row>
    <row r="674" spans="1:22" x14ac:dyDescent="0.15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278"/>
      <c r="M674" s="278"/>
      <c r="N674" s="278"/>
      <c r="O674" s="278"/>
      <c r="P674" s="278"/>
      <c r="Q674" s="278"/>
      <c r="R674" s="278"/>
      <c r="S674" s="278"/>
      <c r="T674" s="278"/>
      <c r="U674" s="278"/>
      <c r="V674" s="278"/>
    </row>
    <row r="675" spans="1:22" x14ac:dyDescent="0.15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278"/>
      <c r="M675" s="278"/>
      <c r="N675" s="278"/>
      <c r="O675" s="278"/>
      <c r="P675" s="278"/>
      <c r="Q675" s="278"/>
      <c r="R675" s="278"/>
      <c r="S675" s="278"/>
      <c r="T675" s="278"/>
      <c r="U675" s="278"/>
      <c r="V675" s="278"/>
    </row>
    <row r="676" spans="1:22" x14ac:dyDescent="0.15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278"/>
      <c r="M676" s="278"/>
      <c r="N676" s="278"/>
      <c r="O676" s="278"/>
      <c r="P676" s="278"/>
      <c r="Q676" s="278"/>
      <c r="R676" s="278"/>
      <c r="S676" s="278"/>
      <c r="T676" s="278"/>
      <c r="U676" s="278"/>
      <c r="V676" s="278"/>
    </row>
    <row r="677" spans="1:22" x14ac:dyDescent="0.15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278"/>
      <c r="M677" s="278"/>
      <c r="N677" s="278"/>
      <c r="O677" s="278"/>
      <c r="P677" s="278"/>
      <c r="Q677" s="278"/>
      <c r="R677" s="278"/>
      <c r="S677" s="278"/>
      <c r="T677" s="278"/>
      <c r="U677" s="278"/>
      <c r="V677" s="278"/>
    </row>
    <row r="678" spans="1:22" x14ac:dyDescent="0.15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278"/>
      <c r="M678" s="278"/>
      <c r="N678" s="278"/>
      <c r="O678" s="278"/>
      <c r="P678" s="278"/>
      <c r="Q678" s="278"/>
      <c r="R678" s="278"/>
      <c r="S678" s="278"/>
      <c r="T678" s="278"/>
      <c r="U678" s="278"/>
      <c r="V678" s="278"/>
    </row>
    <row r="679" spans="1:22" x14ac:dyDescent="0.15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278"/>
      <c r="M679" s="278"/>
      <c r="N679" s="278"/>
      <c r="O679" s="278"/>
      <c r="P679" s="278"/>
      <c r="Q679" s="278"/>
      <c r="R679" s="278"/>
      <c r="S679" s="278"/>
      <c r="T679" s="278"/>
      <c r="U679" s="278"/>
      <c r="V679" s="278"/>
    </row>
    <row r="680" spans="1:22" x14ac:dyDescent="0.15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278"/>
      <c r="M680" s="278"/>
      <c r="N680" s="278"/>
      <c r="O680" s="278"/>
      <c r="P680" s="278"/>
      <c r="Q680" s="278"/>
      <c r="R680" s="278"/>
      <c r="S680" s="278"/>
      <c r="T680" s="278"/>
      <c r="U680" s="278"/>
      <c r="V680" s="278"/>
    </row>
    <row r="681" spans="1:22" x14ac:dyDescent="0.15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278"/>
      <c r="M681" s="278"/>
      <c r="N681" s="278"/>
      <c r="O681" s="278"/>
      <c r="P681" s="278"/>
      <c r="Q681" s="278"/>
      <c r="R681" s="278"/>
      <c r="S681" s="278"/>
      <c r="T681" s="278"/>
      <c r="U681" s="278"/>
      <c r="V681" s="278"/>
    </row>
    <row r="682" spans="1:22" x14ac:dyDescent="0.15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278"/>
      <c r="M682" s="278"/>
      <c r="N682" s="278"/>
      <c r="O682" s="278"/>
      <c r="P682" s="278"/>
      <c r="Q682" s="278"/>
      <c r="R682" s="278"/>
      <c r="S682" s="278"/>
      <c r="T682" s="278"/>
      <c r="U682" s="278"/>
      <c r="V682" s="278"/>
    </row>
    <row r="683" spans="1:22" x14ac:dyDescent="0.15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278"/>
      <c r="M683" s="278"/>
      <c r="N683" s="278"/>
      <c r="O683" s="278"/>
      <c r="P683" s="278"/>
      <c r="Q683" s="278"/>
      <c r="R683" s="278"/>
      <c r="S683" s="278"/>
      <c r="T683" s="278"/>
      <c r="U683" s="278"/>
      <c r="V683" s="278"/>
    </row>
    <row r="684" spans="1:22" x14ac:dyDescent="0.15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278"/>
      <c r="M684" s="278"/>
      <c r="N684" s="278"/>
      <c r="O684" s="278"/>
      <c r="P684" s="278"/>
      <c r="Q684" s="278"/>
      <c r="R684" s="278"/>
      <c r="S684" s="278"/>
      <c r="T684" s="278"/>
      <c r="U684" s="278"/>
      <c r="V684" s="278"/>
    </row>
    <row r="685" spans="1:22" x14ac:dyDescent="0.15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278"/>
      <c r="M685" s="278"/>
      <c r="N685" s="278"/>
      <c r="O685" s="278"/>
      <c r="P685" s="278"/>
      <c r="Q685" s="278"/>
      <c r="R685" s="278"/>
      <c r="S685" s="278"/>
      <c r="T685" s="278"/>
      <c r="U685" s="278"/>
      <c r="V685" s="278"/>
    </row>
    <row r="686" spans="1:22" x14ac:dyDescent="0.15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278"/>
      <c r="M686" s="278"/>
      <c r="N686" s="278"/>
      <c r="O686" s="278"/>
      <c r="P686" s="278"/>
      <c r="Q686" s="278"/>
      <c r="R686" s="278"/>
      <c r="S686" s="278"/>
      <c r="T686" s="278"/>
      <c r="U686" s="278"/>
      <c r="V686" s="278"/>
    </row>
    <row r="687" spans="1:22" x14ac:dyDescent="0.15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278"/>
      <c r="M687" s="278"/>
      <c r="N687" s="278"/>
      <c r="O687" s="278"/>
      <c r="P687" s="278"/>
      <c r="Q687" s="278"/>
      <c r="R687" s="278"/>
      <c r="S687" s="278"/>
      <c r="T687" s="278"/>
      <c r="U687" s="278"/>
      <c r="V687" s="278"/>
    </row>
    <row r="688" spans="1:22" x14ac:dyDescent="0.15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278"/>
      <c r="M688" s="278"/>
      <c r="N688" s="278"/>
      <c r="O688" s="278"/>
      <c r="P688" s="278"/>
      <c r="Q688" s="278"/>
      <c r="R688" s="278"/>
      <c r="S688" s="278"/>
      <c r="T688" s="278"/>
      <c r="U688" s="278"/>
      <c r="V688" s="278"/>
    </row>
    <row r="689" spans="1:22" x14ac:dyDescent="0.15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278"/>
      <c r="M689" s="278"/>
      <c r="N689" s="278"/>
      <c r="O689" s="278"/>
      <c r="P689" s="278"/>
      <c r="Q689" s="278"/>
      <c r="R689" s="278"/>
      <c r="S689" s="278"/>
      <c r="T689" s="278"/>
      <c r="U689" s="278"/>
      <c r="V689" s="278"/>
    </row>
    <row r="690" spans="1:22" x14ac:dyDescent="0.15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278"/>
      <c r="M690" s="278"/>
      <c r="N690" s="278"/>
      <c r="O690" s="278"/>
      <c r="P690" s="278"/>
      <c r="Q690" s="278"/>
      <c r="R690" s="278"/>
      <c r="S690" s="278"/>
      <c r="T690" s="278"/>
      <c r="U690" s="278"/>
      <c r="V690" s="278"/>
    </row>
    <row r="691" spans="1:22" x14ac:dyDescent="0.15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278"/>
      <c r="M691" s="278"/>
      <c r="N691" s="278"/>
      <c r="O691" s="278"/>
      <c r="P691" s="278"/>
      <c r="Q691" s="278"/>
      <c r="R691" s="278"/>
      <c r="S691" s="278"/>
      <c r="T691" s="278"/>
      <c r="U691" s="278"/>
      <c r="V691" s="278"/>
    </row>
    <row r="692" spans="1:22" x14ac:dyDescent="0.15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278"/>
      <c r="M692" s="278"/>
      <c r="N692" s="278"/>
      <c r="O692" s="278"/>
      <c r="P692" s="278"/>
      <c r="Q692" s="278"/>
      <c r="R692" s="278"/>
      <c r="S692" s="278"/>
      <c r="T692" s="278"/>
      <c r="U692" s="278"/>
      <c r="V692" s="278"/>
    </row>
    <row r="693" spans="1:22" x14ac:dyDescent="0.15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278"/>
      <c r="M693" s="278"/>
      <c r="N693" s="278"/>
      <c r="O693" s="278"/>
      <c r="P693" s="278"/>
      <c r="Q693" s="278"/>
      <c r="R693" s="278"/>
      <c r="S693" s="278"/>
      <c r="T693" s="278"/>
      <c r="U693" s="278"/>
      <c r="V693" s="278"/>
    </row>
    <row r="694" spans="1:22" x14ac:dyDescent="0.15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278"/>
      <c r="M694" s="278"/>
      <c r="N694" s="278"/>
      <c r="O694" s="278"/>
      <c r="P694" s="278"/>
      <c r="Q694" s="278"/>
      <c r="R694" s="278"/>
      <c r="S694" s="278"/>
      <c r="T694" s="278"/>
      <c r="U694" s="278"/>
      <c r="V694" s="278"/>
    </row>
    <row r="695" spans="1:22" x14ac:dyDescent="0.15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278"/>
      <c r="M695" s="278"/>
      <c r="N695" s="278"/>
      <c r="O695" s="278"/>
      <c r="P695" s="278"/>
      <c r="Q695" s="278"/>
      <c r="R695" s="278"/>
      <c r="S695" s="278"/>
      <c r="T695" s="278"/>
      <c r="U695" s="278"/>
      <c r="V695" s="278"/>
    </row>
    <row r="696" spans="1:22" x14ac:dyDescent="0.15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278"/>
      <c r="M696" s="278"/>
      <c r="N696" s="278"/>
      <c r="O696" s="278"/>
      <c r="P696" s="278"/>
      <c r="Q696" s="278"/>
      <c r="R696" s="278"/>
      <c r="S696" s="278"/>
      <c r="T696" s="278"/>
      <c r="U696" s="278"/>
      <c r="V696" s="278"/>
    </row>
    <row r="697" spans="1:22" x14ac:dyDescent="0.15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278"/>
      <c r="M697" s="278"/>
      <c r="N697" s="278"/>
      <c r="O697" s="278"/>
      <c r="P697" s="278"/>
      <c r="Q697" s="278"/>
      <c r="R697" s="278"/>
      <c r="S697" s="278"/>
      <c r="T697" s="278"/>
      <c r="U697" s="278"/>
      <c r="V697" s="278"/>
    </row>
    <row r="698" spans="1:22" x14ac:dyDescent="0.15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278"/>
      <c r="M698" s="278"/>
      <c r="N698" s="278"/>
      <c r="O698" s="278"/>
      <c r="P698" s="278"/>
      <c r="Q698" s="278"/>
      <c r="R698" s="278"/>
      <c r="S698" s="278"/>
      <c r="T698" s="278"/>
      <c r="U698" s="278"/>
      <c r="V698" s="278"/>
    </row>
    <row r="699" spans="1:22" x14ac:dyDescent="0.15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278"/>
      <c r="M699" s="278"/>
      <c r="N699" s="278"/>
      <c r="O699" s="278"/>
      <c r="P699" s="278"/>
      <c r="Q699" s="278"/>
      <c r="R699" s="278"/>
      <c r="S699" s="278"/>
      <c r="T699" s="278"/>
      <c r="U699" s="278"/>
      <c r="V699" s="278"/>
    </row>
    <row r="700" spans="1:22" x14ac:dyDescent="0.15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278"/>
      <c r="M700" s="278"/>
      <c r="N700" s="278"/>
      <c r="O700" s="278"/>
      <c r="P700" s="278"/>
      <c r="Q700" s="278"/>
      <c r="R700" s="278"/>
      <c r="S700" s="278"/>
      <c r="T700" s="278"/>
      <c r="U700" s="278"/>
      <c r="V700" s="278"/>
    </row>
    <row r="701" spans="1:22" x14ac:dyDescent="0.15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278"/>
      <c r="M701" s="278"/>
      <c r="N701" s="278"/>
      <c r="O701" s="278"/>
      <c r="P701" s="278"/>
      <c r="Q701" s="278"/>
      <c r="R701" s="278"/>
      <c r="S701" s="278"/>
      <c r="T701" s="278"/>
      <c r="U701" s="278"/>
      <c r="V701" s="278"/>
    </row>
    <row r="702" spans="1:22" x14ac:dyDescent="0.15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278"/>
      <c r="M702" s="278"/>
      <c r="N702" s="278"/>
      <c r="O702" s="278"/>
      <c r="P702" s="278"/>
      <c r="Q702" s="278"/>
      <c r="R702" s="278"/>
      <c r="S702" s="278"/>
      <c r="T702" s="278"/>
      <c r="U702" s="278"/>
      <c r="V702" s="278"/>
    </row>
    <row r="703" spans="1:22" x14ac:dyDescent="0.15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278"/>
      <c r="M703" s="278"/>
      <c r="N703" s="278"/>
      <c r="O703" s="278"/>
      <c r="P703" s="278"/>
      <c r="Q703" s="278"/>
      <c r="R703" s="278"/>
      <c r="S703" s="278"/>
      <c r="T703" s="278"/>
      <c r="U703" s="278"/>
      <c r="V703" s="278"/>
    </row>
    <row r="704" spans="1:22" x14ac:dyDescent="0.15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278"/>
      <c r="M704" s="278"/>
      <c r="N704" s="278"/>
      <c r="O704" s="278"/>
      <c r="P704" s="278"/>
      <c r="Q704" s="278"/>
      <c r="R704" s="278"/>
      <c r="S704" s="278"/>
      <c r="T704" s="278"/>
      <c r="U704" s="278"/>
      <c r="V704" s="278"/>
    </row>
    <row r="705" spans="1:22" x14ac:dyDescent="0.15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278"/>
      <c r="M705" s="278"/>
      <c r="N705" s="278"/>
      <c r="O705" s="278"/>
      <c r="P705" s="278"/>
      <c r="Q705" s="278"/>
      <c r="R705" s="278"/>
      <c r="S705" s="278"/>
      <c r="T705" s="278"/>
      <c r="U705" s="278"/>
      <c r="V705" s="278"/>
    </row>
    <row r="706" spans="1:22" x14ac:dyDescent="0.15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278"/>
      <c r="M706" s="278"/>
      <c r="N706" s="278"/>
      <c r="O706" s="278"/>
      <c r="P706" s="278"/>
      <c r="Q706" s="278"/>
      <c r="R706" s="278"/>
      <c r="S706" s="278"/>
      <c r="T706" s="278"/>
      <c r="U706" s="278"/>
      <c r="V706" s="278"/>
    </row>
    <row r="707" spans="1:22" x14ac:dyDescent="0.15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278"/>
      <c r="M707" s="278"/>
      <c r="N707" s="278"/>
      <c r="O707" s="278"/>
      <c r="P707" s="278"/>
      <c r="Q707" s="278"/>
      <c r="R707" s="278"/>
      <c r="S707" s="278"/>
      <c r="T707" s="278"/>
      <c r="U707" s="278"/>
      <c r="V707" s="278"/>
    </row>
    <row r="708" spans="1:22" x14ac:dyDescent="0.15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278"/>
      <c r="M708" s="278"/>
      <c r="N708" s="278"/>
      <c r="O708" s="278"/>
      <c r="P708" s="278"/>
      <c r="Q708" s="278"/>
      <c r="R708" s="278"/>
      <c r="S708" s="278"/>
      <c r="T708" s="278"/>
      <c r="U708" s="278"/>
      <c r="V708" s="278"/>
    </row>
    <row r="709" spans="1:22" x14ac:dyDescent="0.15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278"/>
      <c r="M709" s="278"/>
      <c r="N709" s="278"/>
      <c r="O709" s="278"/>
      <c r="P709" s="278"/>
      <c r="Q709" s="278"/>
      <c r="R709" s="278"/>
      <c r="S709" s="278"/>
      <c r="T709" s="278"/>
      <c r="U709" s="278"/>
      <c r="V709" s="278"/>
    </row>
    <row r="710" spans="1:22" x14ac:dyDescent="0.15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278"/>
      <c r="M710" s="278"/>
      <c r="N710" s="278"/>
      <c r="O710" s="278"/>
      <c r="P710" s="278"/>
      <c r="Q710" s="278"/>
      <c r="R710" s="278"/>
      <c r="S710" s="278"/>
      <c r="T710" s="278"/>
      <c r="U710" s="278"/>
      <c r="V710" s="278"/>
    </row>
    <row r="711" spans="1:22" x14ac:dyDescent="0.15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278"/>
      <c r="M711" s="278"/>
      <c r="N711" s="278"/>
      <c r="O711" s="278"/>
      <c r="P711" s="278"/>
      <c r="Q711" s="278"/>
      <c r="R711" s="278"/>
      <c r="S711" s="278"/>
      <c r="T711" s="278"/>
      <c r="U711" s="278"/>
      <c r="V711" s="278"/>
    </row>
    <row r="712" spans="1:22" x14ac:dyDescent="0.15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278"/>
      <c r="M712" s="278"/>
      <c r="N712" s="278"/>
      <c r="O712" s="278"/>
      <c r="P712" s="278"/>
      <c r="Q712" s="278"/>
      <c r="R712" s="278"/>
      <c r="S712" s="278"/>
      <c r="T712" s="278"/>
      <c r="U712" s="278"/>
      <c r="V712" s="278"/>
    </row>
    <row r="713" spans="1:22" x14ac:dyDescent="0.15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278"/>
      <c r="M713" s="278"/>
      <c r="N713" s="278"/>
      <c r="O713" s="278"/>
      <c r="P713" s="278"/>
      <c r="Q713" s="278"/>
      <c r="R713" s="278"/>
      <c r="S713" s="278"/>
      <c r="T713" s="278"/>
      <c r="U713" s="278"/>
      <c r="V713" s="278"/>
    </row>
    <row r="714" spans="1:22" x14ac:dyDescent="0.15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278"/>
      <c r="M714" s="278"/>
      <c r="N714" s="278"/>
      <c r="O714" s="278"/>
      <c r="P714" s="278"/>
      <c r="Q714" s="278"/>
      <c r="R714" s="278"/>
      <c r="S714" s="278"/>
      <c r="T714" s="278"/>
      <c r="U714" s="278"/>
      <c r="V714" s="278"/>
    </row>
    <row r="715" spans="1:22" x14ac:dyDescent="0.15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278"/>
      <c r="M715" s="278"/>
      <c r="N715" s="278"/>
      <c r="O715" s="278"/>
      <c r="P715" s="278"/>
      <c r="Q715" s="278"/>
      <c r="R715" s="278"/>
      <c r="S715" s="278"/>
      <c r="T715" s="278"/>
      <c r="U715" s="278"/>
      <c r="V715" s="278"/>
    </row>
    <row r="716" spans="1:22" x14ac:dyDescent="0.15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278"/>
      <c r="M716" s="278"/>
      <c r="N716" s="278"/>
      <c r="O716" s="278"/>
      <c r="P716" s="278"/>
      <c r="Q716" s="278"/>
      <c r="R716" s="278"/>
      <c r="S716" s="278"/>
      <c r="T716" s="278"/>
      <c r="U716" s="278"/>
      <c r="V716" s="278"/>
    </row>
    <row r="717" spans="1:22" x14ac:dyDescent="0.15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278"/>
      <c r="M717" s="278"/>
      <c r="N717" s="278"/>
      <c r="O717" s="278"/>
      <c r="P717" s="278"/>
      <c r="Q717" s="278"/>
      <c r="R717" s="278"/>
      <c r="S717" s="278"/>
      <c r="T717" s="278"/>
      <c r="U717" s="278"/>
      <c r="V717" s="278"/>
    </row>
    <row r="718" spans="1:22" x14ac:dyDescent="0.15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278"/>
      <c r="M718" s="278"/>
      <c r="N718" s="278"/>
      <c r="O718" s="278"/>
      <c r="P718" s="278"/>
      <c r="Q718" s="278"/>
      <c r="R718" s="278"/>
      <c r="S718" s="278"/>
      <c r="T718" s="278"/>
      <c r="U718" s="278"/>
      <c r="V718" s="278"/>
    </row>
    <row r="719" spans="1:22" x14ac:dyDescent="0.15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278"/>
      <c r="M719" s="278"/>
      <c r="N719" s="278"/>
      <c r="O719" s="278"/>
      <c r="P719" s="278"/>
      <c r="Q719" s="278"/>
      <c r="R719" s="278"/>
      <c r="S719" s="278"/>
      <c r="T719" s="278"/>
      <c r="U719" s="278"/>
      <c r="V719" s="278"/>
    </row>
    <row r="720" spans="1:22" x14ac:dyDescent="0.15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278"/>
      <c r="M720" s="278"/>
      <c r="N720" s="278"/>
      <c r="O720" s="278"/>
      <c r="P720" s="278"/>
      <c r="Q720" s="278"/>
      <c r="R720" s="278"/>
      <c r="S720" s="278"/>
      <c r="T720" s="278"/>
      <c r="U720" s="278"/>
      <c r="V720" s="278"/>
    </row>
    <row r="721" spans="1:22" x14ac:dyDescent="0.15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278"/>
      <c r="M721" s="278"/>
      <c r="N721" s="278"/>
      <c r="O721" s="278"/>
      <c r="P721" s="278"/>
      <c r="Q721" s="278"/>
      <c r="R721" s="278"/>
      <c r="S721" s="278"/>
      <c r="T721" s="278"/>
      <c r="U721" s="278"/>
      <c r="V721" s="278"/>
    </row>
    <row r="722" spans="1:22" x14ac:dyDescent="0.15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278"/>
      <c r="M722" s="278"/>
      <c r="N722" s="278"/>
      <c r="O722" s="278"/>
      <c r="P722" s="278"/>
      <c r="Q722" s="278"/>
      <c r="R722" s="278"/>
      <c r="S722" s="278"/>
      <c r="T722" s="278"/>
      <c r="U722" s="278"/>
      <c r="V722" s="278"/>
    </row>
    <row r="723" spans="1:22" x14ac:dyDescent="0.15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278"/>
      <c r="M723" s="278"/>
      <c r="N723" s="278"/>
      <c r="O723" s="278"/>
      <c r="P723" s="278"/>
      <c r="Q723" s="278"/>
      <c r="R723" s="278"/>
      <c r="S723" s="278"/>
      <c r="T723" s="278"/>
      <c r="U723" s="278"/>
      <c r="V723" s="278"/>
    </row>
    <row r="724" spans="1:22" x14ac:dyDescent="0.15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278"/>
      <c r="M724" s="278"/>
      <c r="N724" s="278"/>
      <c r="O724" s="278"/>
      <c r="P724" s="278"/>
      <c r="Q724" s="278"/>
      <c r="R724" s="278"/>
      <c r="S724" s="278"/>
      <c r="T724" s="278"/>
      <c r="U724" s="278"/>
      <c r="V724" s="278"/>
    </row>
    <row r="725" spans="1:22" x14ac:dyDescent="0.15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278"/>
      <c r="M725" s="278"/>
      <c r="N725" s="278"/>
      <c r="O725" s="278"/>
      <c r="P725" s="278"/>
      <c r="Q725" s="278"/>
      <c r="R725" s="278"/>
      <c r="S725" s="278"/>
      <c r="T725" s="278"/>
      <c r="U725" s="278"/>
      <c r="V725" s="278"/>
    </row>
    <row r="726" spans="1:22" x14ac:dyDescent="0.15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278"/>
      <c r="M726" s="278"/>
      <c r="N726" s="278"/>
      <c r="O726" s="278"/>
      <c r="P726" s="278"/>
      <c r="Q726" s="278"/>
      <c r="R726" s="278"/>
      <c r="S726" s="278"/>
      <c r="T726" s="278"/>
      <c r="U726" s="278"/>
      <c r="V726" s="278"/>
    </row>
    <row r="727" spans="1:22" x14ac:dyDescent="0.15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278"/>
      <c r="M727" s="278"/>
      <c r="N727" s="278"/>
      <c r="O727" s="278"/>
      <c r="P727" s="278"/>
      <c r="Q727" s="278"/>
      <c r="R727" s="278"/>
      <c r="S727" s="278"/>
      <c r="T727" s="278"/>
      <c r="U727" s="278"/>
      <c r="V727" s="278"/>
    </row>
    <row r="728" spans="1:22" x14ac:dyDescent="0.15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278"/>
      <c r="M728" s="278"/>
      <c r="N728" s="278"/>
      <c r="O728" s="278"/>
      <c r="P728" s="278"/>
      <c r="Q728" s="278"/>
      <c r="R728" s="278"/>
      <c r="S728" s="278"/>
      <c r="T728" s="278"/>
      <c r="U728" s="278"/>
      <c r="V728" s="278"/>
    </row>
    <row r="729" spans="1:22" x14ac:dyDescent="0.15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278"/>
      <c r="M729" s="278"/>
      <c r="N729" s="278"/>
      <c r="O729" s="278"/>
      <c r="P729" s="278"/>
      <c r="Q729" s="278"/>
      <c r="R729" s="278"/>
      <c r="S729" s="278"/>
      <c r="T729" s="278"/>
      <c r="U729" s="278"/>
      <c r="V729" s="278"/>
    </row>
    <row r="730" spans="1:22" x14ac:dyDescent="0.15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278"/>
      <c r="M730" s="278"/>
      <c r="N730" s="278"/>
      <c r="O730" s="278"/>
      <c r="P730" s="278"/>
      <c r="Q730" s="278"/>
      <c r="R730" s="278"/>
      <c r="S730" s="278"/>
      <c r="T730" s="278"/>
      <c r="U730" s="278"/>
      <c r="V730" s="278"/>
    </row>
    <row r="731" spans="1:22" x14ac:dyDescent="0.15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278"/>
      <c r="M731" s="278"/>
      <c r="N731" s="278"/>
      <c r="O731" s="278"/>
      <c r="P731" s="278"/>
      <c r="Q731" s="278"/>
      <c r="R731" s="278"/>
      <c r="S731" s="278"/>
      <c r="T731" s="278"/>
      <c r="U731" s="278"/>
      <c r="V731" s="278"/>
    </row>
    <row r="732" spans="1:22" x14ac:dyDescent="0.15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278"/>
      <c r="M732" s="278"/>
      <c r="N732" s="278"/>
      <c r="O732" s="278"/>
      <c r="P732" s="278"/>
      <c r="Q732" s="278"/>
      <c r="R732" s="278"/>
      <c r="S732" s="278"/>
      <c r="T732" s="278"/>
      <c r="U732" s="278"/>
      <c r="V732" s="278"/>
    </row>
    <row r="733" spans="1:22" x14ac:dyDescent="0.15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278"/>
      <c r="M733" s="278"/>
      <c r="N733" s="278"/>
      <c r="O733" s="278"/>
      <c r="P733" s="278"/>
      <c r="Q733" s="278"/>
      <c r="R733" s="278"/>
      <c r="S733" s="278"/>
      <c r="T733" s="278"/>
      <c r="U733" s="278"/>
      <c r="V733" s="278"/>
    </row>
    <row r="734" spans="1:22" x14ac:dyDescent="0.15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278"/>
      <c r="M734" s="278"/>
      <c r="N734" s="278"/>
      <c r="O734" s="278"/>
      <c r="P734" s="278"/>
      <c r="Q734" s="278"/>
      <c r="R734" s="278"/>
      <c r="S734" s="278"/>
      <c r="T734" s="278"/>
      <c r="U734" s="278"/>
      <c r="V734" s="278"/>
    </row>
    <row r="735" spans="1:22" x14ac:dyDescent="0.15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278"/>
      <c r="M735" s="278"/>
      <c r="N735" s="278"/>
      <c r="O735" s="278"/>
      <c r="P735" s="278"/>
      <c r="Q735" s="278"/>
      <c r="R735" s="278"/>
      <c r="S735" s="278"/>
      <c r="T735" s="278"/>
      <c r="U735" s="278"/>
      <c r="V735" s="278"/>
    </row>
    <row r="736" spans="1:22" x14ac:dyDescent="0.15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278"/>
      <c r="M736" s="278"/>
      <c r="N736" s="278"/>
      <c r="O736" s="278"/>
      <c r="P736" s="278"/>
      <c r="Q736" s="278"/>
      <c r="R736" s="278"/>
      <c r="S736" s="278"/>
      <c r="T736" s="278"/>
      <c r="U736" s="278"/>
      <c r="V736" s="278"/>
    </row>
    <row r="737" spans="1:22" x14ac:dyDescent="0.15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278"/>
      <c r="M737" s="278"/>
      <c r="N737" s="278"/>
      <c r="O737" s="278"/>
      <c r="P737" s="278"/>
      <c r="Q737" s="278"/>
      <c r="R737" s="278"/>
      <c r="S737" s="278"/>
      <c r="T737" s="278"/>
      <c r="U737" s="278"/>
      <c r="V737" s="278"/>
    </row>
    <row r="738" spans="1:22" x14ac:dyDescent="0.15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278"/>
      <c r="M738" s="278"/>
      <c r="N738" s="278"/>
      <c r="O738" s="278"/>
      <c r="P738" s="278"/>
      <c r="Q738" s="278"/>
      <c r="R738" s="278"/>
      <c r="S738" s="278"/>
      <c r="T738" s="278"/>
      <c r="U738" s="278"/>
      <c r="V738" s="278"/>
    </row>
    <row r="739" spans="1:22" x14ac:dyDescent="0.15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278"/>
      <c r="M739" s="278"/>
      <c r="N739" s="278"/>
      <c r="O739" s="278"/>
      <c r="P739" s="278"/>
      <c r="Q739" s="278"/>
      <c r="R739" s="278"/>
      <c r="S739" s="278"/>
      <c r="T739" s="278"/>
      <c r="U739" s="278"/>
      <c r="V739" s="278"/>
    </row>
    <row r="740" spans="1:22" x14ac:dyDescent="0.15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278"/>
      <c r="M740" s="278"/>
      <c r="N740" s="278"/>
      <c r="O740" s="278"/>
      <c r="P740" s="278"/>
      <c r="Q740" s="278"/>
      <c r="R740" s="278"/>
      <c r="S740" s="278"/>
      <c r="T740" s="278"/>
      <c r="U740" s="278"/>
      <c r="V740" s="278"/>
    </row>
    <row r="741" spans="1:22" x14ac:dyDescent="0.15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278"/>
      <c r="M741" s="278"/>
      <c r="N741" s="278"/>
      <c r="O741" s="278"/>
      <c r="P741" s="278"/>
      <c r="Q741" s="278"/>
      <c r="R741" s="278"/>
      <c r="S741" s="278"/>
      <c r="T741" s="278"/>
      <c r="U741" s="278"/>
      <c r="V741" s="278"/>
    </row>
    <row r="742" spans="1:22" x14ac:dyDescent="0.15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278"/>
      <c r="M742" s="278"/>
      <c r="N742" s="278"/>
      <c r="O742" s="278"/>
      <c r="P742" s="278"/>
      <c r="Q742" s="278"/>
      <c r="R742" s="278"/>
      <c r="S742" s="278"/>
      <c r="T742" s="278"/>
      <c r="U742" s="278"/>
      <c r="V742" s="278"/>
    </row>
    <row r="743" spans="1:22" x14ac:dyDescent="0.15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278"/>
      <c r="M743" s="278"/>
      <c r="N743" s="278"/>
      <c r="O743" s="278"/>
      <c r="P743" s="278"/>
      <c r="Q743" s="278"/>
      <c r="R743" s="278"/>
      <c r="S743" s="278"/>
      <c r="T743" s="278"/>
      <c r="U743" s="278"/>
      <c r="V743" s="278"/>
    </row>
    <row r="744" spans="1:22" x14ac:dyDescent="0.15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278"/>
      <c r="M744" s="278"/>
      <c r="N744" s="278"/>
      <c r="O744" s="278"/>
      <c r="P744" s="278"/>
      <c r="Q744" s="278"/>
      <c r="R744" s="278"/>
      <c r="S744" s="278"/>
      <c r="T744" s="278"/>
      <c r="U744" s="278"/>
      <c r="V744" s="278"/>
    </row>
    <row r="745" spans="1:22" x14ac:dyDescent="0.15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278"/>
      <c r="M745" s="278"/>
      <c r="N745" s="278"/>
      <c r="O745" s="278"/>
      <c r="P745" s="278"/>
      <c r="Q745" s="278"/>
      <c r="R745" s="278"/>
      <c r="S745" s="278"/>
      <c r="T745" s="278"/>
      <c r="U745" s="278"/>
      <c r="V745" s="278"/>
    </row>
    <row r="746" spans="1:22" x14ac:dyDescent="0.15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278"/>
      <c r="M746" s="278"/>
      <c r="N746" s="278"/>
      <c r="O746" s="278"/>
      <c r="P746" s="278"/>
      <c r="Q746" s="278"/>
      <c r="R746" s="278"/>
      <c r="S746" s="278"/>
      <c r="T746" s="278"/>
      <c r="U746" s="278"/>
      <c r="V746" s="278"/>
    </row>
    <row r="747" spans="1:22" x14ac:dyDescent="0.15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278"/>
      <c r="M747" s="278"/>
      <c r="N747" s="278"/>
      <c r="O747" s="278"/>
      <c r="P747" s="278"/>
      <c r="Q747" s="278"/>
      <c r="R747" s="278"/>
      <c r="S747" s="278"/>
      <c r="T747" s="278"/>
      <c r="U747" s="278"/>
      <c r="V747" s="278"/>
    </row>
    <row r="748" spans="1:22" x14ac:dyDescent="0.15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278"/>
      <c r="M748" s="278"/>
      <c r="N748" s="278"/>
      <c r="O748" s="278"/>
      <c r="P748" s="278"/>
      <c r="Q748" s="278"/>
      <c r="R748" s="278"/>
      <c r="S748" s="278"/>
      <c r="T748" s="278"/>
      <c r="U748" s="278"/>
      <c r="V748" s="278"/>
    </row>
    <row r="749" spans="1:22" x14ac:dyDescent="0.15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278"/>
      <c r="M749" s="278"/>
      <c r="N749" s="278"/>
      <c r="O749" s="278"/>
      <c r="P749" s="278"/>
      <c r="Q749" s="278"/>
      <c r="R749" s="278"/>
      <c r="S749" s="278"/>
      <c r="T749" s="278"/>
      <c r="U749" s="278"/>
      <c r="V749" s="278"/>
    </row>
    <row r="750" spans="1:22" x14ac:dyDescent="0.15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278"/>
      <c r="M750" s="278"/>
      <c r="N750" s="278"/>
      <c r="O750" s="278"/>
      <c r="P750" s="278"/>
      <c r="Q750" s="278"/>
      <c r="R750" s="278"/>
      <c r="S750" s="278"/>
      <c r="T750" s="278"/>
      <c r="U750" s="278"/>
      <c r="V750" s="278"/>
    </row>
    <row r="751" spans="1:22" x14ac:dyDescent="0.15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278"/>
      <c r="M751" s="278"/>
      <c r="N751" s="278"/>
      <c r="O751" s="278"/>
      <c r="P751" s="278"/>
      <c r="Q751" s="278"/>
      <c r="R751" s="278"/>
      <c r="S751" s="278"/>
      <c r="T751" s="278"/>
      <c r="U751" s="278"/>
      <c r="V751" s="278"/>
    </row>
    <row r="752" spans="1:22" x14ac:dyDescent="0.15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278"/>
      <c r="M752" s="278"/>
      <c r="N752" s="278"/>
      <c r="O752" s="278"/>
      <c r="P752" s="278"/>
      <c r="Q752" s="278"/>
      <c r="R752" s="278"/>
      <c r="S752" s="278"/>
      <c r="T752" s="278"/>
      <c r="U752" s="278"/>
      <c r="V752" s="278"/>
    </row>
    <row r="753" spans="1:22" x14ac:dyDescent="0.15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278"/>
      <c r="M753" s="278"/>
      <c r="N753" s="278"/>
      <c r="O753" s="278"/>
      <c r="P753" s="278"/>
      <c r="Q753" s="278"/>
      <c r="R753" s="278"/>
      <c r="S753" s="278"/>
      <c r="T753" s="278"/>
      <c r="U753" s="278"/>
      <c r="V753" s="278"/>
    </row>
    <row r="754" spans="1:22" x14ac:dyDescent="0.15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278"/>
      <c r="M754" s="278"/>
      <c r="N754" s="278"/>
      <c r="O754" s="278"/>
      <c r="P754" s="278"/>
      <c r="Q754" s="278"/>
      <c r="R754" s="278"/>
      <c r="S754" s="278"/>
      <c r="T754" s="278"/>
      <c r="U754" s="278"/>
      <c r="V754" s="278"/>
    </row>
    <row r="755" spans="1:22" x14ac:dyDescent="0.15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278"/>
      <c r="M755" s="278"/>
      <c r="N755" s="278"/>
      <c r="O755" s="278"/>
      <c r="P755" s="278"/>
      <c r="Q755" s="278"/>
      <c r="R755" s="278"/>
      <c r="S755" s="278"/>
      <c r="T755" s="278"/>
      <c r="U755" s="278"/>
      <c r="V755" s="278"/>
    </row>
    <row r="756" spans="1:22" x14ac:dyDescent="0.15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278"/>
      <c r="M756" s="278"/>
      <c r="N756" s="278"/>
      <c r="O756" s="278"/>
      <c r="P756" s="278"/>
      <c r="Q756" s="278"/>
      <c r="R756" s="278"/>
      <c r="S756" s="278"/>
      <c r="T756" s="278"/>
      <c r="U756" s="278"/>
      <c r="V756" s="278"/>
    </row>
    <row r="757" spans="1:22" x14ac:dyDescent="0.15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278"/>
      <c r="M757" s="278"/>
      <c r="N757" s="278"/>
      <c r="O757" s="278"/>
      <c r="P757" s="278"/>
      <c r="Q757" s="278"/>
      <c r="R757" s="278"/>
      <c r="S757" s="278"/>
      <c r="T757" s="278"/>
      <c r="U757" s="278"/>
      <c r="V757" s="278"/>
    </row>
    <row r="758" spans="1:22" x14ac:dyDescent="0.15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278"/>
      <c r="M758" s="278"/>
      <c r="N758" s="278"/>
      <c r="O758" s="278"/>
      <c r="P758" s="278"/>
      <c r="Q758" s="278"/>
      <c r="R758" s="278"/>
      <c r="S758" s="278"/>
      <c r="T758" s="278"/>
      <c r="U758" s="278"/>
      <c r="V758" s="278"/>
    </row>
    <row r="759" spans="1:22" x14ac:dyDescent="0.15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278"/>
      <c r="M759" s="278"/>
      <c r="N759" s="278"/>
      <c r="O759" s="278"/>
      <c r="P759" s="278"/>
      <c r="Q759" s="278"/>
      <c r="R759" s="278"/>
      <c r="S759" s="278"/>
      <c r="T759" s="278"/>
      <c r="U759" s="278"/>
      <c r="V759" s="278"/>
    </row>
    <row r="760" spans="1:22" x14ac:dyDescent="0.15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278"/>
      <c r="M760" s="278"/>
      <c r="N760" s="278"/>
      <c r="O760" s="278"/>
      <c r="P760" s="278"/>
      <c r="Q760" s="278"/>
      <c r="R760" s="278"/>
      <c r="S760" s="278"/>
      <c r="T760" s="278"/>
      <c r="U760" s="278"/>
      <c r="V760" s="278"/>
    </row>
    <row r="761" spans="1:22" x14ac:dyDescent="0.15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278"/>
      <c r="M761" s="278"/>
      <c r="N761" s="278"/>
      <c r="O761" s="278"/>
      <c r="P761" s="278"/>
      <c r="Q761" s="278"/>
      <c r="R761" s="278"/>
      <c r="S761" s="278"/>
      <c r="T761" s="278"/>
      <c r="U761" s="278"/>
      <c r="V761" s="278"/>
    </row>
    <row r="762" spans="1:22" x14ac:dyDescent="0.15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278"/>
      <c r="M762" s="278"/>
      <c r="N762" s="278"/>
      <c r="O762" s="278"/>
      <c r="P762" s="278"/>
      <c r="Q762" s="278"/>
      <c r="R762" s="278"/>
      <c r="S762" s="278"/>
      <c r="T762" s="278"/>
      <c r="U762" s="278"/>
      <c r="V762" s="278"/>
    </row>
    <row r="763" spans="1:22" x14ac:dyDescent="0.15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278"/>
      <c r="M763" s="278"/>
      <c r="N763" s="278"/>
      <c r="O763" s="278"/>
      <c r="P763" s="278"/>
      <c r="Q763" s="278"/>
      <c r="R763" s="278"/>
      <c r="S763" s="278"/>
      <c r="T763" s="278"/>
      <c r="U763" s="278"/>
      <c r="V763" s="278"/>
    </row>
    <row r="764" spans="1:22" x14ac:dyDescent="0.15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278"/>
      <c r="M764" s="278"/>
      <c r="N764" s="278"/>
      <c r="O764" s="278"/>
      <c r="P764" s="278"/>
      <c r="Q764" s="278"/>
      <c r="R764" s="278"/>
      <c r="S764" s="278"/>
      <c r="T764" s="278"/>
      <c r="U764" s="278"/>
      <c r="V764" s="278"/>
    </row>
    <row r="765" spans="1:22" x14ac:dyDescent="0.15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278"/>
      <c r="M765" s="278"/>
      <c r="N765" s="278"/>
      <c r="O765" s="278"/>
      <c r="P765" s="278"/>
      <c r="Q765" s="278"/>
      <c r="R765" s="278"/>
      <c r="S765" s="278"/>
      <c r="T765" s="278"/>
      <c r="U765" s="278"/>
      <c r="V765" s="278"/>
    </row>
    <row r="766" spans="1:22" x14ac:dyDescent="0.15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278"/>
      <c r="M766" s="278"/>
      <c r="N766" s="278"/>
      <c r="O766" s="278"/>
      <c r="P766" s="278"/>
      <c r="Q766" s="278"/>
      <c r="R766" s="278"/>
      <c r="S766" s="278"/>
      <c r="T766" s="278"/>
      <c r="U766" s="278"/>
      <c r="V766" s="278"/>
    </row>
    <row r="767" spans="1:22" x14ac:dyDescent="0.15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278"/>
      <c r="M767" s="278"/>
      <c r="N767" s="278"/>
      <c r="O767" s="278"/>
      <c r="P767" s="278"/>
      <c r="Q767" s="278"/>
      <c r="R767" s="278"/>
      <c r="S767" s="278"/>
      <c r="T767" s="278"/>
      <c r="U767" s="278"/>
      <c r="V767" s="278"/>
    </row>
    <row r="768" spans="1:22" x14ac:dyDescent="0.15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278"/>
      <c r="M768" s="278"/>
      <c r="N768" s="278"/>
      <c r="O768" s="278"/>
      <c r="P768" s="278"/>
      <c r="Q768" s="278"/>
      <c r="R768" s="278"/>
      <c r="S768" s="278"/>
      <c r="T768" s="278"/>
      <c r="U768" s="278"/>
      <c r="V768" s="278"/>
    </row>
    <row r="769" spans="1:22" x14ac:dyDescent="0.15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278"/>
      <c r="M769" s="278"/>
      <c r="N769" s="278"/>
      <c r="O769" s="278"/>
      <c r="P769" s="278"/>
      <c r="Q769" s="278"/>
      <c r="R769" s="278"/>
      <c r="S769" s="278"/>
      <c r="T769" s="278"/>
      <c r="U769" s="278"/>
      <c r="V769" s="278"/>
    </row>
    <row r="770" spans="1:22" x14ac:dyDescent="0.15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278"/>
      <c r="M770" s="278"/>
      <c r="N770" s="278"/>
      <c r="O770" s="278"/>
      <c r="P770" s="278"/>
      <c r="Q770" s="278"/>
      <c r="R770" s="278"/>
      <c r="S770" s="278"/>
      <c r="T770" s="278"/>
      <c r="U770" s="278"/>
      <c r="V770" s="278"/>
    </row>
    <row r="771" spans="1:22" x14ac:dyDescent="0.15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278"/>
      <c r="M771" s="278"/>
      <c r="N771" s="278"/>
      <c r="O771" s="278"/>
      <c r="P771" s="278"/>
      <c r="Q771" s="278"/>
      <c r="R771" s="278"/>
      <c r="S771" s="278"/>
      <c r="T771" s="278"/>
      <c r="U771" s="278"/>
      <c r="V771" s="278"/>
    </row>
    <row r="772" spans="1:22" x14ac:dyDescent="0.15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278"/>
      <c r="M772" s="278"/>
      <c r="N772" s="278"/>
      <c r="O772" s="278"/>
      <c r="P772" s="278"/>
      <c r="Q772" s="278"/>
      <c r="R772" s="278"/>
      <c r="S772" s="278"/>
      <c r="T772" s="278"/>
      <c r="U772" s="278"/>
      <c r="V772" s="278"/>
    </row>
    <row r="773" spans="1:22" x14ac:dyDescent="0.15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278"/>
      <c r="M773" s="278"/>
      <c r="N773" s="278"/>
      <c r="O773" s="278"/>
      <c r="P773" s="278"/>
      <c r="Q773" s="278"/>
      <c r="R773" s="278"/>
      <c r="S773" s="278"/>
      <c r="T773" s="278"/>
      <c r="U773" s="278"/>
      <c r="V773" s="278"/>
    </row>
    <row r="774" spans="1:22" x14ac:dyDescent="0.15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278"/>
      <c r="M774" s="278"/>
      <c r="N774" s="278"/>
      <c r="O774" s="278"/>
      <c r="P774" s="278"/>
      <c r="Q774" s="278"/>
      <c r="R774" s="278"/>
      <c r="S774" s="278"/>
      <c r="T774" s="278"/>
      <c r="U774" s="278"/>
      <c r="V774" s="278"/>
    </row>
    <row r="775" spans="1:22" x14ac:dyDescent="0.15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278"/>
      <c r="M775" s="278"/>
      <c r="N775" s="278"/>
      <c r="O775" s="278"/>
      <c r="P775" s="278"/>
      <c r="Q775" s="278"/>
      <c r="R775" s="278"/>
      <c r="S775" s="278"/>
      <c r="T775" s="278"/>
      <c r="U775" s="278"/>
      <c r="V775" s="278"/>
    </row>
    <row r="776" spans="1:22" x14ac:dyDescent="0.15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278"/>
      <c r="M776" s="278"/>
      <c r="N776" s="278"/>
      <c r="O776" s="278"/>
      <c r="P776" s="278"/>
      <c r="Q776" s="278"/>
      <c r="R776" s="278"/>
      <c r="S776" s="278"/>
      <c r="T776" s="278"/>
      <c r="U776" s="278"/>
      <c r="V776" s="278"/>
    </row>
    <row r="777" spans="1:22" x14ac:dyDescent="0.15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278"/>
      <c r="M777" s="278"/>
      <c r="N777" s="278"/>
      <c r="O777" s="278"/>
      <c r="P777" s="278"/>
      <c r="Q777" s="278"/>
      <c r="R777" s="278"/>
      <c r="S777" s="278"/>
      <c r="T777" s="278"/>
      <c r="U777" s="278"/>
      <c r="V777" s="278"/>
    </row>
    <row r="778" spans="1:22" x14ac:dyDescent="0.15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278"/>
      <c r="M778" s="278"/>
      <c r="N778" s="278"/>
      <c r="O778" s="278"/>
      <c r="P778" s="278"/>
      <c r="Q778" s="278"/>
      <c r="R778" s="278"/>
      <c r="S778" s="278"/>
      <c r="T778" s="278"/>
      <c r="U778" s="278"/>
      <c r="V778" s="278"/>
    </row>
    <row r="779" spans="1:22" x14ac:dyDescent="0.15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278"/>
      <c r="M779" s="278"/>
      <c r="N779" s="278"/>
      <c r="O779" s="278"/>
      <c r="P779" s="278"/>
      <c r="Q779" s="278"/>
      <c r="R779" s="278"/>
      <c r="S779" s="278"/>
      <c r="T779" s="278"/>
      <c r="U779" s="278"/>
      <c r="V779" s="278"/>
    </row>
    <row r="780" spans="1:22" x14ac:dyDescent="0.15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278"/>
      <c r="M780" s="278"/>
      <c r="N780" s="278"/>
      <c r="O780" s="278"/>
      <c r="P780" s="278"/>
      <c r="Q780" s="278"/>
      <c r="R780" s="278"/>
      <c r="S780" s="278"/>
      <c r="T780" s="278"/>
      <c r="U780" s="278"/>
      <c r="V780" s="278"/>
    </row>
    <row r="781" spans="1:22" x14ac:dyDescent="0.15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278"/>
      <c r="M781" s="278"/>
      <c r="N781" s="278"/>
      <c r="O781" s="278"/>
      <c r="P781" s="278"/>
      <c r="Q781" s="278"/>
      <c r="R781" s="278"/>
      <c r="S781" s="278"/>
      <c r="T781" s="278"/>
      <c r="U781" s="278"/>
      <c r="V781" s="278"/>
    </row>
    <row r="782" spans="1:22" x14ac:dyDescent="0.15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278"/>
      <c r="M782" s="278"/>
      <c r="N782" s="278"/>
      <c r="O782" s="278"/>
      <c r="P782" s="278"/>
      <c r="Q782" s="278"/>
      <c r="R782" s="278"/>
      <c r="S782" s="278"/>
      <c r="T782" s="278"/>
      <c r="U782" s="278"/>
      <c r="V782" s="278"/>
    </row>
    <row r="783" spans="1:22" x14ac:dyDescent="0.15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278"/>
      <c r="M783" s="278"/>
      <c r="N783" s="278"/>
      <c r="O783" s="278"/>
      <c r="P783" s="278"/>
      <c r="Q783" s="278"/>
      <c r="R783" s="278"/>
      <c r="S783" s="278"/>
      <c r="T783" s="278"/>
      <c r="U783" s="278"/>
      <c r="V783" s="278"/>
    </row>
    <row r="784" spans="1:22" x14ac:dyDescent="0.15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278"/>
      <c r="M784" s="278"/>
      <c r="N784" s="278"/>
      <c r="O784" s="278"/>
      <c r="P784" s="278"/>
      <c r="Q784" s="278"/>
      <c r="R784" s="278"/>
      <c r="S784" s="278"/>
      <c r="T784" s="278"/>
      <c r="U784" s="278"/>
      <c r="V784" s="278"/>
    </row>
    <row r="785" spans="1:22" x14ac:dyDescent="0.15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278"/>
      <c r="M785" s="278"/>
      <c r="N785" s="278"/>
      <c r="O785" s="278"/>
      <c r="P785" s="278"/>
      <c r="Q785" s="278"/>
      <c r="R785" s="278"/>
      <c r="S785" s="278"/>
      <c r="T785" s="278"/>
      <c r="U785" s="278"/>
      <c r="V785" s="278"/>
    </row>
    <row r="786" spans="1:22" x14ac:dyDescent="0.15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278"/>
      <c r="M786" s="278"/>
      <c r="N786" s="278"/>
      <c r="O786" s="278"/>
      <c r="P786" s="278"/>
      <c r="Q786" s="278"/>
      <c r="R786" s="278"/>
      <c r="S786" s="278"/>
      <c r="T786" s="278"/>
      <c r="U786" s="278"/>
      <c r="V786" s="278"/>
    </row>
    <row r="787" spans="1:22" x14ac:dyDescent="0.15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278"/>
      <c r="M787" s="278"/>
      <c r="N787" s="278"/>
      <c r="O787" s="278"/>
      <c r="P787" s="278"/>
      <c r="Q787" s="278"/>
      <c r="R787" s="278"/>
      <c r="S787" s="278"/>
      <c r="T787" s="278"/>
      <c r="U787" s="278"/>
      <c r="V787" s="278"/>
    </row>
    <row r="788" spans="1:22" x14ac:dyDescent="0.15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278"/>
      <c r="M788" s="278"/>
      <c r="N788" s="278"/>
      <c r="O788" s="278"/>
      <c r="P788" s="278"/>
      <c r="Q788" s="278"/>
      <c r="R788" s="278"/>
      <c r="S788" s="278"/>
      <c r="T788" s="278"/>
      <c r="U788" s="278"/>
      <c r="V788" s="278"/>
    </row>
    <row r="789" spans="1:22" x14ac:dyDescent="0.15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278"/>
      <c r="M789" s="278"/>
      <c r="N789" s="278"/>
      <c r="O789" s="278"/>
      <c r="P789" s="278"/>
      <c r="Q789" s="278"/>
      <c r="R789" s="278"/>
      <c r="S789" s="278"/>
      <c r="T789" s="278"/>
      <c r="U789" s="278"/>
      <c r="V789" s="278"/>
    </row>
    <row r="790" spans="1:22" x14ac:dyDescent="0.15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278"/>
      <c r="M790" s="278"/>
      <c r="N790" s="278"/>
      <c r="O790" s="278"/>
      <c r="P790" s="278"/>
      <c r="Q790" s="278"/>
      <c r="R790" s="278"/>
      <c r="S790" s="278"/>
      <c r="T790" s="278"/>
      <c r="U790" s="278"/>
      <c r="V790" s="278"/>
    </row>
    <row r="791" spans="1:22" x14ac:dyDescent="0.15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278"/>
      <c r="M791" s="278"/>
      <c r="N791" s="278"/>
      <c r="O791" s="278"/>
      <c r="P791" s="278"/>
      <c r="Q791" s="278"/>
      <c r="R791" s="278"/>
      <c r="S791" s="278"/>
      <c r="T791" s="278"/>
      <c r="U791" s="278"/>
      <c r="V791" s="278"/>
    </row>
    <row r="792" spans="1:22" x14ac:dyDescent="0.15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278"/>
      <c r="M792" s="278"/>
      <c r="N792" s="278"/>
      <c r="O792" s="278"/>
      <c r="P792" s="278"/>
      <c r="Q792" s="278"/>
      <c r="R792" s="278"/>
      <c r="S792" s="278"/>
      <c r="T792" s="278"/>
      <c r="U792" s="278"/>
      <c r="V792" s="278"/>
    </row>
    <row r="793" spans="1:22" x14ac:dyDescent="0.15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278"/>
      <c r="M793" s="278"/>
      <c r="N793" s="278"/>
      <c r="O793" s="278"/>
      <c r="P793" s="278"/>
      <c r="Q793" s="278"/>
      <c r="R793" s="278"/>
      <c r="S793" s="278"/>
      <c r="T793" s="278"/>
      <c r="U793" s="278"/>
      <c r="V793" s="278"/>
    </row>
    <row r="794" spans="1:22" x14ac:dyDescent="0.15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278"/>
      <c r="M794" s="278"/>
      <c r="N794" s="278"/>
      <c r="O794" s="278"/>
      <c r="P794" s="278"/>
      <c r="Q794" s="278"/>
      <c r="R794" s="278"/>
      <c r="S794" s="278"/>
      <c r="T794" s="278"/>
      <c r="U794" s="278"/>
      <c r="V794" s="278"/>
    </row>
    <row r="795" spans="1:22" x14ac:dyDescent="0.15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278"/>
      <c r="M795" s="278"/>
      <c r="N795" s="278"/>
      <c r="O795" s="278"/>
      <c r="P795" s="278"/>
      <c r="Q795" s="278"/>
      <c r="R795" s="278"/>
      <c r="S795" s="278"/>
      <c r="T795" s="278"/>
      <c r="U795" s="278"/>
      <c r="V795" s="278"/>
    </row>
    <row r="796" spans="1:22" x14ac:dyDescent="0.15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278"/>
      <c r="M796" s="278"/>
      <c r="N796" s="278"/>
      <c r="O796" s="278"/>
      <c r="P796" s="278"/>
      <c r="Q796" s="278"/>
      <c r="R796" s="278"/>
      <c r="S796" s="278"/>
      <c r="T796" s="278"/>
      <c r="U796" s="278"/>
      <c r="V796" s="278"/>
    </row>
    <row r="797" spans="1:22" x14ac:dyDescent="0.15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278"/>
      <c r="M797" s="278"/>
      <c r="N797" s="278"/>
      <c r="O797" s="278"/>
      <c r="P797" s="278"/>
      <c r="Q797" s="278"/>
      <c r="R797" s="278"/>
      <c r="S797" s="278"/>
      <c r="T797" s="278"/>
      <c r="U797" s="278"/>
      <c r="V797" s="278"/>
    </row>
    <row r="798" spans="1:22" x14ac:dyDescent="0.15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278"/>
      <c r="M798" s="278"/>
      <c r="N798" s="278"/>
      <c r="O798" s="278"/>
      <c r="P798" s="278"/>
      <c r="Q798" s="278"/>
      <c r="R798" s="278"/>
      <c r="S798" s="278"/>
      <c r="T798" s="278"/>
      <c r="U798" s="278"/>
      <c r="V798" s="278"/>
    </row>
    <row r="799" spans="1:22" x14ac:dyDescent="0.15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278"/>
      <c r="M799" s="278"/>
      <c r="N799" s="278"/>
      <c r="O799" s="278"/>
      <c r="P799" s="278"/>
      <c r="Q799" s="278"/>
      <c r="R799" s="278"/>
      <c r="S799" s="278"/>
      <c r="T799" s="278"/>
      <c r="U799" s="278"/>
      <c r="V799" s="278"/>
    </row>
    <row r="800" spans="1:22" x14ac:dyDescent="0.15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278"/>
      <c r="M800" s="278"/>
      <c r="N800" s="278"/>
      <c r="O800" s="278"/>
      <c r="P800" s="278"/>
      <c r="Q800" s="278"/>
      <c r="R800" s="278"/>
      <c r="S800" s="278"/>
      <c r="T800" s="278"/>
      <c r="U800" s="278"/>
      <c r="V800" s="278"/>
    </row>
    <row r="801" spans="1:22" x14ac:dyDescent="0.15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278"/>
      <c r="M801" s="278"/>
      <c r="N801" s="278"/>
      <c r="O801" s="278"/>
      <c r="P801" s="278"/>
      <c r="Q801" s="278"/>
      <c r="R801" s="278"/>
      <c r="S801" s="278"/>
      <c r="T801" s="278"/>
      <c r="U801" s="278"/>
      <c r="V801" s="278"/>
    </row>
    <row r="802" spans="1:22" x14ac:dyDescent="0.15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278"/>
      <c r="M802" s="278"/>
      <c r="N802" s="278"/>
      <c r="O802" s="278"/>
      <c r="P802" s="278"/>
      <c r="Q802" s="278"/>
      <c r="R802" s="278"/>
      <c r="S802" s="278"/>
      <c r="T802" s="278"/>
      <c r="U802" s="278"/>
      <c r="V802" s="278"/>
    </row>
    <row r="803" spans="1:22" x14ac:dyDescent="0.15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278"/>
      <c r="M803" s="278"/>
      <c r="N803" s="278"/>
      <c r="O803" s="278"/>
      <c r="P803" s="278"/>
      <c r="Q803" s="278"/>
      <c r="R803" s="278"/>
      <c r="S803" s="278"/>
      <c r="T803" s="278"/>
      <c r="U803" s="278"/>
      <c r="V803" s="278"/>
    </row>
    <row r="804" spans="1:22" x14ac:dyDescent="0.15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278"/>
      <c r="M804" s="278"/>
      <c r="N804" s="278"/>
      <c r="O804" s="278"/>
      <c r="P804" s="278"/>
      <c r="Q804" s="278"/>
      <c r="R804" s="278"/>
      <c r="S804" s="278"/>
      <c r="T804" s="278"/>
      <c r="U804" s="278"/>
      <c r="V804" s="278"/>
    </row>
    <row r="805" spans="1:22" x14ac:dyDescent="0.15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278"/>
      <c r="M805" s="278"/>
      <c r="N805" s="278"/>
      <c r="O805" s="278"/>
      <c r="P805" s="278"/>
      <c r="Q805" s="278"/>
      <c r="R805" s="278"/>
      <c r="S805" s="278"/>
      <c r="T805" s="278"/>
      <c r="U805" s="278"/>
      <c r="V805" s="278"/>
    </row>
    <row r="806" spans="1:22" x14ac:dyDescent="0.15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278"/>
      <c r="M806" s="278"/>
      <c r="N806" s="278"/>
      <c r="O806" s="278"/>
      <c r="P806" s="278"/>
      <c r="Q806" s="278"/>
      <c r="R806" s="278"/>
      <c r="S806" s="278"/>
      <c r="T806" s="278"/>
      <c r="U806" s="278"/>
      <c r="V806" s="278"/>
    </row>
    <row r="807" spans="1:22" x14ac:dyDescent="0.15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278"/>
      <c r="M807" s="278"/>
      <c r="N807" s="278"/>
      <c r="O807" s="278"/>
      <c r="P807" s="278"/>
      <c r="Q807" s="278"/>
      <c r="R807" s="278"/>
      <c r="S807" s="278"/>
      <c r="T807" s="278"/>
      <c r="U807" s="278"/>
      <c r="V807" s="278"/>
    </row>
    <row r="808" spans="1:22" x14ac:dyDescent="0.15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278"/>
      <c r="M808" s="278"/>
      <c r="N808" s="278"/>
      <c r="O808" s="278"/>
      <c r="P808" s="278"/>
      <c r="Q808" s="278"/>
      <c r="R808" s="278"/>
      <c r="S808" s="278"/>
      <c r="T808" s="278"/>
      <c r="U808" s="278"/>
      <c r="V808" s="278"/>
    </row>
    <row r="809" spans="1:22" x14ac:dyDescent="0.15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278"/>
      <c r="M809" s="278"/>
      <c r="N809" s="278"/>
      <c r="O809" s="278"/>
      <c r="P809" s="278"/>
      <c r="Q809" s="278"/>
      <c r="R809" s="278"/>
      <c r="S809" s="278"/>
      <c r="T809" s="278"/>
      <c r="U809" s="278"/>
      <c r="V809" s="278"/>
    </row>
    <row r="810" spans="1:22" x14ac:dyDescent="0.15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278"/>
      <c r="M810" s="278"/>
      <c r="N810" s="278"/>
      <c r="O810" s="278"/>
      <c r="P810" s="278"/>
      <c r="Q810" s="278"/>
      <c r="R810" s="278"/>
      <c r="S810" s="278"/>
      <c r="T810" s="278"/>
      <c r="U810" s="278"/>
      <c r="V810" s="278"/>
    </row>
    <row r="811" spans="1:22" x14ac:dyDescent="0.15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278"/>
      <c r="M811" s="278"/>
      <c r="N811" s="278"/>
      <c r="O811" s="278"/>
      <c r="P811" s="278"/>
      <c r="Q811" s="278"/>
      <c r="R811" s="278"/>
      <c r="S811" s="278"/>
      <c r="T811" s="278"/>
      <c r="U811" s="278"/>
      <c r="V811" s="278"/>
    </row>
    <row r="812" spans="1:22" x14ac:dyDescent="0.15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278"/>
      <c r="M812" s="278"/>
      <c r="N812" s="278"/>
      <c r="O812" s="278"/>
      <c r="P812" s="278"/>
      <c r="Q812" s="278"/>
      <c r="R812" s="278"/>
      <c r="S812" s="278"/>
      <c r="T812" s="278"/>
      <c r="U812" s="278"/>
      <c r="V812" s="278"/>
    </row>
    <row r="813" spans="1:22" x14ac:dyDescent="0.15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278"/>
      <c r="M813" s="278"/>
      <c r="N813" s="278"/>
      <c r="O813" s="278"/>
      <c r="P813" s="278"/>
      <c r="Q813" s="278"/>
      <c r="R813" s="278"/>
      <c r="S813" s="278"/>
      <c r="T813" s="278"/>
      <c r="U813" s="278"/>
      <c r="V813" s="278"/>
    </row>
    <row r="814" spans="1:22" x14ac:dyDescent="0.15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278"/>
      <c r="M814" s="278"/>
      <c r="N814" s="278"/>
      <c r="O814" s="278"/>
      <c r="P814" s="278"/>
      <c r="Q814" s="278"/>
      <c r="R814" s="278"/>
      <c r="S814" s="278"/>
      <c r="T814" s="278"/>
      <c r="U814" s="278"/>
      <c r="V814" s="278"/>
    </row>
    <row r="815" spans="1:22" x14ac:dyDescent="0.15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278"/>
      <c r="M815" s="278"/>
      <c r="N815" s="278"/>
      <c r="O815" s="278"/>
      <c r="P815" s="278"/>
      <c r="Q815" s="278"/>
      <c r="R815" s="278"/>
      <c r="S815" s="278"/>
      <c r="T815" s="278"/>
      <c r="U815" s="278"/>
      <c r="V815" s="278"/>
    </row>
    <row r="816" spans="1:22" x14ac:dyDescent="0.15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278"/>
      <c r="M816" s="278"/>
      <c r="N816" s="278"/>
      <c r="O816" s="278"/>
      <c r="P816" s="278"/>
      <c r="Q816" s="278"/>
      <c r="R816" s="278"/>
      <c r="S816" s="278"/>
      <c r="T816" s="278"/>
      <c r="U816" s="278"/>
      <c r="V816" s="278"/>
    </row>
    <row r="817" spans="1:22" x14ac:dyDescent="0.15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278"/>
      <c r="M817" s="278"/>
      <c r="N817" s="278"/>
      <c r="O817" s="278"/>
      <c r="P817" s="278"/>
      <c r="Q817" s="278"/>
      <c r="R817" s="278"/>
      <c r="S817" s="278"/>
      <c r="T817" s="278"/>
      <c r="U817" s="278"/>
      <c r="V817" s="278"/>
    </row>
    <row r="818" spans="1:22" x14ac:dyDescent="0.15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278"/>
      <c r="M818" s="278"/>
      <c r="N818" s="278"/>
      <c r="O818" s="278"/>
      <c r="P818" s="278"/>
      <c r="Q818" s="278"/>
      <c r="R818" s="278"/>
      <c r="S818" s="278"/>
      <c r="T818" s="278"/>
      <c r="U818" s="278"/>
      <c r="V818" s="278"/>
    </row>
    <row r="819" spans="1:22" x14ac:dyDescent="0.15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278"/>
      <c r="M819" s="278"/>
      <c r="N819" s="278"/>
      <c r="O819" s="278"/>
      <c r="P819" s="278"/>
      <c r="Q819" s="278"/>
      <c r="R819" s="278"/>
      <c r="S819" s="278"/>
      <c r="T819" s="278"/>
      <c r="U819" s="278"/>
      <c r="V819" s="278"/>
    </row>
    <row r="820" spans="1:22" x14ac:dyDescent="0.15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278"/>
      <c r="M820" s="278"/>
      <c r="N820" s="278"/>
      <c r="O820" s="278"/>
      <c r="P820" s="278"/>
      <c r="Q820" s="278"/>
      <c r="R820" s="278"/>
      <c r="S820" s="278"/>
      <c r="T820" s="278"/>
      <c r="U820" s="278"/>
      <c r="V820" s="278"/>
    </row>
    <row r="821" spans="1:22" x14ac:dyDescent="0.15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278"/>
      <c r="M821" s="278"/>
      <c r="N821" s="278"/>
      <c r="O821" s="278"/>
      <c r="P821" s="278"/>
      <c r="Q821" s="278"/>
      <c r="R821" s="278"/>
      <c r="S821" s="278"/>
      <c r="T821" s="278"/>
      <c r="U821" s="278"/>
      <c r="V821" s="278"/>
    </row>
    <row r="822" spans="1:22" x14ac:dyDescent="0.15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278"/>
      <c r="M822" s="278"/>
      <c r="N822" s="278"/>
      <c r="O822" s="278"/>
      <c r="P822" s="278"/>
      <c r="Q822" s="278"/>
      <c r="R822" s="278"/>
      <c r="S822" s="278"/>
      <c r="T822" s="278"/>
      <c r="U822" s="278"/>
      <c r="V822" s="278"/>
    </row>
    <row r="823" spans="1:22" x14ac:dyDescent="0.15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278"/>
      <c r="M823" s="278"/>
      <c r="N823" s="278"/>
      <c r="O823" s="278"/>
      <c r="P823" s="278"/>
      <c r="Q823" s="278"/>
      <c r="R823" s="278"/>
      <c r="S823" s="278"/>
      <c r="T823" s="278"/>
      <c r="U823" s="278"/>
      <c r="V823" s="278"/>
    </row>
    <row r="824" spans="1:22" x14ac:dyDescent="0.15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278"/>
      <c r="M824" s="278"/>
      <c r="N824" s="278"/>
      <c r="O824" s="278"/>
      <c r="P824" s="278"/>
      <c r="Q824" s="278"/>
      <c r="R824" s="278"/>
      <c r="S824" s="278"/>
      <c r="T824" s="278"/>
      <c r="U824" s="278"/>
      <c r="V824" s="278"/>
    </row>
    <row r="825" spans="1:22" x14ac:dyDescent="0.15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278"/>
      <c r="M825" s="278"/>
      <c r="N825" s="278"/>
      <c r="O825" s="278"/>
      <c r="P825" s="278"/>
      <c r="Q825" s="278"/>
      <c r="R825" s="278"/>
      <c r="S825" s="278"/>
      <c r="T825" s="278"/>
      <c r="U825" s="278"/>
      <c r="V825" s="278"/>
    </row>
    <row r="826" spans="1:22" x14ac:dyDescent="0.15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278"/>
      <c r="M826" s="278"/>
      <c r="N826" s="278"/>
      <c r="O826" s="278"/>
      <c r="P826" s="278"/>
      <c r="Q826" s="278"/>
      <c r="R826" s="278"/>
      <c r="S826" s="278"/>
      <c r="T826" s="278"/>
      <c r="U826" s="278"/>
      <c r="V826" s="278"/>
    </row>
    <row r="827" spans="1:22" x14ac:dyDescent="0.15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278"/>
      <c r="M827" s="278"/>
      <c r="N827" s="278"/>
      <c r="O827" s="278"/>
      <c r="P827" s="278"/>
      <c r="Q827" s="278"/>
      <c r="R827" s="278"/>
      <c r="S827" s="278"/>
      <c r="T827" s="278"/>
      <c r="U827" s="278"/>
      <c r="V827" s="278"/>
    </row>
    <row r="828" spans="1:22" x14ac:dyDescent="0.15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278"/>
      <c r="M828" s="278"/>
      <c r="N828" s="278"/>
      <c r="O828" s="278"/>
      <c r="P828" s="278"/>
      <c r="Q828" s="278"/>
      <c r="R828" s="278"/>
      <c r="S828" s="278"/>
      <c r="T828" s="278"/>
      <c r="U828" s="278"/>
      <c r="V828" s="278"/>
    </row>
    <row r="829" spans="1:22" x14ac:dyDescent="0.15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278"/>
      <c r="M829" s="278"/>
      <c r="N829" s="278"/>
      <c r="O829" s="278"/>
      <c r="P829" s="278"/>
      <c r="Q829" s="278"/>
      <c r="R829" s="278"/>
      <c r="S829" s="278"/>
      <c r="T829" s="278"/>
      <c r="U829" s="278"/>
      <c r="V829" s="278"/>
    </row>
    <row r="830" spans="1:22" x14ac:dyDescent="0.15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278"/>
      <c r="M830" s="278"/>
      <c r="N830" s="278"/>
      <c r="O830" s="278"/>
      <c r="P830" s="278"/>
      <c r="Q830" s="278"/>
      <c r="R830" s="278"/>
      <c r="S830" s="278"/>
      <c r="T830" s="278"/>
      <c r="U830" s="278"/>
      <c r="V830" s="278"/>
    </row>
    <row r="831" spans="1:22" x14ac:dyDescent="0.15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278"/>
      <c r="M831" s="278"/>
      <c r="N831" s="278"/>
      <c r="O831" s="278"/>
      <c r="P831" s="278"/>
      <c r="Q831" s="278"/>
      <c r="R831" s="278"/>
      <c r="S831" s="278"/>
      <c r="T831" s="278"/>
      <c r="U831" s="278"/>
      <c r="V831" s="278"/>
    </row>
    <row r="832" spans="1:22" x14ac:dyDescent="0.15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278"/>
      <c r="M832" s="278"/>
      <c r="N832" s="278"/>
      <c r="O832" s="278"/>
      <c r="P832" s="278"/>
      <c r="Q832" s="278"/>
      <c r="R832" s="278"/>
      <c r="S832" s="278"/>
      <c r="T832" s="278"/>
      <c r="U832" s="278"/>
      <c r="V832" s="278"/>
    </row>
    <row r="833" spans="1:22" x14ac:dyDescent="0.15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278"/>
      <c r="M833" s="278"/>
      <c r="N833" s="278"/>
      <c r="O833" s="278"/>
      <c r="P833" s="278"/>
      <c r="Q833" s="278"/>
      <c r="R833" s="278"/>
      <c r="S833" s="278"/>
      <c r="T833" s="278"/>
      <c r="U833" s="278"/>
      <c r="V833" s="278"/>
    </row>
    <row r="834" spans="1:22" x14ac:dyDescent="0.15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278"/>
      <c r="M834" s="278"/>
      <c r="N834" s="278"/>
      <c r="O834" s="278"/>
      <c r="P834" s="278"/>
      <c r="Q834" s="278"/>
      <c r="R834" s="278"/>
      <c r="S834" s="278"/>
      <c r="T834" s="278"/>
      <c r="U834" s="278"/>
      <c r="V834" s="278"/>
    </row>
    <row r="835" spans="1:22" x14ac:dyDescent="0.15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278"/>
      <c r="M835" s="278"/>
      <c r="N835" s="278"/>
      <c r="O835" s="278"/>
      <c r="P835" s="278"/>
      <c r="Q835" s="278"/>
      <c r="R835" s="278"/>
      <c r="S835" s="278"/>
      <c r="T835" s="278"/>
      <c r="U835" s="278"/>
      <c r="V835" s="278"/>
    </row>
    <row r="836" spans="1:22" x14ac:dyDescent="0.15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278"/>
      <c r="M836" s="278"/>
      <c r="N836" s="278"/>
      <c r="O836" s="278"/>
      <c r="P836" s="278"/>
      <c r="Q836" s="278"/>
      <c r="R836" s="278"/>
      <c r="S836" s="278"/>
      <c r="T836" s="278"/>
      <c r="U836" s="278"/>
      <c r="V836" s="278"/>
    </row>
    <row r="837" spans="1:22" x14ac:dyDescent="0.15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278"/>
      <c r="M837" s="278"/>
      <c r="N837" s="278"/>
      <c r="O837" s="278"/>
      <c r="P837" s="278"/>
      <c r="Q837" s="278"/>
      <c r="R837" s="278"/>
      <c r="S837" s="278"/>
      <c r="T837" s="278"/>
      <c r="U837" s="278"/>
      <c r="V837" s="278"/>
    </row>
    <row r="838" spans="1:22" x14ac:dyDescent="0.15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278"/>
      <c r="M838" s="278"/>
      <c r="N838" s="278"/>
      <c r="O838" s="278"/>
      <c r="P838" s="278"/>
      <c r="Q838" s="278"/>
      <c r="R838" s="278"/>
      <c r="S838" s="278"/>
      <c r="T838" s="278"/>
      <c r="U838" s="278"/>
      <c r="V838" s="278"/>
    </row>
    <row r="839" spans="1:22" x14ac:dyDescent="0.15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278"/>
      <c r="M839" s="278"/>
      <c r="N839" s="278"/>
      <c r="O839" s="278"/>
      <c r="P839" s="278"/>
      <c r="Q839" s="278"/>
      <c r="R839" s="278"/>
      <c r="S839" s="278"/>
      <c r="T839" s="278"/>
      <c r="U839" s="278"/>
      <c r="V839" s="278"/>
    </row>
    <row r="840" spans="1:22" x14ac:dyDescent="0.15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278"/>
      <c r="M840" s="278"/>
      <c r="N840" s="278"/>
      <c r="O840" s="278"/>
      <c r="P840" s="278"/>
      <c r="Q840" s="278"/>
      <c r="R840" s="278"/>
      <c r="S840" s="278"/>
      <c r="T840" s="278"/>
      <c r="U840" s="278"/>
      <c r="V840" s="278"/>
    </row>
    <row r="841" spans="1:22" x14ac:dyDescent="0.15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278"/>
      <c r="M841" s="278"/>
      <c r="N841" s="278"/>
      <c r="O841" s="278"/>
      <c r="P841" s="278"/>
      <c r="Q841" s="278"/>
      <c r="R841" s="278"/>
      <c r="S841" s="278"/>
      <c r="T841" s="278"/>
      <c r="U841" s="278"/>
      <c r="V841" s="278"/>
    </row>
    <row r="842" spans="1:22" x14ac:dyDescent="0.15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278"/>
      <c r="M842" s="278"/>
      <c r="N842" s="278"/>
      <c r="O842" s="278"/>
      <c r="P842" s="278"/>
      <c r="Q842" s="278"/>
      <c r="R842" s="278"/>
      <c r="S842" s="278"/>
      <c r="T842" s="278"/>
      <c r="U842" s="278"/>
      <c r="V842" s="278"/>
    </row>
    <row r="843" spans="1:22" x14ac:dyDescent="0.15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278"/>
      <c r="M843" s="278"/>
      <c r="N843" s="278"/>
      <c r="O843" s="278"/>
      <c r="P843" s="278"/>
      <c r="Q843" s="278"/>
      <c r="R843" s="278"/>
      <c r="S843" s="278"/>
      <c r="T843" s="278"/>
      <c r="U843" s="278"/>
      <c r="V843" s="278"/>
    </row>
    <row r="844" spans="1:22" x14ac:dyDescent="0.15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278"/>
      <c r="M844" s="278"/>
      <c r="N844" s="278"/>
      <c r="O844" s="278"/>
      <c r="P844" s="278"/>
      <c r="Q844" s="278"/>
      <c r="R844" s="278"/>
      <c r="S844" s="278"/>
      <c r="T844" s="278"/>
      <c r="U844" s="278"/>
      <c r="V844" s="278"/>
    </row>
    <row r="845" spans="1:22" x14ac:dyDescent="0.15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278"/>
      <c r="M845" s="278"/>
      <c r="N845" s="278"/>
      <c r="O845" s="278"/>
      <c r="P845" s="278"/>
      <c r="Q845" s="278"/>
      <c r="R845" s="278"/>
      <c r="S845" s="278"/>
      <c r="T845" s="278"/>
      <c r="U845" s="278"/>
      <c r="V845" s="278"/>
    </row>
    <row r="846" spans="1:22" x14ac:dyDescent="0.15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278"/>
      <c r="M846" s="278"/>
      <c r="N846" s="278"/>
      <c r="O846" s="278"/>
      <c r="P846" s="278"/>
      <c r="Q846" s="278"/>
      <c r="R846" s="278"/>
      <c r="S846" s="278"/>
      <c r="T846" s="278"/>
      <c r="U846" s="278"/>
      <c r="V846" s="278"/>
    </row>
    <row r="847" spans="1:22" x14ac:dyDescent="0.15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278"/>
      <c r="M847" s="278"/>
      <c r="N847" s="278"/>
      <c r="O847" s="278"/>
      <c r="P847" s="278"/>
      <c r="Q847" s="278"/>
      <c r="R847" s="278"/>
      <c r="S847" s="278"/>
      <c r="T847" s="278"/>
      <c r="U847" s="278"/>
      <c r="V847" s="278"/>
    </row>
    <row r="848" spans="1:22" x14ac:dyDescent="0.15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278"/>
      <c r="M848" s="278"/>
      <c r="N848" s="278"/>
      <c r="O848" s="278"/>
      <c r="P848" s="278"/>
      <c r="Q848" s="278"/>
      <c r="R848" s="278"/>
      <c r="S848" s="278"/>
      <c r="T848" s="278"/>
      <c r="U848" s="278"/>
      <c r="V848" s="278"/>
    </row>
    <row r="849" spans="1:22" x14ac:dyDescent="0.15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278"/>
      <c r="M849" s="278"/>
      <c r="N849" s="278"/>
      <c r="O849" s="278"/>
      <c r="P849" s="278"/>
      <c r="Q849" s="278"/>
      <c r="R849" s="278"/>
      <c r="S849" s="278"/>
      <c r="T849" s="278"/>
      <c r="U849" s="278"/>
      <c r="V849" s="278"/>
    </row>
    <row r="850" spans="1:22" x14ac:dyDescent="0.15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278"/>
      <c r="M850" s="278"/>
      <c r="N850" s="278"/>
      <c r="O850" s="278"/>
      <c r="P850" s="278"/>
      <c r="Q850" s="278"/>
      <c r="R850" s="278"/>
      <c r="S850" s="278"/>
      <c r="T850" s="278"/>
      <c r="U850" s="278"/>
      <c r="V850" s="278"/>
    </row>
    <row r="851" spans="1:22" x14ac:dyDescent="0.15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278"/>
      <c r="M851" s="278"/>
      <c r="N851" s="278"/>
      <c r="O851" s="278"/>
      <c r="P851" s="278"/>
      <c r="Q851" s="278"/>
      <c r="R851" s="278"/>
      <c r="S851" s="278"/>
      <c r="T851" s="278"/>
      <c r="U851" s="278"/>
      <c r="V851" s="278"/>
    </row>
    <row r="852" spans="1:22" x14ac:dyDescent="0.15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278"/>
      <c r="M852" s="278"/>
      <c r="N852" s="278"/>
      <c r="O852" s="278"/>
      <c r="P852" s="278"/>
      <c r="Q852" s="278"/>
      <c r="R852" s="278"/>
      <c r="S852" s="278"/>
      <c r="T852" s="278"/>
      <c r="U852" s="278"/>
      <c r="V852" s="278"/>
    </row>
    <row r="853" spans="1:22" x14ac:dyDescent="0.15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278"/>
      <c r="M853" s="278"/>
      <c r="N853" s="278"/>
      <c r="O853" s="278"/>
      <c r="P853" s="278"/>
      <c r="Q853" s="278"/>
      <c r="R853" s="278"/>
      <c r="S853" s="278"/>
      <c r="T853" s="278"/>
      <c r="U853" s="278"/>
      <c r="V853" s="278"/>
    </row>
    <row r="854" spans="1:22" x14ac:dyDescent="0.15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278"/>
      <c r="M854" s="278"/>
      <c r="N854" s="278"/>
      <c r="O854" s="278"/>
      <c r="P854" s="278"/>
      <c r="Q854" s="278"/>
      <c r="R854" s="278"/>
      <c r="S854" s="278"/>
      <c r="T854" s="278"/>
      <c r="U854" s="278"/>
      <c r="V854" s="278"/>
    </row>
    <row r="855" spans="1:22" x14ac:dyDescent="0.15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278"/>
      <c r="M855" s="278"/>
      <c r="N855" s="278"/>
      <c r="O855" s="278"/>
      <c r="P855" s="278"/>
      <c r="Q855" s="278"/>
      <c r="R855" s="278"/>
      <c r="S855" s="278"/>
      <c r="T855" s="278"/>
      <c r="U855" s="278"/>
      <c r="V855" s="278"/>
    </row>
    <row r="856" spans="1:22" x14ac:dyDescent="0.15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278"/>
      <c r="M856" s="278"/>
      <c r="N856" s="278"/>
      <c r="O856" s="278"/>
      <c r="P856" s="278"/>
      <c r="Q856" s="278"/>
      <c r="R856" s="278"/>
      <c r="S856" s="278"/>
      <c r="T856" s="278"/>
      <c r="U856" s="278"/>
      <c r="V856" s="278"/>
    </row>
    <row r="857" spans="1:22" x14ac:dyDescent="0.15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278"/>
      <c r="M857" s="278"/>
      <c r="N857" s="278"/>
      <c r="O857" s="278"/>
      <c r="P857" s="278"/>
      <c r="Q857" s="278"/>
      <c r="R857" s="278"/>
      <c r="S857" s="278"/>
      <c r="T857" s="278"/>
      <c r="U857" s="278"/>
      <c r="V857" s="278"/>
    </row>
    <row r="858" spans="1:22" x14ac:dyDescent="0.15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278"/>
      <c r="M858" s="278"/>
      <c r="N858" s="278"/>
      <c r="O858" s="278"/>
      <c r="P858" s="278"/>
      <c r="Q858" s="278"/>
      <c r="R858" s="278"/>
      <c r="S858" s="278"/>
      <c r="T858" s="278"/>
      <c r="U858" s="278"/>
      <c r="V858" s="278"/>
    </row>
    <row r="859" spans="1:22" x14ac:dyDescent="0.15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278"/>
      <c r="M859" s="278"/>
      <c r="N859" s="278"/>
      <c r="O859" s="278"/>
      <c r="P859" s="278"/>
      <c r="Q859" s="278"/>
      <c r="R859" s="278"/>
      <c r="S859" s="278"/>
      <c r="T859" s="278"/>
      <c r="U859" s="278"/>
      <c r="V859" s="278"/>
    </row>
    <row r="860" spans="1:22" x14ac:dyDescent="0.15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278"/>
      <c r="M860" s="278"/>
      <c r="N860" s="278"/>
      <c r="O860" s="278"/>
      <c r="P860" s="278"/>
      <c r="Q860" s="278"/>
      <c r="R860" s="278"/>
      <c r="S860" s="278"/>
      <c r="T860" s="278"/>
      <c r="U860" s="278"/>
      <c r="V860" s="278"/>
    </row>
    <row r="861" spans="1:22" x14ac:dyDescent="0.15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278"/>
      <c r="M861" s="278"/>
      <c r="N861" s="278"/>
      <c r="O861" s="278"/>
      <c r="P861" s="278"/>
      <c r="Q861" s="278"/>
      <c r="R861" s="278"/>
      <c r="S861" s="278"/>
      <c r="T861" s="278"/>
      <c r="U861" s="278"/>
      <c r="V861" s="278"/>
    </row>
    <row r="862" spans="1:22" x14ac:dyDescent="0.15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278"/>
      <c r="M862" s="278"/>
      <c r="N862" s="278"/>
      <c r="O862" s="278"/>
      <c r="P862" s="278"/>
      <c r="Q862" s="278"/>
      <c r="R862" s="278"/>
      <c r="S862" s="278"/>
      <c r="T862" s="278"/>
      <c r="U862" s="278"/>
      <c r="V862" s="278"/>
    </row>
    <row r="863" spans="1:22" x14ac:dyDescent="0.15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278"/>
      <c r="M863" s="278"/>
      <c r="N863" s="278"/>
      <c r="O863" s="278"/>
      <c r="P863" s="278"/>
      <c r="Q863" s="278"/>
      <c r="R863" s="278"/>
      <c r="S863" s="278"/>
      <c r="T863" s="278"/>
      <c r="U863" s="278"/>
      <c r="V863" s="278"/>
    </row>
    <row r="864" spans="1:22" x14ac:dyDescent="0.15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278"/>
      <c r="M864" s="278"/>
      <c r="N864" s="278"/>
      <c r="O864" s="278"/>
      <c r="P864" s="278"/>
      <c r="Q864" s="278"/>
      <c r="R864" s="278"/>
      <c r="S864" s="278"/>
      <c r="T864" s="278"/>
      <c r="U864" s="278"/>
      <c r="V864" s="278"/>
    </row>
    <row r="865" spans="1:22" x14ac:dyDescent="0.15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278"/>
      <c r="M865" s="278"/>
      <c r="N865" s="278"/>
      <c r="O865" s="278"/>
      <c r="P865" s="278"/>
      <c r="Q865" s="278"/>
      <c r="R865" s="278"/>
      <c r="S865" s="278"/>
      <c r="T865" s="278"/>
      <c r="U865" s="278"/>
      <c r="V865" s="278"/>
    </row>
    <row r="866" spans="1:22" x14ac:dyDescent="0.15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278"/>
      <c r="M866" s="278"/>
      <c r="N866" s="278"/>
      <c r="O866" s="278"/>
      <c r="P866" s="278"/>
      <c r="Q866" s="278"/>
      <c r="R866" s="278"/>
      <c r="S866" s="278"/>
      <c r="T866" s="278"/>
      <c r="U866" s="278"/>
      <c r="V866" s="278"/>
    </row>
    <row r="867" spans="1:22" x14ac:dyDescent="0.15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278"/>
      <c r="M867" s="278"/>
      <c r="N867" s="278"/>
      <c r="O867" s="278"/>
      <c r="P867" s="278"/>
      <c r="Q867" s="278"/>
      <c r="R867" s="278"/>
      <c r="S867" s="278"/>
      <c r="T867" s="278"/>
      <c r="U867" s="278"/>
      <c r="V867" s="278"/>
    </row>
    <row r="868" spans="1:22" x14ac:dyDescent="0.15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278"/>
      <c r="M868" s="278"/>
      <c r="N868" s="278"/>
      <c r="O868" s="278"/>
      <c r="P868" s="278"/>
      <c r="Q868" s="278"/>
      <c r="R868" s="278"/>
      <c r="S868" s="278"/>
      <c r="T868" s="278"/>
      <c r="U868" s="278"/>
      <c r="V868" s="278"/>
    </row>
    <row r="869" spans="1:22" x14ac:dyDescent="0.15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278"/>
      <c r="M869" s="278"/>
      <c r="N869" s="278"/>
      <c r="O869" s="278"/>
      <c r="P869" s="278"/>
      <c r="Q869" s="278"/>
      <c r="R869" s="278"/>
      <c r="S869" s="278"/>
      <c r="T869" s="278"/>
      <c r="U869" s="278"/>
      <c r="V869" s="278"/>
    </row>
    <row r="870" spans="1:22" x14ac:dyDescent="0.15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278"/>
      <c r="M870" s="278"/>
      <c r="N870" s="278"/>
      <c r="O870" s="278"/>
      <c r="P870" s="278"/>
      <c r="Q870" s="278"/>
      <c r="R870" s="278"/>
      <c r="S870" s="278"/>
      <c r="T870" s="278"/>
      <c r="U870" s="278"/>
      <c r="V870" s="278"/>
    </row>
    <row r="871" spans="1:22" x14ac:dyDescent="0.15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278"/>
      <c r="M871" s="278"/>
      <c r="N871" s="278"/>
      <c r="O871" s="278"/>
      <c r="P871" s="278"/>
      <c r="Q871" s="278"/>
      <c r="R871" s="278"/>
      <c r="S871" s="278"/>
      <c r="T871" s="278"/>
      <c r="U871" s="278"/>
      <c r="V871" s="278"/>
    </row>
    <row r="872" spans="1:22" x14ac:dyDescent="0.15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278"/>
      <c r="M872" s="278"/>
      <c r="N872" s="278"/>
      <c r="O872" s="278"/>
      <c r="P872" s="278"/>
      <c r="Q872" s="278"/>
      <c r="R872" s="278"/>
      <c r="S872" s="278"/>
      <c r="T872" s="278"/>
      <c r="U872" s="278"/>
      <c r="V872" s="278"/>
    </row>
    <row r="873" spans="1:22" x14ac:dyDescent="0.15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278"/>
      <c r="M873" s="278"/>
      <c r="N873" s="278"/>
      <c r="O873" s="278"/>
      <c r="P873" s="278"/>
      <c r="Q873" s="278"/>
      <c r="R873" s="278"/>
      <c r="S873" s="278"/>
      <c r="T873" s="278"/>
      <c r="U873" s="278"/>
      <c r="V873" s="278"/>
    </row>
    <row r="874" spans="1:22" x14ac:dyDescent="0.15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278"/>
      <c r="M874" s="278"/>
      <c r="N874" s="278"/>
      <c r="O874" s="278"/>
      <c r="P874" s="278"/>
      <c r="Q874" s="278"/>
      <c r="R874" s="278"/>
      <c r="S874" s="278"/>
      <c r="T874" s="278"/>
      <c r="U874" s="278"/>
      <c r="V874" s="278"/>
    </row>
    <row r="875" spans="1:22" x14ac:dyDescent="0.15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278"/>
      <c r="M875" s="278"/>
      <c r="N875" s="278"/>
      <c r="O875" s="278"/>
      <c r="P875" s="278"/>
      <c r="Q875" s="278"/>
      <c r="R875" s="278"/>
      <c r="S875" s="278"/>
      <c r="T875" s="278"/>
      <c r="U875" s="278"/>
      <c r="V875" s="278"/>
    </row>
    <row r="876" spans="1:22" x14ac:dyDescent="0.15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278"/>
      <c r="M876" s="278"/>
      <c r="N876" s="278"/>
      <c r="O876" s="278"/>
      <c r="P876" s="278"/>
      <c r="Q876" s="278"/>
      <c r="R876" s="278"/>
      <c r="S876" s="278"/>
      <c r="T876" s="278"/>
      <c r="U876" s="278"/>
      <c r="V876" s="278"/>
    </row>
    <row r="877" spans="1:22" x14ac:dyDescent="0.15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278"/>
      <c r="M877" s="278"/>
      <c r="N877" s="278"/>
      <c r="O877" s="278"/>
      <c r="P877" s="278"/>
      <c r="Q877" s="278"/>
      <c r="R877" s="278"/>
      <c r="S877" s="278"/>
      <c r="T877" s="278"/>
      <c r="U877" s="278"/>
      <c r="V877" s="278"/>
    </row>
    <row r="878" spans="1:22" x14ac:dyDescent="0.15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278"/>
      <c r="M878" s="278"/>
      <c r="N878" s="278"/>
      <c r="O878" s="278"/>
      <c r="P878" s="278"/>
      <c r="Q878" s="278"/>
      <c r="R878" s="278"/>
      <c r="S878" s="278"/>
      <c r="T878" s="278"/>
      <c r="U878" s="278"/>
      <c r="V878" s="278"/>
    </row>
    <row r="879" spans="1:22" x14ac:dyDescent="0.15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278"/>
      <c r="M879" s="278"/>
      <c r="N879" s="278"/>
      <c r="O879" s="278"/>
      <c r="P879" s="278"/>
      <c r="Q879" s="278"/>
      <c r="R879" s="278"/>
      <c r="S879" s="278"/>
      <c r="T879" s="278"/>
      <c r="U879" s="278"/>
      <c r="V879" s="278"/>
    </row>
    <row r="880" spans="1:22" x14ac:dyDescent="0.15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278"/>
      <c r="M880" s="278"/>
      <c r="N880" s="278"/>
      <c r="O880" s="278"/>
      <c r="P880" s="278"/>
      <c r="Q880" s="278"/>
      <c r="R880" s="278"/>
      <c r="S880" s="278"/>
      <c r="T880" s="278"/>
      <c r="U880" s="278"/>
      <c r="V880" s="278"/>
    </row>
    <row r="881" spans="1:22" x14ac:dyDescent="0.15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278"/>
      <c r="M881" s="278"/>
      <c r="N881" s="278"/>
      <c r="O881" s="278"/>
      <c r="P881" s="278"/>
      <c r="Q881" s="278"/>
      <c r="R881" s="278"/>
      <c r="S881" s="278"/>
      <c r="T881" s="278"/>
      <c r="U881" s="278"/>
      <c r="V881" s="278"/>
    </row>
    <row r="882" spans="1:22" x14ac:dyDescent="0.15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278"/>
      <c r="M882" s="278"/>
      <c r="N882" s="278"/>
      <c r="O882" s="278"/>
      <c r="P882" s="278"/>
      <c r="Q882" s="278"/>
      <c r="R882" s="278"/>
      <c r="S882" s="278"/>
      <c r="T882" s="278"/>
      <c r="U882" s="278"/>
      <c r="V882" s="278"/>
    </row>
    <row r="883" spans="1:22" x14ac:dyDescent="0.15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278"/>
      <c r="M883" s="278"/>
      <c r="N883" s="278"/>
      <c r="O883" s="278"/>
      <c r="P883" s="278"/>
      <c r="Q883" s="278"/>
      <c r="R883" s="278"/>
      <c r="S883" s="278"/>
      <c r="T883" s="278"/>
      <c r="U883" s="278"/>
      <c r="V883" s="278"/>
    </row>
    <row r="884" spans="1:22" x14ac:dyDescent="0.15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278"/>
      <c r="M884" s="278"/>
      <c r="N884" s="278"/>
      <c r="O884" s="278"/>
      <c r="P884" s="278"/>
      <c r="Q884" s="278"/>
      <c r="R884" s="278"/>
      <c r="S884" s="278"/>
      <c r="T884" s="278"/>
      <c r="U884" s="278"/>
      <c r="V884" s="278"/>
    </row>
    <row r="885" spans="1:22" x14ac:dyDescent="0.15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278"/>
      <c r="M885" s="278"/>
      <c r="N885" s="278"/>
      <c r="O885" s="278"/>
      <c r="P885" s="278"/>
      <c r="Q885" s="278"/>
      <c r="R885" s="278"/>
      <c r="S885" s="278"/>
      <c r="T885" s="278"/>
      <c r="U885" s="278"/>
      <c r="V885" s="278"/>
    </row>
    <row r="886" spans="1:22" x14ac:dyDescent="0.15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278"/>
      <c r="M886" s="278"/>
      <c r="N886" s="278"/>
      <c r="O886" s="278"/>
      <c r="P886" s="278"/>
      <c r="Q886" s="278"/>
      <c r="R886" s="278"/>
      <c r="S886" s="278"/>
      <c r="T886" s="278"/>
      <c r="U886" s="278"/>
      <c r="V886" s="278"/>
    </row>
    <row r="887" spans="1:22" x14ac:dyDescent="0.15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278"/>
      <c r="M887" s="278"/>
      <c r="N887" s="278"/>
      <c r="O887" s="278"/>
      <c r="P887" s="278"/>
      <c r="Q887" s="278"/>
      <c r="R887" s="278"/>
      <c r="S887" s="278"/>
      <c r="T887" s="278"/>
      <c r="U887" s="278"/>
      <c r="V887" s="278"/>
    </row>
    <row r="888" spans="1:22" x14ac:dyDescent="0.15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278"/>
      <c r="M888" s="278"/>
      <c r="N888" s="278"/>
      <c r="O888" s="278"/>
      <c r="P888" s="278"/>
      <c r="Q888" s="278"/>
      <c r="R888" s="278"/>
      <c r="S888" s="278"/>
      <c r="T888" s="278"/>
      <c r="U888" s="278"/>
      <c r="V888" s="278"/>
    </row>
    <row r="889" spans="1:22" x14ac:dyDescent="0.15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278"/>
      <c r="M889" s="278"/>
      <c r="N889" s="278"/>
      <c r="O889" s="278"/>
      <c r="P889" s="278"/>
      <c r="Q889" s="278"/>
      <c r="R889" s="278"/>
      <c r="S889" s="278"/>
      <c r="T889" s="278"/>
      <c r="U889" s="278"/>
      <c r="V889" s="278"/>
    </row>
    <row r="890" spans="1:22" x14ac:dyDescent="0.15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278"/>
      <c r="M890" s="278"/>
      <c r="N890" s="278"/>
      <c r="O890" s="278"/>
      <c r="P890" s="278"/>
      <c r="Q890" s="278"/>
      <c r="R890" s="278"/>
      <c r="S890" s="278"/>
      <c r="T890" s="278"/>
      <c r="U890" s="278"/>
      <c r="V890" s="278"/>
    </row>
    <row r="891" spans="1:22" x14ac:dyDescent="0.15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278"/>
      <c r="M891" s="278"/>
      <c r="N891" s="278"/>
      <c r="O891" s="278"/>
      <c r="P891" s="278"/>
      <c r="Q891" s="278"/>
      <c r="R891" s="278"/>
      <c r="S891" s="278"/>
      <c r="T891" s="278"/>
      <c r="U891" s="278"/>
      <c r="V891" s="278"/>
    </row>
    <row r="892" spans="1:22" x14ac:dyDescent="0.15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278"/>
      <c r="M892" s="278"/>
      <c r="N892" s="278"/>
      <c r="O892" s="278"/>
      <c r="P892" s="278"/>
      <c r="Q892" s="278"/>
      <c r="R892" s="278"/>
      <c r="S892" s="278"/>
      <c r="T892" s="278"/>
      <c r="U892" s="278"/>
      <c r="V892" s="278"/>
    </row>
    <row r="893" spans="1:22" x14ac:dyDescent="0.15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278"/>
      <c r="M893" s="278"/>
      <c r="N893" s="278"/>
      <c r="O893" s="278"/>
      <c r="P893" s="278"/>
      <c r="Q893" s="278"/>
      <c r="R893" s="278"/>
      <c r="S893" s="278"/>
      <c r="T893" s="278"/>
      <c r="U893" s="278"/>
      <c r="V893" s="278"/>
    </row>
    <row r="894" spans="1:22" x14ac:dyDescent="0.15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278"/>
      <c r="M894" s="278"/>
      <c r="N894" s="278"/>
      <c r="O894" s="278"/>
      <c r="P894" s="278"/>
      <c r="Q894" s="278"/>
      <c r="R894" s="278"/>
      <c r="S894" s="278"/>
      <c r="T894" s="278"/>
      <c r="U894" s="278"/>
      <c r="V894" s="278"/>
    </row>
    <row r="895" spans="1:22" x14ac:dyDescent="0.15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278"/>
      <c r="M895" s="278"/>
      <c r="N895" s="278"/>
      <c r="O895" s="278"/>
      <c r="P895" s="278"/>
      <c r="Q895" s="278"/>
      <c r="R895" s="278"/>
      <c r="S895" s="278"/>
      <c r="T895" s="278"/>
      <c r="U895" s="278"/>
      <c r="V895" s="278"/>
    </row>
    <row r="896" spans="1:22" x14ac:dyDescent="0.15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278"/>
      <c r="M896" s="278"/>
      <c r="N896" s="278"/>
      <c r="O896" s="278"/>
      <c r="P896" s="278"/>
      <c r="Q896" s="278"/>
      <c r="R896" s="278"/>
      <c r="S896" s="278"/>
      <c r="T896" s="278"/>
      <c r="U896" s="278"/>
      <c r="V896" s="278"/>
    </row>
    <row r="897" spans="1:22" x14ac:dyDescent="0.15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278"/>
      <c r="M897" s="278"/>
      <c r="N897" s="278"/>
      <c r="O897" s="278"/>
      <c r="P897" s="278"/>
      <c r="Q897" s="278"/>
      <c r="R897" s="278"/>
      <c r="S897" s="278"/>
      <c r="T897" s="278"/>
      <c r="U897" s="278"/>
      <c r="V897" s="278"/>
    </row>
    <row r="898" spans="1:22" x14ac:dyDescent="0.15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278"/>
      <c r="M898" s="278"/>
      <c r="N898" s="278"/>
      <c r="O898" s="278"/>
      <c r="P898" s="278"/>
      <c r="Q898" s="278"/>
      <c r="R898" s="278"/>
      <c r="S898" s="278"/>
      <c r="T898" s="278"/>
      <c r="U898" s="278"/>
      <c r="V898" s="278"/>
    </row>
    <row r="899" spans="1:22" x14ac:dyDescent="0.15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278"/>
      <c r="M899" s="278"/>
      <c r="N899" s="278"/>
      <c r="O899" s="278"/>
      <c r="P899" s="278"/>
      <c r="Q899" s="278"/>
      <c r="R899" s="278"/>
      <c r="S899" s="278"/>
      <c r="T899" s="278"/>
      <c r="U899" s="278"/>
      <c r="V899" s="278"/>
    </row>
    <row r="900" spans="1:22" x14ac:dyDescent="0.15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278"/>
      <c r="M900" s="278"/>
      <c r="N900" s="278"/>
      <c r="O900" s="278"/>
      <c r="P900" s="278"/>
      <c r="Q900" s="278"/>
      <c r="R900" s="278"/>
      <c r="S900" s="278"/>
      <c r="T900" s="278"/>
      <c r="U900" s="278"/>
      <c r="V900" s="278"/>
    </row>
    <row r="901" spans="1:22" x14ac:dyDescent="0.15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278"/>
      <c r="M901" s="278"/>
      <c r="N901" s="278"/>
      <c r="O901" s="278"/>
      <c r="P901" s="278"/>
      <c r="Q901" s="278"/>
      <c r="R901" s="278"/>
      <c r="S901" s="278"/>
      <c r="T901" s="278"/>
      <c r="U901" s="278"/>
      <c r="V901" s="278"/>
    </row>
    <row r="902" spans="1:22" x14ac:dyDescent="0.15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278"/>
      <c r="M902" s="278"/>
      <c r="N902" s="278"/>
      <c r="O902" s="278"/>
      <c r="P902" s="278"/>
      <c r="Q902" s="278"/>
      <c r="R902" s="278"/>
      <c r="S902" s="278"/>
      <c r="T902" s="278"/>
      <c r="U902" s="278"/>
      <c r="V902" s="278"/>
    </row>
    <row r="903" spans="1:22" x14ac:dyDescent="0.15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278"/>
      <c r="M903" s="278"/>
      <c r="N903" s="278"/>
      <c r="O903" s="278"/>
      <c r="P903" s="278"/>
      <c r="Q903" s="278"/>
      <c r="R903" s="278"/>
      <c r="S903" s="278"/>
      <c r="T903" s="278"/>
      <c r="U903" s="278"/>
      <c r="V903" s="278"/>
    </row>
    <row r="904" spans="1:22" x14ac:dyDescent="0.15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278"/>
      <c r="M904" s="278"/>
      <c r="N904" s="278"/>
      <c r="O904" s="278"/>
      <c r="P904" s="278"/>
      <c r="Q904" s="278"/>
      <c r="R904" s="278"/>
      <c r="S904" s="278"/>
      <c r="T904" s="278"/>
      <c r="U904" s="278"/>
      <c r="V904" s="278"/>
    </row>
    <row r="905" spans="1:22" x14ac:dyDescent="0.15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278"/>
      <c r="M905" s="278"/>
      <c r="N905" s="278"/>
      <c r="O905" s="278"/>
      <c r="P905" s="278"/>
      <c r="Q905" s="278"/>
      <c r="R905" s="278"/>
      <c r="S905" s="278"/>
      <c r="T905" s="278"/>
      <c r="U905" s="278"/>
      <c r="V905" s="278"/>
    </row>
    <row r="906" spans="1:22" x14ac:dyDescent="0.15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278"/>
      <c r="M906" s="278"/>
      <c r="N906" s="278"/>
      <c r="O906" s="278"/>
      <c r="P906" s="278"/>
      <c r="Q906" s="278"/>
      <c r="R906" s="278"/>
      <c r="S906" s="278"/>
      <c r="T906" s="278"/>
      <c r="U906" s="278"/>
      <c r="V906" s="278"/>
    </row>
    <row r="907" spans="1:22" x14ac:dyDescent="0.15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278"/>
      <c r="M907" s="278"/>
      <c r="N907" s="278"/>
      <c r="O907" s="278"/>
      <c r="P907" s="278"/>
      <c r="Q907" s="278"/>
      <c r="R907" s="278"/>
      <c r="S907" s="278"/>
      <c r="T907" s="278"/>
      <c r="U907" s="278"/>
      <c r="V907" s="278"/>
    </row>
    <row r="908" spans="1:22" x14ac:dyDescent="0.15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278"/>
      <c r="M908" s="278"/>
      <c r="N908" s="278"/>
      <c r="O908" s="278"/>
      <c r="P908" s="278"/>
      <c r="Q908" s="278"/>
      <c r="R908" s="278"/>
      <c r="S908" s="278"/>
      <c r="T908" s="278"/>
      <c r="U908" s="278"/>
      <c r="V908" s="278"/>
    </row>
    <row r="909" spans="1:22" x14ac:dyDescent="0.15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278"/>
      <c r="M909" s="278"/>
      <c r="N909" s="278"/>
      <c r="O909" s="278"/>
      <c r="P909" s="278"/>
      <c r="Q909" s="278"/>
      <c r="R909" s="278"/>
      <c r="S909" s="278"/>
      <c r="T909" s="278"/>
      <c r="U909" s="278"/>
      <c r="V909" s="278"/>
    </row>
    <row r="910" spans="1:22" x14ac:dyDescent="0.15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278"/>
      <c r="M910" s="278"/>
      <c r="N910" s="278"/>
      <c r="O910" s="278"/>
      <c r="P910" s="278"/>
      <c r="Q910" s="278"/>
      <c r="R910" s="278"/>
      <c r="S910" s="278"/>
      <c r="T910" s="278"/>
      <c r="U910" s="278"/>
      <c r="V910" s="278"/>
    </row>
    <row r="911" spans="1:22" x14ac:dyDescent="0.15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278"/>
      <c r="M911" s="278"/>
      <c r="N911" s="278"/>
      <c r="O911" s="278"/>
      <c r="P911" s="278"/>
      <c r="Q911" s="278"/>
      <c r="R911" s="278"/>
      <c r="S911" s="278"/>
      <c r="T911" s="278"/>
      <c r="U911" s="278"/>
      <c r="V911" s="278"/>
    </row>
    <row r="912" spans="1:22" x14ac:dyDescent="0.15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278"/>
      <c r="M912" s="278"/>
      <c r="N912" s="278"/>
      <c r="O912" s="278"/>
      <c r="P912" s="278"/>
      <c r="Q912" s="278"/>
      <c r="R912" s="278"/>
      <c r="S912" s="278"/>
      <c r="T912" s="278"/>
      <c r="U912" s="278"/>
      <c r="V912" s="278"/>
    </row>
    <row r="913" spans="1:22" x14ac:dyDescent="0.15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278"/>
      <c r="M913" s="278"/>
      <c r="N913" s="278"/>
      <c r="O913" s="278"/>
      <c r="P913" s="278"/>
      <c r="Q913" s="278"/>
      <c r="R913" s="278"/>
      <c r="S913" s="278"/>
      <c r="T913" s="278"/>
      <c r="U913" s="278"/>
      <c r="V913" s="278"/>
    </row>
    <row r="914" spans="1:22" x14ac:dyDescent="0.15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278"/>
      <c r="M914" s="278"/>
      <c r="N914" s="278"/>
      <c r="O914" s="278"/>
      <c r="P914" s="278"/>
      <c r="Q914" s="278"/>
      <c r="R914" s="278"/>
      <c r="S914" s="278"/>
      <c r="T914" s="278"/>
      <c r="U914" s="278"/>
      <c r="V914" s="278"/>
    </row>
    <row r="915" spans="1:22" x14ac:dyDescent="0.15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278"/>
      <c r="M915" s="278"/>
      <c r="N915" s="278"/>
      <c r="O915" s="278"/>
      <c r="P915" s="278"/>
      <c r="Q915" s="278"/>
      <c r="R915" s="278"/>
      <c r="S915" s="278"/>
      <c r="T915" s="278"/>
      <c r="U915" s="278"/>
      <c r="V915" s="278"/>
    </row>
    <row r="916" spans="1:22" x14ac:dyDescent="0.15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278"/>
      <c r="M916" s="278"/>
      <c r="N916" s="278"/>
      <c r="O916" s="278"/>
      <c r="P916" s="278"/>
      <c r="Q916" s="278"/>
      <c r="R916" s="278"/>
      <c r="S916" s="278"/>
      <c r="T916" s="278"/>
      <c r="U916" s="278"/>
      <c r="V916" s="278"/>
    </row>
    <row r="917" spans="1:22" x14ac:dyDescent="0.15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278"/>
      <c r="M917" s="278"/>
      <c r="N917" s="278"/>
      <c r="O917" s="278"/>
      <c r="P917" s="278"/>
      <c r="Q917" s="278"/>
      <c r="R917" s="278"/>
      <c r="S917" s="278"/>
      <c r="T917" s="278"/>
      <c r="U917" s="278"/>
      <c r="V917" s="278"/>
    </row>
    <row r="918" spans="1:22" x14ac:dyDescent="0.15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278"/>
      <c r="M918" s="278"/>
      <c r="N918" s="278"/>
      <c r="O918" s="278"/>
      <c r="P918" s="278"/>
      <c r="Q918" s="278"/>
      <c r="R918" s="278"/>
      <c r="S918" s="278"/>
      <c r="T918" s="278"/>
      <c r="U918" s="278"/>
      <c r="V918" s="278"/>
    </row>
    <row r="919" spans="1:22" x14ac:dyDescent="0.15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278"/>
      <c r="M919" s="278"/>
      <c r="N919" s="278"/>
      <c r="O919" s="278"/>
      <c r="P919" s="278"/>
      <c r="Q919" s="278"/>
      <c r="R919" s="278"/>
      <c r="S919" s="278"/>
      <c r="T919" s="278"/>
      <c r="U919" s="278"/>
      <c r="V919" s="278"/>
    </row>
    <row r="920" spans="1:22" x14ac:dyDescent="0.15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278"/>
      <c r="M920" s="278"/>
      <c r="N920" s="278"/>
      <c r="O920" s="278"/>
      <c r="P920" s="278"/>
      <c r="Q920" s="278"/>
      <c r="R920" s="278"/>
      <c r="S920" s="278"/>
      <c r="T920" s="278"/>
      <c r="U920" s="278"/>
      <c r="V920" s="278"/>
    </row>
    <row r="921" spans="1:22" x14ac:dyDescent="0.15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278"/>
      <c r="M921" s="278"/>
      <c r="N921" s="278"/>
      <c r="O921" s="278"/>
      <c r="P921" s="278"/>
      <c r="Q921" s="278"/>
      <c r="R921" s="278"/>
      <c r="S921" s="278"/>
      <c r="T921" s="278"/>
      <c r="U921" s="278"/>
      <c r="V921" s="278"/>
    </row>
    <row r="922" spans="1:22" x14ac:dyDescent="0.15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278"/>
      <c r="M922" s="278"/>
      <c r="N922" s="278"/>
      <c r="O922" s="278"/>
      <c r="P922" s="278"/>
      <c r="Q922" s="278"/>
      <c r="R922" s="278"/>
      <c r="S922" s="278"/>
      <c r="T922" s="278"/>
      <c r="U922" s="278"/>
      <c r="V922" s="278"/>
    </row>
    <row r="923" spans="1:22" x14ac:dyDescent="0.15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278"/>
      <c r="M923" s="278"/>
      <c r="N923" s="278"/>
      <c r="O923" s="278"/>
      <c r="P923" s="278"/>
      <c r="Q923" s="278"/>
      <c r="R923" s="278"/>
      <c r="S923" s="278"/>
      <c r="T923" s="278"/>
      <c r="U923" s="278"/>
      <c r="V923" s="278"/>
    </row>
    <row r="924" spans="1:22" x14ac:dyDescent="0.15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278"/>
      <c r="M924" s="278"/>
      <c r="N924" s="278"/>
      <c r="O924" s="278"/>
      <c r="P924" s="278"/>
      <c r="Q924" s="278"/>
      <c r="R924" s="278"/>
      <c r="S924" s="278"/>
      <c r="T924" s="278"/>
      <c r="U924" s="278"/>
      <c r="V924" s="278"/>
    </row>
    <row r="925" spans="1:22" x14ac:dyDescent="0.15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278"/>
      <c r="M925" s="278"/>
      <c r="N925" s="278"/>
      <c r="O925" s="278"/>
      <c r="P925" s="278"/>
      <c r="Q925" s="278"/>
      <c r="R925" s="278"/>
      <c r="S925" s="278"/>
      <c r="T925" s="278"/>
      <c r="U925" s="278"/>
      <c r="V925" s="278"/>
    </row>
    <row r="926" spans="1:22" x14ac:dyDescent="0.15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278"/>
      <c r="M926" s="278"/>
      <c r="N926" s="278"/>
      <c r="O926" s="278"/>
      <c r="P926" s="278"/>
      <c r="Q926" s="278"/>
      <c r="R926" s="278"/>
      <c r="S926" s="278"/>
      <c r="T926" s="278"/>
      <c r="U926" s="278"/>
      <c r="V926" s="278"/>
    </row>
    <row r="927" spans="1:22" x14ac:dyDescent="0.15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278"/>
      <c r="M927" s="278"/>
      <c r="N927" s="278"/>
      <c r="O927" s="278"/>
      <c r="P927" s="278"/>
      <c r="Q927" s="278"/>
      <c r="R927" s="278"/>
      <c r="S927" s="278"/>
      <c r="T927" s="278"/>
      <c r="U927" s="278"/>
      <c r="V927" s="278"/>
    </row>
    <row r="928" spans="1:22" x14ac:dyDescent="0.15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278"/>
      <c r="M928" s="278"/>
      <c r="N928" s="278"/>
      <c r="O928" s="278"/>
      <c r="P928" s="278"/>
      <c r="Q928" s="278"/>
      <c r="R928" s="278"/>
      <c r="S928" s="278"/>
      <c r="T928" s="278"/>
      <c r="U928" s="278"/>
      <c r="V928" s="278"/>
    </row>
    <row r="929" spans="1:22" x14ac:dyDescent="0.15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278"/>
      <c r="M929" s="278"/>
      <c r="N929" s="278"/>
      <c r="O929" s="278"/>
      <c r="P929" s="278"/>
      <c r="Q929" s="278"/>
      <c r="R929" s="278"/>
      <c r="S929" s="278"/>
      <c r="T929" s="278"/>
      <c r="U929" s="278"/>
      <c r="V929" s="278"/>
    </row>
    <row r="930" spans="1:22" x14ac:dyDescent="0.15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278"/>
      <c r="M930" s="278"/>
      <c r="N930" s="278"/>
      <c r="O930" s="278"/>
      <c r="P930" s="278"/>
      <c r="Q930" s="278"/>
      <c r="R930" s="278"/>
      <c r="S930" s="278"/>
      <c r="T930" s="278"/>
      <c r="U930" s="278"/>
      <c r="V930" s="278"/>
    </row>
    <row r="931" spans="1:22" x14ac:dyDescent="0.15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278"/>
      <c r="M931" s="278"/>
      <c r="N931" s="278"/>
      <c r="O931" s="278"/>
      <c r="P931" s="278"/>
      <c r="Q931" s="278"/>
      <c r="R931" s="278"/>
      <c r="S931" s="278"/>
      <c r="T931" s="278"/>
      <c r="U931" s="278"/>
      <c r="V931" s="278"/>
    </row>
    <row r="932" spans="1:22" x14ac:dyDescent="0.15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278"/>
      <c r="M932" s="278"/>
      <c r="N932" s="278"/>
      <c r="O932" s="278"/>
      <c r="P932" s="278"/>
      <c r="Q932" s="278"/>
      <c r="R932" s="278"/>
      <c r="S932" s="278"/>
      <c r="T932" s="278"/>
      <c r="U932" s="278"/>
      <c r="V932" s="278"/>
    </row>
    <row r="933" spans="1:22" x14ac:dyDescent="0.15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278"/>
      <c r="M933" s="278"/>
      <c r="N933" s="278"/>
      <c r="O933" s="278"/>
      <c r="P933" s="278"/>
      <c r="Q933" s="278"/>
      <c r="R933" s="278"/>
      <c r="S933" s="278"/>
      <c r="T933" s="278"/>
      <c r="U933" s="278"/>
      <c r="V933" s="278"/>
    </row>
    <row r="934" spans="1:22" x14ac:dyDescent="0.15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278"/>
      <c r="M934" s="278"/>
      <c r="N934" s="278"/>
      <c r="O934" s="278"/>
      <c r="P934" s="278"/>
      <c r="Q934" s="278"/>
      <c r="R934" s="278"/>
      <c r="S934" s="278"/>
      <c r="T934" s="278"/>
      <c r="U934" s="278"/>
      <c r="V934" s="278"/>
    </row>
    <row r="935" spans="1:22" x14ac:dyDescent="0.15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278"/>
      <c r="M935" s="278"/>
      <c r="N935" s="278"/>
      <c r="O935" s="278"/>
      <c r="P935" s="278"/>
      <c r="Q935" s="278"/>
      <c r="R935" s="278"/>
      <c r="S935" s="278"/>
      <c r="T935" s="278"/>
      <c r="U935" s="278"/>
      <c r="V935" s="278"/>
    </row>
    <row r="936" spans="1:22" x14ac:dyDescent="0.15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278"/>
      <c r="M936" s="278"/>
      <c r="N936" s="278"/>
      <c r="O936" s="278"/>
      <c r="P936" s="278"/>
      <c r="Q936" s="278"/>
      <c r="R936" s="278"/>
      <c r="S936" s="278"/>
      <c r="T936" s="278"/>
      <c r="U936" s="278"/>
      <c r="V936" s="278"/>
    </row>
    <row r="937" spans="1:22" x14ac:dyDescent="0.15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278"/>
      <c r="M937" s="278"/>
      <c r="N937" s="278"/>
      <c r="O937" s="278"/>
      <c r="P937" s="278"/>
      <c r="Q937" s="278"/>
      <c r="R937" s="278"/>
      <c r="S937" s="278"/>
      <c r="T937" s="278"/>
      <c r="U937" s="278"/>
      <c r="V937" s="278"/>
    </row>
    <row r="938" spans="1:22" x14ac:dyDescent="0.15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278"/>
      <c r="M938" s="278"/>
      <c r="N938" s="278"/>
      <c r="O938" s="278"/>
      <c r="P938" s="278"/>
      <c r="Q938" s="278"/>
      <c r="R938" s="278"/>
      <c r="S938" s="278"/>
      <c r="T938" s="278"/>
      <c r="U938" s="278"/>
      <c r="V938" s="278"/>
    </row>
    <row r="939" spans="1:22" x14ac:dyDescent="0.15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278"/>
      <c r="M939" s="278"/>
      <c r="N939" s="278"/>
      <c r="O939" s="278"/>
      <c r="P939" s="278"/>
      <c r="Q939" s="278"/>
      <c r="R939" s="278"/>
      <c r="S939" s="278"/>
      <c r="T939" s="278"/>
      <c r="U939" s="278"/>
      <c r="V939" s="278"/>
    </row>
    <row r="940" spans="1:22" x14ac:dyDescent="0.15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278"/>
      <c r="M940" s="278"/>
      <c r="N940" s="278"/>
      <c r="O940" s="278"/>
      <c r="P940" s="278"/>
      <c r="Q940" s="278"/>
      <c r="R940" s="278"/>
      <c r="S940" s="278"/>
      <c r="T940" s="278"/>
      <c r="U940" s="278"/>
      <c r="V940" s="278"/>
    </row>
    <row r="941" spans="1:22" x14ac:dyDescent="0.15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278"/>
      <c r="M941" s="278"/>
      <c r="N941" s="278"/>
      <c r="O941" s="278"/>
      <c r="P941" s="278"/>
      <c r="Q941" s="278"/>
      <c r="R941" s="278"/>
      <c r="S941" s="278"/>
      <c r="T941" s="278"/>
      <c r="U941" s="278"/>
      <c r="V941" s="278"/>
    </row>
    <row r="942" spans="1:22" x14ac:dyDescent="0.15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278"/>
      <c r="M942" s="278"/>
      <c r="N942" s="278"/>
      <c r="O942" s="278"/>
      <c r="P942" s="278"/>
      <c r="Q942" s="278"/>
      <c r="R942" s="278"/>
      <c r="S942" s="278"/>
      <c r="T942" s="278"/>
      <c r="U942" s="278"/>
      <c r="V942" s="278"/>
    </row>
    <row r="943" spans="1:22" x14ac:dyDescent="0.15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278"/>
      <c r="M943" s="278"/>
      <c r="N943" s="278"/>
      <c r="O943" s="278"/>
      <c r="P943" s="278"/>
      <c r="Q943" s="278"/>
      <c r="R943" s="278"/>
      <c r="S943" s="278"/>
      <c r="T943" s="278"/>
      <c r="U943" s="278"/>
      <c r="V943" s="278"/>
    </row>
    <row r="944" spans="1:22" x14ac:dyDescent="0.15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278"/>
      <c r="M944" s="278"/>
      <c r="N944" s="278"/>
      <c r="O944" s="278"/>
      <c r="P944" s="278"/>
      <c r="Q944" s="278"/>
      <c r="R944" s="278"/>
      <c r="S944" s="278"/>
      <c r="T944" s="278"/>
      <c r="U944" s="278"/>
      <c r="V944" s="278"/>
    </row>
    <row r="945" spans="1:22" x14ac:dyDescent="0.15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278"/>
      <c r="M945" s="278"/>
      <c r="N945" s="278"/>
      <c r="O945" s="278"/>
      <c r="P945" s="278"/>
      <c r="Q945" s="278"/>
      <c r="R945" s="278"/>
      <c r="S945" s="278"/>
      <c r="T945" s="278"/>
      <c r="U945" s="278"/>
      <c r="V945" s="278"/>
    </row>
    <row r="946" spans="1:22" x14ac:dyDescent="0.15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278"/>
      <c r="M946" s="278"/>
      <c r="N946" s="278"/>
      <c r="O946" s="278"/>
      <c r="P946" s="278"/>
      <c r="Q946" s="278"/>
      <c r="R946" s="278"/>
      <c r="S946" s="278"/>
      <c r="T946" s="278"/>
      <c r="U946" s="278"/>
      <c r="V946" s="278"/>
    </row>
    <row r="947" spans="1:22" x14ac:dyDescent="0.15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278"/>
      <c r="M947" s="278"/>
      <c r="N947" s="278"/>
      <c r="O947" s="278"/>
      <c r="P947" s="278"/>
      <c r="Q947" s="278"/>
      <c r="R947" s="278"/>
      <c r="S947" s="278"/>
      <c r="T947" s="278"/>
      <c r="U947" s="278"/>
      <c r="V947" s="278"/>
    </row>
    <row r="948" spans="1:22" x14ac:dyDescent="0.15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278"/>
      <c r="M948" s="278"/>
      <c r="N948" s="278"/>
      <c r="O948" s="278"/>
      <c r="P948" s="278"/>
      <c r="Q948" s="278"/>
      <c r="R948" s="278"/>
      <c r="S948" s="278"/>
      <c r="T948" s="278"/>
      <c r="U948" s="278"/>
      <c r="V948" s="278"/>
    </row>
    <row r="949" spans="1:22" x14ac:dyDescent="0.15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278"/>
      <c r="M949" s="278"/>
      <c r="N949" s="278"/>
      <c r="O949" s="278"/>
      <c r="P949" s="278"/>
      <c r="Q949" s="278"/>
      <c r="R949" s="278"/>
      <c r="S949" s="278"/>
      <c r="T949" s="278"/>
      <c r="U949" s="278"/>
      <c r="V949" s="278"/>
    </row>
    <row r="950" spans="1:22" x14ac:dyDescent="0.15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278"/>
      <c r="M950" s="278"/>
      <c r="N950" s="278"/>
      <c r="O950" s="278"/>
      <c r="P950" s="278"/>
      <c r="Q950" s="278"/>
      <c r="R950" s="278"/>
      <c r="S950" s="278"/>
      <c r="T950" s="278"/>
      <c r="U950" s="278"/>
      <c r="V950" s="278"/>
    </row>
    <row r="951" spans="1:22" x14ac:dyDescent="0.15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278"/>
      <c r="M951" s="278"/>
      <c r="N951" s="278"/>
      <c r="O951" s="278"/>
      <c r="P951" s="278"/>
      <c r="Q951" s="278"/>
      <c r="R951" s="278"/>
      <c r="S951" s="278"/>
      <c r="T951" s="278"/>
      <c r="U951" s="278"/>
      <c r="V951" s="278"/>
    </row>
    <row r="952" spans="1:22" x14ac:dyDescent="0.15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278"/>
      <c r="M952" s="278"/>
      <c r="N952" s="278"/>
      <c r="O952" s="278"/>
      <c r="P952" s="278"/>
      <c r="Q952" s="278"/>
      <c r="R952" s="278"/>
      <c r="S952" s="278"/>
      <c r="T952" s="278"/>
      <c r="U952" s="278"/>
      <c r="V952" s="278"/>
    </row>
    <row r="953" spans="1:22" x14ac:dyDescent="0.15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278"/>
      <c r="M953" s="278"/>
      <c r="N953" s="278"/>
      <c r="O953" s="278"/>
      <c r="P953" s="278"/>
      <c r="Q953" s="278"/>
      <c r="R953" s="278"/>
      <c r="S953" s="278"/>
      <c r="T953" s="278"/>
      <c r="U953" s="278"/>
      <c r="V953" s="278"/>
    </row>
    <row r="954" spans="1:22" x14ac:dyDescent="0.15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278"/>
      <c r="M954" s="278"/>
      <c r="N954" s="278"/>
      <c r="O954" s="278"/>
      <c r="P954" s="278"/>
      <c r="Q954" s="278"/>
      <c r="R954" s="278"/>
      <c r="S954" s="278"/>
      <c r="T954" s="278"/>
      <c r="U954" s="278"/>
      <c r="V954" s="278"/>
    </row>
    <row r="955" spans="1:22" x14ac:dyDescent="0.15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278"/>
      <c r="M955" s="278"/>
      <c r="N955" s="278"/>
      <c r="O955" s="278"/>
      <c r="P955" s="278"/>
      <c r="Q955" s="278"/>
      <c r="R955" s="278"/>
      <c r="S955" s="278"/>
      <c r="T955" s="278"/>
      <c r="U955" s="278"/>
      <c r="V955" s="278"/>
    </row>
    <row r="956" spans="1:22" x14ac:dyDescent="0.15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278"/>
      <c r="M956" s="278"/>
      <c r="N956" s="278"/>
      <c r="O956" s="278"/>
      <c r="P956" s="278"/>
      <c r="Q956" s="278"/>
      <c r="R956" s="278"/>
      <c r="S956" s="278"/>
      <c r="T956" s="278"/>
      <c r="U956" s="278"/>
      <c r="V956" s="278"/>
    </row>
    <row r="957" spans="1:22" x14ac:dyDescent="0.15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278"/>
      <c r="M957" s="278"/>
      <c r="N957" s="278"/>
      <c r="O957" s="278"/>
      <c r="P957" s="278"/>
      <c r="Q957" s="278"/>
      <c r="R957" s="278"/>
      <c r="S957" s="278"/>
      <c r="T957" s="278"/>
      <c r="U957" s="278"/>
      <c r="V957" s="278"/>
    </row>
    <row r="958" spans="1:22" x14ac:dyDescent="0.15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278"/>
      <c r="M958" s="278"/>
      <c r="N958" s="278"/>
      <c r="O958" s="278"/>
      <c r="P958" s="278"/>
      <c r="Q958" s="278"/>
      <c r="R958" s="278"/>
      <c r="S958" s="278"/>
      <c r="T958" s="278"/>
      <c r="U958" s="278"/>
      <c r="V958" s="278"/>
    </row>
    <row r="959" spans="1:22" x14ac:dyDescent="0.15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278"/>
      <c r="M959" s="278"/>
      <c r="N959" s="278"/>
      <c r="O959" s="278"/>
      <c r="P959" s="278"/>
      <c r="Q959" s="278"/>
      <c r="R959" s="278"/>
      <c r="S959" s="278"/>
      <c r="T959" s="278"/>
      <c r="U959" s="278"/>
      <c r="V959" s="278"/>
    </row>
    <row r="960" spans="1:22" x14ac:dyDescent="0.15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278"/>
      <c r="M960" s="278"/>
      <c r="N960" s="278"/>
      <c r="O960" s="278"/>
      <c r="P960" s="278"/>
      <c r="Q960" s="278"/>
      <c r="R960" s="278"/>
      <c r="S960" s="278"/>
      <c r="T960" s="278"/>
      <c r="U960" s="278"/>
      <c r="V960" s="278"/>
    </row>
    <row r="961" spans="1:22" x14ac:dyDescent="0.15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278"/>
      <c r="M961" s="278"/>
      <c r="N961" s="278"/>
      <c r="O961" s="278"/>
      <c r="P961" s="278"/>
      <c r="Q961" s="278"/>
      <c r="R961" s="278"/>
      <c r="S961" s="278"/>
      <c r="T961" s="278"/>
      <c r="U961" s="278"/>
      <c r="V961" s="278"/>
    </row>
    <row r="962" spans="1:22" x14ac:dyDescent="0.15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278"/>
      <c r="M962" s="278"/>
      <c r="N962" s="278"/>
      <c r="O962" s="278"/>
      <c r="P962" s="278"/>
      <c r="Q962" s="278"/>
      <c r="R962" s="278"/>
      <c r="S962" s="278"/>
      <c r="T962" s="278"/>
      <c r="U962" s="278"/>
      <c r="V962" s="278"/>
    </row>
    <row r="963" spans="1:22" x14ac:dyDescent="0.15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278"/>
      <c r="M963" s="278"/>
      <c r="N963" s="278"/>
      <c r="O963" s="278"/>
      <c r="P963" s="278"/>
      <c r="Q963" s="278"/>
      <c r="R963" s="278"/>
      <c r="S963" s="278"/>
      <c r="T963" s="278"/>
      <c r="U963" s="278"/>
      <c r="V963" s="278"/>
    </row>
    <row r="964" spans="1:22" x14ac:dyDescent="0.15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278"/>
      <c r="M964" s="278"/>
      <c r="N964" s="278"/>
      <c r="O964" s="278"/>
      <c r="P964" s="278"/>
      <c r="Q964" s="278"/>
      <c r="R964" s="278"/>
      <c r="S964" s="278"/>
      <c r="T964" s="278"/>
      <c r="U964" s="278"/>
      <c r="V964" s="278"/>
    </row>
    <row r="965" spans="1:22" x14ac:dyDescent="0.15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278"/>
      <c r="M965" s="278"/>
      <c r="N965" s="278"/>
      <c r="O965" s="278"/>
      <c r="P965" s="278"/>
      <c r="Q965" s="278"/>
      <c r="R965" s="278"/>
      <c r="S965" s="278"/>
      <c r="T965" s="278"/>
      <c r="U965" s="278"/>
      <c r="V965" s="278"/>
    </row>
    <row r="966" spans="1:22" x14ac:dyDescent="0.15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278"/>
      <c r="M966" s="278"/>
      <c r="N966" s="278"/>
      <c r="O966" s="278"/>
      <c r="P966" s="278"/>
      <c r="Q966" s="278"/>
      <c r="R966" s="278"/>
      <c r="S966" s="278"/>
      <c r="T966" s="278"/>
      <c r="U966" s="278"/>
      <c r="V966" s="278"/>
    </row>
    <row r="967" spans="1:22" x14ac:dyDescent="0.15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278"/>
      <c r="M967" s="278"/>
      <c r="N967" s="278"/>
      <c r="O967" s="278"/>
      <c r="P967" s="278"/>
      <c r="Q967" s="278"/>
      <c r="R967" s="278"/>
      <c r="S967" s="278"/>
      <c r="T967" s="278"/>
      <c r="U967" s="278"/>
      <c r="V967" s="278"/>
    </row>
    <row r="968" spans="1:22" x14ac:dyDescent="0.15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278"/>
      <c r="M968" s="278"/>
      <c r="N968" s="278"/>
      <c r="O968" s="278"/>
      <c r="P968" s="278"/>
      <c r="Q968" s="278"/>
      <c r="R968" s="278"/>
      <c r="S968" s="278"/>
      <c r="T968" s="278"/>
      <c r="U968" s="278"/>
      <c r="V968" s="278"/>
    </row>
    <row r="969" spans="1:22" x14ac:dyDescent="0.15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278"/>
      <c r="M969" s="278"/>
      <c r="N969" s="278"/>
      <c r="O969" s="278"/>
      <c r="P969" s="278"/>
      <c r="Q969" s="278"/>
      <c r="R969" s="278"/>
      <c r="S969" s="278"/>
      <c r="T969" s="278"/>
      <c r="U969" s="278"/>
      <c r="V969" s="278"/>
    </row>
    <row r="970" spans="1:22" x14ac:dyDescent="0.15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278"/>
      <c r="M970" s="278"/>
      <c r="N970" s="278"/>
      <c r="O970" s="278"/>
      <c r="P970" s="278"/>
      <c r="Q970" s="278"/>
      <c r="R970" s="278"/>
      <c r="S970" s="278"/>
      <c r="T970" s="278"/>
      <c r="U970" s="278"/>
      <c r="V970" s="278"/>
    </row>
    <row r="971" spans="1:22" x14ac:dyDescent="0.15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278"/>
      <c r="M971" s="278"/>
      <c r="N971" s="278"/>
      <c r="O971" s="278"/>
      <c r="P971" s="278"/>
      <c r="Q971" s="278"/>
      <c r="R971" s="278"/>
      <c r="S971" s="278"/>
      <c r="T971" s="278"/>
      <c r="U971" s="278"/>
      <c r="V971" s="278"/>
    </row>
    <row r="972" spans="1:22" x14ac:dyDescent="0.15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278"/>
      <c r="M972" s="278"/>
      <c r="N972" s="278"/>
      <c r="O972" s="278"/>
      <c r="P972" s="278"/>
      <c r="Q972" s="278"/>
      <c r="R972" s="278"/>
      <c r="S972" s="278"/>
      <c r="T972" s="278"/>
      <c r="U972" s="278"/>
      <c r="V972" s="278"/>
    </row>
    <row r="973" spans="1:22" x14ac:dyDescent="0.15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278"/>
      <c r="M973" s="278"/>
      <c r="N973" s="278"/>
      <c r="O973" s="278"/>
      <c r="P973" s="278"/>
      <c r="Q973" s="278"/>
      <c r="R973" s="278"/>
      <c r="S973" s="278"/>
      <c r="T973" s="278"/>
      <c r="U973" s="278"/>
      <c r="V973" s="278"/>
    </row>
    <row r="974" spans="1:22" x14ac:dyDescent="0.15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278"/>
      <c r="M974" s="278"/>
      <c r="N974" s="278"/>
      <c r="O974" s="278"/>
      <c r="P974" s="278"/>
      <c r="Q974" s="278"/>
      <c r="R974" s="278"/>
      <c r="S974" s="278"/>
      <c r="T974" s="278"/>
      <c r="U974" s="278"/>
      <c r="V974" s="278"/>
    </row>
    <row r="975" spans="1:22" x14ac:dyDescent="0.15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278"/>
      <c r="M975" s="278"/>
      <c r="N975" s="278"/>
      <c r="O975" s="278"/>
      <c r="P975" s="278"/>
      <c r="Q975" s="278"/>
      <c r="R975" s="278"/>
      <c r="S975" s="278"/>
      <c r="T975" s="278"/>
      <c r="U975" s="278"/>
      <c r="V975" s="278"/>
    </row>
    <row r="976" spans="1:22" x14ac:dyDescent="0.15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278"/>
      <c r="M976" s="278"/>
      <c r="N976" s="278"/>
      <c r="O976" s="278"/>
      <c r="P976" s="278"/>
      <c r="Q976" s="278"/>
      <c r="R976" s="278"/>
      <c r="S976" s="278"/>
      <c r="T976" s="278"/>
      <c r="U976" s="278"/>
      <c r="V976" s="278"/>
    </row>
    <row r="977" spans="1:22" x14ac:dyDescent="0.15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278"/>
      <c r="M977" s="278"/>
      <c r="N977" s="278"/>
      <c r="O977" s="278"/>
      <c r="P977" s="278"/>
      <c r="Q977" s="278"/>
      <c r="R977" s="278"/>
      <c r="S977" s="278"/>
      <c r="T977" s="278"/>
      <c r="U977" s="278"/>
      <c r="V977" s="278"/>
    </row>
    <row r="978" spans="1:22" x14ac:dyDescent="0.15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278"/>
      <c r="M978" s="278"/>
      <c r="N978" s="278"/>
      <c r="O978" s="278"/>
      <c r="P978" s="278"/>
      <c r="Q978" s="278"/>
      <c r="R978" s="278"/>
      <c r="S978" s="278"/>
      <c r="T978" s="278"/>
      <c r="U978" s="278"/>
      <c r="V978" s="278"/>
    </row>
    <row r="979" spans="1:22" x14ac:dyDescent="0.15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278"/>
      <c r="M979" s="278"/>
      <c r="N979" s="278"/>
      <c r="O979" s="278"/>
      <c r="P979" s="278"/>
      <c r="Q979" s="278"/>
      <c r="R979" s="278"/>
      <c r="S979" s="278"/>
      <c r="T979" s="278"/>
      <c r="U979" s="278"/>
      <c r="V979" s="278"/>
    </row>
    <row r="980" spans="1:22" x14ac:dyDescent="0.15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278"/>
      <c r="M980" s="278"/>
      <c r="N980" s="278"/>
      <c r="O980" s="278"/>
      <c r="P980" s="278"/>
      <c r="Q980" s="278"/>
      <c r="R980" s="278"/>
      <c r="S980" s="278"/>
      <c r="T980" s="278"/>
      <c r="U980" s="278"/>
      <c r="V980" s="278"/>
    </row>
    <row r="981" spans="1:22" x14ac:dyDescent="0.15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278"/>
      <c r="M981" s="278"/>
      <c r="N981" s="278"/>
      <c r="O981" s="278"/>
      <c r="P981" s="278"/>
      <c r="Q981" s="278"/>
      <c r="R981" s="278"/>
      <c r="S981" s="278"/>
      <c r="T981" s="278"/>
      <c r="U981" s="278"/>
      <c r="V981" s="278"/>
    </row>
    <row r="982" spans="1:22" x14ac:dyDescent="0.15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278"/>
      <c r="M982" s="278"/>
      <c r="N982" s="278"/>
      <c r="O982" s="278"/>
      <c r="P982" s="278"/>
      <c r="Q982" s="278"/>
      <c r="R982" s="278"/>
      <c r="S982" s="278"/>
      <c r="T982" s="278"/>
      <c r="U982" s="278"/>
      <c r="V982" s="278"/>
    </row>
    <row r="983" spans="1:22" x14ac:dyDescent="0.15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278"/>
      <c r="M983" s="278"/>
      <c r="N983" s="278"/>
      <c r="O983" s="278"/>
      <c r="P983" s="278"/>
      <c r="Q983" s="278"/>
      <c r="R983" s="278"/>
      <c r="S983" s="278"/>
      <c r="T983" s="278"/>
      <c r="U983" s="278"/>
      <c r="V983" s="278"/>
    </row>
    <row r="984" spans="1:22" x14ac:dyDescent="0.15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278"/>
      <c r="M984" s="278"/>
      <c r="N984" s="278"/>
      <c r="O984" s="278"/>
      <c r="P984" s="278"/>
      <c r="Q984" s="278"/>
      <c r="R984" s="278"/>
      <c r="S984" s="278"/>
      <c r="T984" s="278"/>
      <c r="U984" s="278"/>
      <c r="V984" s="278"/>
    </row>
    <row r="985" spans="1:22" x14ac:dyDescent="0.15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278"/>
      <c r="M985" s="278"/>
      <c r="N985" s="278"/>
      <c r="O985" s="278"/>
      <c r="P985" s="278"/>
      <c r="Q985" s="278"/>
      <c r="R985" s="278"/>
      <c r="S985" s="278"/>
      <c r="T985" s="278"/>
      <c r="U985" s="278"/>
      <c r="V985" s="278"/>
    </row>
    <row r="986" spans="1:22" x14ac:dyDescent="0.15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278"/>
      <c r="M986" s="278"/>
      <c r="N986" s="278"/>
      <c r="O986" s="278"/>
      <c r="P986" s="278"/>
      <c r="Q986" s="278"/>
      <c r="R986" s="278"/>
      <c r="S986" s="278"/>
      <c r="T986" s="278"/>
      <c r="U986" s="278"/>
      <c r="V986" s="278"/>
    </row>
    <row r="987" spans="1:22" x14ac:dyDescent="0.15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278"/>
      <c r="M987" s="278"/>
      <c r="N987" s="278"/>
      <c r="O987" s="278"/>
      <c r="P987" s="278"/>
      <c r="Q987" s="278"/>
      <c r="R987" s="278"/>
      <c r="S987" s="278"/>
      <c r="T987" s="278"/>
      <c r="U987" s="278"/>
      <c r="V987" s="278"/>
    </row>
    <row r="988" spans="1:22" x14ac:dyDescent="0.15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278"/>
      <c r="M988" s="278"/>
      <c r="N988" s="278"/>
      <c r="O988" s="278"/>
      <c r="P988" s="278"/>
      <c r="Q988" s="278"/>
      <c r="R988" s="278"/>
      <c r="S988" s="278"/>
      <c r="T988" s="278"/>
      <c r="U988" s="278"/>
      <c r="V988" s="278"/>
    </row>
    <row r="989" spans="1:22" x14ac:dyDescent="0.15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278"/>
      <c r="M989" s="278"/>
      <c r="N989" s="278"/>
      <c r="O989" s="278"/>
      <c r="P989" s="278"/>
      <c r="Q989" s="278"/>
      <c r="R989" s="278"/>
      <c r="S989" s="278"/>
      <c r="T989" s="278"/>
      <c r="U989" s="278"/>
      <c r="V989" s="278"/>
    </row>
    <row r="990" spans="1:22" x14ac:dyDescent="0.15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278"/>
      <c r="M990" s="278"/>
      <c r="N990" s="278"/>
      <c r="O990" s="278"/>
      <c r="P990" s="278"/>
      <c r="Q990" s="278"/>
      <c r="R990" s="278"/>
      <c r="S990" s="278"/>
      <c r="T990" s="278"/>
      <c r="U990" s="278"/>
      <c r="V990" s="278"/>
    </row>
    <row r="991" spans="1:22" x14ac:dyDescent="0.15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278"/>
      <c r="M991" s="278"/>
      <c r="N991" s="278"/>
      <c r="O991" s="278"/>
      <c r="P991" s="278"/>
      <c r="Q991" s="278"/>
      <c r="R991" s="278"/>
      <c r="S991" s="278"/>
      <c r="T991" s="278"/>
      <c r="U991" s="278"/>
      <c r="V991" s="278"/>
    </row>
    <row r="992" spans="1:22" x14ac:dyDescent="0.15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278"/>
      <c r="M992" s="278"/>
      <c r="N992" s="278"/>
      <c r="O992" s="278"/>
      <c r="P992" s="278"/>
      <c r="Q992" s="278"/>
      <c r="R992" s="278"/>
      <c r="S992" s="278"/>
      <c r="T992" s="278"/>
      <c r="U992" s="278"/>
      <c r="V992" s="278"/>
    </row>
    <row r="993" spans="1:22" x14ac:dyDescent="0.15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278"/>
      <c r="M993" s="278"/>
      <c r="N993" s="278"/>
      <c r="O993" s="278"/>
      <c r="P993" s="278"/>
      <c r="Q993" s="278"/>
      <c r="R993" s="278"/>
      <c r="S993" s="278"/>
      <c r="T993" s="278"/>
      <c r="U993" s="278"/>
      <c r="V993" s="278"/>
    </row>
    <row r="994" spans="1:22" x14ac:dyDescent="0.15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278"/>
      <c r="M994" s="278"/>
      <c r="N994" s="278"/>
      <c r="O994" s="278"/>
      <c r="P994" s="278"/>
      <c r="Q994" s="278"/>
      <c r="R994" s="278"/>
      <c r="S994" s="278"/>
      <c r="T994" s="278"/>
      <c r="U994" s="278"/>
      <c r="V994" s="278"/>
    </row>
    <row r="995" spans="1:22" x14ac:dyDescent="0.15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278"/>
      <c r="M995" s="278"/>
      <c r="N995" s="278"/>
      <c r="O995" s="278"/>
      <c r="P995" s="278"/>
      <c r="Q995" s="278"/>
      <c r="R995" s="278"/>
      <c r="S995" s="278"/>
      <c r="T995" s="278"/>
      <c r="U995" s="278"/>
      <c r="V995" s="278"/>
    </row>
    <row r="996" spans="1:22" x14ac:dyDescent="0.15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278"/>
      <c r="M996" s="278"/>
      <c r="N996" s="278"/>
      <c r="O996" s="278"/>
      <c r="P996" s="278"/>
      <c r="Q996" s="278"/>
      <c r="R996" s="278"/>
      <c r="S996" s="278"/>
      <c r="T996" s="278"/>
      <c r="U996" s="278"/>
      <c r="V996" s="278"/>
    </row>
    <row r="997" spans="1:22" x14ac:dyDescent="0.15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278"/>
      <c r="M997" s="278"/>
      <c r="N997" s="278"/>
      <c r="O997" s="278"/>
      <c r="P997" s="278"/>
      <c r="Q997" s="278"/>
      <c r="R997" s="278"/>
      <c r="S997" s="278"/>
      <c r="T997" s="278"/>
      <c r="U997" s="278"/>
      <c r="V997" s="278"/>
    </row>
    <row r="998" spans="1:22" x14ac:dyDescent="0.15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278"/>
      <c r="M998" s="278"/>
      <c r="N998" s="278"/>
      <c r="O998" s="278"/>
      <c r="P998" s="278"/>
      <c r="Q998" s="278"/>
      <c r="R998" s="278"/>
      <c r="S998" s="278"/>
      <c r="T998" s="278"/>
      <c r="U998" s="278"/>
      <c r="V998" s="278"/>
    </row>
    <row r="999" spans="1:22" x14ac:dyDescent="0.15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  <c r="L999" s="278"/>
      <c r="M999" s="278"/>
      <c r="N999" s="278"/>
      <c r="O999" s="278"/>
      <c r="P999" s="278"/>
      <c r="Q999" s="278"/>
      <c r="R999" s="278"/>
      <c r="S999" s="278"/>
      <c r="T999" s="278"/>
      <c r="U999" s="278"/>
      <c r="V999" s="278"/>
    </row>
    <row r="1000" spans="1:22" x14ac:dyDescent="0.15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  <c r="L1000" s="278"/>
      <c r="M1000" s="278"/>
      <c r="N1000" s="278"/>
      <c r="O1000" s="278"/>
      <c r="P1000" s="278"/>
      <c r="Q1000" s="278"/>
      <c r="R1000" s="278"/>
      <c r="S1000" s="278"/>
      <c r="T1000" s="278"/>
      <c r="U1000" s="278"/>
      <c r="V1000" s="278"/>
    </row>
    <row r="1001" spans="1:22" x14ac:dyDescent="0.15">
      <c r="A1001" s="278"/>
      <c r="B1001" s="278"/>
      <c r="C1001" s="278"/>
      <c r="D1001" s="278"/>
      <c r="E1001" s="278"/>
      <c r="F1001" s="278"/>
      <c r="G1001" s="278"/>
      <c r="H1001" s="278"/>
      <c r="I1001" s="278"/>
      <c r="J1001" s="278"/>
      <c r="K1001" s="278"/>
      <c r="L1001" s="278"/>
      <c r="M1001" s="278"/>
      <c r="N1001" s="278"/>
      <c r="O1001" s="278"/>
      <c r="P1001" s="278"/>
      <c r="Q1001" s="278"/>
      <c r="R1001" s="278"/>
      <c r="S1001" s="278"/>
      <c r="T1001" s="278"/>
      <c r="U1001" s="278"/>
      <c r="V1001" s="278"/>
    </row>
    <row r="1002" spans="1:22" x14ac:dyDescent="0.15">
      <c r="A1002" s="278"/>
      <c r="B1002" s="278"/>
      <c r="C1002" s="278"/>
      <c r="D1002" s="278"/>
      <c r="E1002" s="278"/>
      <c r="F1002" s="278"/>
      <c r="G1002" s="278"/>
      <c r="H1002" s="278"/>
      <c r="I1002" s="278"/>
      <c r="J1002" s="278"/>
      <c r="K1002" s="278"/>
      <c r="L1002" s="278"/>
      <c r="M1002" s="278"/>
      <c r="N1002" s="278"/>
      <c r="O1002" s="278"/>
      <c r="P1002" s="278"/>
      <c r="Q1002" s="278"/>
      <c r="R1002" s="278"/>
      <c r="S1002" s="278"/>
      <c r="T1002" s="278"/>
      <c r="U1002" s="278"/>
      <c r="V1002" s="278"/>
    </row>
    <row r="1003" spans="1:22" x14ac:dyDescent="0.15">
      <c r="A1003" s="278"/>
      <c r="B1003" s="278"/>
      <c r="C1003" s="278"/>
      <c r="D1003" s="278"/>
      <c r="E1003" s="278"/>
      <c r="F1003" s="278"/>
      <c r="G1003" s="278"/>
      <c r="H1003" s="278"/>
      <c r="I1003" s="278"/>
      <c r="J1003" s="278"/>
      <c r="K1003" s="278"/>
      <c r="L1003" s="278"/>
      <c r="M1003" s="278"/>
      <c r="N1003" s="278"/>
      <c r="O1003" s="278"/>
      <c r="P1003" s="278"/>
      <c r="Q1003" s="278"/>
      <c r="R1003" s="278"/>
      <c r="S1003" s="278"/>
      <c r="T1003" s="278"/>
      <c r="U1003" s="278"/>
      <c r="V1003" s="278"/>
    </row>
    <row r="1004" spans="1:22" x14ac:dyDescent="0.15">
      <c r="A1004" s="278"/>
      <c r="B1004" s="278"/>
      <c r="C1004" s="278"/>
      <c r="D1004" s="278"/>
      <c r="E1004" s="278"/>
      <c r="F1004" s="278"/>
      <c r="G1004" s="278"/>
      <c r="H1004" s="278"/>
      <c r="I1004" s="278"/>
      <c r="J1004" s="278"/>
      <c r="K1004" s="278"/>
      <c r="L1004" s="278"/>
      <c r="M1004" s="278"/>
      <c r="N1004" s="278"/>
      <c r="O1004" s="278"/>
      <c r="P1004" s="278"/>
      <c r="Q1004" s="278"/>
      <c r="R1004" s="278"/>
      <c r="S1004" s="278"/>
      <c r="T1004" s="278"/>
      <c r="U1004" s="278"/>
      <c r="V1004" s="278"/>
    </row>
    <row r="1005" spans="1:22" x14ac:dyDescent="0.15">
      <c r="A1005" s="278"/>
      <c r="B1005" s="278"/>
      <c r="C1005" s="278"/>
      <c r="D1005" s="278"/>
      <c r="E1005" s="278"/>
      <c r="F1005" s="278"/>
      <c r="G1005" s="278"/>
      <c r="H1005" s="278"/>
      <c r="I1005" s="278"/>
      <c r="J1005" s="278"/>
      <c r="K1005" s="278"/>
      <c r="L1005" s="278"/>
      <c r="M1005" s="278"/>
      <c r="N1005" s="278"/>
      <c r="O1005" s="278"/>
      <c r="P1005" s="278"/>
      <c r="Q1005" s="278"/>
      <c r="R1005" s="278"/>
      <c r="S1005" s="278"/>
      <c r="T1005" s="278"/>
      <c r="U1005" s="278"/>
      <c r="V1005" s="278"/>
    </row>
    <row r="1006" spans="1:22" x14ac:dyDescent="0.15">
      <c r="A1006" s="278"/>
      <c r="B1006" s="278"/>
      <c r="C1006" s="278"/>
      <c r="D1006" s="278"/>
      <c r="E1006" s="278"/>
      <c r="F1006" s="278"/>
      <c r="G1006" s="278"/>
      <c r="H1006" s="278"/>
      <c r="I1006" s="278"/>
      <c r="J1006" s="278"/>
      <c r="K1006" s="278"/>
      <c r="L1006" s="278"/>
      <c r="M1006" s="278"/>
      <c r="N1006" s="278"/>
      <c r="O1006" s="278"/>
      <c r="P1006" s="278"/>
      <c r="Q1006" s="278"/>
      <c r="R1006" s="278"/>
      <c r="S1006" s="278"/>
      <c r="T1006" s="278"/>
      <c r="U1006" s="278"/>
      <c r="V1006" s="278"/>
    </row>
    <row r="1007" spans="1:22" x14ac:dyDescent="0.15">
      <c r="A1007" s="278"/>
      <c r="B1007" s="278"/>
      <c r="C1007" s="278"/>
      <c r="D1007" s="278"/>
      <c r="E1007" s="278"/>
      <c r="F1007" s="278"/>
      <c r="G1007" s="278"/>
      <c r="H1007" s="278"/>
      <c r="I1007" s="278"/>
      <c r="J1007" s="278"/>
      <c r="K1007" s="278"/>
      <c r="L1007" s="278"/>
      <c r="M1007" s="278"/>
      <c r="N1007" s="278"/>
      <c r="O1007" s="278"/>
      <c r="P1007" s="278"/>
      <c r="Q1007" s="278"/>
      <c r="R1007" s="278"/>
      <c r="S1007" s="278"/>
      <c r="T1007" s="278"/>
      <c r="U1007" s="278"/>
      <c r="V1007" s="278"/>
    </row>
    <row r="1008" spans="1:22" x14ac:dyDescent="0.15">
      <c r="A1008" s="278"/>
      <c r="B1008" s="278"/>
      <c r="C1008" s="278"/>
      <c r="D1008" s="278"/>
      <c r="E1008" s="278"/>
      <c r="F1008" s="278"/>
      <c r="G1008" s="278"/>
      <c r="H1008" s="278"/>
      <c r="I1008" s="278"/>
      <c r="J1008" s="278"/>
      <c r="K1008" s="278"/>
      <c r="L1008" s="278"/>
      <c r="M1008" s="278"/>
      <c r="N1008" s="278"/>
      <c r="O1008" s="278"/>
      <c r="P1008" s="278"/>
      <c r="Q1008" s="278"/>
      <c r="R1008" s="278"/>
      <c r="S1008" s="278"/>
      <c r="T1008" s="278"/>
      <c r="U1008" s="278"/>
      <c r="V1008" s="278"/>
    </row>
    <row r="1009" spans="1:22" x14ac:dyDescent="0.15">
      <c r="A1009" s="278"/>
      <c r="B1009" s="278"/>
      <c r="C1009" s="278"/>
      <c r="D1009" s="278"/>
      <c r="E1009" s="278"/>
      <c r="F1009" s="278"/>
      <c r="G1009" s="278"/>
      <c r="H1009" s="278"/>
      <c r="I1009" s="278"/>
      <c r="J1009" s="278"/>
      <c r="K1009" s="278"/>
      <c r="L1009" s="278"/>
      <c r="M1009" s="278"/>
      <c r="N1009" s="278"/>
      <c r="O1009" s="278"/>
      <c r="P1009" s="278"/>
      <c r="Q1009" s="278"/>
      <c r="R1009" s="278"/>
      <c r="S1009" s="278"/>
      <c r="T1009" s="278"/>
      <c r="U1009" s="278"/>
      <c r="V1009" s="278"/>
    </row>
    <row r="1010" spans="1:22" x14ac:dyDescent="0.15">
      <c r="A1010" s="278"/>
      <c r="B1010" s="278"/>
      <c r="C1010" s="278"/>
      <c r="D1010" s="278"/>
      <c r="E1010" s="278"/>
      <c r="F1010" s="278"/>
      <c r="G1010" s="278"/>
      <c r="H1010" s="278"/>
      <c r="I1010" s="278"/>
      <c r="J1010" s="278"/>
      <c r="K1010" s="278"/>
      <c r="L1010" s="278"/>
      <c r="M1010" s="278"/>
      <c r="N1010" s="278"/>
      <c r="O1010" s="278"/>
      <c r="P1010" s="278"/>
      <c r="Q1010" s="278"/>
      <c r="R1010" s="278"/>
      <c r="S1010" s="278"/>
      <c r="T1010" s="278"/>
      <c r="U1010" s="278"/>
      <c r="V1010" s="278"/>
    </row>
    <row r="1011" spans="1:22" x14ac:dyDescent="0.15">
      <c r="A1011" s="278"/>
      <c r="B1011" s="278"/>
      <c r="C1011" s="278"/>
      <c r="D1011" s="278"/>
      <c r="E1011" s="278"/>
      <c r="F1011" s="278"/>
      <c r="G1011" s="278"/>
      <c r="H1011" s="278"/>
      <c r="I1011" s="278"/>
      <c r="J1011" s="278"/>
      <c r="K1011" s="278"/>
      <c r="L1011" s="278"/>
      <c r="M1011" s="278"/>
      <c r="N1011" s="278"/>
      <c r="O1011" s="278"/>
      <c r="P1011" s="278"/>
      <c r="Q1011" s="278"/>
      <c r="R1011" s="278"/>
      <c r="S1011" s="278"/>
      <c r="T1011" s="278"/>
      <c r="U1011" s="278"/>
      <c r="V1011" s="278"/>
    </row>
    <row r="1012" spans="1:22" x14ac:dyDescent="0.15">
      <c r="A1012" s="278"/>
      <c r="B1012" s="278"/>
      <c r="C1012" s="278"/>
      <c r="D1012" s="278"/>
      <c r="E1012" s="278"/>
      <c r="F1012" s="278"/>
      <c r="G1012" s="278"/>
      <c r="H1012" s="278"/>
      <c r="I1012" s="278"/>
      <c r="J1012" s="278"/>
      <c r="K1012" s="278"/>
      <c r="L1012" s="278"/>
      <c r="M1012" s="278"/>
      <c r="N1012" s="278"/>
      <c r="O1012" s="278"/>
      <c r="P1012" s="278"/>
      <c r="Q1012" s="278"/>
      <c r="R1012" s="278"/>
      <c r="S1012" s="278"/>
      <c r="T1012" s="278"/>
      <c r="U1012" s="278"/>
      <c r="V1012" s="278"/>
    </row>
    <row r="1013" spans="1:22" x14ac:dyDescent="0.15">
      <c r="A1013" s="278"/>
      <c r="B1013" s="278"/>
      <c r="C1013" s="278"/>
      <c r="D1013" s="278"/>
      <c r="E1013" s="278"/>
      <c r="F1013" s="278"/>
      <c r="G1013" s="278"/>
      <c r="H1013" s="278"/>
      <c r="I1013" s="278"/>
      <c r="J1013" s="278"/>
      <c r="K1013" s="278"/>
      <c r="L1013" s="278"/>
      <c r="M1013" s="278"/>
      <c r="N1013" s="278"/>
      <c r="O1013" s="278"/>
      <c r="P1013" s="278"/>
      <c r="Q1013" s="278"/>
      <c r="R1013" s="278"/>
      <c r="S1013" s="278"/>
      <c r="T1013" s="278"/>
      <c r="U1013" s="278"/>
      <c r="V1013" s="278"/>
    </row>
    <row r="1014" spans="1:22" x14ac:dyDescent="0.15">
      <c r="A1014" s="278"/>
      <c r="B1014" s="278"/>
      <c r="C1014" s="278"/>
      <c r="D1014" s="278"/>
      <c r="E1014" s="278"/>
      <c r="F1014" s="278"/>
      <c r="G1014" s="278"/>
      <c r="H1014" s="278"/>
      <c r="I1014" s="278"/>
      <c r="J1014" s="278"/>
      <c r="K1014" s="278"/>
      <c r="L1014" s="278"/>
      <c r="M1014" s="278"/>
      <c r="N1014" s="278"/>
      <c r="O1014" s="278"/>
      <c r="P1014" s="278"/>
      <c r="Q1014" s="278"/>
      <c r="R1014" s="278"/>
      <c r="S1014" s="278"/>
      <c r="T1014" s="278"/>
      <c r="U1014" s="278"/>
      <c r="V1014" s="278"/>
    </row>
    <row r="1015" spans="1:22" x14ac:dyDescent="0.15">
      <c r="A1015" s="278"/>
      <c r="B1015" s="278"/>
      <c r="C1015" s="278"/>
      <c r="D1015" s="278"/>
      <c r="E1015" s="278"/>
      <c r="F1015" s="278"/>
      <c r="G1015" s="278"/>
      <c r="H1015" s="278"/>
      <c r="I1015" s="278"/>
      <c r="J1015" s="278"/>
      <c r="K1015" s="278"/>
      <c r="L1015" s="278"/>
      <c r="M1015" s="278"/>
      <c r="N1015" s="278"/>
      <c r="O1015" s="278"/>
      <c r="P1015" s="278"/>
      <c r="Q1015" s="278"/>
      <c r="R1015" s="278"/>
      <c r="S1015" s="278"/>
      <c r="T1015" s="278"/>
      <c r="U1015" s="278"/>
      <c r="V1015" s="278"/>
    </row>
    <row r="1016" spans="1:22" x14ac:dyDescent="0.15">
      <c r="A1016" s="278"/>
      <c r="B1016" s="278"/>
      <c r="C1016" s="278"/>
      <c r="D1016" s="278"/>
      <c r="E1016" s="278"/>
      <c r="F1016" s="278"/>
      <c r="G1016" s="278"/>
      <c r="H1016" s="278"/>
      <c r="I1016" s="278"/>
      <c r="J1016" s="278"/>
      <c r="K1016" s="278"/>
      <c r="L1016" s="278"/>
      <c r="M1016" s="278"/>
      <c r="N1016" s="278"/>
      <c r="O1016" s="278"/>
      <c r="P1016" s="278"/>
      <c r="Q1016" s="278"/>
      <c r="R1016" s="278"/>
      <c r="S1016" s="278"/>
      <c r="T1016" s="278"/>
      <c r="U1016" s="278"/>
      <c r="V1016" s="278"/>
    </row>
    <row r="1017" spans="1:22" x14ac:dyDescent="0.15">
      <c r="A1017" s="278"/>
      <c r="B1017" s="278"/>
      <c r="C1017" s="278"/>
      <c r="D1017" s="278"/>
      <c r="E1017" s="278"/>
      <c r="F1017" s="278"/>
      <c r="G1017" s="278"/>
      <c r="H1017" s="278"/>
      <c r="I1017" s="278"/>
      <c r="J1017" s="278"/>
      <c r="K1017" s="278"/>
      <c r="L1017" s="278"/>
      <c r="M1017" s="278"/>
      <c r="N1017" s="278"/>
      <c r="O1017" s="278"/>
      <c r="P1017" s="278"/>
      <c r="Q1017" s="278"/>
      <c r="R1017" s="278"/>
      <c r="S1017" s="278"/>
      <c r="T1017" s="278"/>
      <c r="U1017" s="278"/>
      <c r="V1017" s="278"/>
    </row>
    <row r="1018" spans="1:22" x14ac:dyDescent="0.15">
      <c r="A1018" s="278"/>
      <c r="B1018" s="278"/>
      <c r="C1018" s="278"/>
      <c r="D1018" s="278"/>
      <c r="E1018" s="278"/>
      <c r="F1018" s="278"/>
      <c r="G1018" s="278"/>
      <c r="H1018" s="278"/>
      <c r="I1018" s="278"/>
      <c r="J1018" s="278"/>
      <c r="K1018" s="278"/>
      <c r="L1018" s="278"/>
      <c r="M1018" s="278"/>
      <c r="N1018" s="278"/>
      <c r="O1018" s="278"/>
      <c r="P1018" s="278"/>
      <c r="Q1018" s="278"/>
      <c r="R1018" s="278"/>
      <c r="S1018" s="278"/>
      <c r="T1018" s="278"/>
      <c r="U1018" s="278"/>
      <c r="V1018" s="278"/>
    </row>
    <row r="1019" spans="1:22" x14ac:dyDescent="0.15">
      <c r="A1019" s="278"/>
      <c r="B1019" s="278"/>
      <c r="C1019" s="278"/>
      <c r="D1019" s="278"/>
      <c r="E1019" s="278"/>
      <c r="F1019" s="278"/>
      <c r="G1019" s="278"/>
      <c r="H1019" s="278"/>
      <c r="I1019" s="278"/>
      <c r="J1019" s="278"/>
      <c r="K1019" s="278"/>
      <c r="L1019" s="278"/>
      <c r="M1019" s="278"/>
      <c r="N1019" s="278"/>
      <c r="O1019" s="278"/>
      <c r="P1019" s="278"/>
      <c r="Q1019" s="278"/>
      <c r="R1019" s="278"/>
      <c r="S1019" s="278"/>
      <c r="T1019" s="278"/>
      <c r="U1019" s="278"/>
      <c r="V1019" s="278"/>
    </row>
    <row r="1020" spans="1:22" x14ac:dyDescent="0.15">
      <c r="A1020" s="278"/>
      <c r="B1020" s="278"/>
      <c r="C1020" s="278"/>
      <c r="D1020" s="278"/>
      <c r="E1020" s="278"/>
      <c r="F1020" s="278"/>
      <c r="G1020" s="278"/>
      <c r="H1020" s="278"/>
      <c r="I1020" s="278"/>
      <c r="J1020" s="278"/>
      <c r="K1020" s="278"/>
      <c r="L1020" s="278"/>
      <c r="M1020" s="278"/>
      <c r="N1020" s="278"/>
      <c r="O1020" s="278"/>
      <c r="P1020" s="278"/>
      <c r="Q1020" s="278"/>
      <c r="R1020" s="278"/>
      <c r="S1020" s="278"/>
      <c r="T1020" s="278"/>
      <c r="U1020" s="278"/>
      <c r="V1020" s="278"/>
    </row>
    <row r="1021" spans="1:22" x14ac:dyDescent="0.15">
      <c r="A1021" s="278"/>
      <c r="B1021" s="278"/>
      <c r="C1021" s="278"/>
      <c r="D1021" s="278"/>
      <c r="E1021" s="278"/>
      <c r="F1021" s="278"/>
      <c r="G1021" s="278"/>
      <c r="H1021" s="278"/>
      <c r="I1021" s="278"/>
      <c r="J1021" s="278"/>
      <c r="K1021" s="278"/>
      <c r="L1021" s="278"/>
      <c r="M1021" s="278"/>
      <c r="N1021" s="278"/>
      <c r="O1021" s="278"/>
      <c r="P1021" s="278"/>
      <c r="Q1021" s="278"/>
      <c r="R1021" s="278"/>
      <c r="S1021" s="278"/>
      <c r="T1021" s="278"/>
      <c r="U1021" s="278"/>
      <c r="V1021" s="278"/>
    </row>
    <row r="1022" spans="1:22" x14ac:dyDescent="0.15">
      <c r="A1022" s="278"/>
      <c r="B1022" s="278"/>
      <c r="C1022" s="278"/>
      <c r="D1022" s="278"/>
      <c r="E1022" s="278"/>
      <c r="F1022" s="278"/>
      <c r="G1022" s="278"/>
      <c r="H1022" s="278"/>
      <c r="I1022" s="278"/>
      <c r="J1022" s="278"/>
      <c r="K1022" s="278"/>
      <c r="L1022" s="278"/>
      <c r="M1022" s="278"/>
      <c r="N1022" s="278"/>
      <c r="O1022" s="278"/>
      <c r="P1022" s="278"/>
      <c r="Q1022" s="278"/>
      <c r="R1022" s="278"/>
      <c r="S1022" s="278"/>
      <c r="T1022" s="278"/>
      <c r="U1022" s="278"/>
      <c r="V1022" s="278"/>
    </row>
    <row r="1023" spans="1:22" x14ac:dyDescent="0.15">
      <c r="A1023" s="278"/>
      <c r="B1023" s="278"/>
      <c r="C1023" s="278"/>
      <c r="D1023" s="278"/>
      <c r="E1023" s="278"/>
      <c r="F1023" s="278"/>
      <c r="G1023" s="278"/>
      <c r="H1023" s="278"/>
      <c r="I1023" s="278"/>
      <c r="J1023" s="278"/>
      <c r="K1023" s="278"/>
      <c r="L1023" s="278"/>
      <c r="M1023" s="278"/>
      <c r="N1023" s="278"/>
      <c r="O1023" s="278"/>
      <c r="P1023" s="278"/>
      <c r="Q1023" s="278"/>
      <c r="R1023" s="278"/>
      <c r="S1023" s="278"/>
      <c r="T1023" s="278"/>
      <c r="U1023" s="278"/>
      <c r="V1023" s="278"/>
    </row>
    <row r="1024" spans="1:22" x14ac:dyDescent="0.15">
      <c r="A1024" s="278"/>
      <c r="B1024" s="278"/>
      <c r="C1024" s="278"/>
      <c r="D1024" s="278"/>
      <c r="E1024" s="278"/>
      <c r="F1024" s="278"/>
      <c r="G1024" s="278"/>
      <c r="H1024" s="278"/>
      <c r="I1024" s="278"/>
      <c r="J1024" s="278"/>
      <c r="K1024" s="278"/>
      <c r="L1024" s="278"/>
      <c r="M1024" s="278"/>
      <c r="N1024" s="278"/>
      <c r="O1024" s="278"/>
      <c r="P1024" s="278"/>
      <c r="Q1024" s="278"/>
      <c r="R1024" s="278"/>
      <c r="S1024" s="278"/>
      <c r="T1024" s="278"/>
      <c r="U1024" s="278"/>
      <c r="V1024" s="278"/>
    </row>
    <row r="1025" spans="1:22" x14ac:dyDescent="0.15">
      <c r="A1025" s="278"/>
      <c r="B1025" s="278"/>
      <c r="C1025" s="278"/>
      <c r="D1025" s="278"/>
      <c r="E1025" s="278"/>
      <c r="F1025" s="278"/>
      <c r="G1025" s="278"/>
      <c r="H1025" s="278"/>
      <c r="I1025" s="278"/>
      <c r="J1025" s="278"/>
      <c r="K1025" s="278"/>
      <c r="L1025" s="278"/>
      <c r="M1025" s="278"/>
      <c r="N1025" s="278"/>
      <c r="O1025" s="278"/>
      <c r="P1025" s="278"/>
      <c r="Q1025" s="278"/>
      <c r="R1025" s="278"/>
      <c r="S1025" s="278"/>
      <c r="T1025" s="278"/>
      <c r="U1025" s="278"/>
      <c r="V1025" s="278"/>
    </row>
    <row r="1026" spans="1:22" x14ac:dyDescent="0.15">
      <c r="A1026" s="278"/>
      <c r="B1026" s="278"/>
      <c r="C1026" s="278"/>
      <c r="D1026" s="278"/>
      <c r="E1026" s="278"/>
      <c r="F1026" s="278"/>
      <c r="G1026" s="278"/>
      <c r="H1026" s="278"/>
      <c r="I1026" s="278"/>
      <c r="J1026" s="278"/>
      <c r="K1026" s="278"/>
      <c r="L1026" s="278"/>
      <c r="M1026" s="278"/>
      <c r="N1026" s="278"/>
      <c r="O1026" s="278"/>
      <c r="P1026" s="278"/>
      <c r="Q1026" s="278"/>
      <c r="R1026" s="278"/>
      <c r="S1026" s="278"/>
      <c r="T1026" s="278"/>
      <c r="U1026" s="278"/>
      <c r="V1026" s="278"/>
    </row>
    <row r="1027" spans="1:22" x14ac:dyDescent="0.15">
      <c r="A1027" s="278"/>
      <c r="B1027" s="278"/>
      <c r="C1027" s="278"/>
      <c r="D1027" s="278"/>
      <c r="E1027" s="278"/>
      <c r="F1027" s="278"/>
      <c r="G1027" s="278"/>
      <c r="H1027" s="278"/>
      <c r="I1027" s="278"/>
      <c r="J1027" s="278"/>
      <c r="K1027" s="278"/>
      <c r="L1027" s="278"/>
      <c r="M1027" s="278"/>
      <c r="N1027" s="278"/>
      <c r="O1027" s="278"/>
      <c r="P1027" s="278"/>
      <c r="Q1027" s="278"/>
      <c r="R1027" s="278"/>
      <c r="S1027" s="278"/>
      <c r="T1027" s="278"/>
      <c r="U1027" s="278"/>
      <c r="V1027" s="278"/>
    </row>
    <row r="1028" spans="1:22" x14ac:dyDescent="0.15">
      <c r="A1028" s="278"/>
      <c r="B1028" s="278"/>
      <c r="C1028" s="278"/>
      <c r="D1028" s="278"/>
      <c r="E1028" s="278"/>
      <c r="F1028" s="278"/>
      <c r="G1028" s="278"/>
      <c r="H1028" s="278"/>
      <c r="I1028" s="278"/>
      <c r="J1028" s="278"/>
      <c r="K1028" s="278"/>
      <c r="L1028" s="278"/>
      <c r="M1028" s="278"/>
      <c r="N1028" s="278"/>
      <c r="O1028" s="278"/>
      <c r="P1028" s="278"/>
      <c r="Q1028" s="278"/>
      <c r="R1028" s="278"/>
      <c r="S1028" s="278"/>
      <c r="T1028" s="278"/>
      <c r="U1028" s="278"/>
      <c r="V1028" s="278"/>
    </row>
    <row r="1029" spans="1:22" x14ac:dyDescent="0.15">
      <c r="A1029" s="278"/>
      <c r="B1029" s="278"/>
      <c r="C1029" s="278"/>
      <c r="D1029" s="278"/>
      <c r="E1029" s="278"/>
      <c r="F1029" s="278"/>
      <c r="G1029" s="278"/>
      <c r="H1029" s="278"/>
      <c r="I1029" s="278"/>
      <c r="J1029" s="278"/>
      <c r="K1029" s="278"/>
      <c r="L1029" s="278"/>
      <c r="M1029" s="278"/>
      <c r="N1029" s="278"/>
      <c r="O1029" s="278"/>
      <c r="P1029" s="278"/>
      <c r="Q1029" s="278"/>
      <c r="R1029" s="278"/>
      <c r="S1029" s="278"/>
      <c r="T1029" s="278"/>
      <c r="U1029" s="278"/>
      <c r="V1029" s="278"/>
    </row>
    <row r="1030" spans="1:22" x14ac:dyDescent="0.15">
      <c r="A1030" s="278"/>
      <c r="B1030" s="278"/>
      <c r="C1030" s="278"/>
      <c r="D1030" s="278"/>
      <c r="E1030" s="278"/>
      <c r="F1030" s="278"/>
      <c r="G1030" s="278"/>
      <c r="H1030" s="278"/>
      <c r="I1030" s="278"/>
      <c r="J1030" s="278"/>
      <c r="K1030" s="278"/>
      <c r="L1030" s="278"/>
      <c r="M1030" s="278"/>
      <c r="N1030" s="278"/>
      <c r="O1030" s="278"/>
      <c r="P1030" s="278"/>
      <c r="Q1030" s="278"/>
      <c r="R1030" s="278"/>
      <c r="S1030" s="278"/>
      <c r="T1030" s="278"/>
      <c r="U1030" s="278"/>
      <c r="V1030" s="278"/>
    </row>
    <row r="1031" spans="1:22" x14ac:dyDescent="0.15">
      <c r="A1031" s="278"/>
      <c r="B1031" s="278"/>
      <c r="C1031" s="278"/>
      <c r="D1031" s="278"/>
      <c r="E1031" s="278"/>
      <c r="F1031" s="278"/>
      <c r="G1031" s="278"/>
      <c r="H1031" s="278"/>
      <c r="I1031" s="278"/>
      <c r="J1031" s="278"/>
      <c r="K1031" s="278"/>
      <c r="L1031" s="278"/>
      <c r="M1031" s="278"/>
      <c r="N1031" s="278"/>
      <c r="O1031" s="278"/>
      <c r="P1031" s="278"/>
      <c r="Q1031" s="278"/>
      <c r="R1031" s="278"/>
      <c r="S1031" s="278"/>
      <c r="T1031" s="278"/>
      <c r="U1031" s="278"/>
      <c r="V1031" s="278"/>
    </row>
    <row r="1032" spans="1:22" x14ac:dyDescent="0.15">
      <c r="A1032" s="278"/>
      <c r="B1032" s="278"/>
      <c r="C1032" s="278"/>
      <c r="D1032" s="278"/>
      <c r="E1032" s="278"/>
      <c r="F1032" s="278"/>
      <c r="G1032" s="278"/>
      <c r="H1032" s="278"/>
      <c r="I1032" s="278"/>
      <c r="J1032" s="278"/>
      <c r="K1032" s="278"/>
      <c r="L1032" s="278"/>
      <c r="M1032" s="278"/>
      <c r="N1032" s="278"/>
      <c r="O1032" s="278"/>
      <c r="P1032" s="278"/>
      <c r="Q1032" s="278"/>
      <c r="R1032" s="278"/>
      <c r="S1032" s="278"/>
      <c r="T1032" s="278"/>
      <c r="U1032" s="278"/>
      <c r="V1032" s="278"/>
    </row>
    <row r="1033" spans="1:22" x14ac:dyDescent="0.15">
      <c r="A1033" s="278"/>
      <c r="B1033" s="278"/>
      <c r="C1033" s="278"/>
      <c r="D1033" s="278"/>
      <c r="E1033" s="278"/>
      <c r="F1033" s="278"/>
      <c r="G1033" s="278"/>
      <c r="H1033" s="278"/>
      <c r="I1033" s="278"/>
      <c r="J1033" s="278"/>
      <c r="K1033" s="278"/>
      <c r="L1033" s="278"/>
      <c r="M1033" s="278"/>
      <c r="N1033" s="278"/>
      <c r="O1033" s="278"/>
      <c r="P1033" s="278"/>
      <c r="Q1033" s="278"/>
      <c r="R1033" s="278"/>
      <c r="S1033" s="278"/>
      <c r="T1033" s="278"/>
      <c r="U1033" s="278"/>
      <c r="V1033" s="278"/>
    </row>
    <row r="1034" spans="1:22" x14ac:dyDescent="0.15">
      <c r="A1034" s="278"/>
      <c r="B1034" s="278"/>
      <c r="C1034" s="278"/>
      <c r="D1034" s="278"/>
      <c r="E1034" s="278"/>
      <c r="F1034" s="278"/>
      <c r="G1034" s="278"/>
      <c r="H1034" s="278"/>
      <c r="I1034" s="278"/>
      <c r="J1034" s="278"/>
      <c r="K1034" s="278"/>
      <c r="L1034" s="278"/>
      <c r="M1034" s="278"/>
      <c r="N1034" s="278"/>
      <c r="O1034" s="278"/>
      <c r="P1034" s="278"/>
      <c r="Q1034" s="278"/>
      <c r="R1034" s="278"/>
      <c r="S1034" s="278"/>
      <c r="T1034" s="278"/>
      <c r="U1034" s="278"/>
      <c r="V1034" s="278"/>
    </row>
    <row r="1035" spans="1:22" x14ac:dyDescent="0.15">
      <c r="A1035" s="278"/>
      <c r="B1035" s="278"/>
      <c r="C1035" s="278"/>
      <c r="D1035" s="278"/>
      <c r="E1035" s="278"/>
      <c r="F1035" s="278"/>
      <c r="G1035" s="278"/>
      <c r="H1035" s="278"/>
      <c r="I1035" s="278"/>
      <c r="J1035" s="278"/>
      <c r="K1035" s="278"/>
      <c r="L1035" s="278"/>
      <c r="M1035" s="278"/>
      <c r="N1035" s="278"/>
      <c r="O1035" s="278"/>
      <c r="P1035" s="278"/>
      <c r="Q1035" s="278"/>
      <c r="R1035" s="278"/>
      <c r="S1035" s="278"/>
      <c r="T1035" s="278"/>
      <c r="U1035" s="278"/>
      <c r="V1035" s="278"/>
    </row>
    <row r="1036" spans="1:22" x14ac:dyDescent="0.15">
      <c r="A1036" s="278"/>
      <c r="B1036" s="278"/>
      <c r="C1036" s="278"/>
      <c r="D1036" s="278"/>
      <c r="E1036" s="278"/>
      <c r="F1036" s="278"/>
      <c r="G1036" s="278"/>
      <c r="H1036" s="278"/>
      <c r="I1036" s="278"/>
      <c r="J1036" s="278"/>
      <c r="K1036" s="278"/>
      <c r="L1036" s="278"/>
      <c r="M1036" s="278"/>
      <c r="N1036" s="278"/>
      <c r="O1036" s="278"/>
      <c r="P1036" s="278"/>
      <c r="Q1036" s="278"/>
      <c r="R1036" s="278"/>
      <c r="S1036" s="278"/>
      <c r="T1036" s="278"/>
      <c r="U1036" s="278"/>
      <c r="V1036" s="278"/>
    </row>
    <row r="1037" spans="1:22" x14ac:dyDescent="0.15">
      <c r="A1037" s="278"/>
      <c r="B1037" s="278"/>
      <c r="C1037" s="278"/>
      <c r="D1037" s="278"/>
      <c r="E1037" s="278"/>
      <c r="F1037" s="278"/>
      <c r="G1037" s="278"/>
      <c r="H1037" s="278"/>
      <c r="I1037" s="278"/>
      <c r="J1037" s="278"/>
      <c r="K1037" s="278"/>
      <c r="L1037" s="278"/>
      <c r="M1037" s="278"/>
      <c r="N1037" s="278"/>
      <c r="O1037" s="278"/>
      <c r="P1037" s="278"/>
      <c r="Q1037" s="278"/>
      <c r="R1037" s="278"/>
      <c r="S1037" s="278"/>
      <c r="T1037" s="278"/>
      <c r="U1037" s="278"/>
      <c r="V1037" s="278"/>
    </row>
    <row r="1038" spans="1:22" x14ac:dyDescent="0.15">
      <c r="A1038" s="278"/>
      <c r="B1038" s="278"/>
      <c r="C1038" s="278"/>
      <c r="D1038" s="278"/>
      <c r="E1038" s="278"/>
      <c r="F1038" s="278"/>
      <c r="G1038" s="278"/>
      <c r="H1038" s="278"/>
      <c r="I1038" s="278"/>
      <c r="J1038" s="278"/>
      <c r="K1038" s="278"/>
      <c r="L1038" s="278"/>
      <c r="M1038" s="278"/>
      <c r="N1038" s="278"/>
      <c r="O1038" s="278"/>
      <c r="P1038" s="278"/>
      <c r="Q1038" s="278"/>
      <c r="R1038" s="278"/>
      <c r="S1038" s="278"/>
      <c r="T1038" s="278"/>
      <c r="U1038" s="278"/>
      <c r="V1038" s="278"/>
    </row>
    <row r="1039" spans="1:22" x14ac:dyDescent="0.15">
      <c r="A1039" s="278"/>
      <c r="B1039" s="278"/>
      <c r="C1039" s="278"/>
      <c r="D1039" s="278"/>
      <c r="E1039" s="278"/>
      <c r="F1039" s="278"/>
      <c r="G1039" s="278"/>
      <c r="H1039" s="278"/>
      <c r="I1039" s="278"/>
      <c r="J1039" s="278"/>
      <c r="K1039" s="278"/>
      <c r="L1039" s="278"/>
      <c r="M1039" s="278"/>
      <c r="N1039" s="278"/>
      <c r="O1039" s="278"/>
      <c r="P1039" s="278"/>
      <c r="Q1039" s="278"/>
      <c r="R1039" s="278"/>
      <c r="S1039" s="278"/>
      <c r="T1039" s="278"/>
      <c r="U1039" s="278"/>
      <c r="V1039" s="278"/>
    </row>
    <row r="1040" spans="1:22" x14ac:dyDescent="0.15">
      <c r="A1040" s="278"/>
      <c r="B1040" s="278"/>
      <c r="C1040" s="278"/>
      <c r="D1040" s="278"/>
      <c r="E1040" s="278"/>
      <c r="F1040" s="278"/>
      <c r="G1040" s="278"/>
      <c r="H1040" s="278"/>
      <c r="I1040" s="278"/>
      <c r="J1040" s="278"/>
      <c r="K1040" s="278"/>
      <c r="L1040" s="278"/>
      <c r="M1040" s="278"/>
      <c r="N1040" s="278"/>
      <c r="O1040" s="278"/>
      <c r="P1040" s="278"/>
      <c r="Q1040" s="278"/>
      <c r="R1040" s="278"/>
      <c r="S1040" s="278"/>
      <c r="T1040" s="278"/>
      <c r="U1040" s="278"/>
      <c r="V1040" s="278"/>
    </row>
    <row r="1041" spans="1:22" x14ac:dyDescent="0.15">
      <c r="A1041" s="278"/>
      <c r="B1041" s="278"/>
      <c r="C1041" s="278"/>
      <c r="D1041" s="278"/>
      <c r="E1041" s="278"/>
      <c r="F1041" s="278"/>
      <c r="G1041" s="278"/>
      <c r="H1041" s="278"/>
      <c r="I1041" s="278"/>
      <c r="J1041" s="278"/>
      <c r="K1041" s="278"/>
      <c r="L1041" s="278"/>
      <c r="M1041" s="278"/>
      <c r="N1041" s="278"/>
      <c r="O1041" s="278"/>
      <c r="P1041" s="278"/>
      <c r="Q1041" s="278"/>
      <c r="R1041" s="278"/>
      <c r="S1041" s="278"/>
      <c r="T1041" s="278"/>
      <c r="U1041" s="278"/>
      <c r="V1041" s="278"/>
    </row>
    <row r="1042" spans="1:22" x14ac:dyDescent="0.15">
      <c r="A1042" s="278"/>
      <c r="B1042" s="278"/>
      <c r="C1042" s="278"/>
      <c r="D1042" s="278"/>
      <c r="E1042" s="278"/>
      <c r="F1042" s="278"/>
      <c r="G1042" s="278"/>
      <c r="H1042" s="278"/>
      <c r="I1042" s="278"/>
      <c r="J1042" s="278"/>
      <c r="K1042" s="278"/>
      <c r="L1042" s="278"/>
      <c r="M1042" s="278"/>
      <c r="N1042" s="278"/>
      <c r="O1042" s="278"/>
      <c r="P1042" s="278"/>
      <c r="Q1042" s="278"/>
      <c r="R1042" s="278"/>
      <c r="S1042" s="278"/>
      <c r="T1042" s="278"/>
      <c r="U1042" s="278"/>
      <c r="V1042" s="278"/>
    </row>
    <row r="1043" spans="1:22" x14ac:dyDescent="0.15">
      <c r="A1043" s="278"/>
      <c r="B1043" s="278"/>
      <c r="C1043" s="278"/>
      <c r="D1043" s="278"/>
      <c r="E1043" s="278"/>
      <c r="F1043" s="278"/>
      <c r="G1043" s="278"/>
      <c r="H1043" s="278"/>
      <c r="I1043" s="278"/>
      <c r="J1043" s="278"/>
      <c r="K1043" s="278"/>
      <c r="L1043" s="278"/>
      <c r="M1043" s="278"/>
      <c r="N1043" s="278"/>
      <c r="O1043" s="278"/>
      <c r="P1043" s="278"/>
      <c r="Q1043" s="278"/>
      <c r="R1043" s="278"/>
      <c r="S1043" s="278"/>
      <c r="T1043" s="278"/>
      <c r="U1043" s="278"/>
      <c r="V1043" s="278"/>
    </row>
    <row r="1044" spans="1:22" x14ac:dyDescent="0.15">
      <c r="A1044" s="278"/>
      <c r="B1044" s="278"/>
      <c r="C1044" s="278"/>
      <c r="D1044" s="278"/>
      <c r="E1044" s="278"/>
      <c r="F1044" s="278"/>
      <c r="G1044" s="278"/>
      <c r="H1044" s="278"/>
      <c r="I1044" s="278"/>
      <c r="J1044" s="278"/>
      <c r="K1044" s="278"/>
      <c r="L1044" s="278"/>
      <c r="M1044" s="278"/>
      <c r="N1044" s="278"/>
      <c r="O1044" s="278"/>
      <c r="P1044" s="278"/>
      <c r="Q1044" s="278"/>
      <c r="R1044" s="278"/>
      <c r="S1044" s="278"/>
      <c r="T1044" s="278"/>
      <c r="U1044" s="278"/>
      <c r="V1044" s="278"/>
    </row>
    <row r="1045" spans="1:22" x14ac:dyDescent="0.15">
      <c r="A1045" s="278"/>
      <c r="B1045" s="278"/>
      <c r="C1045" s="278"/>
      <c r="D1045" s="278"/>
      <c r="E1045" s="278"/>
      <c r="F1045" s="278"/>
      <c r="G1045" s="278"/>
      <c r="H1045" s="278"/>
      <c r="I1045" s="278"/>
      <c r="J1045" s="278"/>
      <c r="K1045" s="278"/>
      <c r="L1045" s="278"/>
      <c r="M1045" s="278"/>
      <c r="N1045" s="278"/>
      <c r="O1045" s="278"/>
      <c r="P1045" s="278"/>
      <c r="Q1045" s="278"/>
      <c r="R1045" s="278"/>
      <c r="S1045" s="278"/>
      <c r="T1045" s="278"/>
      <c r="U1045" s="278"/>
      <c r="V1045" s="278"/>
    </row>
    <row r="1046" spans="1:22" x14ac:dyDescent="0.15">
      <c r="A1046" s="278"/>
      <c r="B1046" s="278"/>
      <c r="C1046" s="278"/>
      <c r="D1046" s="278"/>
      <c r="E1046" s="278"/>
      <c r="F1046" s="278"/>
      <c r="G1046" s="278"/>
      <c r="H1046" s="278"/>
      <c r="I1046" s="278"/>
      <c r="J1046" s="278"/>
      <c r="K1046" s="278"/>
      <c r="L1046" s="278"/>
      <c r="M1046" s="278"/>
      <c r="N1046" s="278"/>
      <c r="O1046" s="278"/>
      <c r="P1046" s="278"/>
      <c r="Q1046" s="278"/>
      <c r="R1046" s="278"/>
      <c r="S1046" s="278"/>
      <c r="T1046" s="278"/>
      <c r="U1046" s="278"/>
      <c r="V1046" s="278"/>
    </row>
    <row r="1047" spans="1:22" x14ac:dyDescent="0.15">
      <c r="A1047" s="278"/>
      <c r="B1047" s="278"/>
      <c r="C1047" s="278"/>
      <c r="D1047" s="278"/>
      <c r="E1047" s="278"/>
      <c r="F1047" s="278"/>
      <c r="G1047" s="278"/>
      <c r="H1047" s="278"/>
      <c r="I1047" s="278"/>
      <c r="J1047" s="278"/>
      <c r="K1047" s="278"/>
      <c r="L1047" s="278"/>
      <c r="M1047" s="278"/>
      <c r="N1047" s="278"/>
      <c r="O1047" s="278"/>
      <c r="P1047" s="278"/>
      <c r="Q1047" s="278"/>
      <c r="R1047" s="278"/>
      <c r="S1047" s="278"/>
      <c r="T1047" s="278"/>
      <c r="U1047" s="278"/>
      <c r="V1047" s="278"/>
    </row>
    <row r="1048" spans="1:22" x14ac:dyDescent="0.15">
      <c r="A1048" s="278"/>
      <c r="B1048" s="278"/>
      <c r="C1048" s="278"/>
      <c r="D1048" s="278"/>
      <c r="E1048" s="278"/>
      <c r="F1048" s="278"/>
      <c r="G1048" s="278"/>
      <c r="H1048" s="278"/>
      <c r="I1048" s="278"/>
      <c r="J1048" s="278"/>
      <c r="K1048" s="278"/>
      <c r="L1048" s="278"/>
      <c r="M1048" s="278"/>
      <c r="N1048" s="278"/>
      <c r="O1048" s="278"/>
      <c r="P1048" s="278"/>
      <c r="Q1048" s="278"/>
      <c r="R1048" s="278"/>
      <c r="S1048" s="278"/>
      <c r="T1048" s="278"/>
      <c r="U1048" s="278"/>
      <c r="V1048" s="278"/>
    </row>
    <row r="1049" spans="1:22" x14ac:dyDescent="0.15">
      <c r="A1049" s="278"/>
      <c r="B1049" s="278"/>
      <c r="C1049" s="278"/>
      <c r="D1049" s="278"/>
      <c r="E1049" s="278"/>
      <c r="F1049" s="278"/>
      <c r="G1049" s="278"/>
      <c r="H1049" s="278"/>
      <c r="I1049" s="278"/>
      <c r="J1049" s="278"/>
      <c r="K1049" s="278"/>
      <c r="L1049" s="278"/>
      <c r="M1049" s="278"/>
      <c r="N1049" s="278"/>
      <c r="O1049" s="278"/>
      <c r="P1049" s="278"/>
      <c r="Q1049" s="278"/>
      <c r="R1049" s="278"/>
      <c r="S1049" s="278"/>
      <c r="T1049" s="278"/>
      <c r="U1049" s="278"/>
      <c r="V1049" s="278"/>
    </row>
    <row r="1050" spans="1:22" x14ac:dyDescent="0.15">
      <c r="A1050" s="278"/>
      <c r="B1050" s="278"/>
      <c r="C1050" s="278"/>
      <c r="D1050" s="278"/>
      <c r="E1050" s="278"/>
      <c r="F1050" s="278"/>
      <c r="G1050" s="278"/>
      <c r="H1050" s="278"/>
      <c r="I1050" s="278"/>
      <c r="J1050" s="278"/>
      <c r="K1050" s="278"/>
      <c r="L1050" s="278"/>
      <c r="M1050" s="278"/>
      <c r="N1050" s="278"/>
      <c r="O1050" s="278"/>
      <c r="P1050" s="278"/>
      <c r="Q1050" s="278"/>
      <c r="R1050" s="278"/>
      <c r="S1050" s="278"/>
      <c r="T1050" s="278"/>
      <c r="U1050" s="278"/>
      <c r="V1050" s="278"/>
    </row>
    <row r="1051" spans="1:22" x14ac:dyDescent="0.15">
      <c r="A1051" s="278"/>
      <c r="B1051" s="278"/>
      <c r="C1051" s="278"/>
      <c r="D1051" s="278"/>
      <c r="E1051" s="278"/>
      <c r="F1051" s="278"/>
      <c r="G1051" s="278"/>
      <c r="H1051" s="278"/>
      <c r="I1051" s="278"/>
      <c r="J1051" s="278"/>
      <c r="K1051" s="278"/>
      <c r="L1051" s="278"/>
      <c r="M1051" s="278"/>
      <c r="N1051" s="278"/>
      <c r="O1051" s="278"/>
      <c r="P1051" s="278"/>
      <c r="Q1051" s="278"/>
      <c r="R1051" s="278"/>
      <c r="S1051" s="278"/>
      <c r="T1051" s="278"/>
      <c r="U1051" s="278"/>
      <c r="V1051" s="278"/>
    </row>
    <row r="1052" spans="1:22" x14ac:dyDescent="0.15">
      <c r="A1052" s="278"/>
      <c r="B1052" s="278"/>
      <c r="C1052" s="278"/>
      <c r="D1052" s="278"/>
      <c r="E1052" s="278"/>
      <c r="F1052" s="278"/>
      <c r="G1052" s="278"/>
      <c r="H1052" s="278"/>
      <c r="I1052" s="278"/>
      <c r="J1052" s="278"/>
      <c r="K1052" s="278"/>
      <c r="L1052" s="278"/>
      <c r="M1052" s="278"/>
      <c r="N1052" s="278"/>
      <c r="O1052" s="278"/>
      <c r="P1052" s="278"/>
      <c r="Q1052" s="278"/>
      <c r="R1052" s="278"/>
      <c r="S1052" s="278"/>
      <c r="T1052" s="278"/>
      <c r="U1052" s="278"/>
      <c r="V1052" s="278"/>
    </row>
    <row r="1053" spans="1:22" x14ac:dyDescent="0.15">
      <c r="A1053" s="278"/>
      <c r="B1053" s="278"/>
      <c r="C1053" s="278"/>
      <c r="D1053" s="278"/>
      <c r="E1053" s="278"/>
      <c r="F1053" s="278"/>
      <c r="G1053" s="278"/>
      <c r="H1053" s="278"/>
      <c r="I1053" s="278"/>
      <c r="J1053" s="278"/>
      <c r="K1053" s="278"/>
      <c r="L1053" s="278"/>
      <c r="M1053" s="278"/>
      <c r="N1053" s="278"/>
      <c r="O1053" s="278"/>
      <c r="P1053" s="278"/>
      <c r="Q1053" s="278"/>
      <c r="R1053" s="278"/>
      <c r="S1053" s="278"/>
      <c r="T1053" s="278"/>
      <c r="U1053" s="278"/>
      <c r="V1053" s="278"/>
    </row>
    <row r="1054" spans="1:22" x14ac:dyDescent="0.15">
      <c r="A1054" s="278"/>
      <c r="B1054" s="278"/>
      <c r="C1054" s="278"/>
      <c r="D1054" s="278"/>
      <c r="E1054" s="278"/>
      <c r="F1054" s="278"/>
      <c r="G1054" s="278"/>
      <c r="H1054" s="278"/>
      <c r="I1054" s="278"/>
      <c r="J1054" s="278"/>
      <c r="K1054" s="278"/>
      <c r="L1054" s="278"/>
      <c r="M1054" s="278"/>
      <c r="N1054" s="278"/>
      <c r="O1054" s="278"/>
      <c r="P1054" s="278"/>
      <c r="Q1054" s="278"/>
      <c r="R1054" s="278"/>
      <c r="S1054" s="278"/>
      <c r="T1054" s="278"/>
      <c r="U1054" s="278"/>
      <c r="V1054" s="278"/>
    </row>
    <row r="1055" spans="1:22" x14ac:dyDescent="0.15">
      <c r="A1055" s="278"/>
      <c r="B1055" s="278"/>
      <c r="C1055" s="278"/>
      <c r="D1055" s="278"/>
      <c r="E1055" s="278"/>
      <c r="F1055" s="278"/>
      <c r="G1055" s="278"/>
      <c r="H1055" s="278"/>
      <c r="I1055" s="278"/>
      <c r="J1055" s="278"/>
      <c r="K1055" s="278"/>
      <c r="L1055" s="278"/>
      <c r="M1055" s="278"/>
      <c r="N1055" s="278"/>
      <c r="O1055" s="278"/>
      <c r="P1055" s="278"/>
      <c r="Q1055" s="278"/>
      <c r="R1055" s="278"/>
      <c r="S1055" s="278"/>
      <c r="T1055" s="278"/>
      <c r="U1055" s="278"/>
      <c r="V1055" s="278"/>
    </row>
    <row r="1056" spans="1:22" x14ac:dyDescent="0.15">
      <c r="A1056" s="278"/>
      <c r="B1056" s="278"/>
      <c r="C1056" s="278"/>
      <c r="D1056" s="278"/>
      <c r="E1056" s="278"/>
      <c r="F1056" s="278"/>
      <c r="G1056" s="278"/>
      <c r="H1056" s="278"/>
      <c r="I1056" s="278"/>
      <c r="J1056" s="278"/>
      <c r="K1056" s="278"/>
      <c r="L1056" s="278"/>
      <c r="M1056" s="278"/>
      <c r="N1056" s="278"/>
      <c r="O1056" s="278"/>
      <c r="P1056" s="278"/>
      <c r="Q1056" s="278"/>
      <c r="R1056" s="278"/>
      <c r="S1056" s="278"/>
      <c r="T1056" s="278"/>
      <c r="U1056" s="278"/>
      <c r="V1056" s="278"/>
    </row>
    <row r="1057" spans="1:22" x14ac:dyDescent="0.15">
      <c r="A1057" s="278"/>
      <c r="B1057" s="278"/>
      <c r="C1057" s="278"/>
      <c r="D1057" s="278"/>
      <c r="E1057" s="278"/>
      <c r="F1057" s="278"/>
      <c r="G1057" s="278"/>
      <c r="H1057" s="278"/>
      <c r="I1057" s="278"/>
      <c r="J1057" s="278"/>
      <c r="K1057" s="278"/>
      <c r="L1057" s="278"/>
      <c r="M1057" s="278"/>
      <c r="N1057" s="278"/>
      <c r="O1057" s="278"/>
      <c r="P1057" s="278"/>
      <c r="Q1057" s="278"/>
      <c r="R1057" s="278"/>
      <c r="S1057" s="278"/>
      <c r="T1057" s="278"/>
      <c r="U1057" s="278"/>
      <c r="V1057" s="278"/>
    </row>
    <row r="1058" spans="1:22" x14ac:dyDescent="0.15">
      <c r="A1058" s="278"/>
      <c r="B1058" s="278"/>
      <c r="C1058" s="278"/>
      <c r="D1058" s="278"/>
      <c r="E1058" s="278"/>
      <c r="F1058" s="278"/>
      <c r="G1058" s="278"/>
      <c r="H1058" s="278"/>
      <c r="I1058" s="278"/>
      <c r="J1058" s="278"/>
      <c r="K1058" s="278"/>
      <c r="L1058" s="278"/>
      <c r="M1058" s="278"/>
      <c r="N1058" s="278"/>
      <c r="O1058" s="278"/>
      <c r="P1058" s="278"/>
      <c r="Q1058" s="278"/>
      <c r="R1058" s="278"/>
      <c r="S1058" s="278"/>
      <c r="T1058" s="278"/>
      <c r="U1058" s="278"/>
      <c r="V1058" s="278"/>
    </row>
    <row r="1059" spans="1:22" x14ac:dyDescent="0.15">
      <c r="A1059" s="278"/>
      <c r="B1059" s="278"/>
      <c r="C1059" s="278"/>
      <c r="D1059" s="278"/>
      <c r="E1059" s="278"/>
      <c r="F1059" s="278"/>
      <c r="G1059" s="278"/>
      <c r="H1059" s="278"/>
      <c r="I1059" s="278"/>
      <c r="J1059" s="278"/>
      <c r="K1059" s="278"/>
      <c r="L1059" s="278"/>
      <c r="M1059" s="278"/>
      <c r="N1059" s="278"/>
      <c r="O1059" s="278"/>
      <c r="P1059" s="278"/>
      <c r="Q1059" s="278"/>
      <c r="R1059" s="278"/>
      <c r="S1059" s="278"/>
      <c r="T1059" s="278"/>
      <c r="U1059" s="278"/>
      <c r="V1059" s="278"/>
    </row>
    <row r="1060" spans="1:22" x14ac:dyDescent="0.15">
      <c r="A1060" s="278"/>
      <c r="B1060" s="278"/>
      <c r="C1060" s="278"/>
      <c r="D1060" s="278"/>
      <c r="E1060" s="278"/>
      <c r="F1060" s="278"/>
      <c r="G1060" s="278"/>
      <c r="H1060" s="278"/>
      <c r="I1060" s="278"/>
      <c r="J1060" s="278"/>
      <c r="K1060" s="278"/>
      <c r="L1060" s="278"/>
      <c r="M1060" s="278"/>
      <c r="N1060" s="278"/>
      <c r="O1060" s="278"/>
      <c r="P1060" s="278"/>
      <c r="Q1060" s="278"/>
      <c r="R1060" s="278"/>
      <c r="S1060" s="278"/>
      <c r="T1060" s="278"/>
      <c r="U1060" s="278"/>
      <c r="V1060" s="278"/>
    </row>
    <row r="1061" spans="1:22" x14ac:dyDescent="0.15">
      <c r="A1061" s="278"/>
      <c r="B1061" s="278"/>
      <c r="C1061" s="278"/>
      <c r="D1061" s="278"/>
      <c r="E1061" s="278"/>
      <c r="F1061" s="278"/>
      <c r="G1061" s="278"/>
      <c r="H1061" s="278"/>
      <c r="I1061" s="278"/>
      <c r="J1061" s="278"/>
      <c r="K1061" s="278"/>
      <c r="L1061" s="278"/>
      <c r="M1061" s="278"/>
      <c r="N1061" s="278"/>
      <c r="O1061" s="278"/>
      <c r="P1061" s="278"/>
      <c r="Q1061" s="278"/>
      <c r="R1061" s="278"/>
      <c r="S1061" s="278"/>
      <c r="T1061" s="278"/>
      <c r="U1061" s="278"/>
      <c r="V1061" s="278"/>
    </row>
    <row r="1062" spans="1:22" x14ac:dyDescent="0.15">
      <c r="A1062" s="278"/>
      <c r="B1062" s="278"/>
      <c r="C1062" s="278"/>
      <c r="D1062" s="278"/>
      <c r="E1062" s="278"/>
      <c r="F1062" s="278"/>
      <c r="G1062" s="278"/>
      <c r="H1062" s="278"/>
      <c r="I1062" s="278"/>
      <c r="J1062" s="278"/>
      <c r="K1062" s="278"/>
      <c r="L1062" s="278"/>
      <c r="M1062" s="278"/>
      <c r="N1062" s="278"/>
      <c r="O1062" s="278"/>
      <c r="P1062" s="278"/>
      <c r="Q1062" s="278"/>
      <c r="R1062" s="278"/>
      <c r="S1062" s="278"/>
      <c r="T1062" s="278"/>
      <c r="U1062" s="278"/>
      <c r="V1062" s="278"/>
    </row>
    <row r="1063" spans="1:22" x14ac:dyDescent="0.15">
      <c r="A1063" s="278"/>
      <c r="B1063" s="278"/>
      <c r="C1063" s="278"/>
      <c r="D1063" s="278"/>
      <c r="E1063" s="278"/>
      <c r="F1063" s="278"/>
      <c r="G1063" s="278"/>
      <c r="H1063" s="278"/>
      <c r="I1063" s="278"/>
      <c r="J1063" s="278"/>
      <c r="K1063" s="278"/>
      <c r="L1063" s="278"/>
      <c r="M1063" s="278"/>
      <c r="N1063" s="278"/>
      <c r="O1063" s="278"/>
      <c r="P1063" s="278"/>
      <c r="Q1063" s="278"/>
      <c r="R1063" s="278"/>
      <c r="S1063" s="278"/>
      <c r="T1063" s="278"/>
      <c r="U1063" s="278"/>
      <c r="V1063" s="278"/>
    </row>
    <row r="1064" spans="1:22" x14ac:dyDescent="0.15">
      <c r="A1064" s="278"/>
      <c r="B1064" s="278"/>
      <c r="C1064" s="278"/>
      <c r="D1064" s="278"/>
      <c r="E1064" s="278"/>
      <c r="F1064" s="278"/>
      <c r="G1064" s="278"/>
      <c r="H1064" s="278"/>
      <c r="I1064" s="278"/>
      <c r="J1064" s="278"/>
      <c r="K1064" s="278"/>
      <c r="L1064" s="278"/>
      <c r="M1064" s="278"/>
      <c r="N1064" s="278"/>
      <c r="O1064" s="278"/>
      <c r="P1064" s="278"/>
      <c r="Q1064" s="278"/>
      <c r="R1064" s="278"/>
      <c r="S1064" s="278"/>
      <c r="T1064" s="278"/>
      <c r="U1064" s="278"/>
      <c r="V1064" s="278"/>
    </row>
    <row r="1065" spans="1:22" x14ac:dyDescent="0.15">
      <c r="A1065" s="278"/>
      <c r="B1065" s="278"/>
      <c r="C1065" s="278"/>
      <c r="D1065" s="278"/>
      <c r="E1065" s="278"/>
      <c r="F1065" s="278"/>
      <c r="G1065" s="278"/>
      <c r="H1065" s="278"/>
      <c r="I1065" s="278"/>
      <c r="J1065" s="278"/>
      <c r="K1065" s="278"/>
      <c r="L1065" s="278"/>
      <c r="M1065" s="278"/>
      <c r="N1065" s="278"/>
      <c r="O1065" s="278"/>
      <c r="P1065" s="278"/>
      <c r="Q1065" s="278"/>
      <c r="R1065" s="278"/>
      <c r="S1065" s="278"/>
      <c r="T1065" s="278"/>
      <c r="U1065" s="278"/>
      <c r="V1065" s="278"/>
    </row>
    <row r="1066" spans="1:22" x14ac:dyDescent="0.15">
      <c r="A1066" s="278"/>
      <c r="B1066" s="278"/>
      <c r="C1066" s="278"/>
      <c r="D1066" s="278"/>
      <c r="E1066" s="278"/>
      <c r="F1066" s="278"/>
      <c r="G1066" s="278"/>
      <c r="H1066" s="278"/>
      <c r="I1066" s="278"/>
      <c r="J1066" s="278"/>
      <c r="K1066" s="278"/>
      <c r="L1066" s="278"/>
      <c r="M1066" s="278"/>
      <c r="N1066" s="278"/>
      <c r="O1066" s="278"/>
      <c r="P1066" s="278"/>
      <c r="Q1066" s="278"/>
      <c r="R1066" s="278"/>
      <c r="S1066" s="278"/>
      <c r="T1066" s="278"/>
      <c r="U1066" s="278"/>
      <c r="V1066" s="278"/>
    </row>
    <row r="1067" spans="1:22" x14ac:dyDescent="0.15">
      <c r="A1067" s="278"/>
      <c r="B1067" s="278"/>
      <c r="C1067" s="278"/>
      <c r="D1067" s="278"/>
      <c r="E1067" s="278"/>
      <c r="F1067" s="278"/>
      <c r="G1067" s="278"/>
      <c r="H1067" s="278"/>
      <c r="I1067" s="278"/>
      <c r="J1067" s="278"/>
      <c r="K1067" s="278"/>
      <c r="L1067" s="278"/>
      <c r="M1067" s="278"/>
      <c r="N1067" s="278"/>
      <c r="O1067" s="278"/>
      <c r="P1067" s="278"/>
      <c r="Q1067" s="278"/>
      <c r="R1067" s="278"/>
      <c r="S1067" s="278"/>
      <c r="T1067" s="278"/>
      <c r="U1067" s="278"/>
      <c r="V1067" s="278"/>
    </row>
    <row r="1068" spans="1:22" x14ac:dyDescent="0.15">
      <c r="A1068" s="278"/>
      <c r="B1068" s="278"/>
      <c r="C1068" s="278"/>
      <c r="D1068" s="278"/>
      <c r="E1068" s="278"/>
      <c r="F1068" s="278"/>
      <c r="G1068" s="278"/>
      <c r="H1068" s="278"/>
      <c r="I1068" s="278"/>
      <c r="J1068" s="278"/>
      <c r="K1068" s="278"/>
      <c r="L1068" s="278"/>
      <c r="M1068" s="278"/>
      <c r="N1068" s="278"/>
      <c r="O1068" s="278"/>
      <c r="P1068" s="278"/>
      <c r="Q1068" s="278"/>
      <c r="R1068" s="278"/>
      <c r="S1068" s="278"/>
      <c r="T1068" s="278"/>
      <c r="U1068" s="278"/>
      <c r="V1068" s="278"/>
    </row>
    <row r="1069" spans="1:22" x14ac:dyDescent="0.15">
      <c r="A1069" s="278"/>
      <c r="B1069" s="278"/>
      <c r="C1069" s="278"/>
      <c r="D1069" s="278"/>
      <c r="E1069" s="278"/>
      <c r="F1069" s="278"/>
      <c r="G1069" s="278"/>
      <c r="H1069" s="278"/>
      <c r="I1069" s="278"/>
      <c r="J1069" s="278"/>
      <c r="K1069" s="278"/>
      <c r="L1069" s="278"/>
      <c r="M1069" s="278"/>
      <c r="N1069" s="278"/>
      <c r="O1069" s="278"/>
      <c r="P1069" s="278"/>
      <c r="Q1069" s="278"/>
      <c r="R1069" s="278"/>
      <c r="S1069" s="278"/>
      <c r="T1069" s="278"/>
      <c r="U1069" s="278"/>
      <c r="V1069" s="278"/>
    </row>
    <row r="1070" spans="1:22" x14ac:dyDescent="0.15">
      <c r="A1070" s="278"/>
      <c r="B1070" s="278"/>
      <c r="C1070" s="278"/>
      <c r="D1070" s="278"/>
      <c r="E1070" s="278"/>
      <c r="F1070" s="278"/>
      <c r="G1070" s="278"/>
      <c r="H1070" s="278"/>
      <c r="I1070" s="278"/>
      <c r="J1070" s="278"/>
      <c r="K1070" s="278"/>
      <c r="L1070" s="278"/>
      <c r="M1070" s="278"/>
      <c r="N1070" s="278"/>
      <c r="O1070" s="278"/>
      <c r="P1070" s="278"/>
      <c r="Q1070" s="278"/>
      <c r="R1070" s="278"/>
      <c r="S1070" s="278"/>
      <c r="T1070" s="278"/>
      <c r="U1070" s="278"/>
      <c r="V1070" s="278"/>
    </row>
    <row r="1071" spans="1:22" x14ac:dyDescent="0.15">
      <c r="A1071" s="278"/>
      <c r="B1071" s="278"/>
      <c r="C1071" s="278"/>
      <c r="D1071" s="278"/>
      <c r="E1071" s="278"/>
      <c r="F1071" s="278"/>
      <c r="G1071" s="278"/>
      <c r="H1071" s="278"/>
      <c r="I1071" s="278"/>
      <c r="J1071" s="278"/>
      <c r="K1071" s="278"/>
      <c r="L1071" s="278"/>
      <c r="M1071" s="278"/>
      <c r="N1071" s="278"/>
      <c r="O1071" s="278"/>
      <c r="P1071" s="278"/>
      <c r="Q1071" s="278"/>
      <c r="R1071" s="278"/>
      <c r="S1071" s="278"/>
      <c r="T1071" s="278"/>
      <c r="U1071" s="278"/>
      <c r="V1071" s="278"/>
    </row>
    <row r="1072" spans="1:22" x14ac:dyDescent="0.15">
      <c r="A1072" s="278"/>
      <c r="B1072" s="278"/>
      <c r="C1072" s="278"/>
      <c r="D1072" s="278"/>
      <c r="E1072" s="278"/>
      <c r="F1072" s="278"/>
      <c r="G1072" s="278"/>
      <c r="H1072" s="278"/>
      <c r="I1072" s="278"/>
      <c r="J1072" s="278"/>
      <c r="K1072" s="278"/>
      <c r="L1072" s="278"/>
      <c r="M1072" s="278"/>
      <c r="N1072" s="278"/>
      <c r="O1072" s="278"/>
      <c r="P1072" s="278"/>
      <c r="Q1072" s="278"/>
      <c r="R1072" s="278"/>
      <c r="S1072" s="278"/>
      <c r="T1072" s="278"/>
      <c r="U1072" s="278"/>
      <c r="V1072" s="278"/>
    </row>
    <row r="1073" spans="1:22" x14ac:dyDescent="0.15">
      <c r="A1073" s="278"/>
      <c r="B1073" s="278"/>
      <c r="C1073" s="278"/>
      <c r="D1073" s="278"/>
      <c r="E1073" s="278"/>
      <c r="F1073" s="278"/>
      <c r="G1073" s="278"/>
      <c r="H1073" s="278"/>
      <c r="I1073" s="278"/>
      <c r="J1073" s="278"/>
      <c r="K1073" s="278"/>
      <c r="L1073" s="278"/>
      <c r="M1073" s="278"/>
      <c r="N1073" s="278"/>
      <c r="O1073" s="278"/>
      <c r="P1073" s="278"/>
      <c r="Q1073" s="278"/>
      <c r="R1073" s="278"/>
      <c r="S1073" s="278"/>
      <c r="T1073" s="278"/>
      <c r="U1073" s="278"/>
      <c r="V1073" s="278"/>
    </row>
    <row r="1074" spans="1:22" x14ac:dyDescent="0.15">
      <c r="A1074" s="278"/>
      <c r="B1074" s="278"/>
      <c r="C1074" s="278"/>
      <c r="D1074" s="278"/>
      <c r="E1074" s="278"/>
      <c r="F1074" s="278"/>
      <c r="G1074" s="278"/>
      <c r="H1074" s="278"/>
      <c r="I1074" s="278"/>
      <c r="J1074" s="278"/>
      <c r="K1074" s="278"/>
      <c r="L1074" s="278"/>
      <c r="M1074" s="278"/>
      <c r="N1074" s="278"/>
      <c r="O1074" s="278"/>
      <c r="P1074" s="278"/>
      <c r="Q1074" s="278"/>
      <c r="R1074" s="278"/>
      <c r="S1074" s="278"/>
      <c r="T1074" s="278"/>
      <c r="U1074" s="278"/>
      <c r="V1074" s="278"/>
    </row>
    <row r="1075" spans="1:22" x14ac:dyDescent="0.15">
      <c r="A1075" s="278"/>
      <c r="B1075" s="278"/>
      <c r="C1075" s="278"/>
      <c r="D1075" s="278"/>
      <c r="E1075" s="278"/>
      <c r="F1075" s="278"/>
      <c r="G1075" s="278"/>
      <c r="H1075" s="278"/>
      <c r="I1075" s="278"/>
      <c r="J1075" s="278"/>
      <c r="K1075" s="278"/>
      <c r="L1075" s="278"/>
      <c r="M1075" s="278"/>
      <c r="N1075" s="278"/>
      <c r="O1075" s="278"/>
      <c r="P1075" s="278"/>
      <c r="Q1075" s="278"/>
      <c r="R1075" s="278"/>
      <c r="S1075" s="278"/>
      <c r="T1075" s="278"/>
      <c r="U1075" s="278"/>
      <c r="V1075" s="278"/>
    </row>
    <row r="1076" spans="1:22" x14ac:dyDescent="0.15">
      <c r="A1076" s="278"/>
      <c r="B1076" s="278"/>
      <c r="C1076" s="278"/>
      <c r="D1076" s="278"/>
      <c r="E1076" s="278"/>
      <c r="F1076" s="278"/>
      <c r="G1076" s="278"/>
      <c r="H1076" s="278"/>
      <c r="I1076" s="278"/>
      <c r="J1076" s="278"/>
      <c r="K1076" s="278"/>
      <c r="L1076" s="278"/>
      <c r="M1076" s="278"/>
      <c r="N1076" s="278"/>
      <c r="O1076" s="278"/>
      <c r="P1076" s="278"/>
      <c r="Q1076" s="278"/>
      <c r="R1076" s="278"/>
      <c r="S1076" s="278"/>
      <c r="T1076" s="278"/>
      <c r="U1076" s="278"/>
      <c r="V1076" s="278"/>
    </row>
    <row r="1077" spans="1:22" x14ac:dyDescent="0.15">
      <c r="A1077" s="278"/>
      <c r="B1077" s="278"/>
      <c r="C1077" s="278"/>
      <c r="D1077" s="278"/>
      <c r="E1077" s="278"/>
      <c r="F1077" s="278"/>
      <c r="G1077" s="278"/>
      <c r="H1077" s="278"/>
      <c r="I1077" s="278"/>
      <c r="J1077" s="278"/>
      <c r="K1077" s="278"/>
      <c r="L1077" s="278"/>
      <c r="M1077" s="278"/>
      <c r="N1077" s="278"/>
      <c r="O1077" s="278"/>
      <c r="P1077" s="278"/>
      <c r="Q1077" s="278"/>
      <c r="R1077" s="278"/>
      <c r="S1077" s="278"/>
      <c r="T1077" s="278"/>
      <c r="U1077" s="278"/>
      <c r="V1077" s="278"/>
    </row>
    <row r="1078" spans="1:22" x14ac:dyDescent="0.15">
      <c r="A1078" s="278"/>
      <c r="B1078" s="278"/>
      <c r="C1078" s="278"/>
      <c r="D1078" s="278"/>
      <c r="E1078" s="278"/>
      <c r="F1078" s="278"/>
      <c r="G1078" s="278"/>
      <c r="H1078" s="278"/>
      <c r="I1078" s="278"/>
      <c r="J1078" s="278"/>
      <c r="K1078" s="278"/>
      <c r="L1078" s="278"/>
      <c r="M1078" s="278"/>
      <c r="N1078" s="278"/>
      <c r="O1078" s="278"/>
      <c r="P1078" s="278"/>
      <c r="Q1078" s="278"/>
      <c r="R1078" s="278"/>
      <c r="S1078" s="278"/>
      <c r="T1078" s="278"/>
      <c r="U1078" s="278"/>
      <c r="V1078" s="278"/>
    </row>
    <row r="1079" spans="1:22" x14ac:dyDescent="0.15">
      <c r="A1079" s="278"/>
      <c r="B1079" s="278"/>
      <c r="C1079" s="278"/>
      <c r="D1079" s="278"/>
      <c r="E1079" s="278"/>
      <c r="F1079" s="278"/>
      <c r="G1079" s="278"/>
      <c r="H1079" s="278"/>
      <c r="I1079" s="278"/>
      <c r="J1079" s="278"/>
      <c r="K1079" s="278"/>
      <c r="L1079" s="278"/>
      <c r="M1079" s="278"/>
      <c r="N1079" s="278"/>
      <c r="O1079" s="278"/>
      <c r="P1079" s="278"/>
      <c r="Q1079" s="278"/>
      <c r="R1079" s="278"/>
      <c r="S1079" s="278"/>
      <c r="T1079" s="278"/>
      <c r="U1079" s="278"/>
      <c r="V1079" s="278"/>
    </row>
    <row r="1080" spans="1:22" x14ac:dyDescent="0.15">
      <c r="A1080" s="278"/>
      <c r="B1080" s="278"/>
      <c r="C1080" s="278"/>
      <c r="D1080" s="278"/>
      <c r="E1080" s="278"/>
      <c r="F1080" s="278"/>
      <c r="G1080" s="278"/>
      <c r="H1080" s="278"/>
      <c r="I1080" s="278"/>
      <c r="J1080" s="278"/>
      <c r="K1080" s="278"/>
      <c r="L1080" s="278"/>
      <c r="M1080" s="278"/>
      <c r="N1080" s="278"/>
      <c r="O1080" s="278"/>
      <c r="P1080" s="278"/>
      <c r="Q1080" s="278"/>
      <c r="R1080" s="278"/>
      <c r="S1080" s="278"/>
      <c r="T1080" s="278"/>
      <c r="U1080" s="278"/>
      <c r="V1080" s="278"/>
    </row>
    <row r="1081" spans="1:22" x14ac:dyDescent="0.15">
      <c r="A1081" s="278"/>
      <c r="B1081" s="278"/>
      <c r="C1081" s="278"/>
      <c r="D1081" s="278"/>
      <c r="E1081" s="278"/>
      <c r="F1081" s="278"/>
      <c r="G1081" s="278"/>
      <c r="H1081" s="278"/>
      <c r="I1081" s="278"/>
      <c r="J1081" s="278"/>
      <c r="K1081" s="278"/>
      <c r="L1081" s="278"/>
      <c r="M1081" s="278"/>
      <c r="N1081" s="278"/>
      <c r="O1081" s="278"/>
      <c r="P1081" s="278"/>
      <c r="Q1081" s="278"/>
      <c r="R1081" s="278"/>
      <c r="S1081" s="278"/>
      <c r="T1081" s="278"/>
      <c r="U1081" s="278"/>
      <c r="V1081" s="278"/>
    </row>
    <row r="1082" spans="1:22" x14ac:dyDescent="0.15">
      <c r="A1082" s="278"/>
      <c r="B1082" s="278"/>
      <c r="C1082" s="278"/>
      <c r="D1082" s="278"/>
      <c r="E1082" s="278"/>
      <c r="F1082" s="278"/>
      <c r="G1082" s="278"/>
      <c r="H1082" s="278"/>
      <c r="I1082" s="278"/>
      <c r="J1082" s="278"/>
      <c r="K1082" s="278"/>
      <c r="L1082" s="278"/>
      <c r="M1082" s="278"/>
      <c r="N1082" s="278"/>
      <c r="O1082" s="278"/>
      <c r="P1082" s="278"/>
      <c r="Q1082" s="278"/>
      <c r="R1082" s="278"/>
      <c r="S1082" s="278"/>
      <c r="T1082" s="278"/>
      <c r="U1082" s="278"/>
      <c r="V1082" s="278"/>
    </row>
    <row r="1083" spans="1:22" x14ac:dyDescent="0.15">
      <c r="A1083" s="278"/>
      <c r="B1083" s="278"/>
      <c r="C1083" s="278"/>
      <c r="D1083" s="278"/>
      <c r="E1083" s="278"/>
      <c r="F1083" s="278"/>
      <c r="G1083" s="278"/>
      <c r="H1083" s="278"/>
      <c r="I1083" s="278"/>
      <c r="J1083" s="278"/>
      <c r="K1083" s="278"/>
      <c r="L1083" s="278"/>
      <c r="M1083" s="278"/>
      <c r="N1083" s="278"/>
      <c r="O1083" s="278"/>
      <c r="P1083" s="278"/>
      <c r="Q1083" s="278"/>
      <c r="R1083" s="278"/>
      <c r="S1083" s="278"/>
      <c r="T1083" s="278"/>
      <c r="U1083" s="278"/>
      <c r="V1083" s="278"/>
    </row>
    <row r="1084" spans="1:22" x14ac:dyDescent="0.15">
      <c r="A1084" s="278"/>
      <c r="B1084" s="278"/>
      <c r="C1084" s="278"/>
      <c r="D1084" s="278"/>
      <c r="E1084" s="278"/>
      <c r="F1084" s="278"/>
      <c r="G1084" s="278"/>
      <c r="H1084" s="278"/>
      <c r="I1084" s="278"/>
      <c r="J1084" s="278"/>
      <c r="K1084" s="278"/>
      <c r="L1084" s="278"/>
      <c r="M1084" s="278"/>
      <c r="N1084" s="278"/>
      <c r="O1084" s="278"/>
      <c r="P1084" s="278"/>
      <c r="Q1084" s="278"/>
      <c r="R1084" s="278"/>
      <c r="S1084" s="278"/>
      <c r="T1084" s="278"/>
      <c r="U1084" s="278"/>
      <c r="V1084" s="278"/>
    </row>
    <row r="1085" spans="1:22" x14ac:dyDescent="0.15">
      <c r="A1085" s="278"/>
      <c r="B1085" s="278"/>
      <c r="C1085" s="278"/>
      <c r="D1085" s="278"/>
      <c r="E1085" s="278"/>
      <c r="F1085" s="278"/>
      <c r="G1085" s="278"/>
      <c r="H1085" s="278"/>
      <c r="I1085" s="278"/>
      <c r="J1085" s="278"/>
      <c r="K1085" s="278"/>
      <c r="L1085" s="278"/>
      <c r="M1085" s="278"/>
      <c r="N1085" s="278"/>
      <c r="O1085" s="278"/>
      <c r="P1085" s="278"/>
      <c r="Q1085" s="278"/>
      <c r="R1085" s="278"/>
      <c r="S1085" s="278"/>
      <c r="T1085" s="278"/>
      <c r="U1085" s="278"/>
      <c r="V1085" s="278"/>
    </row>
    <row r="1086" spans="1:22" x14ac:dyDescent="0.15">
      <c r="A1086" s="278"/>
      <c r="B1086" s="278"/>
      <c r="C1086" s="278"/>
      <c r="D1086" s="278"/>
      <c r="E1086" s="278"/>
      <c r="F1086" s="278"/>
      <c r="G1086" s="278"/>
      <c r="H1086" s="278"/>
      <c r="I1086" s="278"/>
      <c r="J1086" s="278"/>
      <c r="K1086" s="278"/>
      <c r="L1086" s="278"/>
      <c r="M1086" s="278"/>
      <c r="N1086" s="278"/>
      <c r="O1086" s="278"/>
      <c r="P1086" s="278"/>
      <c r="Q1086" s="278"/>
      <c r="R1086" s="278"/>
      <c r="S1086" s="278"/>
      <c r="T1086" s="278"/>
      <c r="U1086" s="278"/>
      <c r="V1086" s="278"/>
    </row>
    <row r="1087" spans="1:22" x14ac:dyDescent="0.15">
      <c r="A1087" s="278"/>
      <c r="B1087" s="278"/>
      <c r="C1087" s="278"/>
      <c r="D1087" s="278"/>
      <c r="E1087" s="278"/>
      <c r="F1087" s="278"/>
      <c r="G1087" s="278"/>
      <c r="H1087" s="278"/>
      <c r="I1087" s="278"/>
      <c r="J1087" s="278"/>
      <c r="K1087" s="278"/>
      <c r="L1087" s="278"/>
      <c r="M1087" s="278"/>
      <c r="N1087" s="278"/>
      <c r="O1087" s="278"/>
      <c r="P1087" s="278"/>
      <c r="Q1087" s="278"/>
      <c r="R1087" s="278"/>
      <c r="S1087" s="278"/>
      <c r="T1087" s="278"/>
      <c r="U1087" s="278"/>
      <c r="V1087" s="278"/>
    </row>
    <row r="1088" spans="1:22" x14ac:dyDescent="0.15">
      <c r="A1088" s="278"/>
      <c r="B1088" s="278"/>
      <c r="C1088" s="278"/>
      <c r="D1088" s="278"/>
      <c r="E1088" s="278"/>
      <c r="F1088" s="278"/>
      <c r="G1088" s="278"/>
      <c r="H1088" s="278"/>
      <c r="I1088" s="278"/>
      <c r="J1088" s="278"/>
      <c r="K1088" s="278"/>
      <c r="L1088" s="278"/>
      <c r="M1088" s="278"/>
      <c r="N1088" s="278"/>
      <c r="O1088" s="278"/>
      <c r="P1088" s="278"/>
      <c r="Q1088" s="278"/>
      <c r="R1088" s="278"/>
      <c r="S1088" s="278"/>
      <c r="T1088" s="278"/>
      <c r="U1088" s="278"/>
      <c r="V1088" s="278"/>
    </row>
    <row r="1089" spans="1:22" x14ac:dyDescent="0.15">
      <c r="A1089" s="278"/>
      <c r="B1089" s="278"/>
      <c r="C1089" s="278"/>
      <c r="D1089" s="278"/>
      <c r="E1089" s="278"/>
      <c r="F1089" s="278"/>
      <c r="G1089" s="278"/>
      <c r="H1089" s="278"/>
      <c r="I1089" s="278"/>
      <c r="J1089" s="278"/>
      <c r="K1089" s="278"/>
      <c r="L1089" s="278"/>
      <c r="M1089" s="278"/>
      <c r="N1089" s="278"/>
      <c r="O1089" s="278"/>
      <c r="P1089" s="278"/>
      <c r="Q1089" s="278"/>
      <c r="R1089" s="278"/>
      <c r="S1089" s="278"/>
      <c r="T1089" s="278"/>
      <c r="U1089" s="278"/>
      <c r="V1089" s="278"/>
    </row>
    <row r="1090" spans="1:22" x14ac:dyDescent="0.15">
      <c r="A1090" s="278"/>
      <c r="B1090" s="278"/>
      <c r="C1090" s="278"/>
      <c r="D1090" s="278"/>
      <c r="E1090" s="278"/>
      <c r="F1090" s="278"/>
      <c r="G1090" s="278"/>
      <c r="H1090" s="278"/>
      <c r="I1090" s="278"/>
      <c r="J1090" s="278"/>
      <c r="K1090" s="278"/>
      <c r="L1090" s="278"/>
      <c r="M1090" s="278"/>
      <c r="N1090" s="278"/>
      <c r="O1090" s="278"/>
      <c r="P1090" s="278"/>
      <c r="Q1090" s="278"/>
      <c r="R1090" s="278"/>
      <c r="S1090" s="278"/>
      <c r="T1090" s="278"/>
      <c r="U1090" s="278"/>
      <c r="V1090" s="278"/>
    </row>
    <row r="1091" spans="1:22" x14ac:dyDescent="0.15">
      <c r="A1091" s="278"/>
      <c r="B1091" s="278"/>
      <c r="C1091" s="278"/>
      <c r="D1091" s="278"/>
      <c r="E1091" s="278"/>
      <c r="F1091" s="278"/>
      <c r="G1091" s="278"/>
      <c r="H1091" s="278"/>
      <c r="I1091" s="278"/>
      <c r="J1091" s="278"/>
      <c r="K1091" s="278"/>
      <c r="L1091" s="278"/>
      <c r="M1091" s="278"/>
      <c r="N1091" s="278"/>
      <c r="O1091" s="278"/>
      <c r="P1091" s="278"/>
      <c r="Q1091" s="278"/>
      <c r="R1091" s="278"/>
      <c r="S1091" s="278"/>
      <c r="T1091" s="278"/>
      <c r="U1091" s="278"/>
      <c r="V1091" s="278"/>
    </row>
    <row r="1092" spans="1:22" x14ac:dyDescent="0.15">
      <c r="A1092" s="278"/>
      <c r="B1092" s="278"/>
      <c r="C1092" s="278"/>
      <c r="D1092" s="278"/>
      <c r="E1092" s="278"/>
      <c r="F1092" s="278"/>
      <c r="G1092" s="278"/>
      <c r="H1092" s="278"/>
      <c r="I1092" s="278"/>
      <c r="J1092" s="278"/>
      <c r="K1092" s="278"/>
      <c r="L1092" s="278"/>
      <c r="M1092" s="278"/>
      <c r="N1092" s="278"/>
      <c r="O1092" s="278"/>
      <c r="P1092" s="278"/>
      <c r="Q1092" s="278"/>
      <c r="R1092" s="278"/>
      <c r="S1092" s="278"/>
      <c r="T1092" s="278"/>
      <c r="U1092" s="278"/>
      <c r="V1092" s="278"/>
    </row>
    <row r="1093" spans="1:22" x14ac:dyDescent="0.15">
      <c r="A1093" s="278"/>
      <c r="B1093" s="278"/>
      <c r="C1093" s="278"/>
      <c r="D1093" s="278"/>
      <c r="E1093" s="278"/>
      <c r="F1093" s="278"/>
      <c r="G1093" s="278"/>
      <c r="H1093" s="278"/>
      <c r="I1093" s="278"/>
      <c r="J1093" s="278"/>
      <c r="K1093" s="278"/>
      <c r="L1093" s="278"/>
      <c r="M1093" s="278"/>
      <c r="N1093" s="278"/>
      <c r="O1093" s="278"/>
      <c r="P1093" s="278"/>
      <c r="Q1093" s="278"/>
      <c r="R1093" s="278"/>
      <c r="S1093" s="278"/>
      <c r="T1093" s="278"/>
      <c r="U1093" s="278"/>
      <c r="V1093" s="278"/>
    </row>
    <row r="1094" spans="1:22" x14ac:dyDescent="0.15">
      <c r="A1094" s="278"/>
      <c r="B1094" s="278"/>
      <c r="C1094" s="278"/>
      <c r="D1094" s="278"/>
      <c r="E1094" s="278"/>
      <c r="F1094" s="278"/>
      <c r="G1094" s="278"/>
      <c r="H1094" s="278"/>
      <c r="I1094" s="278"/>
      <c r="J1094" s="278"/>
      <c r="K1094" s="278"/>
      <c r="L1094" s="278"/>
      <c r="M1094" s="278"/>
      <c r="N1094" s="278"/>
      <c r="O1094" s="278"/>
      <c r="P1094" s="278"/>
      <c r="Q1094" s="278"/>
      <c r="R1094" s="278"/>
      <c r="S1094" s="278"/>
      <c r="T1094" s="278"/>
      <c r="U1094" s="278"/>
      <c r="V1094" s="278"/>
    </row>
    <row r="1095" spans="1:22" x14ac:dyDescent="0.15">
      <c r="A1095" s="278"/>
      <c r="B1095" s="278"/>
      <c r="C1095" s="278"/>
      <c r="D1095" s="278"/>
      <c r="E1095" s="278"/>
      <c r="F1095" s="278"/>
      <c r="G1095" s="278"/>
      <c r="H1095" s="278"/>
      <c r="I1095" s="278"/>
      <c r="J1095" s="278"/>
      <c r="K1095" s="278"/>
      <c r="L1095" s="278"/>
      <c r="M1095" s="278"/>
      <c r="N1095" s="278"/>
      <c r="O1095" s="278"/>
      <c r="P1095" s="278"/>
      <c r="Q1095" s="278"/>
      <c r="R1095" s="278"/>
      <c r="S1095" s="278"/>
      <c r="T1095" s="278"/>
      <c r="U1095" s="278"/>
      <c r="V1095" s="278"/>
    </row>
    <row r="1096" spans="1:22" x14ac:dyDescent="0.15">
      <c r="A1096" s="278"/>
      <c r="B1096" s="278"/>
      <c r="C1096" s="278"/>
      <c r="D1096" s="278"/>
      <c r="E1096" s="278"/>
      <c r="F1096" s="278"/>
      <c r="G1096" s="278"/>
      <c r="H1096" s="278"/>
      <c r="I1096" s="278"/>
      <c r="J1096" s="278"/>
      <c r="K1096" s="278"/>
      <c r="L1096" s="278"/>
      <c r="M1096" s="278"/>
      <c r="N1096" s="278"/>
      <c r="O1096" s="278"/>
      <c r="P1096" s="278"/>
      <c r="Q1096" s="278"/>
      <c r="R1096" s="278"/>
      <c r="S1096" s="278"/>
      <c r="T1096" s="278"/>
      <c r="U1096" s="278"/>
      <c r="V1096" s="278"/>
    </row>
    <row r="1097" spans="1:22" x14ac:dyDescent="0.15">
      <c r="A1097" s="278"/>
      <c r="B1097" s="278"/>
      <c r="C1097" s="278"/>
      <c r="D1097" s="278"/>
      <c r="E1097" s="278"/>
      <c r="F1097" s="278"/>
      <c r="G1097" s="278"/>
      <c r="H1097" s="278"/>
      <c r="I1097" s="278"/>
      <c r="J1097" s="278"/>
      <c r="K1097" s="278"/>
      <c r="L1097" s="278"/>
      <c r="M1097" s="278"/>
      <c r="N1097" s="278"/>
      <c r="O1097" s="278"/>
      <c r="P1097" s="278"/>
      <c r="Q1097" s="278"/>
      <c r="R1097" s="278"/>
      <c r="S1097" s="278"/>
      <c r="T1097" s="278"/>
      <c r="U1097" s="278"/>
      <c r="V1097" s="278"/>
    </row>
    <row r="1098" spans="1:22" x14ac:dyDescent="0.15">
      <c r="A1098" s="278"/>
      <c r="B1098" s="278"/>
      <c r="C1098" s="278"/>
      <c r="D1098" s="278"/>
      <c r="E1098" s="278"/>
      <c r="F1098" s="278"/>
      <c r="G1098" s="278"/>
      <c r="H1098" s="278"/>
      <c r="I1098" s="278"/>
      <c r="J1098" s="278"/>
      <c r="K1098" s="278"/>
      <c r="L1098" s="278"/>
      <c r="M1098" s="278"/>
      <c r="N1098" s="278"/>
      <c r="O1098" s="278"/>
      <c r="P1098" s="278"/>
      <c r="Q1098" s="278"/>
      <c r="R1098" s="278"/>
      <c r="S1098" s="278"/>
      <c r="T1098" s="278"/>
      <c r="U1098" s="278"/>
      <c r="V1098" s="278"/>
    </row>
    <row r="1099" spans="1:22" x14ac:dyDescent="0.15">
      <c r="A1099" s="278"/>
      <c r="B1099" s="278"/>
      <c r="C1099" s="278"/>
      <c r="D1099" s="278"/>
      <c r="E1099" s="278"/>
      <c r="F1099" s="278"/>
      <c r="G1099" s="278"/>
      <c r="H1099" s="278"/>
      <c r="I1099" s="278"/>
      <c r="J1099" s="278"/>
      <c r="K1099" s="278"/>
      <c r="L1099" s="278"/>
      <c r="M1099" s="278"/>
      <c r="N1099" s="278"/>
      <c r="O1099" s="278"/>
      <c r="P1099" s="278"/>
      <c r="Q1099" s="278"/>
      <c r="R1099" s="278"/>
      <c r="S1099" s="278"/>
      <c r="T1099" s="278"/>
      <c r="U1099" s="278"/>
      <c r="V1099" s="278"/>
    </row>
    <row r="1100" spans="1:22" x14ac:dyDescent="0.15">
      <c r="A1100" s="278"/>
      <c r="B1100" s="278"/>
      <c r="C1100" s="278"/>
      <c r="D1100" s="278"/>
      <c r="E1100" s="278"/>
      <c r="F1100" s="278"/>
      <c r="G1100" s="278"/>
      <c r="H1100" s="278"/>
      <c r="I1100" s="278"/>
      <c r="J1100" s="278"/>
      <c r="K1100" s="278"/>
      <c r="L1100" s="278"/>
      <c r="M1100" s="278"/>
      <c r="N1100" s="278"/>
      <c r="O1100" s="278"/>
      <c r="P1100" s="278"/>
      <c r="Q1100" s="278"/>
      <c r="R1100" s="278"/>
      <c r="S1100" s="278"/>
      <c r="T1100" s="278"/>
      <c r="U1100" s="278"/>
      <c r="V1100" s="278"/>
    </row>
    <row r="1101" spans="1:22" x14ac:dyDescent="0.15">
      <c r="A1101" s="278"/>
      <c r="B1101" s="278"/>
      <c r="C1101" s="278"/>
      <c r="D1101" s="278"/>
      <c r="E1101" s="278"/>
      <c r="F1101" s="278"/>
      <c r="G1101" s="278"/>
      <c r="H1101" s="278"/>
      <c r="I1101" s="278"/>
      <c r="J1101" s="278"/>
      <c r="K1101" s="278"/>
      <c r="L1101" s="278"/>
      <c r="M1101" s="278"/>
      <c r="N1101" s="278"/>
      <c r="O1101" s="278"/>
      <c r="P1101" s="278"/>
      <c r="Q1101" s="278"/>
      <c r="R1101" s="278"/>
      <c r="S1101" s="278"/>
      <c r="T1101" s="278"/>
      <c r="U1101" s="278"/>
      <c r="V1101" s="278"/>
    </row>
    <row r="1102" spans="1:22" x14ac:dyDescent="0.15">
      <c r="A1102" s="278"/>
      <c r="B1102" s="278"/>
      <c r="C1102" s="278"/>
      <c r="D1102" s="278"/>
      <c r="E1102" s="278"/>
      <c r="F1102" s="278"/>
      <c r="G1102" s="278"/>
      <c r="H1102" s="278"/>
      <c r="I1102" s="278"/>
      <c r="J1102" s="278"/>
      <c r="K1102" s="278"/>
      <c r="L1102" s="278"/>
      <c r="M1102" s="278"/>
      <c r="N1102" s="278"/>
      <c r="O1102" s="278"/>
      <c r="P1102" s="278"/>
      <c r="Q1102" s="278"/>
      <c r="R1102" s="278"/>
      <c r="S1102" s="278"/>
      <c r="T1102" s="278"/>
      <c r="U1102" s="278"/>
      <c r="V1102" s="278"/>
    </row>
    <row r="1103" spans="1:22" x14ac:dyDescent="0.15">
      <c r="A1103" s="278"/>
      <c r="B1103" s="278"/>
      <c r="C1103" s="278"/>
      <c r="D1103" s="278"/>
      <c r="E1103" s="278"/>
      <c r="F1103" s="278"/>
      <c r="G1103" s="278"/>
      <c r="H1103" s="278"/>
      <c r="I1103" s="278"/>
      <c r="J1103" s="278"/>
      <c r="K1103" s="278"/>
      <c r="L1103" s="278"/>
      <c r="M1103" s="278"/>
      <c r="N1103" s="278"/>
      <c r="O1103" s="278"/>
      <c r="P1103" s="278"/>
      <c r="Q1103" s="278"/>
      <c r="R1103" s="278"/>
      <c r="S1103" s="278"/>
      <c r="T1103" s="278"/>
      <c r="U1103" s="278"/>
      <c r="V1103" s="278"/>
    </row>
    <row r="1104" spans="1:22" x14ac:dyDescent="0.15">
      <c r="A1104" s="278"/>
      <c r="B1104" s="278"/>
      <c r="C1104" s="278"/>
      <c r="D1104" s="278"/>
      <c r="E1104" s="278"/>
      <c r="F1104" s="278"/>
      <c r="G1104" s="278"/>
      <c r="H1104" s="278"/>
      <c r="I1104" s="278"/>
      <c r="J1104" s="278"/>
      <c r="K1104" s="278"/>
      <c r="L1104" s="278"/>
      <c r="M1104" s="278"/>
      <c r="N1104" s="278"/>
      <c r="O1104" s="278"/>
      <c r="P1104" s="278"/>
      <c r="Q1104" s="278"/>
      <c r="R1104" s="278"/>
      <c r="S1104" s="278"/>
      <c r="T1104" s="278"/>
      <c r="U1104" s="278"/>
      <c r="V1104" s="278"/>
    </row>
    <row r="1105" spans="1:22" x14ac:dyDescent="0.15">
      <c r="A1105" s="278"/>
      <c r="B1105" s="278"/>
      <c r="C1105" s="278"/>
      <c r="D1105" s="278"/>
      <c r="E1105" s="278"/>
      <c r="F1105" s="278"/>
      <c r="G1105" s="278"/>
      <c r="H1105" s="278"/>
      <c r="I1105" s="278"/>
      <c r="J1105" s="278"/>
      <c r="K1105" s="278"/>
      <c r="L1105" s="278"/>
      <c r="M1105" s="278"/>
      <c r="N1105" s="278"/>
      <c r="O1105" s="278"/>
      <c r="P1105" s="278"/>
      <c r="Q1105" s="278"/>
      <c r="R1105" s="278"/>
      <c r="S1105" s="278"/>
      <c r="T1105" s="278"/>
      <c r="U1105" s="278"/>
      <c r="V1105" s="278"/>
    </row>
    <row r="1106" spans="1:22" x14ac:dyDescent="0.15">
      <c r="A1106" s="278"/>
      <c r="B1106" s="278"/>
      <c r="C1106" s="278"/>
      <c r="D1106" s="278"/>
      <c r="E1106" s="278"/>
      <c r="F1106" s="278"/>
      <c r="G1106" s="278"/>
      <c r="H1106" s="278"/>
      <c r="I1106" s="278"/>
      <c r="J1106" s="278"/>
      <c r="K1106" s="278"/>
      <c r="L1106" s="278"/>
      <c r="M1106" s="278"/>
      <c r="N1106" s="278"/>
      <c r="O1106" s="278"/>
      <c r="P1106" s="278"/>
      <c r="Q1106" s="278"/>
      <c r="R1106" s="278"/>
      <c r="S1106" s="278"/>
      <c r="T1106" s="278"/>
      <c r="U1106" s="278"/>
      <c r="V1106" s="278"/>
    </row>
    <row r="1107" spans="1:22" x14ac:dyDescent="0.15">
      <c r="A1107" s="278"/>
      <c r="B1107" s="278"/>
      <c r="C1107" s="278"/>
      <c r="D1107" s="278"/>
      <c r="E1107" s="278"/>
      <c r="F1107" s="278"/>
      <c r="G1107" s="278"/>
      <c r="H1107" s="278"/>
      <c r="I1107" s="278"/>
      <c r="J1107" s="278"/>
      <c r="K1107" s="278"/>
      <c r="L1107" s="278"/>
      <c r="M1107" s="278"/>
      <c r="N1107" s="278"/>
      <c r="O1107" s="278"/>
      <c r="P1107" s="278"/>
      <c r="Q1107" s="278"/>
      <c r="R1107" s="278"/>
      <c r="S1107" s="278"/>
      <c r="T1107" s="278"/>
      <c r="U1107" s="278"/>
      <c r="V1107" s="278"/>
    </row>
    <row r="1108" spans="1:22" x14ac:dyDescent="0.15">
      <c r="A1108" s="278"/>
      <c r="B1108" s="278"/>
      <c r="C1108" s="278"/>
      <c r="D1108" s="278"/>
      <c r="E1108" s="278"/>
      <c r="F1108" s="278"/>
      <c r="G1108" s="278"/>
      <c r="H1108" s="278"/>
      <c r="I1108" s="278"/>
      <c r="J1108" s="278"/>
      <c r="K1108" s="278"/>
      <c r="L1108" s="278"/>
      <c r="M1108" s="278"/>
      <c r="N1108" s="278"/>
      <c r="O1108" s="278"/>
      <c r="P1108" s="278"/>
      <c r="Q1108" s="278"/>
      <c r="R1108" s="278"/>
      <c r="S1108" s="278"/>
      <c r="T1108" s="278"/>
      <c r="U1108" s="278"/>
      <c r="V1108" s="278"/>
    </row>
    <row r="1109" spans="1:22" x14ac:dyDescent="0.15">
      <c r="A1109" s="278"/>
      <c r="B1109" s="278"/>
      <c r="C1109" s="278"/>
      <c r="D1109" s="278"/>
      <c r="E1109" s="278"/>
      <c r="F1109" s="278"/>
      <c r="G1109" s="278"/>
      <c r="H1109" s="278"/>
      <c r="I1109" s="278"/>
      <c r="J1109" s="278"/>
      <c r="K1109" s="278"/>
      <c r="L1109" s="278"/>
      <c r="M1109" s="278"/>
      <c r="N1109" s="278"/>
      <c r="O1109" s="278"/>
      <c r="P1109" s="278"/>
      <c r="Q1109" s="278"/>
      <c r="R1109" s="278"/>
      <c r="S1109" s="278"/>
      <c r="T1109" s="278"/>
      <c r="U1109" s="278"/>
      <c r="V1109" s="278"/>
    </row>
    <row r="1110" spans="1:22" x14ac:dyDescent="0.15">
      <c r="A1110" s="278"/>
      <c r="B1110" s="278"/>
      <c r="C1110" s="278"/>
      <c r="D1110" s="278"/>
      <c r="E1110" s="278"/>
      <c r="F1110" s="278"/>
      <c r="G1110" s="278"/>
      <c r="H1110" s="278"/>
      <c r="I1110" s="278"/>
      <c r="J1110" s="278"/>
      <c r="K1110" s="278"/>
      <c r="L1110" s="278"/>
      <c r="M1110" s="278"/>
      <c r="N1110" s="278"/>
      <c r="O1110" s="278"/>
      <c r="P1110" s="278"/>
      <c r="Q1110" s="278"/>
      <c r="R1110" s="278"/>
      <c r="S1110" s="278"/>
      <c r="T1110" s="278"/>
      <c r="U1110" s="278"/>
      <c r="V1110" s="278"/>
    </row>
    <row r="1111" spans="1:22" x14ac:dyDescent="0.15">
      <c r="A1111" s="278"/>
      <c r="B1111" s="278"/>
      <c r="C1111" s="278"/>
      <c r="D1111" s="278"/>
      <c r="E1111" s="278"/>
      <c r="F1111" s="278"/>
      <c r="G1111" s="278"/>
      <c r="H1111" s="278"/>
      <c r="I1111" s="278"/>
      <c r="J1111" s="278"/>
      <c r="K1111" s="278"/>
      <c r="L1111" s="278"/>
      <c r="M1111" s="278"/>
      <c r="N1111" s="278"/>
      <c r="O1111" s="278"/>
      <c r="P1111" s="278"/>
      <c r="Q1111" s="278"/>
      <c r="R1111" s="278"/>
      <c r="S1111" s="278"/>
      <c r="T1111" s="278"/>
      <c r="U1111" s="278"/>
      <c r="V1111" s="278"/>
    </row>
    <row r="1112" spans="1:22" x14ac:dyDescent="0.15">
      <c r="A1112" s="278"/>
      <c r="B1112" s="278"/>
      <c r="C1112" s="278"/>
      <c r="D1112" s="278"/>
      <c r="E1112" s="278"/>
      <c r="F1112" s="278"/>
      <c r="G1112" s="278"/>
      <c r="H1112" s="278"/>
      <c r="I1112" s="278"/>
      <c r="J1112" s="278"/>
      <c r="K1112" s="278"/>
      <c r="L1112" s="278"/>
      <c r="M1112" s="278"/>
      <c r="N1112" s="278"/>
      <c r="O1112" s="278"/>
      <c r="P1112" s="278"/>
      <c r="Q1112" s="278"/>
      <c r="R1112" s="278"/>
      <c r="S1112" s="278"/>
      <c r="T1112" s="278"/>
      <c r="U1112" s="278"/>
      <c r="V1112" s="278"/>
    </row>
    <row r="1113" spans="1:22" x14ac:dyDescent="0.15">
      <c r="A1113" s="278"/>
      <c r="B1113" s="278"/>
      <c r="C1113" s="278"/>
      <c r="D1113" s="278"/>
      <c r="E1113" s="278"/>
      <c r="F1113" s="278"/>
      <c r="G1113" s="278"/>
      <c r="H1113" s="278"/>
      <c r="I1113" s="278"/>
      <c r="J1113" s="278"/>
      <c r="K1113" s="278"/>
      <c r="L1113" s="278"/>
      <c r="M1113" s="278"/>
      <c r="N1113" s="278"/>
      <c r="O1113" s="278"/>
      <c r="P1113" s="278"/>
      <c r="Q1113" s="278"/>
      <c r="R1113" s="278"/>
      <c r="S1113" s="278"/>
      <c r="T1113" s="278"/>
      <c r="U1113" s="278"/>
      <c r="V1113" s="278"/>
    </row>
    <row r="1114" spans="1:22" x14ac:dyDescent="0.15">
      <c r="A1114" s="278"/>
      <c r="B1114" s="278"/>
      <c r="C1114" s="278"/>
      <c r="D1114" s="278"/>
      <c r="E1114" s="278"/>
      <c r="F1114" s="278"/>
      <c r="G1114" s="278"/>
      <c r="H1114" s="278"/>
      <c r="I1114" s="278"/>
      <c r="J1114" s="278"/>
      <c r="K1114" s="278"/>
      <c r="L1114" s="278"/>
      <c r="M1114" s="278"/>
      <c r="N1114" s="278"/>
      <c r="O1114" s="278"/>
      <c r="P1114" s="278"/>
      <c r="Q1114" s="278"/>
      <c r="R1114" s="278"/>
      <c r="S1114" s="278"/>
      <c r="T1114" s="278"/>
      <c r="U1114" s="278"/>
      <c r="V1114" s="278"/>
    </row>
    <row r="1115" spans="1:22" x14ac:dyDescent="0.15">
      <c r="A1115" s="278"/>
      <c r="B1115" s="278"/>
      <c r="C1115" s="278"/>
      <c r="D1115" s="278"/>
      <c r="E1115" s="278"/>
      <c r="F1115" s="278"/>
      <c r="G1115" s="278"/>
      <c r="H1115" s="278"/>
      <c r="I1115" s="278"/>
      <c r="J1115" s="278"/>
      <c r="K1115" s="278"/>
      <c r="L1115" s="278"/>
      <c r="M1115" s="278"/>
      <c r="N1115" s="278"/>
      <c r="O1115" s="278"/>
      <c r="P1115" s="278"/>
      <c r="Q1115" s="278"/>
      <c r="R1115" s="278"/>
      <c r="S1115" s="278"/>
      <c r="T1115" s="278"/>
      <c r="U1115" s="278"/>
      <c r="V1115" s="278"/>
    </row>
    <row r="1116" spans="1:22" x14ac:dyDescent="0.15">
      <c r="A1116" s="278"/>
      <c r="B1116" s="278"/>
      <c r="C1116" s="278"/>
      <c r="D1116" s="278"/>
      <c r="E1116" s="278"/>
      <c r="F1116" s="278"/>
      <c r="G1116" s="278"/>
      <c r="H1116" s="278"/>
      <c r="I1116" s="278"/>
      <c r="J1116" s="278"/>
      <c r="K1116" s="278"/>
      <c r="L1116" s="278"/>
      <c r="M1116" s="278"/>
      <c r="N1116" s="278"/>
      <c r="O1116" s="278"/>
      <c r="P1116" s="278"/>
      <c r="Q1116" s="278"/>
      <c r="R1116" s="278"/>
      <c r="S1116" s="278"/>
      <c r="T1116" s="278"/>
      <c r="U1116" s="278"/>
      <c r="V1116" s="278"/>
    </row>
    <row r="1117" spans="1:22" x14ac:dyDescent="0.15">
      <c r="A1117" s="278"/>
      <c r="B1117" s="278"/>
      <c r="C1117" s="278"/>
      <c r="D1117" s="278"/>
      <c r="E1117" s="278"/>
      <c r="F1117" s="278"/>
      <c r="G1117" s="278"/>
      <c r="H1117" s="278"/>
      <c r="I1117" s="278"/>
      <c r="J1117" s="278"/>
      <c r="K1117" s="278"/>
      <c r="L1117" s="278"/>
      <c r="M1117" s="278"/>
      <c r="N1117" s="278"/>
      <c r="O1117" s="278"/>
      <c r="P1117" s="278"/>
      <c r="Q1117" s="278"/>
      <c r="R1117" s="278"/>
      <c r="S1117" s="278"/>
      <c r="T1117" s="278"/>
      <c r="U1117" s="278"/>
      <c r="V1117" s="278"/>
    </row>
    <row r="1118" spans="1:22" x14ac:dyDescent="0.15">
      <c r="A1118" s="278"/>
      <c r="B1118" s="278"/>
      <c r="C1118" s="278"/>
      <c r="D1118" s="278"/>
      <c r="E1118" s="278"/>
      <c r="F1118" s="278"/>
      <c r="G1118" s="278"/>
      <c r="H1118" s="278"/>
      <c r="I1118" s="278"/>
      <c r="J1118" s="278"/>
      <c r="K1118" s="278"/>
      <c r="L1118" s="278"/>
      <c r="M1118" s="278"/>
      <c r="N1118" s="278"/>
      <c r="O1118" s="278"/>
      <c r="P1118" s="278"/>
      <c r="Q1118" s="278"/>
      <c r="R1118" s="278"/>
      <c r="S1118" s="278"/>
      <c r="T1118" s="278"/>
      <c r="U1118" s="278"/>
      <c r="V1118" s="278"/>
    </row>
    <row r="1119" spans="1:22" x14ac:dyDescent="0.15">
      <c r="A1119" s="278"/>
      <c r="B1119" s="278"/>
      <c r="C1119" s="278"/>
      <c r="D1119" s="278"/>
      <c r="E1119" s="278"/>
      <c r="F1119" s="278"/>
      <c r="G1119" s="278"/>
      <c r="H1119" s="278"/>
      <c r="I1119" s="278"/>
      <c r="J1119" s="278"/>
      <c r="K1119" s="278"/>
      <c r="L1119" s="278"/>
      <c r="M1119" s="278"/>
      <c r="N1119" s="278"/>
      <c r="O1119" s="278"/>
      <c r="P1119" s="278"/>
      <c r="Q1119" s="278"/>
      <c r="R1119" s="278"/>
      <c r="S1119" s="278"/>
      <c r="T1119" s="278"/>
      <c r="U1119" s="278"/>
      <c r="V1119" s="278"/>
    </row>
    <row r="1120" spans="1:22" x14ac:dyDescent="0.15">
      <c r="A1120" s="278"/>
      <c r="B1120" s="278"/>
      <c r="C1120" s="278"/>
      <c r="D1120" s="278"/>
      <c r="E1120" s="278"/>
      <c r="F1120" s="278"/>
      <c r="G1120" s="278"/>
      <c r="H1120" s="278"/>
      <c r="I1120" s="278"/>
      <c r="J1120" s="278"/>
      <c r="K1120" s="278"/>
      <c r="L1120" s="278"/>
      <c r="M1120" s="278"/>
      <c r="N1120" s="278"/>
      <c r="O1120" s="278"/>
      <c r="P1120" s="278"/>
      <c r="Q1120" s="278"/>
      <c r="R1120" s="278"/>
      <c r="S1120" s="278"/>
      <c r="T1120" s="278"/>
      <c r="U1120" s="278"/>
      <c r="V1120" s="278"/>
    </row>
    <row r="1121" spans="1:22" x14ac:dyDescent="0.15">
      <c r="A1121" s="278"/>
      <c r="B1121" s="278"/>
      <c r="C1121" s="278"/>
      <c r="D1121" s="278"/>
      <c r="E1121" s="278"/>
      <c r="F1121" s="278"/>
      <c r="G1121" s="278"/>
      <c r="H1121" s="278"/>
      <c r="I1121" s="278"/>
      <c r="J1121" s="278"/>
      <c r="K1121" s="278"/>
      <c r="L1121" s="278"/>
      <c r="M1121" s="278"/>
      <c r="N1121" s="278"/>
      <c r="O1121" s="278"/>
      <c r="P1121" s="278"/>
      <c r="Q1121" s="278"/>
      <c r="R1121" s="278"/>
      <c r="S1121" s="278"/>
      <c r="T1121" s="278"/>
      <c r="U1121" s="278"/>
      <c r="V1121" s="278"/>
    </row>
    <row r="1122" spans="1:22" x14ac:dyDescent="0.15">
      <c r="A1122" s="278"/>
      <c r="B1122" s="278"/>
      <c r="C1122" s="278"/>
      <c r="D1122" s="278"/>
      <c r="E1122" s="278"/>
      <c r="F1122" s="278"/>
      <c r="G1122" s="278"/>
      <c r="H1122" s="278"/>
      <c r="I1122" s="278"/>
      <c r="J1122" s="278"/>
      <c r="K1122" s="278"/>
      <c r="L1122" s="278"/>
      <c r="M1122" s="278"/>
      <c r="N1122" s="278"/>
      <c r="O1122" s="278"/>
      <c r="P1122" s="278"/>
      <c r="Q1122" s="278"/>
      <c r="R1122" s="278"/>
      <c r="S1122" s="278"/>
      <c r="T1122" s="278"/>
      <c r="U1122" s="278"/>
      <c r="V1122" s="278"/>
    </row>
    <row r="1123" spans="1:22" x14ac:dyDescent="0.15">
      <c r="A1123" s="278"/>
      <c r="B1123" s="278"/>
      <c r="C1123" s="278"/>
      <c r="D1123" s="278"/>
      <c r="E1123" s="278"/>
      <c r="F1123" s="278"/>
      <c r="G1123" s="278"/>
      <c r="H1123" s="278"/>
      <c r="I1123" s="278"/>
      <c r="J1123" s="278"/>
      <c r="K1123" s="278"/>
      <c r="L1123" s="278"/>
      <c r="M1123" s="278"/>
      <c r="N1123" s="278"/>
      <c r="O1123" s="278"/>
      <c r="P1123" s="278"/>
      <c r="Q1123" s="278"/>
      <c r="R1123" s="278"/>
      <c r="S1123" s="278"/>
      <c r="T1123" s="278"/>
      <c r="U1123" s="278"/>
      <c r="V1123" s="278"/>
    </row>
    <row r="1124" spans="1:22" x14ac:dyDescent="0.15">
      <c r="A1124" s="278"/>
      <c r="B1124" s="278"/>
      <c r="C1124" s="278"/>
      <c r="D1124" s="278"/>
      <c r="E1124" s="278"/>
      <c r="F1124" s="278"/>
      <c r="G1124" s="278"/>
      <c r="H1124" s="278"/>
      <c r="I1124" s="278"/>
      <c r="J1124" s="278"/>
      <c r="K1124" s="278"/>
      <c r="L1124" s="278"/>
      <c r="M1124" s="278"/>
      <c r="N1124" s="278"/>
      <c r="O1124" s="278"/>
      <c r="P1124" s="278"/>
      <c r="Q1124" s="278"/>
      <c r="R1124" s="278"/>
      <c r="S1124" s="278"/>
      <c r="T1124" s="278"/>
      <c r="U1124" s="278"/>
      <c r="V1124" s="278"/>
    </row>
    <row r="1125" spans="1:22" x14ac:dyDescent="0.15">
      <c r="A1125" s="278"/>
      <c r="B1125" s="278"/>
      <c r="C1125" s="278"/>
      <c r="D1125" s="278"/>
      <c r="E1125" s="278"/>
      <c r="F1125" s="278"/>
      <c r="G1125" s="278"/>
      <c r="H1125" s="278"/>
      <c r="I1125" s="278"/>
      <c r="J1125" s="278"/>
      <c r="K1125" s="278"/>
      <c r="L1125" s="278"/>
      <c r="M1125" s="278"/>
      <c r="N1125" s="278"/>
      <c r="O1125" s="278"/>
      <c r="P1125" s="278"/>
      <c r="Q1125" s="278"/>
      <c r="R1125" s="278"/>
      <c r="S1125" s="278"/>
      <c r="T1125" s="278"/>
      <c r="U1125" s="278"/>
      <c r="V1125" s="278"/>
    </row>
    <row r="1126" spans="1:22" x14ac:dyDescent="0.15">
      <c r="A1126" s="278"/>
      <c r="B1126" s="278"/>
      <c r="C1126" s="278"/>
      <c r="D1126" s="278"/>
      <c r="E1126" s="278"/>
      <c r="F1126" s="278"/>
      <c r="G1126" s="278"/>
      <c r="H1126" s="278"/>
      <c r="I1126" s="278"/>
      <c r="J1126" s="278"/>
      <c r="K1126" s="278"/>
      <c r="L1126" s="278"/>
      <c r="M1126" s="278"/>
      <c r="N1126" s="278"/>
      <c r="O1126" s="278"/>
      <c r="P1126" s="278"/>
      <c r="Q1126" s="278"/>
      <c r="R1126" s="278"/>
      <c r="S1126" s="278"/>
      <c r="T1126" s="278"/>
      <c r="U1126" s="278"/>
      <c r="V1126" s="278"/>
    </row>
    <row r="1127" spans="1:22" x14ac:dyDescent="0.15">
      <c r="A1127" s="278"/>
      <c r="B1127" s="278"/>
      <c r="C1127" s="278"/>
      <c r="D1127" s="278"/>
      <c r="E1127" s="278"/>
      <c r="F1127" s="278"/>
      <c r="G1127" s="278"/>
      <c r="H1127" s="278"/>
      <c r="I1127" s="278"/>
      <c r="J1127" s="278"/>
      <c r="K1127" s="278"/>
      <c r="L1127" s="278"/>
      <c r="M1127" s="278"/>
      <c r="N1127" s="278"/>
      <c r="O1127" s="278"/>
      <c r="P1127" s="278"/>
      <c r="Q1127" s="278"/>
      <c r="R1127" s="278"/>
      <c r="S1127" s="278"/>
      <c r="T1127" s="278"/>
      <c r="U1127" s="278"/>
      <c r="V1127" s="278"/>
    </row>
    <row r="1128" spans="1:22" x14ac:dyDescent="0.15">
      <c r="A1128" s="278"/>
      <c r="B1128" s="278"/>
      <c r="C1128" s="278"/>
      <c r="D1128" s="278"/>
      <c r="E1128" s="278"/>
      <c r="F1128" s="278"/>
      <c r="G1128" s="278"/>
      <c r="H1128" s="278"/>
      <c r="I1128" s="278"/>
      <c r="J1128" s="278"/>
      <c r="K1128" s="278"/>
      <c r="L1128" s="278"/>
      <c r="M1128" s="278"/>
      <c r="N1128" s="278"/>
      <c r="O1128" s="278"/>
      <c r="P1128" s="278"/>
      <c r="Q1128" s="278"/>
      <c r="R1128" s="278"/>
      <c r="S1128" s="278"/>
      <c r="T1128" s="278"/>
      <c r="U1128" s="278"/>
      <c r="V1128" s="278"/>
    </row>
    <row r="1129" spans="1:22" x14ac:dyDescent="0.15">
      <c r="A1129" s="278"/>
      <c r="B1129" s="278"/>
      <c r="C1129" s="278"/>
      <c r="D1129" s="278"/>
      <c r="E1129" s="278"/>
      <c r="F1129" s="278"/>
      <c r="G1129" s="278"/>
      <c r="H1129" s="278"/>
      <c r="I1129" s="278"/>
      <c r="J1129" s="278"/>
      <c r="K1129" s="278"/>
      <c r="L1129" s="278"/>
      <c r="M1129" s="278"/>
      <c r="N1129" s="278"/>
      <c r="O1129" s="278"/>
      <c r="P1129" s="278"/>
      <c r="Q1129" s="278"/>
      <c r="R1129" s="278"/>
      <c r="S1129" s="278"/>
      <c r="T1129" s="278"/>
      <c r="U1129" s="278"/>
      <c r="V1129" s="278"/>
    </row>
    <row r="1130" spans="1:22" x14ac:dyDescent="0.15">
      <c r="A1130" s="278"/>
      <c r="B1130" s="278"/>
      <c r="C1130" s="278"/>
      <c r="D1130" s="278"/>
      <c r="E1130" s="278"/>
      <c r="F1130" s="278"/>
      <c r="G1130" s="278"/>
      <c r="H1130" s="278"/>
      <c r="I1130" s="278"/>
      <c r="J1130" s="278"/>
      <c r="K1130" s="278"/>
      <c r="L1130" s="278"/>
      <c r="M1130" s="278"/>
      <c r="N1130" s="278"/>
      <c r="O1130" s="278"/>
      <c r="P1130" s="278"/>
      <c r="Q1130" s="278"/>
      <c r="R1130" s="278"/>
      <c r="S1130" s="278"/>
      <c r="T1130" s="278"/>
      <c r="U1130" s="278"/>
      <c r="V1130" s="278"/>
    </row>
    <row r="1131" spans="1:22" x14ac:dyDescent="0.15">
      <c r="A1131" s="278"/>
      <c r="B1131" s="278"/>
      <c r="C1131" s="278"/>
      <c r="D1131" s="278"/>
      <c r="E1131" s="278"/>
      <c r="F1131" s="278"/>
      <c r="G1131" s="278"/>
      <c r="H1131" s="278"/>
      <c r="I1131" s="278"/>
      <c r="J1131" s="278"/>
      <c r="K1131" s="278"/>
      <c r="L1131" s="278"/>
      <c r="M1131" s="278"/>
      <c r="N1131" s="278"/>
      <c r="O1131" s="278"/>
      <c r="P1131" s="278"/>
      <c r="Q1131" s="278"/>
      <c r="R1131" s="278"/>
      <c r="S1131" s="278"/>
      <c r="T1131" s="278"/>
      <c r="U1131" s="278"/>
      <c r="V1131" s="278"/>
    </row>
    <row r="1132" spans="1:22" x14ac:dyDescent="0.15">
      <c r="A1132" s="278"/>
      <c r="B1132" s="278"/>
      <c r="C1132" s="278"/>
      <c r="D1132" s="278"/>
      <c r="E1132" s="278"/>
      <c r="F1132" s="278"/>
      <c r="G1132" s="278"/>
      <c r="H1132" s="278"/>
      <c r="I1132" s="278"/>
      <c r="J1132" s="278"/>
      <c r="K1132" s="278"/>
      <c r="L1132" s="278"/>
      <c r="M1132" s="278"/>
      <c r="N1132" s="278"/>
      <c r="O1132" s="278"/>
      <c r="P1132" s="278"/>
      <c r="Q1132" s="278"/>
      <c r="R1132" s="278"/>
      <c r="S1132" s="278"/>
      <c r="T1132" s="278"/>
      <c r="U1132" s="278"/>
      <c r="V1132" s="278"/>
    </row>
    <row r="1133" spans="1:22" x14ac:dyDescent="0.15">
      <c r="A1133" s="278"/>
      <c r="B1133" s="278"/>
      <c r="C1133" s="278"/>
      <c r="D1133" s="278"/>
      <c r="E1133" s="278"/>
      <c r="F1133" s="278"/>
      <c r="G1133" s="278"/>
      <c r="H1133" s="278"/>
      <c r="I1133" s="278"/>
      <c r="J1133" s="278"/>
      <c r="K1133" s="278"/>
      <c r="L1133" s="278"/>
      <c r="M1133" s="278"/>
      <c r="N1133" s="278"/>
      <c r="O1133" s="278"/>
      <c r="P1133" s="278"/>
      <c r="Q1133" s="278"/>
      <c r="R1133" s="278"/>
      <c r="S1133" s="278"/>
      <c r="T1133" s="278"/>
      <c r="U1133" s="278"/>
      <c r="V1133" s="278"/>
    </row>
    <row r="1134" spans="1:22" x14ac:dyDescent="0.15">
      <c r="A1134" s="278"/>
      <c r="B1134" s="278"/>
      <c r="C1134" s="278"/>
      <c r="D1134" s="278"/>
      <c r="E1134" s="278"/>
      <c r="F1134" s="278"/>
      <c r="G1134" s="278"/>
      <c r="H1134" s="278"/>
      <c r="I1134" s="278"/>
      <c r="J1134" s="278"/>
      <c r="K1134" s="278"/>
      <c r="L1134" s="278"/>
      <c r="M1134" s="278"/>
      <c r="N1134" s="278"/>
      <c r="O1134" s="278"/>
      <c r="P1134" s="278"/>
      <c r="Q1134" s="278"/>
      <c r="R1134" s="278"/>
      <c r="S1134" s="278"/>
      <c r="T1134" s="278"/>
      <c r="U1134" s="278"/>
      <c r="V1134" s="278"/>
    </row>
    <row r="1135" spans="1:22" x14ac:dyDescent="0.15">
      <c r="A1135" s="278"/>
      <c r="B1135" s="278"/>
      <c r="C1135" s="278"/>
      <c r="D1135" s="278"/>
      <c r="E1135" s="278"/>
      <c r="F1135" s="278"/>
      <c r="G1135" s="278"/>
      <c r="H1135" s="278"/>
      <c r="I1135" s="278"/>
      <c r="J1135" s="278"/>
      <c r="K1135" s="278"/>
      <c r="L1135" s="278"/>
      <c r="M1135" s="278"/>
      <c r="N1135" s="278"/>
      <c r="O1135" s="278"/>
      <c r="P1135" s="278"/>
      <c r="Q1135" s="278"/>
      <c r="R1135" s="278"/>
      <c r="S1135" s="278"/>
      <c r="T1135" s="278"/>
      <c r="U1135" s="278"/>
      <c r="V1135" s="278"/>
    </row>
    <row r="1136" spans="1:22" x14ac:dyDescent="0.15">
      <c r="A1136" s="278"/>
      <c r="B1136" s="278"/>
      <c r="C1136" s="278"/>
      <c r="D1136" s="278"/>
      <c r="E1136" s="278"/>
      <c r="F1136" s="278"/>
      <c r="G1136" s="278"/>
      <c r="H1136" s="278"/>
      <c r="I1136" s="278"/>
      <c r="J1136" s="278"/>
      <c r="K1136" s="278"/>
      <c r="L1136" s="278"/>
      <c r="M1136" s="278"/>
      <c r="N1136" s="278"/>
      <c r="O1136" s="278"/>
      <c r="P1136" s="278"/>
      <c r="Q1136" s="278"/>
      <c r="R1136" s="278"/>
      <c r="S1136" s="278"/>
      <c r="T1136" s="278"/>
      <c r="U1136" s="278"/>
      <c r="V1136" s="278"/>
    </row>
    <row r="1137" spans="1:22" x14ac:dyDescent="0.15">
      <c r="A1137" s="278"/>
      <c r="B1137" s="278"/>
      <c r="C1137" s="278"/>
      <c r="D1137" s="278"/>
      <c r="E1137" s="278"/>
      <c r="F1137" s="278"/>
      <c r="G1137" s="278"/>
      <c r="H1137" s="278"/>
      <c r="I1137" s="278"/>
      <c r="J1137" s="278"/>
      <c r="K1137" s="278"/>
      <c r="L1137" s="278"/>
      <c r="M1137" s="278"/>
      <c r="N1137" s="278"/>
      <c r="O1137" s="278"/>
      <c r="P1137" s="278"/>
      <c r="Q1137" s="278"/>
      <c r="R1137" s="278"/>
      <c r="S1137" s="278"/>
      <c r="T1137" s="278"/>
      <c r="U1137" s="278"/>
      <c r="V1137" s="278"/>
    </row>
    <row r="1138" spans="1:22" x14ac:dyDescent="0.15">
      <c r="A1138" s="278"/>
      <c r="B1138" s="278"/>
      <c r="C1138" s="278"/>
      <c r="D1138" s="278"/>
      <c r="E1138" s="278"/>
      <c r="F1138" s="278"/>
      <c r="G1138" s="278"/>
      <c r="H1138" s="278"/>
      <c r="I1138" s="278"/>
      <c r="J1138" s="278"/>
      <c r="K1138" s="278"/>
      <c r="L1138" s="278"/>
      <c r="M1138" s="278"/>
      <c r="N1138" s="278"/>
      <c r="O1138" s="278"/>
      <c r="P1138" s="278"/>
      <c r="Q1138" s="278"/>
      <c r="R1138" s="278"/>
      <c r="S1138" s="278"/>
      <c r="T1138" s="278"/>
      <c r="U1138" s="278"/>
      <c r="V1138" s="278"/>
    </row>
    <row r="1139" spans="1:22" x14ac:dyDescent="0.15">
      <c r="A1139" s="278"/>
      <c r="B1139" s="278"/>
      <c r="C1139" s="278"/>
      <c r="D1139" s="278"/>
      <c r="E1139" s="278"/>
      <c r="F1139" s="278"/>
      <c r="G1139" s="278"/>
      <c r="H1139" s="278"/>
      <c r="I1139" s="278"/>
      <c r="J1139" s="278"/>
      <c r="K1139" s="278"/>
      <c r="L1139" s="278"/>
      <c r="M1139" s="278"/>
      <c r="N1139" s="278"/>
      <c r="O1139" s="278"/>
      <c r="P1139" s="278"/>
      <c r="Q1139" s="278"/>
      <c r="R1139" s="278"/>
      <c r="S1139" s="278"/>
      <c r="T1139" s="278"/>
      <c r="U1139" s="278"/>
      <c r="V1139" s="278"/>
    </row>
    <row r="1140" spans="1:22" x14ac:dyDescent="0.15">
      <c r="A1140" s="278"/>
      <c r="B1140" s="278"/>
      <c r="C1140" s="278"/>
      <c r="D1140" s="278"/>
      <c r="E1140" s="278"/>
      <c r="F1140" s="278"/>
      <c r="G1140" s="278"/>
      <c r="H1140" s="278"/>
      <c r="I1140" s="278"/>
      <c r="J1140" s="278"/>
      <c r="K1140" s="278"/>
      <c r="L1140" s="278"/>
      <c r="M1140" s="278"/>
      <c r="N1140" s="278"/>
      <c r="O1140" s="278"/>
      <c r="P1140" s="278"/>
      <c r="Q1140" s="278"/>
      <c r="R1140" s="278"/>
      <c r="S1140" s="278"/>
      <c r="T1140" s="278"/>
      <c r="U1140" s="278"/>
      <c r="V1140" s="278"/>
    </row>
    <row r="1141" spans="1:22" x14ac:dyDescent="0.15">
      <c r="A1141" s="278"/>
      <c r="B1141" s="278"/>
      <c r="C1141" s="278"/>
      <c r="D1141" s="278"/>
      <c r="E1141" s="278"/>
      <c r="F1141" s="278"/>
      <c r="G1141" s="278"/>
      <c r="H1141" s="278"/>
      <c r="I1141" s="278"/>
      <c r="J1141" s="278"/>
      <c r="K1141" s="278"/>
      <c r="L1141" s="278"/>
      <c r="M1141" s="278"/>
      <c r="N1141" s="278"/>
      <c r="O1141" s="278"/>
      <c r="P1141" s="278"/>
      <c r="Q1141" s="278"/>
      <c r="R1141" s="278"/>
      <c r="S1141" s="278"/>
      <c r="T1141" s="278"/>
      <c r="U1141" s="278"/>
      <c r="V1141" s="278"/>
    </row>
    <row r="1142" spans="1:22" x14ac:dyDescent="0.15">
      <c r="A1142" s="278"/>
      <c r="B1142" s="278"/>
      <c r="C1142" s="278"/>
      <c r="D1142" s="278"/>
      <c r="E1142" s="278"/>
      <c r="F1142" s="278"/>
      <c r="G1142" s="278"/>
      <c r="H1142" s="278"/>
      <c r="I1142" s="278"/>
      <c r="J1142" s="278"/>
      <c r="K1142" s="278"/>
      <c r="L1142" s="278"/>
      <c r="M1142" s="278"/>
      <c r="N1142" s="278"/>
      <c r="O1142" s="278"/>
      <c r="P1142" s="278"/>
      <c r="Q1142" s="278"/>
      <c r="R1142" s="278"/>
      <c r="S1142" s="278"/>
      <c r="T1142" s="278"/>
      <c r="U1142" s="278"/>
      <c r="V1142" s="278"/>
    </row>
    <row r="1143" spans="1:22" x14ac:dyDescent="0.15">
      <c r="A1143" s="278"/>
      <c r="B1143" s="278"/>
      <c r="C1143" s="278"/>
      <c r="D1143" s="278"/>
      <c r="E1143" s="278"/>
      <c r="F1143" s="278"/>
      <c r="G1143" s="278"/>
      <c r="H1143" s="278"/>
      <c r="I1143" s="278"/>
      <c r="J1143" s="278"/>
      <c r="K1143" s="278"/>
      <c r="L1143" s="278"/>
      <c r="M1143" s="278"/>
      <c r="N1143" s="278"/>
      <c r="O1143" s="278"/>
      <c r="P1143" s="278"/>
      <c r="Q1143" s="278"/>
      <c r="R1143" s="278"/>
      <c r="S1143" s="278"/>
      <c r="T1143" s="278"/>
      <c r="U1143" s="278"/>
      <c r="V1143" s="278"/>
    </row>
    <row r="1144" spans="1:22" x14ac:dyDescent="0.15">
      <c r="A1144" s="278"/>
      <c r="B1144" s="278"/>
      <c r="C1144" s="278"/>
      <c r="D1144" s="278"/>
      <c r="E1144" s="278"/>
      <c r="F1144" s="278"/>
      <c r="G1144" s="278"/>
      <c r="H1144" s="278"/>
      <c r="I1144" s="278"/>
      <c r="J1144" s="278"/>
      <c r="K1144" s="278"/>
      <c r="L1144" s="278"/>
      <c r="M1144" s="278"/>
      <c r="N1144" s="278"/>
      <c r="O1144" s="278"/>
      <c r="P1144" s="278"/>
      <c r="Q1144" s="278"/>
      <c r="R1144" s="278"/>
      <c r="S1144" s="278"/>
      <c r="T1144" s="278"/>
      <c r="U1144" s="278"/>
      <c r="V1144" s="278"/>
    </row>
    <row r="1145" spans="1:22" x14ac:dyDescent="0.15">
      <c r="A1145" s="278"/>
      <c r="B1145" s="278"/>
      <c r="C1145" s="278"/>
      <c r="D1145" s="278"/>
      <c r="E1145" s="278"/>
      <c r="F1145" s="278"/>
      <c r="G1145" s="278"/>
      <c r="H1145" s="278"/>
      <c r="I1145" s="278"/>
      <c r="J1145" s="278"/>
      <c r="K1145" s="278"/>
      <c r="L1145" s="278"/>
      <c r="M1145" s="278"/>
      <c r="N1145" s="278"/>
      <c r="O1145" s="278"/>
      <c r="P1145" s="278"/>
      <c r="Q1145" s="278"/>
      <c r="R1145" s="278"/>
      <c r="S1145" s="278"/>
      <c r="T1145" s="278"/>
      <c r="U1145" s="278"/>
      <c r="V1145" s="278"/>
    </row>
    <row r="1146" spans="1:22" x14ac:dyDescent="0.15">
      <c r="A1146" s="278"/>
      <c r="B1146" s="278"/>
      <c r="C1146" s="278"/>
      <c r="D1146" s="278"/>
      <c r="E1146" s="278"/>
      <c r="F1146" s="278"/>
      <c r="G1146" s="278"/>
      <c r="H1146" s="278"/>
      <c r="I1146" s="278"/>
      <c r="J1146" s="278"/>
      <c r="K1146" s="278"/>
      <c r="L1146" s="278"/>
      <c r="M1146" s="278"/>
      <c r="N1146" s="278"/>
      <c r="O1146" s="278"/>
      <c r="P1146" s="278"/>
      <c r="Q1146" s="278"/>
      <c r="R1146" s="278"/>
      <c r="S1146" s="278"/>
      <c r="T1146" s="278"/>
      <c r="U1146" s="278"/>
      <c r="V1146" s="278"/>
    </row>
    <row r="1147" spans="1:22" x14ac:dyDescent="0.15">
      <c r="A1147" s="278"/>
      <c r="B1147" s="278"/>
      <c r="C1147" s="278"/>
      <c r="D1147" s="278"/>
      <c r="E1147" s="278"/>
      <c r="F1147" s="278"/>
      <c r="G1147" s="278"/>
      <c r="H1147" s="278"/>
      <c r="I1147" s="278"/>
      <c r="J1147" s="278"/>
      <c r="K1147" s="278"/>
      <c r="L1147" s="278"/>
      <c r="M1147" s="278"/>
      <c r="N1147" s="278"/>
      <c r="O1147" s="278"/>
      <c r="P1147" s="278"/>
      <c r="Q1147" s="278"/>
      <c r="R1147" s="278"/>
      <c r="S1147" s="278"/>
      <c r="T1147" s="278"/>
      <c r="U1147" s="278"/>
      <c r="V1147" s="278"/>
    </row>
    <row r="1148" spans="1:22" x14ac:dyDescent="0.15">
      <c r="A1148" s="278"/>
      <c r="B1148" s="278"/>
      <c r="C1148" s="278"/>
      <c r="D1148" s="278"/>
      <c r="E1148" s="278"/>
      <c r="F1148" s="278"/>
      <c r="G1148" s="278"/>
      <c r="H1148" s="278"/>
      <c r="I1148" s="278"/>
      <c r="J1148" s="278"/>
      <c r="K1148" s="278"/>
      <c r="L1148" s="278"/>
      <c r="M1148" s="278"/>
      <c r="N1148" s="278"/>
      <c r="O1148" s="278"/>
      <c r="P1148" s="278"/>
      <c r="Q1148" s="278"/>
      <c r="R1148" s="278"/>
      <c r="S1148" s="278"/>
      <c r="T1148" s="278"/>
      <c r="U1148" s="278"/>
      <c r="V1148" s="278"/>
    </row>
    <row r="1149" spans="1:22" x14ac:dyDescent="0.15">
      <c r="A1149" s="278"/>
      <c r="B1149" s="278"/>
      <c r="C1149" s="278"/>
      <c r="D1149" s="278"/>
      <c r="E1149" s="278"/>
      <c r="F1149" s="278"/>
      <c r="G1149" s="278"/>
      <c r="H1149" s="278"/>
      <c r="I1149" s="278"/>
      <c r="J1149" s="278"/>
      <c r="K1149" s="278"/>
      <c r="L1149" s="278"/>
      <c r="M1149" s="278"/>
      <c r="N1149" s="278"/>
      <c r="O1149" s="278"/>
      <c r="P1149" s="278"/>
      <c r="Q1149" s="278"/>
      <c r="R1149" s="278"/>
      <c r="S1149" s="278"/>
      <c r="T1149" s="278"/>
      <c r="U1149" s="278"/>
      <c r="V1149" s="278"/>
    </row>
    <row r="1150" spans="1:22" x14ac:dyDescent="0.15">
      <c r="A1150" s="278"/>
      <c r="B1150" s="278"/>
      <c r="C1150" s="278"/>
      <c r="D1150" s="278"/>
      <c r="E1150" s="278"/>
      <c r="F1150" s="278"/>
      <c r="G1150" s="278"/>
      <c r="H1150" s="278"/>
      <c r="I1150" s="278"/>
      <c r="J1150" s="278"/>
      <c r="K1150" s="278"/>
      <c r="L1150" s="278"/>
      <c r="M1150" s="278"/>
      <c r="N1150" s="278"/>
      <c r="O1150" s="278"/>
      <c r="P1150" s="278"/>
      <c r="Q1150" s="278"/>
      <c r="R1150" s="278"/>
      <c r="S1150" s="278"/>
      <c r="T1150" s="278"/>
      <c r="U1150" s="278"/>
      <c r="V1150" s="278"/>
    </row>
    <row r="1151" spans="1:22" x14ac:dyDescent="0.15">
      <c r="A1151" s="278"/>
      <c r="B1151" s="278"/>
      <c r="C1151" s="278"/>
      <c r="D1151" s="278"/>
      <c r="E1151" s="278"/>
      <c r="F1151" s="278"/>
      <c r="G1151" s="278"/>
      <c r="H1151" s="278"/>
      <c r="I1151" s="278"/>
      <c r="J1151" s="278"/>
      <c r="K1151" s="278"/>
      <c r="L1151" s="278"/>
      <c r="M1151" s="278"/>
      <c r="N1151" s="278"/>
      <c r="O1151" s="278"/>
      <c r="P1151" s="278"/>
      <c r="Q1151" s="278"/>
      <c r="R1151" s="278"/>
      <c r="S1151" s="278"/>
      <c r="T1151" s="278"/>
      <c r="U1151" s="278"/>
      <c r="V1151" s="278"/>
    </row>
    <row r="1152" spans="1:22" x14ac:dyDescent="0.15">
      <c r="A1152" s="278"/>
      <c r="B1152" s="278"/>
      <c r="C1152" s="278"/>
      <c r="D1152" s="278"/>
      <c r="E1152" s="278"/>
      <c r="F1152" s="278"/>
      <c r="G1152" s="278"/>
      <c r="H1152" s="278"/>
      <c r="I1152" s="278"/>
      <c r="J1152" s="278"/>
      <c r="K1152" s="278"/>
      <c r="L1152" s="278"/>
      <c r="M1152" s="278"/>
      <c r="N1152" s="278"/>
      <c r="O1152" s="278"/>
      <c r="P1152" s="278"/>
      <c r="Q1152" s="278"/>
      <c r="R1152" s="278"/>
      <c r="S1152" s="278"/>
      <c r="T1152" s="278"/>
      <c r="U1152" s="278"/>
      <c r="V1152" s="278"/>
    </row>
    <row r="1153" spans="1:22" x14ac:dyDescent="0.15">
      <c r="A1153" s="278"/>
      <c r="B1153" s="278"/>
      <c r="C1153" s="278"/>
      <c r="D1153" s="278"/>
      <c r="E1153" s="278"/>
      <c r="F1153" s="278"/>
      <c r="G1153" s="278"/>
      <c r="H1153" s="278"/>
      <c r="I1153" s="278"/>
      <c r="J1153" s="278"/>
      <c r="K1153" s="278"/>
      <c r="L1153" s="278"/>
      <c r="M1153" s="278"/>
      <c r="N1153" s="278"/>
      <c r="O1153" s="278"/>
      <c r="P1153" s="278"/>
      <c r="Q1153" s="278"/>
      <c r="R1153" s="278"/>
      <c r="S1153" s="278"/>
      <c r="T1153" s="278"/>
      <c r="U1153" s="278"/>
      <c r="V1153" s="278"/>
    </row>
    <row r="1154" spans="1:22" x14ac:dyDescent="0.15">
      <c r="A1154" s="278"/>
      <c r="B1154" s="278"/>
      <c r="C1154" s="278"/>
      <c r="D1154" s="278"/>
      <c r="E1154" s="278"/>
      <c r="F1154" s="278"/>
      <c r="G1154" s="278"/>
      <c r="H1154" s="278"/>
      <c r="I1154" s="278"/>
      <c r="J1154" s="278"/>
      <c r="K1154" s="278"/>
      <c r="L1154" s="278"/>
      <c r="M1154" s="278"/>
      <c r="N1154" s="278"/>
      <c r="O1154" s="278"/>
      <c r="P1154" s="278"/>
      <c r="Q1154" s="278"/>
      <c r="R1154" s="278"/>
      <c r="S1154" s="278"/>
      <c r="T1154" s="278"/>
      <c r="U1154" s="278"/>
      <c r="V1154" s="278"/>
    </row>
    <row r="1155" spans="1:22" x14ac:dyDescent="0.15">
      <c r="A1155" s="278"/>
      <c r="B1155" s="278"/>
      <c r="C1155" s="278"/>
      <c r="D1155" s="278"/>
      <c r="E1155" s="278"/>
      <c r="F1155" s="278"/>
      <c r="G1155" s="278"/>
      <c r="H1155" s="278"/>
      <c r="I1155" s="278"/>
      <c r="J1155" s="278"/>
      <c r="K1155" s="278"/>
      <c r="L1155" s="278"/>
      <c r="M1155" s="278"/>
      <c r="N1155" s="278"/>
      <c r="O1155" s="278"/>
      <c r="P1155" s="278"/>
      <c r="Q1155" s="278"/>
      <c r="R1155" s="278"/>
      <c r="S1155" s="278"/>
      <c r="T1155" s="278"/>
      <c r="U1155" s="278"/>
      <c r="V1155" s="278"/>
    </row>
    <row r="1156" spans="1:22" x14ac:dyDescent="0.15">
      <c r="A1156" s="278"/>
      <c r="B1156" s="278"/>
      <c r="C1156" s="278"/>
      <c r="D1156" s="278"/>
      <c r="E1156" s="278"/>
      <c r="F1156" s="278"/>
      <c r="G1156" s="278"/>
      <c r="H1156" s="278"/>
      <c r="I1156" s="278"/>
      <c r="J1156" s="278"/>
      <c r="K1156" s="278"/>
      <c r="L1156" s="278"/>
      <c r="M1156" s="278"/>
      <c r="N1156" s="278"/>
      <c r="O1156" s="278"/>
      <c r="P1156" s="278"/>
      <c r="Q1156" s="278"/>
      <c r="R1156" s="278"/>
      <c r="S1156" s="278"/>
      <c r="T1156" s="278"/>
      <c r="U1156" s="278"/>
      <c r="V1156" s="278"/>
    </row>
    <row r="1157" spans="1:22" x14ac:dyDescent="0.15">
      <c r="A1157" s="278"/>
      <c r="B1157" s="278"/>
      <c r="C1157" s="278"/>
      <c r="D1157" s="278"/>
      <c r="E1157" s="278"/>
      <c r="F1157" s="278"/>
      <c r="G1157" s="278"/>
      <c r="H1157" s="278"/>
      <c r="I1157" s="278"/>
      <c r="J1157" s="278"/>
      <c r="K1157" s="278"/>
      <c r="L1157" s="278"/>
      <c r="M1157" s="278"/>
      <c r="N1157" s="278"/>
      <c r="O1157" s="278"/>
      <c r="P1157" s="278"/>
      <c r="Q1157" s="278"/>
      <c r="R1157" s="278"/>
      <c r="S1157" s="278"/>
      <c r="T1157" s="278"/>
      <c r="U1157" s="278"/>
      <c r="V1157" s="278"/>
    </row>
    <row r="1158" spans="1:22" x14ac:dyDescent="0.15">
      <c r="A1158" s="278"/>
      <c r="B1158" s="278"/>
      <c r="C1158" s="278"/>
      <c r="D1158" s="278"/>
      <c r="E1158" s="278"/>
      <c r="F1158" s="278"/>
      <c r="G1158" s="278"/>
      <c r="H1158" s="278"/>
      <c r="I1158" s="278"/>
      <c r="J1158" s="278"/>
      <c r="K1158" s="278"/>
      <c r="L1158" s="278"/>
      <c r="M1158" s="278"/>
      <c r="N1158" s="278"/>
      <c r="O1158" s="278"/>
      <c r="P1158" s="278"/>
      <c r="Q1158" s="278"/>
      <c r="R1158" s="278"/>
      <c r="S1158" s="278"/>
      <c r="T1158" s="278"/>
      <c r="U1158" s="278"/>
      <c r="V1158" s="278"/>
    </row>
    <row r="1159" spans="1:22" x14ac:dyDescent="0.15">
      <c r="A1159" s="278"/>
      <c r="B1159" s="278"/>
      <c r="C1159" s="278"/>
      <c r="D1159" s="278"/>
      <c r="E1159" s="278"/>
      <c r="F1159" s="278"/>
      <c r="G1159" s="278"/>
      <c r="H1159" s="278"/>
      <c r="I1159" s="278"/>
      <c r="J1159" s="278"/>
      <c r="K1159" s="278"/>
      <c r="L1159" s="278"/>
      <c r="M1159" s="278"/>
      <c r="N1159" s="278"/>
      <c r="O1159" s="278"/>
      <c r="P1159" s="278"/>
      <c r="Q1159" s="278"/>
      <c r="R1159" s="278"/>
      <c r="S1159" s="278"/>
      <c r="T1159" s="278"/>
      <c r="U1159" s="278"/>
      <c r="V1159" s="278"/>
    </row>
    <row r="1160" spans="1:22" x14ac:dyDescent="0.15">
      <c r="A1160" s="278"/>
      <c r="B1160" s="278"/>
      <c r="C1160" s="278"/>
      <c r="D1160" s="278"/>
      <c r="E1160" s="278"/>
      <c r="F1160" s="278"/>
      <c r="G1160" s="278"/>
      <c r="H1160" s="278"/>
      <c r="I1160" s="278"/>
      <c r="J1160" s="278"/>
      <c r="K1160" s="278"/>
      <c r="L1160" s="278"/>
      <c r="M1160" s="278"/>
      <c r="N1160" s="278"/>
      <c r="O1160" s="278"/>
      <c r="P1160" s="278"/>
      <c r="Q1160" s="278"/>
      <c r="R1160" s="278"/>
      <c r="S1160" s="278"/>
      <c r="T1160" s="278"/>
      <c r="U1160" s="278"/>
      <c r="V1160" s="278"/>
    </row>
    <row r="1161" spans="1:22" x14ac:dyDescent="0.15">
      <c r="A1161" s="278"/>
      <c r="B1161" s="278"/>
      <c r="C1161" s="278"/>
      <c r="D1161" s="278"/>
      <c r="E1161" s="278"/>
      <c r="F1161" s="278"/>
      <c r="G1161" s="278"/>
      <c r="H1161" s="278"/>
      <c r="I1161" s="278"/>
      <c r="J1161" s="278"/>
      <c r="K1161" s="278"/>
      <c r="L1161" s="278"/>
      <c r="M1161" s="278"/>
      <c r="N1161" s="278"/>
      <c r="O1161" s="278"/>
      <c r="P1161" s="278"/>
      <c r="Q1161" s="278"/>
      <c r="R1161" s="278"/>
      <c r="S1161" s="278"/>
      <c r="T1161" s="278"/>
      <c r="U1161" s="278"/>
      <c r="V1161" s="278"/>
    </row>
    <row r="1162" spans="1:22" x14ac:dyDescent="0.15">
      <c r="A1162" s="278"/>
      <c r="B1162" s="278"/>
      <c r="C1162" s="278"/>
      <c r="D1162" s="278"/>
      <c r="E1162" s="278"/>
      <c r="F1162" s="278"/>
      <c r="G1162" s="278"/>
      <c r="H1162" s="278"/>
      <c r="I1162" s="278"/>
      <c r="J1162" s="278"/>
      <c r="K1162" s="278"/>
      <c r="L1162" s="278"/>
      <c r="M1162" s="278"/>
      <c r="N1162" s="278"/>
      <c r="O1162" s="278"/>
      <c r="P1162" s="278"/>
      <c r="Q1162" s="278"/>
      <c r="R1162" s="278"/>
      <c r="S1162" s="278"/>
      <c r="T1162" s="278"/>
      <c r="U1162" s="278"/>
      <c r="V1162" s="278"/>
    </row>
    <row r="1163" spans="1:22" x14ac:dyDescent="0.15">
      <c r="A1163" s="278"/>
      <c r="B1163" s="278"/>
      <c r="C1163" s="278"/>
      <c r="D1163" s="278"/>
      <c r="E1163" s="278"/>
      <c r="F1163" s="278"/>
      <c r="G1163" s="278"/>
      <c r="H1163" s="278"/>
      <c r="I1163" s="278"/>
      <c r="J1163" s="278"/>
      <c r="K1163" s="278"/>
      <c r="L1163" s="278"/>
      <c r="M1163" s="278"/>
      <c r="N1163" s="278"/>
      <c r="O1163" s="278"/>
      <c r="P1163" s="278"/>
      <c r="Q1163" s="278"/>
      <c r="R1163" s="278"/>
      <c r="S1163" s="278"/>
      <c r="T1163" s="278"/>
      <c r="U1163" s="278"/>
      <c r="V1163" s="278"/>
    </row>
    <row r="1164" spans="1:22" x14ac:dyDescent="0.15">
      <c r="A1164" s="278"/>
      <c r="B1164" s="278"/>
      <c r="C1164" s="278"/>
      <c r="D1164" s="278"/>
      <c r="E1164" s="278"/>
      <c r="F1164" s="278"/>
      <c r="G1164" s="278"/>
      <c r="H1164" s="278"/>
      <c r="I1164" s="278"/>
      <c r="J1164" s="278"/>
      <c r="K1164" s="278"/>
      <c r="L1164" s="278"/>
      <c r="M1164" s="278"/>
      <c r="N1164" s="278"/>
      <c r="O1164" s="278"/>
      <c r="P1164" s="278"/>
      <c r="Q1164" s="278"/>
      <c r="R1164" s="278"/>
      <c r="S1164" s="278"/>
      <c r="T1164" s="278"/>
      <c r="U1164" s="278"/>
      <c r="V1164" s="278"/>
    </row>
    <row r="1165" spans="1:22" x14ac:dyDescent="0.15">
      <c r="A1165" s="278"/>
      <c r="B1165" s="278"/>
      <c r="C1165" s="278"/>
      <c r="D1165" s="278"/>
      <c r="E1165" s="278"/>
      <c r="F1165" s="278"/>
      <c r="G1165" s="278"/>
      <c r="H1165" s="278"/>
      <c r="I1165" s="278"/>
      <c r="J1165" s="278"/>
      <c r="K1165" s="278"/>
      <c r="L1165" s="278"/>
      <c r="M1165" s="278"/>
      <c r="N1165" s="278"/>
      <c r="O1165" s="278"/>
      <c r="P1165" s="278"/>
      <c r="Q1165" s="278"/>
      <c r="R1165" s="278"/>
      <c r="S1165" s="278"/>
      <c r="T1165" s="278"/>
      <c r="U1165" s="278"/>
      <c r="V1165" s="278"/>
    </row>
    <row r="1166" spans="1:22" x14ac:dyDescent="0.15">
      <c r="A1166" s="278"/>
      <c r="B1166" s="278"/>
      <c r="C1166" s="278"/>
      <c r="D1166" s="278"/>
      <c r="E1166" s="278"/>
      <c r="F1166" s="278"/>
      <c r="G1166" s="278"/>
      <c r="H1166" s="278"/>
      <c r="I1166" s="278"/>
      <c r="J1166" s="278"/>
      <c r="K1166" s="278"/>
      <c r="L1166" s="278"/>
      <c r="M1166" s="278"/>
      <c r="N1166" s="278"/>
      <c r="O1166" s="278"/>
      <c r="P1166" s="278"/>
      <c r="Q1166" s="278"/>
      <c r="R1166" s="278"/>
      <c r="S1166" s="278"/>
      <c r="T1166" s="278"/>
      <c r="U1166" s="278"/>
      <c r="V1166" s="278"/>
    </row>
    <row r="1167" spans="1:22" x14ac:dyDescent="0.15">
      <c r="A1167" s="278"/>
      <c r="B1167" s="278"/>
      <c r="C1167" s="278"/>
      <c r="D1167" s="278"/>
      <c r="E1167" s="278"/>
      <c r="F1167" s="278"/>
      <c r="G1167" s="278"/>
      <c r="H1167" s="278"/>
      <c r="I1167" s="278"/>
      <c r="J1167" s="278"/>
      <c r="K1167" s="278"/>
      <c r="L1167" s="278"/>
      <c r="M1167" s="278"/>
      <c r="N1167" s="278"/>
      <c r="O1167" s="278"/>
      <c r="P1167" s="278"/>
      <c r="Q1167" s="278"/>
      <c r="R1167" s="278"/>
      <c r="S1167" s="278"/>
      <c r="T1167" s="278"/>
      <c r="U1167" s="278"/>
      <c r="V1167" s="278"/>
    </row>
    <row r="1168" spans="1:22" x14ac:dyDescent="0.15">
      <c r="A1168" s="278"/>
      <c r="B1168" s="278"/>
      <c r="C1168" s="278"/>
      <c r="D1168" s="278"/>
      <c r="E1168" s="278"/>
      <c r="F1168" s="278"/>
      <c r="G1168" s="278"/>
      <c r="H1168" s="278"/>
      <c r="I1168" s="278"/>
      <c r="J1168" s="278"/>
      <c r="K1168" s="278"/>
      <c r="L1168" s="278"/>
      <c r="M1168" s="278"/>
      <c r="N1168" s="278"/>
      <c r="O1168" s="278"/>
      <c r="P1168" s="278"/>
      <c r="Q1168" s="278"/>
      <c r="R1168" s="278"/>
      <c r="S1168" s="278"/>
      <c r="T1168" s="278"/>
      <c r="U1168" s="278"/>
      <c r="V1168" s="278"/>
    </row>
    <row r="1169" spans="1:22" x14ac:dyDescent="0.15">
      <c r="A1169" s="278"/>
      <c r="B1169" s="278"/>
      <c r="C1169" s="278"/>
      <c r="D1169" s="278"/>
      <c r="E1169" s="278"/>
      <c r="F1169" s="278"/>
      <c r="G1169" s="278"/>
      <c r="H1169" s="278"/>
      <c r="I1169" s="278"/>
      <c r="J1169" s="278"/>
      <c r="K1169" s="278"/>
      <c r="L1169" s="278"/>
      <c r="M1169" s="278"/>
      <c r="N1169" s="278"/>
      <c r="O1169" s="278"/>
      <c r="P1169" s="278"/>
      <c r="Q1169" s="278"/>
      <c r="R1169" s="278"/>
      <c r="S1169" s="278"/>
      <c r="T1169" s="278"/>
      <c r="U1169" s="278"/>
      <c r="V1169" s="278"/>
    </row>
    <row r="1170" spans="1:22" x14ac:dyDescent="0.15">
      <c r="A1170" s="278"/>
      <c r="B1170" s="278"/>
      <c r="C1170" s="278"/>
      <c r="D1170" s="278"/>
      <c r="E1170" s="278"/>
      <c r="F1170" s="278"/>
      <c r="G1170" s="278"/>
      <c r="H1170" s="278"/>
      <c r="I1170" s="278"/>
      <c r="J1170" s="278"/>
      <c r="K1170" s="278"/>
      <c r="L1170" s="278"/>
      <c r="M1170" s="278"/>
      <c r="N1170" s="278"/>
      <c r="O1170" s="278"/>
      <c r="P1170" s="278"/>
      <c r="Q1170" s="278"/>
      <c r="R1170" s="278"/>
      <c r="S1170" s="278"/>
      <c r="T1170" s="278"/>
      <c r="U1170" s="278"/>
      <c r="V1170" s="278"/>
    </row>
    <row r="1171" spans="1:22" x14ac:dyDescent="0.15">
      <c r="A1171" s="278"/>
      <c r="B1171" s="278"/>
      <c r="C1171" s="278"/>
      <c r="D1171" s="278"/>
      <c r="E1171" s="278"/>
      <c r="F1171" s="278"/>
      <c r="G1171" s="278"/>
      <c r="H1171" s="278"/>
      <c r="I1171" s="278"/>
      <c r="J1171" s="278"/>
      <c r="K1171" s="278"/>
      <c r="L1171" s="278"/>
      <c r="M1171" s="278"/>
      <c r="N1171" s="278"/>
      <c r="O1171" s="278"/>
      <c r="P1171" s="278"/>
      <c r="Q1171" s="278"/>
      <c r="R1171" s="278"/>
      <c r="S1171" s="278"/>
      <c r="T1171" s="278"/>
      <c r="U1171" s="278"/>
      <c r="V1171" s="278"/>
    </row>
    <row r="1172" spans="1:22" x14ac:dyDescent="0.15">
      <c r="A1172" s="278"/>
      <c r="B1172" s="278"/>
      <c r="C1172" s="278"/>
      <c r="D1172" s="278"/>
      <c r="E1172" s="278"/>
      <c r="F1172" s="278"/>
      <c r="G1172" s="278"/>
      <c r="H1172" s="278"/>
      <c r="I1172" s="278"/>
      <c r="J1172" s="278"/>
      <c r="K1172" s="278"/>
      <c r="L1172" s="278"/>
      <c r="M1172" s="278"/>
      <c r="N1172" s="278"/>
      <c r="O1172" s="278"/>
      <c r="P1172" s="278"/>
      <c r="Q1172" s="278"/>
      <c r="R1172" s="278"/>
      <c r="S1172" s="278"/>
      <c r="T1172" s="278"/>
      <c r="U1172" s="278"/>
      <c r="V1172" s="278"/>
    </row>
    <row r="1173" spans="1:22" x14ac:dyDescent="0.15">
      <c r="A1173" s="278"/>
      <c r="B1173" s="278"/>
      <c r="C1173" s="278"/>
      <c r="D1173" s="278"/>
      <c r="E1173" s="278"/>
      <c r="F1173" s="278"/>
      <c r="G1173" s="278"/>
      <c r="H1173" s="278"/>
      <c r="I1173" s="278"/>
      <c r="J1173" s="278"/>
      <c r="K1173" s="278"/>
      <c r="L1173" s="278"/>
      <c r="M1173" s="278"/>
      <c r="N1173" s="278"/>
      <c r="O1173" s="278"/>
      <c r="P1173" s="278"/>
      <c r="Q1173" s="278"/>
      <c r="R1173" s="278"/>
      <c r="S1173" s="278"/>
      <c r="T1173" s="278"/>
      <c r="U1173" s="278"/>
      <c r="V1173" s="278"/>
    </row>
    <row r="1174" spans="1:22" x14ac:dyDescent="0.15">
      <c r="A1174" s="278"/>
      <c r="B1174" s="278"/>
      <c r="C1174" s="278"/>
      <c r="D1174" s="278"/>
      <c r="E1174" s="278"/>
      <c r="F1174" s="278"/>
      <c r="G1174" s="278"/>
      <c r="H1174" s="278"/>
      <c r="I1174" s="278"/>
      <c r="J1174" s="278"/>
      <c r="K1174" s="278"/>
      <c r="L1174" s="278"/>
      <c r="M1174" s="278"/>
      <c r="N1174" s="278"/>
      <c r="O1174" s="278"/>
      <c r="P1174" s="278"/>
      <c r="Q1174" s="278"/>
      <c r="R1174" s="278"/>
      <c r="S1174" s="278"/>
      <c r="T1174" s="278"/>
      <c r="U1174" s="278"/>
      <c r="V1174" s="278"/>
    </row>
    <row r="1175" spans="1:22" x14ac:dyDescent="0.15">
      <c r="A1175" s="278"/>
      <c r="B1175" s="278"/>
      <c r="C1175" s="278"/>
      <c r="D1175" s="278"/>
      <c r="E1175" s="278"/>
      <c r="F1175" s="278"/>
      <c r="G1175" s="278"/>
      <c r="H1175" s="278"/>
      <c r="I1175" s="278"/>
      <c r="J1175" s="278"/>
      <c r="K1175" s="278"/>
      <c r="L1175" s="278"/>
      <c r="M1175" s="278"/>
      <c r="N1175" s="278"/>
      <c r="O1175" s="278"/>
      <c r="P1175" s="278"/>
      <c r="Q1175" s="278"/>
      <c r="R1175" s="278"/>
      <c r="S1175" s="278"/>
      <c r="T1175" s="278"/>
      <c r="U1175" s="278"/>
      <c r="V1175" s="278"/>
    </row>
    <row r="1176" spans="1:22" x14ac:dyDescent="0.15">
      <c r="A1176" s="278"/>
      <c r="B1176" s="278"/>
      <c r="C1176" s="278"/>
      <c r="D1176" s="278"/>
      <c r="E1176" s="278"/>
      <c r="F1176" s="278"/>
      <c r="G1176" s="278"/>
      <c r="H1176" s="278"/>
      <c r="I1176" s="278"/>
      <c r="J1176" s="278"/>
      <c r="K1176" s="278"/>
      <c r="L1176" s="278"/>
      <c r="M1176" s="278"/>
      <c r="N1176" s="278"/>
      <c r="O1176" s="278"/>
      <c r="P1176" s="278"/>
      <c r="Q1176" s="278"/>
      <c r="R1176" s="278"/>
      <c r="S1176" s="278"/>
      <c r="T1176" s="278"/>
      <c r="U1176" s="278"/>
      <c r="V1176" s="278"/>
    </row>
    <row r="1177" spans="1:22" x14ac:dyDescent="0.15">
      <c r="A1177" s="278"/>
      <c r="B1177" s="278"/>
      <c r="C1177" s="278"/>
      <c r="D1177" s="278"/>
      <c r="E1177" s="278"/>
      <c r="F1177" s="278"/>
      <c r="G1177" s="278"/>
      <c r="H1177" s="278"/>
      <c r="I1177" s="278"/>
      <c r="J1177" s="278"/>
      <c r="K1177" s="278"/>
      <c r="L1177" s="278"/>
      <c r="M1177" s="278"/>
      <c r="N1177" s="278"/>
      <c r="O1177" s="278"/>
      <c r="P1177" s="278"/>
      <c r="Q1177" s="278"/>
      <c r="R1177" s="278"/>
      <c r="S1177" s="278"/>
      <c r="T1177" s="278"/>
      <c r="U1177" s="278"/>
      <c r="V1177" s="278"/>
    </row>
    <row r="1178" spans="1:22" x14ac:dyDescent="0.15">
      <c r="A1178" s="278"/>
      <c r="B1178" s="278"/>
      <c r="C1178" s="278"/>
      <c r="D1178" s="278"/>
      <c r="E1178" s="278"/>
      <c r="F1178" s="278"/>
      <c r="G1178" s="278"/>
      <c r="H1178" s="278"/>
      <c r="I1178" s="278"/>
      <c r="J1178" s="278"/>
      <c r="K1178" s="278"/>
      <c r="L1178" s="278"/>
      <c r="M1178" s="278"/>
      <c r="N1178" s="278"/>
      <c r="O1178" s="278"/>
      <c r="P1178" s="278"/>
      <c r="Q1178" s="278"/>
      <c r="R1178" s="278"/>
      <c r="S1178" s="278"/>
      <c r="T1178" s="278"/>
      <c r="U1178" s="278"/>
      <c r="V1178" s="278"/>
    </row>
    <row r="1179" spans="1:22" x14ac:dyDescent="0.15">
      <c r="A1179" s="278"/>
      <c r="B1179" s="278"/>
      <c r="C1179" s="278"/>
      <c r="D1179" s="278"/>
      <c r="E1179" s="278"/>
      <c r="F1179" s="278"/>
      <c r="G1179" s="278"/>
      <c r="H1179" s="278"/>
      <c r="I1179" s="278"/>
      <c r="J1179" s="278"/>
      <c r="K1179" s="278"/>
      <c r="L1179" s="278"/>
      <c r="M1179" s="278"/>
      <c r="N1179" s="278"/>
      <c r="O1179" s="278"/>
      <c r="P1179" s="278"/>
      <c r="Q1179" s="278"/>
      <c r="R1179" s="278"/>
      <c r="S1179" s="278"/>
      <c r="T1179" s="278"/>
      <c r="U1179" s="278"/>
      <c r="V1179" s="278"/>
    </row>
    <row r="1180" spans="1:22" x14ac:dyDescent="0.15">
      <c r="A1180" s="278"/>
      <c r="B1180" s="278"/>
      <c r="C1180" s="278"/>
      <c r="D1180" s="278"/>
      <c r="E1180" s="278"/>
      <c r="F1180" s="278"/>
      <c r="G1180" s="278"/>
      <c r="H1180" s="278"/>
      <c r="I1180" s="278"/>
      <c r="J1180" s="278"/>
      <c r="K1180" s="278"/>
      <c r="L1180" s="278"/>
      <c r="M1180" s="278"/>
      <c r="N1180" s="278"/>
      <c r="O1180" s="278"/>
      <c r="P1180" s="278"/>
      <c r="Q1180" s="278"/>
      <c r="R1180" s="278"/>
      <c r="S1180" s="278"/>
      <c r="T1180" s="278"/>
      <c r="U1180" s="278"/>
      <c r="V1180" s="278"/>
    </row>
    <row r="1181" spans="1:22" x14ac:dyDescent="0.15">
      <c r="A1181" s="278"/>
      <c r="B1181" s="278"/>
      <c r="C1181" s="278"/>
      <c r="D1181" s="278"/>
      <c r="E1181" s="278"/>
      <c r="F1181" s="278"/>
      <c r="G1181" s="278"/>
      <c r="H1181" s="278"/>
      <c r="I1181" s="278"/>
      <c r="J1181" s="278"/>
      <c r="K1181" s="278"/>
      <c r="L1181" s="278"/>
      <c r="M1181" s="278"/>
      <c r="N1181" s="278"/>
      <c r="O1181" s="278"/>
      <c r="P1181" s="278"/>
      <c r="Q1181" s="278"/>
      <c r="R1181" s="278"/>
      <c r="S1181" s="278"/>
      <c r="T1181" s="278"/>
      <c r="U1181" s="278"/>
      <c r="V1181" s="278"/>
    </row>
    <row r="1182" spans="1:22" x14ac:dyDescent="0.15">
      <c r="A1182" s="278"/>
      <c r="B1182" s="278"/>
      <c r="C1182" s="278"/>
      <c r="D1182" s="278"/>
      <c r="E1182" s="278"/>
      <c r="F1182" s="278"/>
      <c r="G1182" s="278"/>
      <c r="H1182" s="278"/>
      <c r="I1182" s="278"/>
      <c r="J1182" s="278"/>
      <c r="K1182" s="278"/>
      <c r="L1182" s="278"/>
      <c r="M1182" s="278"/>
      <c r="N1182" s="278"/>
      <c r="O1182" s="278"/>
      <c r="P1182" s="278"/>
      <c r="Q1182" s="278"/>
      <c r="R1182" s="278"/>
      <c r="S1182" s="278"/>
      <c r="T1182" s="278"/>
      <c r="U1182" s="278"/>
      <c r="V1182" s="278"/>
    </row>
    <row r="1183" spans="1:22" x14ac:dyDescent="0.15">
      <c r="A1183" s="278"/>
      <c r="B1183" s="278"/>
      <c r="C1183" s="278"/>
      <c r="D1183" s="278"/>
      <c r="E1183" s="278"/>
      <c r="F1183" s="278"/>
      <c r="G1183" s="278"/>
      <c r="H1183" s="278"/>
      <c r="I1183" s="278"/>
      <c r="J1183" s="278"/>
      <c r="K1183" s="278"/>
      <c r="L1183" s="278"/>
      <c r="M1183" s="278"/>
      <c r="N1183" s="278"/>
      <c r="O1183" s="278"/>
      <c r="P1183" s="278"/>
      <c r="Q1183" s="278"/>
      <c r="R1183" s="278"/>
      <c r="S1183" s="278"/>
      <c r="T1183" s="278"/>
      <c r="U1183" s="278"/>
      <c r="V1183" s="278"/>
    </row>
    <row r="1184" spans="1:22" x14ac:dyDescent="0.15">
      <c r="A1184" s="278"/>
      <c r="B1184" s="278"/>
      <c r="C1184" s="278"/>
      <c r="D1184" s="278"/>
      <c r="E1184" s="278"/>
      <c r="F1184" s="278"/>
      <c r="G1184" s="278"/>
      <c r="H1184" s="278"/>
      <c r="I1184" s="278"/>
      <c r="J1184" s="278"/>
      <c r="K1184" s="278"/>
      <c r="L1184" s="278"/>
      <c r="M1184" s="278"/>
      <c r="N1184" s="278"/>
      <c r="O1184" s="278"/>
      <c r="P1184" s="278"/>
      <c r="Q1184" s="278"/>
      <c r="R1184" s="278"/>
      <c r="S1184" s="278"/>
      <c r="T1184" s="278"/>
      <c r="U1184" s="278"/>
      <c r="V1184" s="278"/>
    </row>
    <row r="1185" spans="1:22" x14ac:dyDescent="0.15">
      <c r="A1185" s="278"/>
      <c r="B1185" s="278"/>
      <c r="C1185" s="278"/>
      <c r="D1185" s="278"/>
      <c r="E1185" s="278"/>
      <c r="F1185" s="278"/>
      <c r="G1185" s="278"/>
      <c r="H1185" s="278"/>
      <c r="I1185" s="278"/>
      <c r="J1185" s="278"/>
      <c r="K1185" s="278"/>
      <c r="L1185" s="278"/>
      <c r="M1185" s="278"/>
      <c r="N1185" s="278"/>
      <c r="O1185" s="278"/>
      <c r="P1185" s="278"/>
      <c r="Q1185" s="278"/>
      <c r="R1185" s="278"/>
      <c r="S1185" s="278"/>
      <c r="T1185" s="278"/>
      <c r="U1185" s="278"/>
      <c r="V1185" s="278"/>
    </row>
    <row r="1186" spans="1:22" x14ac:dyDescent="0.15">
      <c r="A1186" s="278"/>
      <c r="B1186" s="278"/>
      <c r="C1186" s="278"/>
      <c r="D1186" s="278"/>
      <c r="E1186" s="278"/>
      <c r="F1186" s="278"/>
      <c r="G1186" s="278"/>
      <c r="H1186" s="278"/>
      <c r="I1186" s="278"/>
      <c r="J1186" s="278"/>
      <c r="K1186" s="278"/>
      <c r="L1186" s="278"/>
      <c r="M1186" s="278"/>
      <c r="N1186" s="278"/>
      <c r="O1186" s="278"/>
      <c r="P1186" s="278"/>
      <c r="Q1186" s="278"/>
      <c r="R1186" s="278"/>
      <c r="S1186" s="278"/>
      <c r="T1186" s="278"/>
      <c r="U1186" s="278"/>
      <c r="V1186" s="278"/>
    </row>
    <row r="1187" spans="1:22" x14ac:dyDescent="0.15">
      <c r="A1187" s="278"/>
      <c r="B1187" s="278"/>
      <c r="C1187" s="278"/>
      <c r="D1187" s="278"/>
      <c r="E1187" s="278"/>
      <c r="F1187" s="278"/>
      <c r="G1187" s="278"/>
      <c r="H1187" s="278"/>
      <c r="I1187" s="278"/>
      <c r="J1187" s="278"/>
      <c r="K1187" s="278"/>
      <c r="L1187" s="278"/>
      <c r="M1187" s="278"/>
      <c r="N1187" s="278"/>
      <c r="O1187" s="278"/>
      <c r="P1187" s="278"/>
      <c r="Q1187" s="278"/>
      <c r="R1187" s="278"/>
      <c r="S1187" s="278"/>
      <c r="T1187" s="278"/>
      <c r="U1187" s="278"/>
      <c r="V1187" s="278"/>
    </row>
    <row r="1188" spans="1:22" x14ac:dyDescent="0.15">
      <c r="A1188" s="278"/>
      <c r="B1188" s="278"/>
      <c r="C1188" s="278"/>
      <c r="D1188" s="278"/>
      <c r="E1188" s="278"/>
      <c r="F1188" s="278"/>
      <c r="G1188" s="278"/>
      <c r="H1188" s="278"/>
      <c r="I1188" s="278"/>
      <c r="J1188" s="278"/>
      <c r="K1188" s="278"/>
      <c r="L1188" s="278"/>
      <c r="M1188" s="278"/>
      <c r="N1188" s="278"/>
      <c r="O1188" s="278"/>
      <c r="P1188" s="278"/>
      <c r="Q1188" s="278"/>
      <c r="R1188" s="278"/>
      <c r="S1188" s="278"/>
      <c r="T1188" s="278"/>
      <c r="U1188" s="278"/>
      <c r="V1188" s="278"/>
    </row>
    <row r="1189" spans="1:22" x14ac:dyDescent="0.15">
      <c r="A1189" s="278"/>
      <c r="B1189" s="278"/>
      <c r="C1189" s="278"/>
      <c r="D1189" s="278"/>
      <c r="E1189" s="278"/>
      <c r="F1189" s="278"/>
      <c r="G1189" s="278"/>
      <c r="H1189" s="278"/>
      <c r="I1189" s="278"/>
      <c r="J1189" s="278"/>
      <c r="K1189" s="278"/>
      <c r="L1189" s="278"/>
      <c r="M1189" s="278"/>
      <c r="N1189" s="278"/>
      <c r="O1189" s="278"/>
      <c r="P1189" s="278"/>
      <c r="Q1189" s="278"/>
      <c r="R1189" s="278"/>
      <c r="S1189" s="278"/>
      <c r="T1189" s="278"/>
      <c r="U1189" s="278"/>
      <c r="V1189" s="278"/>
    </row>
    <row r="1190" spans="1:22" x14ac:dyDescent="0.15">
      <c r="A1190" s="278"/>
      <c r="B1190" s="278"/>
      <c r="C1190" s="278"/>
      <c r="D1190" s="278"/>
      <c r="E1190" s="278"/>
      <c r="F1190" s="278"/>
      <c r="G1190" s="278"/>
      <c r="H1190" s="278"/>
      <c r="I1190" s="278"/>
      <c r="J1190" s="278"/>
      <c r="K1190" s="278"/>
      <c r="L1190" s="278"/>
      <c r="M1190" s="278"/>
      <c r="N1190" s="278"/>
      <c r="O1190" s="278"/>
      <c r="P1190" s="278"/>
      <c r="Q1190" s="278"/>
      <c r="R1190" s="278"/>
      <c r="S1190" s="278"/>
      <c r="T1190" s="278"/>
      <c r="U1190" s="278"/>
      <c r="V1190" s="278"/>
    </row>
    <row r="1191" spans="1:22" x14ac:dyDescent="0.15">
      <c r="A1191" s="278"/>
      <c r="B1191" s="278"/>
      <c r="C1191" s="278"/>
      <c r="D1191" s="278"/>
      <c r="E1191" s="278"/>
      <c r="F1191" s="278"/>
      <c r="G1191" s="278"/>
      <c r="H1191" s="278"/>
      <c r="I1191" s="278"/>
      <c r="J1191" s="278"/>
      <c r="K1191" s="278"/>
      <c r="L1191" s="278"/>
      <c r="M1191" s="278"/>
      <c r="N1191" s="278"/>
      <c r="O1191" s="278"/>
      <c r="P1191" s="278"/>
      <c r="Q1191" s="278"/>
      <c r="R1191" s="278"/>
      <c r="S1191" s="278"/>
      <c r="T1191" s="278"/>
      <c r="U1191" s="278"/>
      <c r="V1191" s="278"/>
    </row>
    <row r="1192" spans="1:22" x14ac:dyDescent="0.15">
      <c r="A1192" s="278"/>
      <c r="B1192" s="278"/>
      <c r="C1192" s="278"/>
      <c r="D1192" s="278"/>
      <c r="E1192" s="278"/>
      <c r="F1192" s="278"/>
      <c r="G1192" s="278"/>
      <c r="H1192" s="278"/>
      <c r="I1192" s="278"/>
      <c r="J1192" s="278"/>
      <c r="K1192" s="278"/>
      <c r="L1192" s="278"/>
      <c r="M1192" s="278"/>
      <c r="N1192" s="278"/>
      <c r="O1192" s="278"/>
      <c r="P1192" s="278"/>
      <c r="Q1192" s="278"/>
      <c r="R1192" s="278"/>
      <c r="S1192" s="278"/>
      <c r="T1192" s="278"/>
      <c r="U1192" s="278"/>
      <c r="V1192" s="278"/>
    </row>
    <row r="1193" spans="1:22" x14ac:dyDescent="0.15">
      <c r="A1193" s="278"/>
      <c r="B1193" s="278"/>
      <c r="C1193" s="278"/>
      <c r="D1193" s="278"/>
      <c r="E1193" s="278"/>
      <c r="F1193" s="278"/>
      <c r="G1193" s="278"/>
      <c r="H1193" s="278"/>
      <c r="I1193" s="278"/>
      <c r="J1193" s="278"/>
      <c r="K1193" s="278"/>
      <c r="L1193" s="278"/>
      <c r="M1193" s="278"/>
      <c r="N1193" s="278"/>
      <c r="O1193" s="278"/>
      <c r="P1193" s="278"/>
      <c r="Q1193" s="278"/>
      <c r="R1193" s="278"/>
      <c r="S1193" s="278"/>
      <c r="T1193" s="278"/>
      <c r="U1193" s="278"/>
      <c r="V1193" s="278"/>
    </row>
    <row r="1194" spans="1:22" x14ac:dyDescent="0.15">
      <c r="A1194" s="278"/>
      <c r="B1194" s="278"/>
      <c r="C1194" s="278"/>
      <c r="D1194" s="278"/>
      <c r="E1194" s="278"/>
      <c r="F1194" s="278"/>
      <c r="G1194" s="278"/>
      <c r="H1194" s="278"/>
      <c r="I1194" s="278"/>
      <c r="J1194" s="278"/>
      <c r="K1194" s="278"/>
      <c r="L1194" s="278"/>
      <c r="M1194" s="278"/>
      <c r="N1194" s="278"/>
      <c r="O1194" s="278"/>
      <c r="P1194" s="278"/>
      <c r="Q1194" s="278"/>
      <c r="R1194" s="278"/>
      <c r="S1194" s="278"/>
      <c r="T1194" s="278"/>
      <c r="U1194" s="278"/>
      <c r="V1194" s="278"/>
    </row>
    <row r="1195" spans="1:22" x14ac:dyDescent="0.15">
      <c r="A1195" s="278"/>
      <c r="B1195" s="278"/>
      <c r="C1195" s="278"/>
      <c r="D1195" s="278"/>
      <c r="E1195" s="278"/>
      <c r="F1195" s="278"/>
      <c r="G1195" s="278"/>
      <c r="H1195" s="278"/>
      <c r="I1195" s="278"/>
      <c r="J1195" s="278"/>
      <c r="K1195" s="278"/>
      <c r="L1195" s="278"/>
      <c r="M1195" s="278"/>
      <c r="N1195" s="278"/>
      <c r="O1195" s="278"/>
      <c r="P1195" s="278"/>
      <c r="Q1195" s="278"/>
      <c r="R1195" s="278"/>
      <c r="S1195" s="278"/>
      <c r="T1195" s="278"/>
      <c r="U1195" s="278"/>
      <c r="V1195" s="278"/>
    </row>
    <row r="1196" spans="1:22" x14ac:dyDescent="0.15">
      <c r="A1196" s="278"/>
      <c r="B1196" s="278"/>
      <c r="C1196" s="278"/>
      <c r="D1196" s="278"/>
      <c r="E1196" s="278"/>
      <c r="F1196" s="278"/>
      <c r="G1196" s="278"/>
      <c r="H1196" s="278"/>
      <c r="I1196" s="278"/>
      <c r="J1196" s="278"/>
      <c r="K1196" s="278"/>
      <c r="L1196" s="278"/>
      <c r="M1196" s="278"/>
      <c r="N1196" s="278"/>
      <c r="O1196" s="278"/>
      <c r="P1196" s="278"/>
      <c r="Q1196" s="278"/>
      <c r="R1196" s="278"/>
      <c r="S1196" s="278"/>
      <c r="T1196" s="278"/>
      <c r="U1196" s="278"/>
      <c r="V1196" s="278"/>
    </row>
    <row r="1197" spans="1:22" x14ac:dyDescent="0.15">
      <c r="A1197" s="278"/>
      <c r="B1197" s="278"/>
      <c r="C1197" s="278"/>
      <c r="D1197" s="278"/>
      <c r="E1197" s="278"/>
      <c r="F1197" s="278"/>
      <c r="G1197" s="278"/>
      <c r="H1197" s="278"/>
      <c r="I1197" s="278"/>
      <c r="J1197" s="278"/>
      <c r="K1197" s="278"/>
      <c r="L1197" s="278"/>
      <c r="M1197" s="278"/>
      <c r="N1197" s="278"/>
      <c r="O1197" s="278"/>
      <c r="P1197" s="278"/>
      <c r="Q1197" s="278"/>
      <c r="R1197" s="278"/>
      <c r="S1197" s="278"/>
      <c r="T1197" s="278"/>
      <c r="U1197" s="278"/>
      <c r="V1197" s="278"/>
    </row>
    <row r="1198" spans="1:22" x14ac:dyDescent="0.15">
      <c r="A1198" s="278"/>
      <c r="B1198" s="278"/>
      <c r="C1198" s="278"/>
      <c r="D1198" s="278"/>
      <c r="E1198" s="278"/>
      <c r="F1198" s="278"/>
      <c r="G1198" s="278"/>
      <c r="H1198" s="278"/>
      <c r="I1198" s="278"/>
      <c r="J1198" s="278"/>
      <c r="K1198" s="278"/>
      <c r="L1198" s="278"/>
      <c r="M1198" s="278"/>
      <c r="N1198" s="278"/>
      <c r="O1198" s="278"/>
      <c r="P1198" s="278"/>
      <c r="Q1198" s="278"/>
      <c r="R1198" s="278"/>
      <c r="S1198" s="278"/>
      <c r="T1198" s="278"/>
      <c r="U1198" s="278"/>
      <c r="V1198" s="278"/>
    </row>
    <row r="1199" spans="1:22" x14ac:dyDescent="0.15">
      <c r="A1199" s="278"/>
      <c r="B1199" s="278"/>
      <c r="C1199" s="278"/>
      <c r="D1199" s="278"/>
      <c r="E1199" s="278"/>
      <c r="F1199" s="278"/>
      <c r="G1199" s="278"/>
      <c r="H1199" s="278"/>
      <c r="I1199" s="278"/>
      <c r="J1199" s="278"/>
      <c r="K1199" s="278"/>
      <c r="L1199" s="278"/>
      <c r="M1199" s="278"/>
      <c r="N1199" s="278"/>
      <c r="O1199" s="278"/>
      <c r="P1199" s="278"/>
      <c r="Q1199" s="278"/>
      <c r="R1199" s="278"/>
      <c r="S1199" s="278"/>
      <c r="T1199" s="278"/>
      <c r="U1199" s="278"/>
      <c r="V1199" s="278"/>
    </row>
    <row r="1200" spans="1:22" x14ac:dyDescent="0.15">
      <c r="A1200" s="278"/>
      <c r="B1200" s="278"/>
      <c r="C1200" s="278"/>
      <c r="D1200" s="278"/>
      <c r="E1200" s="278"/>
      <c r="F1200" s="278"/>
      <c r="G1200" s="278"/>
      <c r="H1200" s="278"/>
      <c r="I1200" s="278"/>
      <c r="J1200" s="278"/>
      <c r="K1200" s="278"/>
      <c r="L1200" s="278"/>
      <c r="M1200" s="278"/>
      <c r="N1200" s="278"/>
      <c r="O1200" s="278"/>
      <c r="P1200" s="278"/>
      <c r="Q1200" s="278"/>
      <c r="R1200" s="278"/>
      <c r="S1200" s="278"/>
      <c r="T1200" s="278"/>
      <c r="U1200" s="278"/>
      <c r="V1200" s="278"/>
    </row>
    <row r="1201" spans="1:22" x14ac:dyDescent="0.15">
      <c r="A1201" s="278"/>
      <c r="B1201" s="278"/>
      <c r="C1201" s="278"/>
      <c r="D1201" s="278"/>
      <c r="E1201" s="278"/>
      <c r="F1201" s="278"/>
      <c r="G1201" s="278"/>
      <c r="H1201" s="278"/>
      <c r="I1201" s="278"/>
      <c r="J1201" s="278"/>
      <c r="K1201" s="278"/>
      <c r="L1201" s="278"/>
      <c r="M1201" s="278"/>
      <c r="N1201" s="278"/>
      <c r="O1201" s="278"/>
      <c r="P1201" s="278"/>
      <c r="Q1201" s="278"/>
      <c r="R1201" s="278"/>
      <c r="S1201" s="278"/>
      <c r="T1201" s="278"/>
      <c r="U1201" s="278"/>
      <c r="V1201" s="278"/>
    </row>
    <row r="1202" spans="1:22" x14ac:dyDescent="0.15">
      <c r="A1202" s="278"/>
      <c r="B1202" s="278"/>
      <c r="C1202" s="278"/>
      <c r="D1202" s="278"/>
      <c r="E1202" s="278"/>
      <c r="F1202" s="278"/>
      <c r="G1202" s="278"/>
      <c r="H1202" s="278"/>
      <c r="I1202" s="278"/>
      <c r="J1202" s="278"/>
      <c r="K1202" s="278"/>
      <c r="L1202" s="278"/>
      <c r="M1202" s="278"/>
      <c r="N1202" s="278"/>
      <c r="O1202" s="278"/>
      <c r="P1202" s="278"/>
      <c r="Q1202" s="278"/>
      <c r="R1202" s="278"/>
      <c r="S1202" s="278"/>
      <c r="T1202" s="278"/>
      <c r="U1202" s="278"/>
      <c r="V1202" s="278"/>
    </row>
    <row r="1203" spans="1:22" x14ac:dyDescent="0.15">
      <c r="A1203" s="278"/>
      <c r="B1203" s="278"/>
      <c r="C1203" s="278"/>
      <c r="D1203" s="278"/>
      <c r="E1203" s="278"/>
      <c r="F1203" s="278"/>
      <c r="G1203" s="278"/>
      <c r="H1203" s="278"/>
      <c r="I1203" s="278"/>
      <c r="J1203" s="278"/>
      <c r="K1203" s="278"/>
      <c r="L1203" s="278"/>
      <c r="M1203" s="278"/>
      <c r="N1203" s="278"/>
      <c r="O1203" s="278"/>
      <c r="P1203" s="278"/>
      <c r="Q1203" s="278"/>
      <c r="R1203" s="278"/>
      <c r="S1203" s="278"/>
      <c r="T1203" s="278"/>
      <c r="U1203" s="278"/>
      <c r="V1203" s="278"/>
    </row>
    <row r="1204" spans="1:22" x14ac:dyDescent="0.15">
      <c r="A1204" s="278"/>
      <c r="B1204" s="278"/>
      <c r="C1204" s="278"/>
      <c r="D1204" s="278"/>
      <c r="E1204" s="278"/>
      <c r="F1204" s="278"/>
      <c r="G1204" s="278"/>
      <c r="H1204" s="278"/>
      <c r="I1204" s="278"/>
      <c r="J1204" s="278"/>
      <c r="K1204" s="278"/>
      <c r="L1204" s="278"/>
      <c r="M1204" s="278"/>
      <c r="N1204" s="278"/>
      <c r="O1204" s="278"/>
      <c r="P1204" s="278"/>
      <c r="Q1204" s="278"/>
      <c r="R1204" s="278"/>
      <c r="S1204" s="278"/>
      <c r="T1204" s="278"/>
      <c r="U1204" s="278"/>
      <c r="V1204" s="278"/>
    </row>
    <row r="1205" spans="1:22" x14ac:dyDescent="0.15">
      <c r="A1205" s="278"/>
      <c r="B1205" s="278"/>
      <c r="C1205" s="278"/>
      <c r="D1205" s="278"/>
      <c r="E1205" s="278"/>
      <c r="F1205" s="278"/>
      <c r="G1205" s="278"/>
      <c r="H1205" s="278"/>
      <c r="I1205" s="278"/>
      <c r="J1205" s="278"/>
      <c r="K1205" s="278"/>
      <c r="L1205" s="278"/>
      <c r="M1205" s="278"/>
      <c r="N1205" s="278"/>
      <c r="O1205" s="278"/>
      <c r="P1205" s="278"/>
      <c r="Q1205" s="278"/>
      <c r="R1205" s="278"/>
      <c r="S1205" s="278"/>
      <c r="T1205" s="278"/>
      <c r="U1205" s="278"/>
      <c r="V1205" s="278"/>
    </row>
    <row r="1206" spans="1:22" x14ac:dyDescent="0.15">
      <c r="A1206" s="278"/>
      <c r="B1206" s="278"/>
      <c r="C1206" s="278"/>
      <c r="D1206" s="278"/>
      <c r="E1206" s="278"/>
      <c r="F1206" s="278"/>
      <c r="G1206" s="278"/>
      <c r="H1206" s="278"/>
      <c r="I1206" s="278"/>
      <c r="J1206" s="278"/>
      <c r="K1206" s="278"/>
      <c r="L1206" s="278"/>
      <c r="M1206" s="278"/>
      <c r="N1206" s="278"/>
      <c r="O1206" s="278"/>
      <c r="P1206" s="278"/>
      <c r="Q1206" s="278"/>
      <c r="R1206" s="278"/>
      <c r="S1206" s="278"/>
      <c r="T1206" s="278"/>
      <c r="U1206" s="278"/>
      <c r="V1206" s="278"/>
    </row>
    <row r="1207" spans="1:22" x14ac:dyDescent="0.15">
      <c r="A1207" s="278"/>
      <c r="B1207" s="278"/>
      <c r="C1207" s="278"/>
      <c r="D1207" s="278"/>
      <c r="E1207" s="278"/>
      <c r="F1207" s="278"/>
      <c r="G1207" s="278"/>
      <c r="H1207" s="278"/>
      <c r="I1207" s="278"/>
      <c r="J1207" s="278"/>
      <c r="K1207" s="278"/>
      <c r="L1207" s="278"/>
      <c r="M1207" s="278"/>
      <c r="N1207" s="278"/>
      <c r="O1207" s="278"/>
      <c r="P1207" s="278"/>
      <c r="Q1207" s="278"/>
      <c r="R1207" s="278"/>
      <c r="S1207" s="278"/>
      <c r="T1207" s="278"/>
      <c r="U1207" s="278"/>
      <c r="V1207" s="278"/>
    </row>
    <row r="1208" spans="1:22" x14ac:dyDescent="0.15">
      <c r="A1208" s="278"/>
      <c r="B1208" s="278"/>
      <c r="C1208" s="278"/>
      <c r="D1208" s="278"/>
      <c r="E1208" s="278"/>
      <c r="F1208" s="278"/>
      <c r="G1208" s="278"/>
      <c r="H1208" s="278"/>
      <c r="I1208" s="278"/>
      <c r="J1208" s="278"/>
      <c r="K1208" s="278"/>
      <c r="L1208" s="278"/>
      <c r="M1208" s="278"/>
      <c r="N1208" s="278"/>
      <c r="O1208" s="278"/>
      <c r="P1208" s="278"/>
      <c r="Q1208" s="278"/>
      <c r="R1208" s="278"/>
      <c r="S1208" s="278"/>
      <c r="T1208" s="278"/>
      <c r="U1208" s="278"/>
      <c r="V1208" s="278"/>
    </row>
    <row r="1209" spans="1:22" x14ac:dyDescent="0.15">
      <c r="A1209" s="278"/>
      <c r="B1209" s="278"/>
      <c r="C1209" s="278"/>
      <c r="D1209" s="278"/>
      <c r="E1209" s="278"/>
      <c r="F1209" s="278"/>
      <c r="G1209" s="278"/>
      <c r="H1209" s="278"/>
      <c r="I1209" s="278"/>
      <c r="J1209" s="278"/>
      <c r="K1209" s="278"/>
      <c r="L1209" s="278"/>
      <c r="M1209" s="278"/>
      <c r="N1209" s="278"/>
      <c r="O1209" s="278"/>
      <c r="P1209" s="278"/>
      <c r="Q1209" s="278"/>
      <c r="R1209" s="278"/>
      <c r="S1209" s="278"/>
      <c r="T1209" s="278"/>
      <c r="U1209" s="278"/>
      <c r="V1209" s="278"/>
    </row>
    <row r="1210" spans="1:22" x14ac:dyDescent="0.15">
      <c r="A1210" s="278"/>
      <c r="B1210" s="278"/>
      <c r="C1210" s="278"/>
      <c r="D1210" s="278"/>
      <c r="E1210" s="278"/>
      <c r="F1210" s="278"/>
      <c r="G1210" s="278"/>
      <c r="H1210" s="278"/>
      <c r="I1210" s="278"/>
      <c r="J1210" s="278"/>
      <c r="K1210" s="278"/>
      <c r="L1210" s="278"/>
      <c r="M1210" s="278"/>
      <c r="N1210" s="278"/>
      <c r="O1210" s="278"/>
      <c r="P1210" s="278"/>
      <c r="Q1210" s="278"/>
      <c r="R1210" s="278"/>
      <c r="S1210" s="278"/>
      <c r="T1210" s="278"/>
      <c r="U1210" s="278"/>
      <c r="V1210" s="278"/>
    </row>
    <row r="1211" spans="1:22" x14ac:dyDescent="0.15">
      <c r="A1211" s="278"/>
      <c r="B1211" s="278"/>
      <c r="C1211" s="278"/>
      <c r="D1211" s="278"/>
      <c r="E1211" s="278"/>
      <c r="F1211" s="278"/>
      <c r="G1211" s="278"/>
      <c r="H1211" s="278"/>
      <c r="I1211" s="278"/>
      <c r="J1211" s="278"/>
      <c r="K1211" s="278"/>
      <c r="L1211" s="278"/>
      <c r="M1211" s="278"/>
      <c r="N1211" s="278"/>
      <c r="O1211" s="278"/>
      <c r="P1211" s="278"/>
      <c r="Q1211" s="278"/>
      <c r="R1211" s="278"/>
      <c r="S1211" s="278"/>
      <c r="T1211" s="278"/>
      <c r="U1211" s="278"/>
      <c r="V1211" s="278"/>
    </row>
    <row r="1212" spans="1:22" x14ac:dyDescent="0.15">
      <c r="A1212" s="278"/>
      <c r="B1212" s="278"/>
      <c r="C1212" s="278"/>
      <c r="D1212" s="278"/>
      <c r="E1212" s="278"/>
      <c r="F1212" s="278"/>
      <c r="G1212" s="278"/>
      <c r="H1212" s="278"/>
      <c r="I1212" s="278"/>
      <c r="J1212" s="278"/>
      <c r="K1212" s="278"/>
      <c r="L1212" s="278"/>
      <c r="M1212" s="278"/>
      <c r="N1212" s="278"/>
      <c r="O1212" s="278"/>
      <c r="P1212" s="278"/>
      <c r="Q1212" s="278"/>
      <c r="R1212" s="278"/>
      <c r="S1212" s="278"/>
      <c r="T1212" s="278"/>
      <c r="U1212" s="278"/>
      <c r="V1212" s="278"/>
    </row>
    <row r="1213" spans="1:22" x14ac:dyDescent="0.15">
      <c r="A1213" s="278"/>
      <c r="B1213" s="278"/>
      <c r="C1213" s="278"/>
      <c r="D1213" s="278"/>
      <c r="E1213" s="278"/>
      <c r="F1213" s="278"/>
      <c r="G1213" s="278"/>
      <c r="H1213" s="278"/>
      <c r="I1213" s="278"/>
      <c r="J1213" s="278"/>
      <c r="K1213" s="278"/>
      <c r="L1213" s="278"/>
      <c r="M1213" s="278"/>
      <c r="N1213" s="278"/>
      <c r="O1213" s="278"/>
      <c r="P1213" s="278"/>
      <c r="Q1213" s="278"/>
      <c r="R1213" s="278"/>
      <c r="S1213" s="278"/>
      <c r="T1213" s="278"/>
      <c r="U1213" s="278"/>
      <c r="V1213" s="278"/>
    </row>
    <row r="1214" spans="1:22" x14ac:dyDescent="0.15">
      <c r="A1214" s="278"/>
      <c r="B1214" s="278"/>
      <c r="C1214" s="278"/>
      <c r="D1214" s="278"/>
      <c r="E1214" s="278"/>
      <c r="F1214" s="278"/>
      <c r="G1214" s="278"/>
      <c r="H1214" s="278"/>
      <c r="I1214" s="278"/>
      <c r="J1214" s="278"/>
      <c r="K1214" s="278"/>
      <c r="L1214" s="278"/>
      <c r="M1214" s="278"/>
      <c r="N1214" s="278"/>
      <c r="O1214" s="278"/>
      <c r="P1214" s="278"/>
      <c r="Q1214" s="278"/>
      <c r="R1214" s="278"/>
      <c r="S1214" s="278"/>
      <c r="T1214" s="278"/>
      <c r="U1214" s="278"/>
      <c r="V1214" s="278"/>
    </row>
    <row r="1215" spans="1:22" x14ac:dyDescent="0.15">
      <c r="A1215" s="278"/>
      <c r="B1215" s="278"/>
      <c r="C1215" s="278"/>
      <c r="D1215" s="278"/>
      <c r="E1215" s="278"/>
      <c r="F1215" s="278"/>
      <c r="G1215" s="278"/>
      <c r="H1215" s="278"/>
      <c r="I1215" s="278"/>
      <c r="J1215" s="278"/>
      <c r="K1215" s="278"/>
      <c r="L1215" s="278"/>
      <c r="M1215" s="278"/>
      <c r="N1215" s="278"/>
      <c r="O1215" s="278"/>
      <c r="P1215" s="278"/>
      <c r="Q1215" s="278"/>
      <c r="R1215" s="278"/>
      <c r="S1215" s="278"/>
      <c r="T1215" s="278"/>
      <c r="U1215" s="278"/>
      <c r="V1215" s="278"/>
    </row>
    <row r="1216" spans="1:22" x14ac:dyDescent="0.15">
      <c r="A1216" s="278"/>
      <c r="B1216" s="278"/>
      <c r="C1216" s="278"/>
      <c r="D1216" s="278"/>
      <c r="E1216" s="278"/>
      <c r="F1216" s="278"/>
      <c r="G1216" s="278"/>
      <c r="H1216" s="278"/>
      <c r="I1216" s="278"/>
      <c r="J1216" s="278"/>
      <c r="K1216" s="278"/>
      <c r="L1216" s="278"/>
      <c r="M1216" s="278"/>
      <c r="N1216" s="278"/>
      <c r="O1216" s="278"/>
      <c r="P1216" s="278"/>
      <c r="Q1216" s="278"/>
      <c r="R1216" s="278"/>
      <c r="S1216" s="278"/>
      <c r="T1216" s="278"/>
      <c r="U1216" s="278"/>
      <c r="V1216" s="278"/>
    </row>
    <row r="1217" spans="1:22" x14ac:dyDescent="0.15">
      <c r="A1217" s="278"/>
      <c r="B1217" s="278"/>
      <c r="C1217" s="278"/>
      <c r="D1217" s="278"/>
      <c r="E1217" s="278"/>
      <c r="F1217" s="278"/>
      <c r="G1217" s="278"/>
      <c r="H1217" s="278"/>
      <c r="I1217" s="278"/>
      <c r="J1217" s="278"/>
      <c r="K1217" s="278"/>
      <c r="L1217" s="278"/>
      <c r="M1217" s="278"/>
      <c r="N1217" s="278"/>
      <c r="O1217" s="278"/>
      <c r="P1217" s="278"/>
      <c r="Q1217" s="278"/>
      <c r="R1217" s="278"/>
      <c r="S1217" s="278"/>
      <c r="T1217" s="278"/>
      <c r="U1217" s="278"/>
      <c r="V1217" s="278"/>
    </row>
    <row r="1218" spans="1:22" x14ac:dyDescent="0.15">
      <c r="A1218" s="278"/>
      <c r="B1218" s="278"/>
      <c r="C1218" s="278"/>
      <c r="D1218" s="278"/>
      <c r="E1218" s="278"/>
      <c r="F1218" s="278"/>
      <c r="G1218" s="278"/>
      <c r="H1218" s="278"/>
      <c r="I1218" s="278"/>
      <c r="J1218" s="278"/>
      <c r="K1218" s="278"/>
      <c r="L1218" s="278"/>
      <c r="M1218" s="278"/>
      <c r="N1218" s="278"/>
      <c r="O1218" s="278"/>
      <c r="P1218" s="278"/>
      <c r="Q1218" s="278"/>
      <c r="R1218" s="278"/>
      <c r="S1218" s="278"/>
      <c r="T1218" s="278"/>
      <c r="U1218" s="278"/>
      <c r="V1218" s="278"/>
    </row>
    <row r="1219" spans="1:22" x14ac:dyDescent="0.15">
      <c r="A1219" s="278"/>
      <c r="B1219" s="278"/>
      <c r="C1219" s="278"/>
      <c r="D1219" s="278"/>
      <c r="E1219" s="278"/>
      <c r="F1219" s="278"/>
      <c r="G1219" s="278"/>
      <c r="H1219" s="278"/>
      <c r="I1219" s="278"/>
      <c r="J1219" s="278"/>
      <c r="K1219" s="278"/>
      <c r="L1219" s="278"/>
      <c r="M1219" s="278"/>
      <c r="N1219" s="278"/>
      <c r="O1219" s="278"/>
      <c r="P1219" s="278"/>
      <c r="Q1219" s="278"/>
      <c r="R1219" s="278"/>
      <c r="S1219" s="278"/>
      <c r="T1219" s="278"/>
      <c r="U1219" s="278"/>
      <c r="V1219" s="278"/>
    </row>
    <row r="1220" spans="1:22" x14ac:dyDescent="0.15">
      <c r="A1220" s="278"/>
      <c r="B1220" s="278"/>
      <c r="C1220" s="278"/>
      <c r="D1220" s="278"/>
      <c r="E1220" s="278"/>
      <c r="F1220" s="278"/>
      <c r="G1220" s="278"/>
      <c r="H1220" s="278"/>
      <c r="I1220" s="278"/>
      <c r="J1220" s="278"/>
      <c r="K1220" s="278"/>
      <c r="L1220" s="278"/>
      <c r="M1220" s="278"/>
      <c r="N1220" s="278"/>
      <c r="O1220" s="278"/>
      <c r="P1220" s="278"/>
      <c r="Q1220" s="278"/>
      <c r="R1220" s="278"/>
      <c r="S1220" s="278"/>
      <c r="T1220" s="278"/>
      <c r="U1220" s="278"/>
      <c r="V1220" s="278"/>
    </row>
    <row r="1221" spans="1:22" x14ac:dyDescent="0.15">
      <c r="A1221" s="278"/>
      <c r="B1221" s="278"/>
      <c r="C1221" s="278"/>
      <c r="D1221" s="278"/>
      <c r="E1221" s="278"/>
      <c r="F1221" s="278"/>
      <c r="G1221" s="278"/>
      <c r="H1221" s="278"/>
      <c r="I1221" s="278"/>
      <c r="J1221" s="278"/>
      <c r="K1221" s="278"/>
      <c r="L1221" s="278"/>
      <c r="M1221" s="278"/>
      <c r="N1221" s="278"/>
      <c r="O1221" s="278"/>
      <c r="P1221" s="278"/>
      <c r="Q1221" s="278"/>
      <c r="R1221" s="278"/>
      <c r="S1221" s="278"/>
      <c r="T1221" s="278"/>
      <c r="U1221" s="278"/>
      <c r="V1221" s="278"/>
    </row>
    <row r="1222" spans="1:22" x14ac:dyDescent="0.15">
      <c r="A1222" s="278"/>
      <c r="B1222" s="278"/>
      <c r="C1222" s="278"/>
      <c r="D1222" s="278"/>
      <c r="E1222" s="278"/>
      <c r="F1222" s="278"/>
      <c r="G1222" s="278"/>
      <c r="H1222" s="278"/>
      <c r="I1222" s="278"/>
      <c r="J1222" s="278"/>
      <c r="K1222" s="278"/>
      <c r="L1222" s="278"/>
      <c r="M1222" s="278"/>
      <c r="N1222" s="278"/>
      <c r="O1222" s="278"/>
      <c r="P1222" s="278"/>
      <c r="Q1222" s="278"/>
      <c r="R1222" s="278"/>
      <c r="S1222" s="278"/>
      <c r="T1222" s="278"/>
      <c r="U1222" s="278"/>
      <c r="V1222" s="278"/>
    </row>
    <row r="1223" spans="1:22" x14ac:dyDescent="0.15">
      <c r="A1223" s="278"/>
      <c r="B1223" s="278"/>
      <c r="C1223" s="278"/>
      <c r="D1223" s="278"/>
      <c r="E1223" s="278"/>
      <c r="F1223" s="278"/>
      <c r="G1223" s="278"/>
      <c r="H1223" s="278"/>
      <c r="I1223" s="278"/>
      <c r="J1223" s="278"/>
      <c r="K1223" s="278"/>
      <c r="L1223" s="278"/>
      <c r="M1223" s="278"/>
      <c r="N1223" s="278"/>
      <c r="O1223" s="278"/>
      <c r="P1223" s="278"/>
      <c r="Q1223" s="278"/>
      <c r="R1223" s="278"/>
      <c r="S1223" s="278"/>
      <c r="T1223" s="278"/>
      <c r="U1223" s="278"/>
      <c r="V1223" s="278"/>
    </row>
    <row r="1224" spans="1:22" x14ac:dyDescent="0.15">
      <c r="A1224" s="278"/>
      <c r="B1224" s="278"/>
      <c r="C1224" s="278"/>
      <c r="D1224" s="278"/>
      <c r="E1224" s="278"/>
      <c r="F1224" s="278"/>
      <c r="G1224" s="278"/>
      <c r="H1224" s="278"/>
      <c r="I1224" s="278"/>
      <c r="J1224" s="278"/>
      <c r="K1224" s="278"/>
      <c r="L1224" s="278"/>
      <c r="M1224" s="278"/>
      <c r="N1224" s="278"/>
      <c r="O1224" s="278"/>
      <c r="P1224" s="278"/>
      <c r="Q1224" s="278"/>
      <c r="R1224" s="278"/>
      <c r="S1224" s="278"/>
      <c r="T1224" s="278"/>
      <c r="U1224" s="278"/>
      <c r="V1224" s="278"/>
    </row>
    <row r="1225" spans="1:22" x14ac:dyDescent="0.15">
      <c r="A1225" s="278"/>
      <c r="B1225" s="278"/>
      <c r="C1225" s="278"/>
      <c r="D1225" s="278"/>
      <c r="E1225" s="278"/>
      <c r="F1225" s="278"/>
      <c r="G1225" s="278"/>
      <c r="H1225" s="278"/>
      <c r="I1225" s="278"/>
      <c r="J1225" s="278"/>
      <c r="K1225" s="278"/>
      <c r="L1225" s="278"/>
      <c r="M1225" s="278"/>
      <c r="N1225" s="278"/>
      <c r="O1225" s="278"/>
      <c r="P1225" s="278"/>
      <c r="Q1225" s="278"/>
      <c r="R1225" s="278"/>
      <c r="S1225" s="278"/>
      <c r="T1225" s="278"/>
      <c r="U1225" s="278"/>
      <c r="V1225" s="278"/>
    </row>
    <row r="1226" spans="1:22" x14ac:dyDescent="0.15">
      <c r="A1226" s="278"/>
      <c r="B1226" s="278"/>
      <c r="C1226" s="278"/>
      <c r="D1226" s="278"/>
      <c r="E1226" s="278"/>
      <c r="F1226" s="278"/>
      <c r="G1226" s="278"/>
      <c r="H1226" s="278"/>
      <c r="I1226" s="278"/>
      <c r="J1226" s="278"/>
      <c r="K1226" s="278"/>
      <c r="L1226" s="278"/>
      <c r="M1226" s="278"/>
      <c r="N1226" s="278"/>
      <c r="O1226" s="278"/>
      <c r="P1226" s="278"/>
      <c r="Q1226" s="278"/>
      <c r="R1226" s="278"/>
      <c r="S1226" s="278"/>
      <c r="T1226" s="278"/>
      <c r="U1226" s="278"/>
      <c r="V1226" s="278"/>
    </row>
    <row r="1227" spans="1:22" x14ac:dyDescent="0.15">
      <c r="A1227" s="278"/>
      <c r="B1227" s="278"/>
      <c r="C1227" s="278"/>
      <c r="D1227" s="278"/>
      <c r="E1227" s="278"/>
      <c r="F1227" s="278"/>
      <c r="G1227" s="278"/>
      <c r="H1227" s="278"/>
      <c r="I1227" s="278"/>
      <c r="J1227" s="278"/>
      <c r="K1227" s="278"/>
      <c r="L1227" s="278"/>
      <c r="M1227" s="278"/>
      <c r="N1227" s="278"/>
      <c r="O1227" s="278"/>
      <c r="P1227" s="278"/>
      <c r="Q1227" s="278"/>
      <c r="R1227" s="278"/>
      <c r="S1227" s="278"/>
      <c r="T1227" s="278"/>
      <c r="U1227" s="278"/>
      <c r="V1227" s="278"/>
    </row>
    <row r="1228" spans="1:22" x14ac:dyDescent="0.15">
      <c r="A1228" s="278"/>
      <c r="B1228" s="278"/>
      <c r="C1228" s="278"/>
      <c r="D1228" s="278"/>
      <c r="E1228" s="278"/>
      <c r="F1228" s="278"/>
      <c r="G1228" s="278"/>
      <c r="H1228" s="278"/>
      <c r="I1228" s="278"/>
      <c r="J1228" s="278"/>
      <c r="K1228" s="278"/>
      <c r="L1228" s="278"/>
      <c r="M1228" s="278"/>
      <c r="N1228" s="278"/>
      <c r="O1228" s="278"/>
      <c r="P1228" s="278"/>
      <c r="Q1228" s="278"/>
      <c r="R1228" s="278"/>
      <c r="S1228" s="278"/>
      <c r="T1228" s="278"/>
      <c r="U1228" s="278"/>
      <c r="V1228" s="278"/>
    </row>
    <row r="1229" spans="1:22" x14ac:dyDescent="0.15">
      <c r="A1229" s="278"/>
      <c r="B1229" s="278"/>
      <c r="C1229" s="278"/>
      <c r="D1229" s="278"/>
      <c r="E1229" s="278"/>
      <c r="F1229" s="278"/>
      <c r="G1229" s="278"/>
      <c r="H1229" s="278"/>
      <c r="I1229" s="278"/>
      <c r="J1229" s="278"/>
      <c r="K1229" s="278"/>
      <c r="L1229" s="278"/>
      <c r="M1229" s="278"/>
      <c r="N1229" s="278"/>
      <c r="O1229" s="278"/>
      <c r="P1229" s="278"/>
      <c r="Q1229" s="278"/>
      <c r="R1229" s="278"/>
      <c r="S1229" s="278"/>
      <c r="T1229" s="278"/>
      <c r="U1229" s="278"/>
      <c r="V1229" s="278"/>
    </row>
    <row r="1230" spans="1:22" x14ac:dyDescent="0.15">
      <c r="A1230" s="278"/>
      <c r="B1230" s="278"/>
      <c r="C1230" s="278"/>
      <c r="D1230" s="278"/>
      <c r="E1230" s="278"/>
      <c r="F1230" s="278"/>
      <c r="G1230" s="278"/>
      <c r="H1230" s="278"/>
      <c r="I1230" s="278"/>
      <c r="J1230" s="278"/>
      <c r="K1230" s="278"/>
      <c r="L1230" s="278"/>
      <c r="M1230" s="278"/>
      <c r="N1230" s="278"/>
      <c r="O1230" s="278"/>
      <c r="P1230" s="278"/>
      <c r="Q1230" s="278"/>
      <c r="R1230" s="278"/>
      <c r="S1230" s="278"/>
      <c r="T1230" s="278"/>
      <c r="U1230" s="278"/>
      <c r="V1230" s="278"/>
    </row>
    <row r="1231" spans="1:22" x14ac:dyDescent="0.15">
      <c r="A1231" s="278"/>
      <c r="B1231" s="278"/>
      <c r="C1231" s="278"/>
      <c r="D1231" s="278"/>
      <c r="E1231" s="278"/>
      <c r="F1231" s="278"/>
      <c r="G1231" s="278"/>
      <c r="H1231" s="278"/>
      <c r="I1231" s="278"/>
      <c r="J1231" s="278"/>
      <c r="K1231" s="278"/>
      <c r="L1231" s="278"/>
      <c r="M1231" s="278"/>
      <c r="N1231" s="278"/>
      <c r="O1231" s="278"/>
      <c r="P1231" s="278"/>
      <c r="Q1231" s="278"/>
      <c r="R1231" s="278"/>
      <c r="S1231" s="278"/>
      <c r="T1231" s="278"/>
      <c r="U1231" s="278"/>
      <c r="V1231" s="278"/>
    </row>
    <row r="1232" spans="1:22" x14ac:dyDescent="0.15">
      <c r="A1232" s="278"/>
      <c r="B1232" s="278"/>
      <c r="C1232" s="278"/>
      <c r="D1232" s="278"/>
      <c r="E1232" s="278"/>
      <c r="F1232" s="278"/>
      <c r="G1232" s="278"/>
      <c r="H1232" s="278"/>
      <c r="I1232" s="278"/>
      <c r="J1232" s="278"/>
      <c r="K1232" s="278"/>
      <c r="L1232" s="278"/>
      <c r="M1232" s="278"/>
      <c r="N1232" s="278"/>
      <c r="O1232" s="278"/>
      <c r="P1232" s="278"/>
      <c r="Q1232" s="278"/>
      <c r="R1232" s="278"/>
      <c r="S1232" s="278"/>
      <c r="T1232" s="278"/>
      <c r="U1232" s="278"/>
      <c r="V1232" s="278"/>
    </row>
    <row r="1233" spans="1:22" x14ac:dyDescent="0.15">
      <c r="A1233" s="278"/>
      <c r="B1233" s="278"/>
      <c r="C1233" s="278"/>
      <c r="D1233" s="278"/>
      <c r="E1233" s="278"/>
      <c r="F1233" s="278"/>
      <c r="G1233" s="278"/>
      <c r="H1233" s="278"/>
      <c r="I1233" s="278"/>
      <c r="J1233" s="278"/>
      <c r="K1233" s="278"/>
      <c r="L1233" s="278"/>
      <c r="M1233" s="278"/>
      <c r="N1233" s="278"/>
      <c r="O1233" s="278"/>
      <c r="P1233" s="278"/>
      <c r="Q1233" s="278"/>
      <c r="R1233" s="278"/>
      <c r="S1233" s="278"/>
      <c r="T1233" s="278"/>
      <c r="U1233" s="278"/>
      <c r="V1233" s="278"/>
    </row>
    <row r="1234" spans="1:22" x14ac:dyDescent="0.15">
      <c r="A1234" s="278"/>
      <c r="B1234" s="278"/>
      <c r="C1234" s="278"/>
      <c r="D1234" s="278"/>
      <c r="E1234" s="278"/>
      <c r="F1234" s="278"/>
      <c r="G1234" s="278"/>
      <c r="H1234" s="278"/>
      <c r="I1234" s="278"/>
      <c r="J1234" s="278"/>
      <c r="K1234" s="278"/>
      <c r="L1234" s="278"/>
      <c r="M1234" s="278"/>
      <c r="N1234" s="278"/>
      <c r="O1234" s="278"/>
      <c r="P1234" s="278"/>
      <c r="Q1234" s="278"/>
      <c r="R1234" s="278"/>
      <c r="S1234" s="278"/>
      <c r="T1234" s="278"/>
      <c r="U1234" s="278"/>
      <c r="V1234" s="278"/>
    </row>
    <row r="1235" spans="1:22" x14ac:dyDescent="0.15">
      <c r="A1235" s="278"/>
      <c r="B1235" s="278"/>
      <c r="C1235" s="278"/>
      <c r="D1235" s="278"/>
      <c r="E1235" s="278"/>
      <c r="F1235" s="278"/>
      <c r="G1235" s="278"/>
      <c r="H1235" s="278"/>
      <c r="I1235" s="278"/>
      <c r="J1235" s="278"/>
      <c r="K1235" s="278"/>
      <c r="L1235" s="278"/>
      <c r="M1235" s="278"/>
      <c r="N1235" s="278"/>
      <c r="O1235" s="278"/>
      <c r="P1235" s="278"/>
      <c r="Q1235" s="278"/>
      <c r="R1235" s="278"/>
      <c r="S1235" s="278"/>
      <c r="T1235" s="278"/>
      <c r="U1235" s="278"/>
      <c r="V1235" s="278"/>
    </row>
    <row r="1236" spans="1:22" x14ac:dyDescent="0.15">
      <c r="A1236" s="278"/>
      <c r="B1236" s="278"/>
      <c r="C1236" s="278"/>
      <c r="D1236" s="278"/>
      <c r="E1236" s="278"/>
      <c r="F1236" s="278"/>
      <c r="G1236" s="278"/>
      <c r="H1236" s="278"/>
      <c r="I1236" s="278"/>
      <c r="J1236" s="278"/>
      <c r="K1236" s="278"/>
      <c r="L1236" s="278"/>
      <c r="M1236" s="278"/>
      <c r="N1236" s="278"/>
      <c r="O1236" s="278"/>
      <c r="P1236" s="278"/>
      <c r="Q1236" s="278"/>
      <c r="R1236" s="278"/>
      <c r="S1236" s="278"/>
      <c r="T1236" s="278"/>
      <c r="U1236" s="278"/>
      <c r="V1236" s="278"/>
    </row>
    <row r="1237" spans="1:22" x14ac:dyDescent="0.15">
      <c r="A1237" s="278"/>
      <c r="B1237" s="278"/>
      <c r="C1237" s="278"/>
      <c r="D1237" s="278"/>
      <c r="E1237" s="278"/>
      <c r="F1237" s="278"/>
      <c r="G1237" s="278"/>
      <c r="H1237" s="278"/>
      <c r="I1237" s="278"/>
      <c r="J1237" s="278"/>
      <c r="K1237" s="278"/>
      <c r="L1237" s="278"/>
      <c r="M1237" s="278"/>
      <c r="N1237" s="278"/>
      <c r="O1237" s="278"/>
      <c r="P1237" s="278"/>
      <c r="Q1237" s="278"/>
      <c r="R1237" s="278"/>
      <c r="S1237" s="278"/>
      <c r="T1237" s="278"/>
      <c r="U1237" s="278"/>
      <c r="V1237" s="278"/>
    </row>
    <row r="1238" spans="1:22" x14ac:dyDescent="0.15">
      <c r="A1238" s="278"/>
      <c r="B1238" s="278"/>
      <c r="C1238" s="278"/>
      <c r="D1238" s="278"/>
      <c r="E1238" s="278"/>
      <c r="F1238" s="278"/>
      <c r="G1238" s="278"/>
      <c r="H1238" s="278"/>
      <c r="I1238" s="278"/>
      <c r="J1238" s="278"/>
      <c r="K1238" s="278"/>
      <c r="L1238" s="278"/>
      <c r="M1238" s="278"/>
      <c r="N1238" s="278"/>
      <c r="O1238" s="278"/>
      <c r="P1238" s="278"/>
      <c r="Q1238" s="278"/>
      <c r="R1238" s="278"/>
      <c r="S1238" s="278"/>
      <c r="T1238" s="278"/>
      <c r="U1238" s="278"/>
      <c r="V1238" s="278"/>
    </row>
    <row r="1239" spans="1:22" x14ac:dyDescent="0.15">
      <c r="A1239" s="278"/>
      <c r="B1239" s="278"/>
      <c r="C1239" s="278"/>
      <c r="D1239" s="278"/>
      <c r="E1239" s="278"/>
      <c r="F1239" s="278"/>
      <c r="G1239" s="278"/>
      <c r="H1239" s="278"/>
      <c r="I1239" s="278"/>
      <c r="J1239" s="278"/>
      <c r="K1239" s="278"/>
      <c r="L1239" s="278"/>
      <c r="M1239" s="278"/>
      <c r="N1239" s="278"/>
      <c r="O1239" s="278"/>
      <c r="P1239" s="278"/>
      <c r="Q1239" s="278"/>
      <c r="R1239" s="278"/>
      <c r="S1239" s="278"/>
      <c r="T1239" s="278"/>
      <c r="U1239" s="278"/>
      <c r="V1239" s="278"/>
    </row>
    <row r="1240" spans="1:22" x14ac:dyDescent="0.15">
      <c r="A1240" s="278"/>
      <c r="B1240" s="278"/>
      <c r="C1240" s="278"/>
      <c r="D1240" s="278"/>
      <c r="E1240" s="278"/>
      <c r="F1240" s="278"/>
      <c r="G1240" s="278"/>
      <c r="H1240" s="278"/>
      <c r="I1240" s="278"/>
      <c r="J1240" s="278"/>
      <c r="K1240" s="278"/>
      <c r="L1240" s="278"/>
      <c r="M1240" s="278"/>
      <c r="N1240" s="278"/>
      <c r="O1240" s="278"/>
      <c r="P1240" s="278"/>
      <c r="Q1240" s="278"/>
      <c r="R1240" s="278"/>
      <c r="S1240" s="278"/>
      <c r="T1240" s="278"/>
      <c r="U1240" s="278"/>
      <c r="V1240" s="278"/>
    </row>
    <row r="1241" spans="1:22" x14ac:dyDescent="0.15">
      <c r="A1241" s="278"/>
      <c r="B1241" s="278"/>
      <c r="C1241" s="278"/>
      <c r="D1241" s="278"/>
      <c r="E1241" s="278"/>
      <c r="F1241" s="278"/>
      <c r="G1241" s="278"/>
      <c r="H1241" s="278"/>
      <c r="I1241" s="278"/>
      <c r="J1241" s="278"/>
      <c r="K1241" s="278"/>
      <c r="L1241" s="278"/>
      <c r="M1241" s="278"/>
      <c r="N1241" s="278"/>
      <c r="O1241" s="278"/>
      <c r="P1241" s="278"/>
      <c r="Q1241" s="278"/>
      <c r="R1241" s="278"/>
      <c r="S1241" s="278"/>
      <c r="T1241" s="278"/>
      <c r="U1241" s="278"/>
      <c r="V1241" s="278"/>
    </row>
    <row r="1242" spans="1:22" x14ac:dyDescent="0.15">
      <c r="A1242" s="278"/>
      <c r="B1242" s="278"/>
      <c r="C1242" s="278"/>
      <c r="D1242" s="278"/>
      <c r="E1242" s="278"/>
      <c r="F1242" s="278"/>
      <c r="G1242" s="278"/>
      <c r="H1242" s="278"/>
      <c r="I1242" s="278"/>
      <c r="J1242" s="278"/>
      <c r="K1242" s="278"/>
      <c r="L1242" s="278"/>
      <c r="M1242" s="278"/>
      <c r="N1242" s="278"/>
      <c r="O1242" s="278"/>
      <c r="P1242" s="278"/>
      <c r="Q1242" s="278"/>
      <c r="R1242" s="278"/>
      <c r="S1242" s="278"/>
      <c r="T1242" s="278"/>
      <c r="U1242" s="278"/>
      <c r="V1242" s="278"/>
    </row>
    <row r="1243" spans="1:22" x14ac:dyDescent="0.15">
      <c r="A1243" s="278"/>
      <c r="B1243" s="278"/>
      <c r="C1243" s="278"/>
      <c r="D1243" s="278"/>
      <c r="E1243" s="278"/>
      <c r="F1243" s="278"/>
      <c r="G1243" s="278"/>
      <c r="H1243" s="278"/>
      <c r="I1243" s="278"/>
      <c r="J1243" s="278"/>
      <c r="K1243" s="278"/>
      <c r="L1243" s="278"/>
      <c r="M1243" s="278"/>
      <c r="N1243" s="278"/>
      <c r="O1243" s="278"/>
      <c r="P1243" s="278"/>
      <c r="Q1243" s="278"/>
      <c r="R1243" s="278"/>
      <c r="S1243" s="278"/>
      <c r="T1243" s="278"/>
      <c r="U1243" s="278"/>
      <c r="V1243" s="278"/>
    </row>
    <row r="1244" spans="1:22" x14ac:dyDescent="0.15">
      <c r="A1244" s="278"/>
      <c r="B1244" s="278"/>
      <c r="C1244" s="278"/>
      <c r="D1244" s="278"/>
      <c r="E1244" s="278"/>
      <c r="F1244" s="278"/>
      <c r="G1244" s="278"/>
      <c r="H1244" s="278"/>
      <c r="I1244" s="278"/>
      <c r="J1244" s="278"/>
      <c r="K1244" s="278"/>
      <c r="L1244" s="278"/>
      <c r="M1244" s="278"/>
      <c r="N1244" s="278"/>
      <c r="O1244" s="278"/>
      <c r="P1244" s="278"/>
      <c r="Q1244" s="278"/>
      <c r="R1244" s="278"/>
      <c r="S1244" s="278"/>
      <c r="T1244" s="278"/>
      <c r="U1244" s="278"/>
      <c r="V1244" s="278"/>
    </row>
    <row r="1245" spans="1:22" x14ac:dyDescent="0.15">
      <c r="A1245" s="278"/>
      <c r="B1245" s="278"/>
      <c r="C1245" s="278"/>
      <c r="D1245" s="278"/>
      <c r="E1245" s="278"/>
      <c r="F1245" s="278"/>
      <c r="G1245" s="278"/>
      <c r="H1245" s="278"/>
      <c r="I1245" s="278"/>
      <c r="J1245" s="278"/>
      <c r="K1245" s="278"/>
      <c r="L1245" s="278"/>
      <c r="M1245" s="278"/>
      <c r="N1245" s="278"/>
      <c r="O1245" s="278"/>
      <c r="P1245" s="278"/>
      <c r="Q1245" s="278"/>
      <c r="R1245" s="278"/>
      <c r="S1245" s="278"/>
      <c r="T1245" s="278"/>
      <c r="U1245" s="278"/>
      <c r="V1245" s="278"/>
    </row>
    <row r="1246" spans="1:22" x14ac:dyDescent="0.15">
      <c r="A1246" s="278"/>
      <c r="B1246" s="278"/>
      <c r="C1246" s="278"/>
      <c r="D1246" s="278"/>
      <c r="E1246" s="278"/>
      <c r="F1246" s="278"/>
      <c r="G1246" s="278"/>
      <c r="H1246" s="278"/>
      <c r="I1246" s="278"/>
      <c r="J1246" s="278"/>
      <c r="K1246" s="278"/>
      <c r="L1246" s="278"/>
      <c r="M1246" s="278"/>
      <c r="N1246" s="278"/>
      <c r="O1246" s="278"/>
      <c r="P1246" s="278"/>
      <c r="Q1246" s="278"/>
      <c r="R1246" s="278"/>
      <c r="S1246" s="278"/>
      <c r="T1246" s="278"/>
      <c r="U1246" s="278"/>
      <c r="V1246" s="278"/>
    </row>
    <row r="1247" spans="1:22" x14ac:dyDescent="0.15">
      <c r="A1247" s="278"/>
      <c r="B1247" s="278"/>
      <c r="C1247" s="278"/>
      <c r="D1247" s="278"/>
      <c r="E1247" s="278"/>
      <c r="F1247" s="278"/>
      <c r="G1247" s="278"/>
      <c r="H1247" s="278"/>
      <c r="I1247" s="278"/>
      <c r="J1247" s="278"/>
      <c r="K1247" s="278"/>
      <c r="L1247" s="278"/>
      <c r="M1247" s="278"/>
      <c r="N1247" s="278"/>
      <c r="O1247" s="278"/>
      <c r="P1247" s="278"/>
      <c r="Q1247" s="278"/>
      <c r="R1247" s="278"/>
      <c r="S1247" s="278"/>
      <c r="T1247" s="278"/>
      <c r="U1247" s="278"/>
      <c r="V1247" s="278"/>
    </row>
    <row r="1248" spans="1:22" x14ac:dyDescent="0.15">
      <c r="A1248" s="278"/>
      <c r="B1248" s="278"/>
      <c r="C1248" s="278"/>
      <c r="D1248" s="278"/>
      <c r="E1248" s="278"/>
      <c r="F1248" s="278"/>
      <c r="G1248" s="278"/>
      <c r="H1248" s="278"/>
      <c r="I1248" s="278"/>
      <c r="J1248" s="278"/>
      <c r="K1248" s="278"/>
      <c r="L1248" s="278"/>
      <c r="M1248" s="278"/>
      <c r="N1248" s="278"/>
      <c r="O1248" s="278"/>
      <c r="P1248" s="278"/>
      <c r="Q1248" s="278"/>
      <c r="R1248" s="278"/>
      <c r="S1248" s="278"/>
      <c r="T1248" s="278"/>
      <c r="U1248" s="278"/>
      <c r="V1248" s="278"/>
    </row>
    <row r="1249" spans="1:22" x14ac:dyDescent="0.15">
      <c r="A1249" s="278"/>
      <c r="B1249" s="278"/>
      <c r="C1249" s="278"/>
      <c r="D1249" s="278"/>
      <c r="E1249" s="278"/>
      <c r="F1249" s="278"/>
      <c r="G1249" s="278"/>
      <c r="H1249" s="278"/>
      <c r="I1249" s="278"/>
      <c r="J1249" s="278"/>
      <c r="K1249" s="278"/>
      <c r="L1249" s="278"/>
      <c r="M1249" s="278"/>
      <c r="N1249" s="278"/>
      <c r="O1249" s="278"/>
      <c r="P1249" s="278"/>
      <c r="Q1249" s="278"/>
      <c r="R1249" s="278"/>
      <c r="S1249" s="278"/>
      <c r="T1249" s="278"/>
      <c r="U1249" s="278"/>
      <c r="V1249" s="278"/>
    </row>
    <row r="1250" spans="1:22" x14ac:dyDescent="0.15">
      <c r="A1250" s="278"/>
      <c r="B1250" s="278"/>
      <c r="C1250" s="278"/>
      <c r="D1250" s="278"/>
      <c r="E1250" s="278"/>
      <c r="F1250" s="278"/>
      <c r="G1250" s="278"/>
      <c r="H1250" s="278"/>
      <c r="I1250" s="278"/>
      <c r="J1250" s="278"/>
      <c r="K1250" s="278"/>
      <c r="L1250" s="278"/>
      <c r="M1250" s="278"/>
      <c r="N1250" s="278"/>
      <c r="O1250" s="278"/>
      <c r="P1250" s="278"/>
      <c r="Q1250" s="278"/>
      <c r="R1250" s="278"/>
      <c r="S1250" s="278"/>
      <c r="T1250" s="278"/>
      <c r="U1250" s="278"/>
      <c r="V1250" s="278"/>
    </row>
    <row r="1251" spans="1:22" x14ac:dyDescent="0.15">
      <c r="A1251" s="278"/>
      <c r="B1251" s="278"/>
      <c r="C1251" s="278"/>
      <c r="D1251" s="278"/>
      <c r="E1251" s="278"/>
      <c r="F1251" s="278"/>
      <c r="G1251" s="278"/>
      <c r="H1251" s="278"/>
      <c r="I1251" s="278"/>
      <c r="J1251" s="278"/>
      <c r="K1251" s="278"/>
      <c r="L1251" s="278"/>
      <c r="M1251" s="278"/>
      <c r="N1251" s="278"/>
      <c r="O1251" s="278"/>
      <c r="P1251" s="278"/>
      <c r="Q1251" s="278"/>
      <c r="R1251" s="278"/>
      <c r="S1251" s="278"/>
      <c r="T1251" s="278"/>
      <c r="U1251" s="278"/>
      <c r="V1251" s="278"/>
    </row>
    <row r="1252" spans="1:22" x14ac:dyDescent="0.15">
      <c r="A1252" s="278"/>
      <c r="B1252" s="278"/>
      <c r="C1252" s="278"/>
      <c r="D1252" s="278"/>
      <c r="E1252" s="278"/>
      <c r="F1252" s="278"/>
      <c r="G1252" s="278"/>
      <c r="H1252" s="278"/>
      <c r="I1252" s="278"/>
      <c r="J1252" s="278"/>
      <c r="K1252" s="278"/>
      <c r="L1252" s="278"/>
      <c r="M1252" s="278"/>
      <c r="N1252" s="278"/>
      <c r="O1252" s="278"/>
      <c r="P1252" s="278"/>
      <c r="Q1252" s="278"/>
      <c r="R1252" s="278"/>
      <c r="S1252" s="278"/>
      <c r="T1252" s="278"/>
      <c r="U1252" s="278"/>
      <c r="V1252" s="278"/>
    </row>
    <row r="1253" spans="1:22" x14ac:dyDescent="0.15">
      <c r="A1253" s="278"/>
      <c r="B1253" s="278"/>
      <c r="C1253" s="278"/>
      <c r="D1253" s="278"/>
      <c r="E1253" s="278"/>
      <c r="F1253" s="278"/>
      <c r="G1253" s="278"/>
      <c r="H1253" s="278"/>
      <c r="I1253" s="278"/>
      <c r="J1253" s="278"/>
      <c r="K1253" s="278"/>
      <c r="L1253" s="278"/>
      <c r="M1253" s="278"/>
      <c r="N1253" s="278"/>
      <c r="O1253" s="278"/>
      <c r="P1253" s="278"/>
      <c r="Q1253" s="278"/>
      <c r="R1253" s="278"/>
      <c r="S1253" s="278"/>
      <c r="T1253" s="278"/>
      <c r="U1253" s="278"/>
      <c r="V1253" s="278"/>
    </row>
    <row r="1254" spans="1:22" x14ac:dyDescent="0.15">
      <c r="A1254" s="278"/>
      <c r="B1254" s="278"/>
      <c r="C1254" s="278"/>
      <c r="D1254" s="278"/>
      <c r="E1254" s="278"/>
      <c r="F1254" s="278"/>
      <c r="G1254" s="278"/>
      <c r="H1254" s="278"/>
      <c r="I1254" s="278"/>
      <c r="J1254" s="278"/>
      <c r="K1254" s="278"/>
      <c r="L1254" s="278"/>
      <c r="M1254" s="278"/>
      <c r="N1254" s="278"/>
      <c r="O1254" s="278"/>
      <c r="P1254" s="278"/>
      <c r="Q1254" s="278"/>
      <c r="R1254" s="278"/>
      <c r="S1254" s="278"/>
      <c r="T1254" s="278"/>
      <c r="U1254" s="278"/>
      <c r="V1254" s="278"/>
    </row>
    <row r="1255" spans="1:22" x14ac:dyDescent="0.15">
      <c r="A1255" s="278"/>
      <c r="B1255" s="278"/>
      <c r="C1255" s="278"/>
      <c r="D1255" s="278"/>
      <c r="E1255" s="278"/>
      <c r="F1255" s="278"/>
      <c r="G1255" s="278"/>
      <c r="H1255" s="278"/>
      <c r="I1255" s="278"/>
      <c r="J1255" s="278"/>
      <c r="K1255" s="278"/>
      <c r="L1255" s="278"/>
      <c r="M1255" s="278"/>
      <c r="N1255" s="278"/>
      <c r="O1255" s="278"/>
      <c r="P1255" s="278"/>
      <c r="Q1255" s="278"/>
      <c r="R1255" s="278"/>
      <c r="S1255" s="278"/>
      <c r="T1255" s="278"/>
      <c r="U1255" s="278"/>
      <c r="V1255" s="278"/>
    </row>
    <row r="1256" spans="1:22" x14ac:dyDescent="0.15">
      <c r="A1256" s="278"/>
      <c r="B1256" s="278"/>
      <c r="C1256" s="278"/>
      <c r="D1256" s="278"/>
      <c r="E1256" s="278"/>
      <c r="F1256" s="278"/>
      <c r="G1256" s="278"/>
      <c r="H1256" s="278"/>
      <c r="I1256" s="278"/>
      <c r="J1256" s="278"/>
      <c r="K1256" s="278"/>
      <c r="L1256" s="278"/>
      <c r="M1256" s="278"/>
      <c r="N1256" s="278"/>
      <c r="O1256" s="278"/>
      <c r="P1256" s="278"/>
      <c r="Q1256" s="278"/>
      <c r="R1256" s="278"/>
      <c r="S1256" s="278"/>
      <c r="T1256" s="278"/>
      <c r="U1256" s="278"/>
      <c r="V1256" s="278"/>
    </row>
    <row r="1257" spans="1:22" x14ac:dyDescent="0.15">
      <c r="A1257" s="278"/>
      <c r="B1257" s="278"/>
      <c r="C1257" s="278"/>
      <c r="D1257" s="278"/>
      <c r="E1257" s="278"/>
      <c r="F1257" s="278"/>
      <c r="G1257" s="278"/>
      <c r="H1257" s="278"/>
      <c r="I1257" s="278"/>
      <c r="J1257" s="278"/>
      <c r="K1257" s="278"/>
      <c r="L1257" s="278"/>
      <c r="M1257" s="278"/>
      <c r="N1257" s="278"/>
      <c r="O1257" s="278"/>
      <c r="P1257" s="278"/>
      <c r="Q1257" s="278"/>
      <c r="R1257" s="278"/>
      <c r="S1257" s="278"/>
      <c r="T1257" s="278"/>
      <c r="U1257" s="278"/>
      <c r="V1257" s="278"/>
    </row>
    <row r="1258" spans="1:22" x14ac:dyDescent="0.15">
      <c r="A1258" s="278"/>
      <c r="B1258" s="278"/>
      <c r="C1258" s="278"/>
      <c r="D1258" s="278"/>
      <c r="E1258" s="278"/>
      <c r="F1258" s="278"/>
      <c r="G1258" s="278"/>
      <c r="H1258" s="278"/>
      <c r="I1258" s="278"/>
      <c r="J1258" s="278"/>
      <c r="K1258" s="278"/>
      <c r="L1258" s="278"/>
      <c r="M1258" s="278"/>
      <c r="N1258" s="278"/>
      <c r="O1258" s="278"/>
      <c r="P1258" s="278"/>
      <c r="Q1258" s="278"/>
      <c r="R1258" s="278"/>
      <c r="S1258" s="278"/>
      <c r="T1258" s="278"/>
      <c r="U1258" s="278"/>
      <c r="V1258" s="278"/>
    </row>
    <row r="1259" spans="1:22" x14ac:dyDescent="0.15">
      <c r="A1259" s="278"/>
      <c r="B1259" s="278"/>
      <c r="C1259" s="278"/>
      <c r="D1259" s="278"/>
      <c r="E1259" s="278"/>
      <c r="F1259" s="278"/>
      <c r="G1259" s="278"/>
      <c r="H1259" s="278"/>
      <c r="I1259" s="278"/>
      <c r="J1259" s="278"/>
      <c r="K1259" s="278"/>
      <c r="L1259" s="278"/>
      <c r="M1259" s="278"/>
      <c r="N1259" s="278"/>
      <c r="O1259" s="278"/>
      <c r="P1259" s="278"/>
      <c r="Q1259" s="278"/>
      <c r="R1259" s="278"/>
      <c r="S1259" s="278"/>
      <c r="T1259" s="278"/>
      <c r="U1259" s="278"/>
      <c r="V1259" s="278"/>
    </row>
    <row r="1260" spans="1:22" x14ac:dyDescent="0.15">
      <c r="A1260" s="278"/>
      <c r="B1260" s="278"/>
      <c r="C1260" s="278"/>
      <c r="D1260" s="278"/>
      <c r="E1260" s="278"/>
      <c r="F1260" s="278"/>
      <c r="G1260" s="278"/>
      <c r="H1260" s="278"/>
      <c r="I1260" s="278"/>
      <c r="J1260" s="278"/>
      <c r="K1260" s="278"/>
      <c r="L1260" s="278"/>
      <c r="M1260" s="278"/>
      <c r="N1260" s="278"/>
      <c r="O1260" s="278"/>
      <c r="P1260" s="278"/>
      <c r="Q1260" s="278"/>
      <c r="R1260" s="278"/>
      <c r="S1260" s="278"/>
      <c r="T1260" s="278"/>
      <c r="U1260" s="278"/>
      <c r="V1260" s="278"/>
    </row>
    <row r="1261" spans="1:22" x14ac:dyDescent="0.15">
      <c r="A1261" s="278"/>
      <c r="B1261" s="278"/>
      <c r="C1261" s="278"/>
      <c r="D1261" s="278"/>
      <c r="E1261" s="278"/>
      <c r="F1261" s="278"/>
      <c r="G1261" s="278"/>
      <c r="H1261" s="278"/>
      <c r="I1261" s="278"/>
      <c r="J1261" s="278"/>
      <c r="K1261" s="278"/>
      <c r="L1261" s="278"/>
      <c r="M1261" s="278"/>
      <c r="N1261" s="278"/>
      <c r="O1261" s="278"/>
      <c r="P1261" s="278"/>
      <c r="Q1261" s="278"/>
      <c r="R1261" s="278"/>
      <c r="S1261" s="278"/>
      <c r="T1261" s="278"/>
      <c r="U1261" s="278"/>
      <c r="V1261" s="278"/>
    </row>
    <row r="1262" spans="1:22" x14ac:dyDescent="0.15">
      <c r="A1262" s="278"/>
      <c r="B1262" s="278"/>
      <c r="C1262" s="278"/>
      <c r="D1262" s="278"/>
      <c r="E1262" s="278"/>
      <c r="F1262" s="278"/>
      <c r="G1262" s="278"/>
      <c r="H1262" s="278"/>
      <c r="I1262" s="278"/>
      <c r="J1262" s="278"/>
      <c r="K1262" s="278"/>
      <c r="L1262" s="278"/>
      <c r="M1262" s="278"/>
      <c r="N1262" s="278"/>
      <c r="O1262" s="278"/>
      <c r="P1262" s="278"/>
      <c r="Q1262" s="278"/>
      <c r="R1262" s="278"/>
      <c r="S1262" s="278"/>
      <c r="T1262" s="278"/>
      <c r="U1262" s="278"/>
      <c r="V1262" s="278"/>
    </row>
    <row r="1263" spans="1:22" x14ac:dyDescent="0.15">
      <c r="A1263" s="278"/>
      <c r="B1263" s="278"/>
      <c r="C1263" s="278"/>
      <c r="D1263" s="278"/>
      <c r="E1263" s="278"/>
      <c r="F1263" s="278"/>
      <c r="G1263" s="278"/>
      <c r="H1263" s="278"/>
      <c r="I1263" s="278"/>
      <c r="J1263" s="278"/>
      <c r="K1263" s="278"/>
      <c r="L1263" s="278"/>
      <c r="M1263" s="278"/>
      <c r="N1263" s="278"/>
      <c r="O1263" s="278"/>
      <c r="P1263" s="278"/>
      <c r="Q1263" s="278"/>
      <c r="R1263" s="278"/>
      <c r="S1263" s="278"/>
      <c r="T1263" s="278"/>
      <c r="U1263" s="278"/>
      <c r="V1263" s="278"/>
    </row>
    <row r="1264" spans="1:22" x14ac:dyDescent="0.15">
      <c r="A1264" s="278"/>
      <c r="B1264" s="278"/>
      <c r="C1264" s="278"/>
      <c r="D1264" s="278"/>
      <c r="E1264" s="278"/>
      <c r="F1264" s="278"/>
      <c r="G1264" s="278"/>
      <c r="H1264" s="278"/>
      <c r="I1264" s="278"/>
      <c r="J1264" s="278"/>
      <c r="K1264" s="278"/>
      <c r="L1264" s="278"/>
      <c r="M1264" s="278"/>
      <c r="N1264" s="278"/>
      <c r="O1264" s="278"/>
      <c r="P1264" s="278"/>
      <c r="Q1264" s="278"/>
      <c r="R1264" s="278"/>
      <c r="S1264" s="278"/>
      <c r="T1264" s="278"/>
      <c r="U1264" s="278"/>
      <c r="V1264" s="278"/>
    </row>
    <row r="1265" spans="1:22" x14ac:dyDescent="0.15">
      <c r="A1265" s="278"/>
      <c r="B1265" s="278"/>
      <c r="C1265" s="278"/>
      <c r="D1265" s="278"/>
      <c r="E1265" s="278"/>
      <c r="F1265" s="278"/>
      <c r="G1265" s="278"/>
      <c r="H1265" s="278"/>
      <c r="I1265" s="278"/>
      <c r="J1265" s="278"/>
      <c r="K1265" s="278"/>
      <c r="L1265" s="278"/>
      <c r="M1265" s="278"/>
      <c r="N1265" s="278"/>
      <c r="O1265" s="278"/>
      <c r="P1265" s="278"/>
      <c r="Q1265" s="278"/>
      <c r="R1265" s="278"/>
      <c r="S1265" s="278"/>
      <c r="T1265" s="278"/>
      <c r="U1265" s="278"/>
      <c r="V1265" s="278"/>
    </row>
    <row r="1266" spans="1:22" x14ac:dyDescent="0.15">
      <c r="A1266" s="278"/>
      <c r="B1266" s="278"/>
      <c r="C1266" s="278"/>
      <c r="D1266" s="278"/>
      <c r="E1266" s="278"/>
      <c r="F1266" s="278"/>
      <c r="G1266" s="278"/>
      <c r="H1266" s="278"/>
      <c r="I1266" s="278"/>
      <c r="J1266" s="278"/>
      <c r="K1266" s="278"/>
      <c r="L1266" s="278"/>
      <c r="M1266" s="278"/>
      <c r="N1266" s="278"/>
      <c r="O1266" s="278"/>
      <c r="P1266" s="278"/>
      <c r="Q1266" s="278"/>
      <c r="R1266" s="278"/>
      <c r="S1266" s="278"/>
      <c r="T1266" s="278"/>
      <c r="U1266" s="278"/>
      <c r="V1266" s="278"/>
    </row>
    <row r="1267" spans="1:22" x14ac:dyDescent="0.15">
      <c r="A1267" s="278"/>
      <c r="B1267" s="278"/>
      <c r="C1267" s="278"/>
      <c r="D1267" s="278"/>
      <c r="E1267" s="278"/>
      <c r="F1267" s="278"/>
      <c r="G1267" s="278"/>
      <c r="H1267" s="278"/>
      <c r="I1267" s="278"/>
      <c r="J1267" s="278"/>
      <c r="K1267" s="278"/>
      <c r="L1267" s="278"/>
      <c r="M1267" s="278"/>
      <c r="N1267" s="278"/>
      <c r="O1267" s="278"/>
      <c r="P1267" s="278"/>
      <c r="Q1267" s="278"/>
      <c r="R1267" s="278"/>
      <c r="S1267" s="278"/>
      <c r="T1267" s="278"/>
      <c r="U1267" s="278"/>
      <c r="V1267" s="278"/>
    </row>
    <row r="1268" spans="1:22" x14ac:dyDescent="0.15">
      <c r="A1268" s="278"/>
      <c r="B1268" s="278"/>
      <c r="C1268" s="278"/>
      <c r="D1268" s="278"/>
      <c r="E1268" s="278"/>
      <c r="F1268" s="278"/>
      <c r="G1268" s="278"/>
      <c r="H1268" s="278"/>
      <c r="I1268" s="278"/>
      <c r="J1268" s="278"/>
      <c r="K1268" s="278"/>
      <c r="L1268" s="278"/>
      <c r="M1268" s="278"/>
      <c r="N1268" s="278"/>
      <c r="O1268" s="278"/>
      <c r="P1268" s="278"/>
      <c r="Q1268" s="278"/>
      <c r="R1268" s="278"/>
      <c r="S1268" s="278"/>
      <c r="T1268" s="278"/>
      <c r="U1268" s="278"/>
      <c r="V1268" s="278"/>
    </row>
    <row r="1269" spans="1:22" x14ac:dyDescent="0.15">
      <c r="A1269" s="278"/>
      <c r="B1269" s="278"/>
      <c r="C1269" s="278"/>
      <c r="D1269" s="278"/>
      <c r="E1269" s="278"/>
      <c r="F1269" s="278"/>
      <c r="G1269" s="278"/>
      <c r="H1269" s="278"/>
      <c r="I1269" s="278"/>
      <c r="J1269" s="278"/>
      <c r="K1269" s="278"/>
      <c r="L1269" s="278"/>
      <c r="M1269" s="278"/>
      <c r="N1269" s="278"/>
      <c r="O1269" s="278"/>
      <c r="P1269" s="278"/>
      <c r="Q1269" s="278"/>
      <c r="R1269" s="278"/>
      <c r="S1269" s="278"/>
      <c r="T1269" s="278"/>
      <c r="U1269" s="278"/>
      <c r="V1269" s="278"/>
    </row>
    <row r="1270" spans="1:22" x14ac:dyDescent="0.15">
      <c r="A1270" s="278"/>
      <c r="B1270" s="278"/>
      <c r="C1270" s="278"/>
      <c r="D1270" s="278"/>
      <c r="E1270" s="278"/>
      <c r="F1270" s="278"/>
      <c r="G1270" s="278"/>
      <c r="H1270" s="278"/>
      <c r="I1270" s="278"/>
      <c r="J1270" s="278"/>
      <c r="K1270" s="278"/>
      <c r="L1270" s="278"/>
      <c r="M1270" s="278"/>
      <c r="N1270" s="278"/>
      <c r="O1270" s="278"/>
      <c r="P1270" s="278"/>
      <c r="Q1270" s="278"/>
      <c r="R1270" s="278"/>
      <c r="S1270" s="278"/>
      <c r="T1270" s="278"/>
      <c r="U1270" s="278"/>
      <c r="V1270" s="278"/>
    </row>
    <row r="1271" spans="1:22" x14ac:dyDescent="0.15">
      <c r="A1271" s="278"/>
      <c r="B1271" s="278"/>
      <c r="C1271" s="278"/>
      <c r="D1271" s="278"/>
      <c r="E1271" s="278"/>
      <c r="F1271" s="278"/>
      <c r="G1271" s="278"/>
      <c r="H1271" s="278"/>
      <c r="I1271" s="278"/>
      <c r="J1271" s="278"/>
      <c r="K1271" s="278"/>
      <c r="L1271" s="278"/>
      <c r="M1271" s="278"/>
      <c r="N1271" s="278"/>
      <c r="O1271" s="278"/>
      <c r="P1271" s="278"/>
      <c r="Q1271" s="278"/>
      <c r="R1271" s="278"/>
      <c r="S1271" s="278"/>
      <c r="T1271" s="278"/>
      <c r="U1271" s="278"/>
      <c r="V1271" s="278"/>
    </row>
    <row r="1272" spans="1:22" x14ac:dyDescent="0.15">
      <c r="A1272" s="278"/>
      <c r="B1272" s="278"/>
      <c r="C1272" s="278"/>
      <c r="D1272" s="278"/>
      <c r="E1272" s="278"/>
      <c r="F1272" s="278"/>
      <c r="G1272" s="278"/>
      <c r="H1272" s="278"/>
      <c r="I1272" s="278"/>
      <c r="J1272" s="278"/>
      <c r="K1272" s="278"/>
      <c r="L1272" s="278"/>
      <c r="M1272" s="278"/>
      <c r="N1272" s="278"/>
      <c r="O1272" s="278"/>
      <c r="P1272" s="278"/>
      <c r="Q1272" s="278"/>
      <c r="R1272" s="278"/>
      <c r="S1272" s="278"/>
      <c r="T1272" s="278"/>
      <c r="U1272" s="278"/>
      <c r="V1272" s="278"/>
    </row>
    <row r="1273" spans="1:22" x14ac:dyDescent="0.15">
      <c r="A1273" s="278"/>
      <c r="B1273" s="278"/>
      <c r="C1273" s="278"/>
      <c r="D1273" s="278"/>
      <c r="E1273" s="278"/>
      <c r="F1273" s="278"/>
      <c r="G1273" s="278"/>
      <c r="H1273" s="278"/>
      <c r="I1273" s="278"/>
      <c r="J1273" s="278"/>
      <c r="K1273" s="278"/>
      <c r="L1273" s="278"/>
      <c r="M1273" s="278"/>
      <c r="N1273" s="278"/>
      <c r="O1273" s="278"/>
      <c r="P1273" s="278"/>
      <c r="Q1273" s="278"/>
      <c r="R1273" s="278"/>
      <c r="S1273" s="278"/>
      <c r="T1273" s="278"/>
      <c r="U1273" s="278"/>
      <c r="V1273" s="278"/>
    </row>
    <row r="1274" spans="1:22" x14ac:dyDescent="0.15">
      <c r="A1274" s="278"/>
      <c r="B1274" s="278"/>
      <c r="C1274" s="278"/>
      <c r="D1274" s="278"/>
      <c r="E1274" s="278"/>
      <c r="F1274" s="278"/>
      <c r="G1274" s="278"/>
      <c r="H1274" s="278"/>
      <c r="I1274" s="278"/>
      <c r="J1274" s="278"/>
      <c r="K1274" s="278"/>
      <c r="L1274" s="278"/>
      <c r="M1274" s="278"/>
      <c r="N1274" s="278"/>
      <c r="O1274" s="278"/>
      <c r="P1274" s="278"/>
      <c r="Q1274" s="278"/>
      <c r="R1274" s="278"/>
      <c r="S1274" s="278"/>
      <c r="T1274" s="278"/>
      <c r="U1274" s="278"/>
      <c r="V1274" s="278"/>
    </row>
    <row r="1275" spans="1:22" x14ac:dyDescent="0.15">
      <c r="A1275" s="278"/>
      <c r="B1275" s="278"/>
      <c r="C1275" s="278"/>
      <c r="D1275" s="278"/>
      <c r="E1275" s="278"/>
      <c r="F1275" s="278"/>
      <c r="G1275" s="278"/>
      <c r="H1275" s="278"/>
      <c r="I1275" s="278"/>
      <c r="J1275" s="278"/>
      <c r="K1275" s="278"/>
      <c r="L1275" s="278"/>
      <c r="M1275" s="278"/>
      <c r="N1275" s="278"/>
      <c r="O1275" s="278"/>
      <c r="P1275" s="278"/>
      <c r="Q1275" s="278"/>
      <c r="R1275" s="278"/>
      <c r="S1275" s="278"/>
      <c r="T1275" s="278"/>
      <c r="U1275" s="278"/>
      <c r="V1275" s="278"/>
    </row>
    <row r="1276" spans="1:22" x14ac:dyDescent="0.15">
      <c r="A1276" s="278"/>
      <c r="B1276" s="278"/>
      <c r="C1276" s="278"/>
      <c r="D1276" s="278"/>
      <c r="E1276" s="278"/>
      <c r="F1276" s="278"/>
      <c r="G1276" s="278"/>
      <c r="H1276" s="278"/>
      <c r="I1276" s="278"/>
      <c r="J1276" s="278"/>
      <c r="K1276" s="278"/>
      <c r="L1276" s="278"/>
      <c r="M1276" s="278"/>
      <c r="N1276" s="278"/>
      <c r="O1276" s="278"/>
      <c r="P1276" s="278"/>
      <c r="Q1276" s="278"/>
      <c r="R1276" s="278"/>
      <c r="S1276" s="278"/>
      <c r="T1276" s="278"/>
      <c r="U1276" s="278"/>
      <c r="V1276" s="278"/>
    </row>
    <row r="1277" spans="1:22" x14ac:dyDescent="0.15">
      <c r="A1277" s="278"/>
      <c r="B1277" s="278"/>
      <c r="C1277" s="278"/>
      <c r="D1277" s="278"/>
      <c r="E1277" s="278"/>
      <c r="F1277" s="278"/>
      <c r="G1277" s="278"/>
      <c r="H1277" s="278"/>
      <c r="I1277" s="278"/>
      <c r="J1277" s="278"/>
      <c r="K1277" s="278"/>
      <c r="L1277" s="278"/>
      <c r="M1277" s="278"/>
      <c r="N1277" s="278"/>
      <c r="O1277" s="278"/>
      <c r="P1277" s="278"/>
      <c r="Q1277" s="278"/>
      <c r="R1277" s="278"/>
      <c r="S1277" s="278"/>
      <c r="T1277" s="278"/>
      <c r="U1277" s="278"/>
      <c r="V1277" s="278"/>
    </row>
    <row r="1278" spans="1:22" x14ac:dyDescent="0.15">
      <c r="A1278" s="278"/>
      <c r="B1278" s="278"/>
      <c r="C1278" s="278"/>
      <c r="D1278" s="278"/>
      <c r="E1278" s="278"/>
      <c r="F1278" s="278"/>
      <c r="G1278" s="278"/>
      <c r="H1278" s="278"/>
      <c r="I1278" s="278"/>
      <c r="J1278" s="278"/>
      <c r="K1278" s="278"/>
      <c r="L1278" s="278"/>
      <c r="M1278" s="278"/>
      <c r="N1278" s="278"/>
      <c r="O1278" s="278"/>
      <c r="P1278" s="278"/>
      <c r="Q1278" s="278"/>
      <c r="R1278" s="278"/>
      <c r="S1278" s="278"/>
      <c r="T1278" s="278"/>
      <c r="U1278" s="278"/>
      <c r="V1278" s="278"/>
    </row>
    <row r="1279" spans="1:22" x14ac:dyDescent="0.15">
      <c r="A1279" s="278"/>
      <c r="B1279" s="278"/>
      <c r="C1279" s="278"/>
      <c r="D1279" s="278"/>
      <c r="E1279" s="278"/>
      <c r="F1279" s="278"/>
      <c r="G1279" s="278"/>
      <c r="H1279" s="278"/>
      <c r="I1279" s="278"/>
      <c r="J1279" s="278"/>
      <c r="K1279" s="278"/>
      <c r="L1279" s="278"/>
      <c r="M1279" s="278"/>
      <c r="N1279" s="278"/>
      <c r="O1279" s="278"/>
      <c r="P1279" s="278"/>
      <c r="Q1279" s="278"/>
      <c r="R1279" s="278"/>
      <c r="S1279" s="278"/>
      <c r="T1279" s="278"/>
      <c r="U1279" s="278"/>
      <c r="V1279" s="278"/>
    </row>
    <row r="1280" spans="1:22" x14ac:dyDescent="0.15">
      <c r="A1280" s="278"/>
      <c r="B1280" s="278"/>
      <c r="C1280" s="278"/>
      <c r="D1280" s="278"/>
      <c r="E1280" s="278"/>
      <c r="F1280" s="278"/>
      <c r="G1280" s="278"/>
      <c r="H1280" s="278"/>
      <c r="I1280" s="278"/>
      <c r="J1280" s="278"/>
      <c r="K1280" s="278"/>
      <c r="L1280" s="278"/>
      <c r="M1280" s="278"/>
      <c r="N1280" s="278"/>
      <c r="O1280" s="278"/>
      <c r="P1280" s="278"/>
      <c r="Q1280" s="278"/>
      <c r="R1280" s="278"/>
      <c r="S1280" s="278"/>
      <c r="T1280" s="278"/>
      <c r="U1280" s="278"/>
      <c r="V1280" s="278"/>
    </row>
    <row r="1281" spans="1:22" x14ac:dyDescent="0.15">
      <c r="A1281" s="278"/>
      <c r="B1281" s="278"/>
      <c r="C1281" s="278"/>
      <c r="D1281" s="278"/>
      <c r="E1281" s="278"/>
      <c r="F1281" s="278"/>
      <c r="G1281" s="278"/>
      <c r="H1281" s="278"/>
      <c r="I1281" s="278"/>
      <c r="J1281" s="278"/>
      <c r="K1281" s="278"/>
      <c r="L1281" s="278"/>
      <c r="M1281" s="278"/>
      <c r="N1281" s="278"/>
      <c r="O1281" s="278"/>
      <c r="P1281" s="278"/>
      <c r="Q1281" s="278"/>
      <c r="R1281" s="278"/>
      <c r="S1281" s="278"/>
      <c r="T1281" s="278"/>
      <c r="U1281" s="278"/>
      <c r="V1281" s="278"/>
    </row>
    <row r="1282" spans="1:22" x14ac:dyDescent="0.15">
      <c r="A1282" s="278"/>
      <c r="B1282" s="278"/>
      <c r="C1282" s="278"/>
      <c r="D1282" s="278"/>
      <c r="E1282" s="278"/>
      <c r="F1282" s="278"/>
      <c r="G1282" s="278"/>
      <c r="H1282" s="278"/>
      <c r="I1282" s="278"/>
      <c r="J1282" s="278"/>
      <c r="K1282" s="278"/>
      <c r="L1282" s="278"/>
      <c r="M1282" s="278"/>
      <c r="N1282" s="278"/>
      <c r="O1282" s="278"/>
      <c r="P1282" s="278"/>
      <c r="Q1282" s="278"/>
      <c r="R1282" s="278"/>
      <c r="S1282" s="278"/>
      <c r="T1282" s="278"/>
      <c r="U1282" s="278"/>
      <c r="V1282" s="278"/>
    </row>
    <row r="1283" spans="1:22" x14ac:dyDescent="0.15">
      <c r="A1283" s="278"/>
      <c r="B1283" s="278"/>
      <c r="C1283" s="278"/>
      <c r="D1283" s="278"/>
      <c r="E1283" s="278"/>
      <c r="F1283" s="278"/>
      <c r="G1283" s="278"/>
      <c r="H1283" s="278"/>
      <c r="I1283" s="278"/>
      <c r="J1283" s="278"/>
      <c r="K1283" s="278"/>
      <c r="L1283" s="278"/>
      <c r="M1283" s="278"/>
      <c r="N1283" s="278"/>
      <c r="O1283" s="278"/>
      <c r="P1283" s="278"/>
      <c r="Q1283" s="278"/>
      <c r="R1283" s="278"/>
      <c r="S1283" s="278"/>
      <c r="T1283" s="278"/>
      <c r="U1283" s="278"/>
      <c r="V1283" s="278"/>
    </row>
    <row r="1284" spans="1:22" x14ac:dyDescent="0.15">
      <c r="A1284" s="278"/>
      <c r="B1284" s="278"/>
      <c r="C1284" s="278"/>
      <c r="D1284" s="278"/>
      <c r="E1284" s="278"/>
      <c r="F1284" s="278"/>
      <c r="G1284" s="278"/>
      <c r="H1284" s="278"/>
      <c r="I1284" s="278"/>
      <c r="J1284" s="278"/>
      <c r="K1284" s="278"/>
      <c r="L1284" s="278"/>
      <c r="M1284" s="278"/>
      <c r="N1284" s="278"/>
      <c r="O1284" s="278"/>
      <c r="P1284" s="278"/>
      <c r="Q1284" s="278"/>
      <c r="R1284" s="278"/>
      <c r="S1284" s="278"/>
      <c r="T1284" s="278"/>
      <c r="U1284" s="278"/>
      <c r="V1284" s="278"/>
    </row>
    <row r="1285" spans="1:22" x14ac:dyDescent="0.15">
      <c r="A1285" s="278"/>
      <c r="B1285" s="278"/>
      <c r="C1285" s="278"/>
      <c r="D1285" s="278"/>
      <c r="E1285" s="278"/>
      <c r="F1285" s="278"/>
      <c r="G1285" s="278"/>
      <c r="H1285" s="278"/>
      <c r="I1285" s="278"/>
      <c r="J1285" s="278"/>
      <c r="K1285" s="278"/>
      <c r="L1285" s="278"/>
      <c r="M1285" s="278"/>
      <c r="N1285" s="278"/>
      <c r="O1285" s="278"/>
      <c r="P1285" s="278"/>
      <c r="Q1285" s="278"/>
      <c r="R1285" s="278"/>
      <c r="S1285" s="278"/>
      <c r="T1285" s="278"/>
      <c r="U1285" s="278"/>
      <c r="V1285" s="278"/>
    </row>
    <row r="1286" spans="1:22" x14ac:dyDescent="0.15">
      <c r="A1286" s="278"/>
      <c r="B1286" s="278"/>
      <c r="C1286" s="278"/>
      <c r="D1286" s="278"/>
      <c r="E1286" s="278"/>
      <c r="F1286" s="278"/>
      <c r="G1286" s="278"/>
      <c r="H1286" s="278"/>
      <c r="I1286" s="278"/>
      <c r="J1286" s="278"/>
      <c r="K1286" s="278"/>
      <c r="L1286" s="278"/>
      <c r="M1286" s="278"/>
      <c r="N1286" s="278"/>
      <c r="O1286" s="278"/>
      <c r="P1286" s="278"/>
      <c r="Q1286" s="278"/>
      <c r="R1286" s="278"/>
      <c r="S1286" s="278"/>
      <c r="T1286" s="278"/>
      <c r="U1286" s="278"/>
      <c r="V1286" s="278"/>
    </row>
    <row r="1287" spans="1:22" x14ac:dyDescent="0.15">
      <c r="A1287" s="278"/>
      <c r="B1287" s="278"/>
      <c r="C1287" s="278"/>
      <c r="D1287" s="278"/>
      <c r="E1287" s="278"/>
      <c r="F1287" s="278"/>
      <c r="G1287" s="278"/>
      <c r="H1287" s="278"/>
      <c r="I1287" s="278"/>
      <c r="J1287" s="278"/>
      <c r="K1287" s="278"/>
      <c r="L1287" s="278"/>
      <c r="M1287" s="278"/>
      <c r="N1287" s="278"/>
      <c r="O1287" s="278"/>
      <c r="P1287" s="278"/>
      <c r="Q1287" s="278"/>
      <c r="R1287" s="278"/>
      <c r="S1287" s="278"/>
      <c r="T1287" s="278"/>
      <c r="U1287" s="278"/>
      <c r="V1287" s="278"/>
    </row>
    <row r="1288" spans="1:22" x14ac:dyDescent="0.15">
      <c r="A1288" s="278"/>
      <c r="B1288" s="278"/>
      <c r="C1288" s="278"/>
      <c r="D1288" s="278"/>
      <c r="E1288" s="278"/>
      <c r="F1288" s="278"/>
      <c r="G1288" s="278"/>
      <c r="H1288" s="278"/>
      <c r="I1288" s="278"/>
      <c r="J1288" s="278"/>
      <c r="K1288" s="278"/>
      <c r="L1288" s="278"/>
      <c r="M1288" s="278"/>
      <c r="N1288" s="278"/>
      <c r="O1288" s="278"/>
      <c r="P1288" s="278"/>
      <c r="Q1288" s="278"/>
      <c r="R1288" s="278"/>
      <c r="S1288" s="278"/>
      <c r="T1288" s="278"/>
      <c r="U1288" s="278"/>
      <c r="V1288" s="278"/>
    </row>
    <row r="1289" spans="1:22" x14ac:dyDescent="0.15">
      <c r="A1289" s="278"/>
      <c r="B1289" s="278"/>
      <c r="C1289" s="278"/>
      <c r="D1289" s="278"/>
      <c r="E1289" s="278"/>
      <c r="F1289" s="278"/>
      <c r="G1289" s="278"/>
      <c r="H1289" s="278"/>
      <c r="I1289" s="278"/>
      <c r="J1289" s="278"/>
      <c r="K1289" s="278"/>
      <c r="L1289" s="278"/>
      <c r="M1289" s="278"/>
      <c r="N1289" s="278"/>
      <c r="O1289" s="278"/>
      <c r="P1289" s="278"/>
      <c r="Q1289" s="278"/>
      <c r="R1289" s="278"/>
      <c r="S1289" s="278"/>
      <c r="T1289" s="278"/>
      <c r="U1289" s="278"/>
      <c r="V1289" s="278"/>
    </row>
    <row r="1290" spans="1:22" x14ac:dyDescent="0.15">
      <c r="A1290" s="278"/>
      <c r="B1290" s="278"/>
      <c r="C1290" s="278"/>
      <c r="D1290" s="278"/>
      <c r="E1290" s="278"/>
      <c r="F1290" s="278"/>
      <c r="G1290" s="278"/>
      <c r="H1290" s="278"/>
      <c r="I1290" s="278"/>
      <c r="J1290" s="278"/>
      <c r="K1290" s="278"/>
      <c r="L1290" s="278"/>
      <c r="M1290" s="278"/>
      <c r="N1290" s="278"/>
      <c r="O1290" s="278"/>
      <c r="P1290" s="278"/>
      <c r="Q1290" s="278"/>
      <c r="R1290" s="278"/>
      <c r="S1290" s="278"/>
      <c r="T1290" s="278"/>
      <c r="U1290" s="278"/>
      <c r="V1290" s="278"/>
    </row>
    <row r="1291" spans="1:22" x14ac:dyDescent="0.15">
      <c r="A1291" s="278"/>
      <c r="B1291" s="278"/>
      <c r="C1291" s="278"/>
      <c r="D1291" s="278"/>
      <c r="E1291" s="278"/>
      <c r="F1291" s="278"/>
      <c r="G1291" s="278"/>
      <c r="H1291" s="278"/>
      <c r="I1291" s="278"/>
      <c r="J1291" s="278"/>
      <c r="K1291" s="278"/>
      <c r="L1291" s="278"/>
      <c r="M1291" s="278"/>
      <c r="N1291" s="278"/>
      <c r="O1291" s="278"/>
      <c r="P1291" s="278"/>
      <c r="Q1291" s="278"/>
      <c r="R1291" s="278"/>
      <c r="S1291" s="278"/>
      <c r="T1291" s="278"/>
      <c r="U1291" s="278"/>
      <c r="V1291" s="278"/>
    </row>
    <row r="1292" spans="1:22" x14ac:dyDescent="0.15">
      <c r="A1292" s="278"/>
      <c r="B1292" s="278"/>
      <c r="C1292" s="278"/>
      <c r="D1292" s="278"/>
      <c r="E1292" s="278"/>
      <c r="F1292" s="278"/>
      <c r="G1292" s="278"/>
      <c r="H1292" s="278"/>
      <c r="I1292" s="278"/>
      <c r="J1292" s="278"/>
      <c r="K1292" s="278"/>
      <c r="L1292" s="278"/>
      <c r="M1292" s="278"/>
      <c r="N1292" s="278"/>
      <c r="O1292" s="278"/>
      <c r="P1292" s="278"/>
      <c r="Q1292" s="278"/>
      <c r="R1292" s="278"/>
      <c r="S1292" s="278"/>
      <c r="T1292" s="278"/>
      <c r="U1292" s="278"/>
      <c r="V1292" s="278"/>
    </row>
    <row r="1293" spans="1:22" x14ac:dyDescent="0.15">
      <c r="A1293" s="278"/>
      <c r="B1293" s="278"/>
      <c r="C1293" s="278"/>
      <c r="D1293" s="278"/>
      <c r="E1293" s="278"/>
      <c r="F1293" s="278"/>
      <c r="G1293" s="278"/>
      <c r="H1293" s="278"/>
      <c r="I1293" s="278"/>
      <c r="J1293" s="278"/>
      <c r="K1293" s="278"/>
      <c r="L1293" s="278"/>
      <c r="M1293" s="278"/>
      <c r="N1293" s="278"/>
      <c r="O1293" s="278"/>
      <c r="P1293" s="278"/>
      <c r="Q1293" s="278"/>
      <c r="R1293" s="278"/>
      <c r="S1293" s="278"/>
      <c r="T1293" s="278"/>
      <c r="U1293" s="278"/>
      <c r="V1293" s="278"/>
    </row>
    <row r="1294" spans="1:22" x14ac:dyDescent="0.15">
      <c r="A1294" s="278"/>
      <c r="B1294" s="278"/>
      <c r="C1294" s="278"/>
      <c r="D1294" s="278"/>
      <c r="E1294" s="278"/>
      <c r="F1294" s="278"/>
      <c r="G1294" s="278"/>
      <c r="H1294" s="278"/>
      <c r="I1294" s="278"/>
      <c r="J1294" s="278"/>
      <c r="K1294" s="278"/>
      <c r="L1294" s="278"/>
      <c r="M1294" s="278"/>
      <c r="N1294" s="278"/>
      <c r="O1294" s="278"/>
      <c r="P1294" s="278"/>
      <c r="Q1294" s="278"/>
      <c r="R1294" s="278"/>
      <c r="S1294" s="278"/>
      <c r="T1294" s="278"/>
      <c r="U1294" s="278"/>
      <c r="V1294" s="278"/>
    </row>
    <row r="1295" spans="1:22" x14ac:dyDescent="0.15">
      <c r="A1295" s="278"/>
      <c r="B1295" s="278"/>
      <c r="C1295" s="278"/>
      <c r="D1295" s="278"/>
      <c r="E1295" s="278"/>
      <c r="F1295" s="278"/>
      <c r="G1295" s="278"/>
      <c r="H1295" s="278"/>
      <c r="I1295" s="278"/>
      <c r="J1295" s="278"/>
      <c r="K1295" s="278"/>
      <c r="L1295" s="278"/>
      <c r="M1295" s="278"/>
      <c r="N1295" s="278"/>
      <c r="O1295" s="278"/>
      <c r="P1295" s="278"/>
      <c r="Q1295" s="278"/>
      <c r="R1295" s="278"/>
      <c r="S1295" s="278"/>
      <c r="T1295" s="278"/>
      <c r="U1295" s="278"/>
      <c r="V1295" s="278"/>
    </row>
    <row r="1296" spans="1:22" x14ac:dyDescent="0.15">
      <c r="A1296" s="278"/>
      <c r="B1296" s="278"/>
      <c r="C1296" s="278"/>
      <c r="D1296" s="278"/>
      <c r="E1296" s="278"/>
      <c r="F1296" s="278"/>
      <c r="G1296" s="278"/>
      <c r="H1296" s="278"/>
      <c r="I1296" s="278"/>
      <c r="J1296" s="278"/>
      <c r="K1296" s="278"/>
      <c r="L1296" s="278"/>
      <c r="M1296" s="278"/>
      <c r="N1296" s="278"/>
      <c r="O1296" s="278"/>
      <c r="P1296" s="278"/>
      <c r="Q1296" s="278"/>
      <c r="R1296" s="278"/>
      <c r="S1296" s="278"/>
      <c r="T1296" s="278"/>
      <c r="U1296" s="278"/>
      <c r="V1296" s="278"/>
    </row>
    <row r="1297" spans="1:22" x14ac:dyDescent="0.15">
      <c r="A1297" s="278"/>
      <c r="B1297" s="278"/>
      <c r="C1297" s="278"/>
      <c r="D1297" s="278"/>
      <c r="E1297" s="278"/>
      <c r="F1297" s="278"/>
      <c r="G1297" s="278"/>
      <c r="H1297" s="278"/>
      <c r="I1297" s="278"/>
      <c r="J1297" s="278"/>
      <c r="K1297" s="278"/>
      <c r="L1297" s="278"/>
      <c r="M1297" s="278"/>
      <c r="N1297" s="278"/>
      <c r="O1297" s="278"/>
      <c r="P1297" s="278"/>
      <c r="Q1297" s="278"/>
      <c r="R1297" s="278"/>
      <c r="S1297" s="278"/>
      <c r="T1297" s="278"/>
      <c r="U1297" s="278"/>
      <c r="V1297" s="278"/>
    </row>
    <row r="1298" spans="1:22" x14ac:dyDescent="0.15">
      <c r="A1298" s="278"/>
      <c r="B1298" s="278"/>
      <c r="C1298" s="278"/>
      <c r="D1298" s="278"/>
      <c r="E1298" s="278"/>
      <c r="F1298" s="278"/>
      <c r="G1298" s="278"/>
      <c r="H1298" s="278"/>
      <c r="I1298" s="278"/>
      <c r="J1298" s="278"/>
      <c r="K1298" s="278"/>
      <c r="L1298" s="278"/>
      <c r="M1298" s="278"/>
      <c r="N1298" s="278"/>
      <c r="O1298" s="278"/>
      <c r="P1298" s="278"/>
      <c r="Q1298" s="278"/>
      <c r="R1298" s="278"/>
      <c r="S1298" s="278"/>
      <c r="T1298" s="278"/>
      <c r="U1298" s="278"/>
      <c r="V1298" s="278"/>
    </row>
    <row r="1299" spans="1:22" x14ac:dyDescent="0.15">
      <c r="A1299" s="278"/>
      <c r="B1299" s="278"/>
      <c r="C1299" s="278"/>
      <c r="D1299" s="278"/>
      <c r="E1299" s="278"/>
      <c r="F1299" s="278"/>
      <c r="G1299" s="278"/>
      <c r="H1299" s="278"/>
      <c r="I1299" s="278"/>
      <c r="J1299" s="278"/>
      <c r="K1299" s="278"/>
      <c r="L1299" s="278"/>
      <c r="M1299" s="278"/>
      <c r="N1299" s="278"/>
      <c r="O1299" s="278"/>
      <c r="P1299" s="278"/>
      <c r="Q1299" s="278"/>
      <c r="R1299" s="278"/>
      <c r="S1299" s="278"/>
      <c r="T1299" s="278"/>
      <c r="U1299" s="278"/>
      <c r="V1299" s="278"/>
    </row>
    <row r="1300" spans="1:22" x14ac:dyDescent="0.15">
      <c r="A1300" s="278"/>
      <c r="B1300" s="278"/>
      <c r="C1300" s="278"/>
      <c r="D1300" s="278"/>
      <c r="E1300" s="278"/>
      <c r="F1300" s="278"/>
      <c r="G1300" s="278"/>
      <c r="H1300" s="278"/>
      <c r="I1300" s="278"/>
      <c r="J1300" s="278"/>
      <c r="K1300" s="278"/>
      <c r="L1300" s="278"/>
      <c r="M1300" s="278"/>
      <c r="N1300" s="278"/>
      <c r="O1300" s="278"/>
      <c r="P1300" s="278"/>
      <c r="Q1300" s="278"/>
      <c r="R1300" s="278"/>
      <c r="S1300" s="278"/>
      <c r="T1300" s="278"/>
      <c r="U1300" s="278"/>
      <c r="V1300" s="278"/>
    </row>
    <row r="1301" spans="1:22" x14ac:dyDescent="0.15">
      <c r="A1301" s="278"/>
      <c r="B1301" s="278"/>
      <c r="C1301" s="278"/>
      <c r="D1301" s="278"/>
      <c r="E1301" s="278"/>
      <c r="F1301" s="278"/>
      <c r="G1301" s="278"/>
      <c r="H1301" s="278"/>
      <c r="I1301" s="278"/>
      <c r="J1301" s="278"/>
      <c r="K1301" s="278"/>
      <c r="L1301" s="278"/>
      <c r="M1301" s="278"/>
      <c r="N1301" s="278"/>
      <c r="O1301" s="278"/>
      <c r="P1301" s="278"/>
      <c r="Q1301" s="278"/>
      <c r="R1301" s="278"/>
      <c r="S1301" s="278"/>
      <c r="T1301" s="278"/>
      <c r="U1301" s="278"/>
      <c r="V1301" s="278"/>
    </row>
    <row r="1302" spans="1:22" x14ac:dyDescent="0.15">
      <c r="A1302" s="278"/>
      <c r="B1302" s="278"/>
      <c r="C1302" s="278"/>
      <c r="D1302" s="278"/>
      <c r="E1302" s="278"/>
      <c r="F1302" s="278"/>
      <c r="G1302" s="278"/>
      <c r="H1302" s="278"/>
      <c r="I1302" s="278"/>
      <c r="J1302" s="278"/>
      <c r="K1302" s="278"/>
      <c r="L1302" s="278"/>
      <c r="M1302" s="278"/>
      <c r="N1302" s="278"/>
      <c r="O1302" s="278"/>
      <c r="P1302" s="278"/>
      <c r="Q1302" s="278"/>
      <c r="R1302" s="278"/>
      <c r="S1302" s="278"/>
      <c r="T1302" s="278"/>
      <c r="U1302" s="278"/>
      <c r="V1302" s="278"/>
    </row>
    <row r="1303" spans="1:22" x14ac:dyDescent="0.15">
      <c r="A1303" s="278"/>
      <c r="B1303" s="278"/>
      <c r="C1303" s="278"/>
      <c r="D1303" s="278"/>
      <c r="E1303" s="278"/>
      <c r="F1303" s="278"/>
      <c r="G1303" s="278"/>
      <c r="H1303" s="278"/>
      <c r="I1303" s="278"/>
      <c r="J1303" s="278"/>
      <c r="K1303" s="278"/>
      <c r="L1303" s="278"/>
      <c r="M1303" s="278"/>
      <c r="N1303" s="278"/>
      <c r="O1303" s="278"/>
      <c r="P1303" s="278"/>
      <c r="Q1303" s="278"/>
      <c r="R1303" s="278"/>
      <c r="S1303" s="278"/>
      <c r="T1303" s="278"/>
      <c r="U1303" s="278"/>
      <c r="V1303" s="278"/>
    </row>
    <row r="1304" spans="1:22" x14ac:dyDescent="0.15">
      <c r="A1304" s="278"/>
      <c r="B1304" s="278"/>
      <c r="C1304" s="278"/>
      <c r="D1304" s="278"/>
      <c r="E1304" s="278"/>
      <c r="F1304" s="278"/>
      <c r="G1304" s="278"/>
      <c r="H1304" s="278"/>
      <c r="I1304" s="278"/>
      <c r="J1304" s="278"/>
      <c r="K1304" s="278"/>
      <c r="L1304" s="278"/>
      <c r="M1304" s="278"/>
      <c r="N1304" s="278"/>
      <c r="O1304" s="278"/>
      <c r="P1304" s="278"/>
      <c r="Q1304" s="278"/>
      <c r="R1304" s="278"/>
      <c r="S1304" s="278"/>
      <c r="T1304" s="278"/>
      <c r="U1304" s="278"/>
      <c r="V1304" s="278"/>
    </row>
    <row r="1305" spans="1:22" x14ac:dyDescent="0.15">
      <c r="A1305" s="278"/>
      <c r="B1305" s="278"/>
      <c r="C1305" s="278"/>
      <c r="D1305" s="278"/>
      <c r="E1305" s="278"/>
      <c r="F1305" s="278"/>
      <c r="G1305" s="278"/>
      <c r="H1305" s="278"/>
      <c r="I1305" s="278"/>
      <c r="J1305" s="278"/>
      <c r="K1305" s="278"/>
      <c r="L1305" s="278"/>
      <c r="M1305" s="278"/>
      <c r="N1305" s="278"/>
      <c r="O1305" s="278"/>
      <c r="P1305" s="278"/>
      <c r="Q1305" s="278"/>
      <c r="R1305" s="278"/>
      <c r="S1305" s="278"/>
      <c r="T1305" s="278"/>
      <c r="U1305" s="278"/>
      <c r="V1305" s="278"/>
    </row>
    <row r="1306" spans="1:22" x14ac:dyDescent="0.15">
      <c r="A1306" s="278"/>
      <c r="B1306" s="278"/>
      <c r="C1306" s="278"/>
      <c r="D1306" s="278"/>
      <c r="E1306" s="278"/>
      <c r="F1306" s="278"/>
      <c r="G1306" s="278"/>
      <c r="H1306" s="278"/>
      <c r="I1306" s="278"/>
      <c r="J1306" s="278"/>
      <c r="K1306" s="278"/>
      <c r="L1306" s="278"/>
      <c r="M1306" s="278"/>
      <c r="N1306" s="278"/>
      <c r="O1306" s="278"/>
      <c r="P1306" s="278"/>
      <c r="Q1306" s="278"/>
      <c r="R1306" s="278"/>
      <c r="S1306" s="278"/>
      <c r="T1306" s="278"/>
      <c r="U1306" s="278"/>
      <c r="V1306" s="278"/>
    </row>
    <row r="1307" spans="1:22" x14ac:dyDescent="0.15">
      <c r="A1307" s="278"/>
      <c r="B1307" s="278"/>
      <c r="C1307" s="278"/>
      <c r="D1307" s="278"/>
      <c r="E1307" s="278"/>
      <c r="F1307" s="278"/>
      <c r="G1307" s="278"/>
      <c r="H1307" s="278"/>
      <c r="I1307" s="278"/>
      <c r="J1307" s="278"/>
      <c r="K1307" s="278"/>
      <c r="L1307" s="278"/>
      <c r="M1307" s="278"/>
      <c r="N1307" s="278"/>
      <c r="O1307" s="278"/>
      <c r="P1307" s="278"/>
      <c r="Q1307" s="278"/>
      <c r="R1307" s="278"/>
      <c r="S1307" s="278"/>
      <c r="T1307" s="278"/>
      <c r="U1307" s="278"/>
      <c r="V1307" s="278"/>
    </row>
    <row r="1308" spans="1:22" x14ac:dyDescent="0.15">
      <c r="A1308" s="278"/>
      <c r="B1308" s="278"/>
      <c r="C1308" s="278"/>
      <c r="D1308" s="278"/>
      <c r="E1308" s="278"/>
      <c r="F1308" s="278"/>
      <c r="G1308" s="278"/>
      <c r="H1308" s="278"/>
      <c r="I1308" s="278"/>
      <c r="J1308" s="278"/>
      <c r="K1308" s="278"/>
      <c r="L1308" s="278"/>
      <c r="M1308" s="278"/>
      <c r="N1308" s="278"/>
      <c r="O1308" s="278"/>
      <c r="P1308" s="278"/>
      <c r="Q1308" s="278"/>
      <c r="R1308" s="278"/>
      <c r="S1308" s="278"/>
      <c r="T1308" s="278"/>
      <c r="U1308" s="278"/>
      <c r="V1308" s="278"/>
    </row>
    <row r="1309" spans="1:22" x14ac:dyDescent="0.15">
      <c r="A1309" s="278"/>
      <c r="B1309" s="278"/>
      <c r="C1309" s="278"/>
      <c r="D1309" s="278"/>
      <c r="E1309" s="278"/>
      <c r="F1309" s="278"/>
      <c r="G1309" s="278"/>
      <c r="H1309" s="278"/>
      <c r="I1309" s="278"/>
      <c r="J1309" s="278"/>
      <c r="K1309" s="278"/>
      <c r="L1309" s="278"/>
      <c r="M1309" s="278"/>
      <c r="N1309" s="278"/>
      <c r="O1309" s="278"/>
      <c r="P1309" s="278"/>
      <c r="Q1309" s="278"/>
      <c r="R1309" s="278"/>
      <c r="S1309" s="278"/>
      <c r="T1309" s="278"/>
      <c r="U1309" s="278"/>
      <c r="V1309" s="278"/>
    </row>
    <row r="1310" spans="1:22" x14ac:dyDescent="0.15">
      <c r="A1310" s="278"/>
      <c r="B1310" s="278"/>
      <c r="C1310" s="278"/>
      <c r="D1310" s="278"/>
      <c r="E1310" s="278"/>
      <c r="F1310" s="278"/>
      <c r="G1310" s="278"/>
      <c r="H1310" s="278"/>
      <c r="I1310" s="278"/>
      <c r="J1310" s="278"/>
      <c r="K1310" s="278"/>
      <c r="L1310" s="278"/>
      <c r="M1310" s="278"/>
      <c r="N1310" s="278"/>
      <c r="O1310" s="278"/>
      <c r="P1310" s="278"/>
      <c r="Q1310" s="278"/>
      <c r="R1310" s="278"/>
      <c r="S1310" s="278"/>
      <c r="T1310" s="278"/>
      <c r="U1310" s="278"/>
      <c r="V1310" s="278"/>
    </row>
    <row r="1311" spans="1:22" x14ac:dyDescent="0.15">
      <c r="A1311" s="278"/>
      <c r="B1311" s="278"/>
      <c r="C1311" s="278"/>
      <c r="D1311" s="278"/>
      <c r="E1311" s="278"/>
      <c r="F1311" s="278"/>
      <c r="G1311" s="278"/>
      <c r="H1311" s="278"/>
      <c r="I1311" s="278"/>
      <c r="J1311" s="278"/>
      <c r="K1311" s="278"/>
      <c r="L1311" s="278"/>
      <c r="M1311" s="278"/>
      <c r="N1311" s="278"/>
      <c r="O1311" s="278"/>
      <c r="P1311" s="278"/>
      <c r="Q1311" s="278"/>
      <c r="R1311" s="278"/>
      <c r="S1311" s="278"/>
      <c r="T1311" s="278"/>
      <c r="U1311" s="278"/>
      <c r="V1311" s="278"/>
    </row>
    <row r="1312" spans="1:22" x14ac:dyDescent="0.15">
      <c r="A1312" s="278"/>
      <c r="B1312" s="278"/>
      <c r="C1312" s="278"/>
      <c r="D1312" s="278"/>
      <c r="E1312" s="278"/>
      <c r="F1312" s="278"/>
      <c r="G1312" s="278"/>
      <c r="H1312" s="278"/>
      <c r="I1312" s="278"/>
      <c r="J1312" s="278"/>
      <c r="K1312" s="278"/>
      <c r="L1312" s="278"/>
      <c r="M1312" s="278"/>
      <c r="N1312" s="278"/>
      <c r="O1312" s="278"/>
      <c r="P1312" s="278"/>
      <c r="Q1312" s="278"/>
      <c r="R1312" s="278"/>
      <c r="S1312" s="278"/>
      <c r="T1312" s="278"/>
      <c r="U1312" s="278"/>
      <c r="V1312" s="278"/>
    </row>
    <row r="1313" spans="1:22" x14ac:dyDescent="0.15">
      <c r="A1313" s="278"/>
      <c r="B1313" s="278"/>
      <c r="C1313" s="278"/>
      <c r="D1313" s="278"/>
      <c r="E1313" s="278"/>
      <c r="F1313" s="278"/>
      <c r="G1313" s="278"/>
      <c r="H1313" s="278"/>
      <c r="I1313" s="278"/>
      <c r="J1313" s="278"/>
      <c r="K1313" s="278"/>
      <c r="L1313" s="278"/>
      <c r="M1313" s="278"/>
      <c r="N1313" s="278"/>
      <c r="O1313" s="278"/>
      <c r="P1313" s="278"/>
      <c r="Q1313" s="278"/>
      <c r="R1313" s="278"/>
      <c r="S1313" s="278"/>
      <c r="T1313" s="278"/>
      <c r="U1313" s="278"/>
      <c r="V1313" s="278"/>
    </row>
    <row r="1314" spans="1:22" x14ac:dyDescent="0.15">
      <c r="A1314" s="278"/>
      <c r="B1314" s="278"/>
      <c r="C1314" s="278"/>
      <c r="D1314" s="278"/>
      <c r="E1314" s="278"/>
      <c r="F1314" s="278"/>
      <c r="G1314" s="278"/>
      <c r="H1314" s="278"/>
      <c r="I1314" s="278"/>
      <c r="J1314" s="278"/>
      <c r="K1314" s="278"/>
      <c r="L1314" s="278"/>
      <c r="M1314" s="278"/>
      <c r="N1314" s="278"/>
      <c r="O1314" s="278"/>
      <c r="P1314" s="278"/>
      <c r="Q1314" s="278"/>
      <c r="R1314" s="278"/>
      <c r="S1314" s="278"/>
      <c r="T1314" s="278"/>
      <c r="U1314" s="278"/>
      <c r="V1314" s="278"/>
    </row>
    <row r="1315" spans="1:22" x14ac:dyDescent="0.15">
      <c r="A1315" s="278"/>
      <c r="B1315" s="278"/>
      <c r="C1315" s="278"/>
      <c r="D1315" s="278"/>
      <c r="E1315" s="278"/>
      <c r="F1315" s="278"/>
      <c r="G1315" s="278"/>
      <c r="H1315" s="278"/>
      <c r="I1315" s="278"/>
      <c r="J1315" s="278"/>
      <c r="K1315" s="278"/>
      <c r="L1315" s="278"/>
      <c r="M1315" s="278"/>
      <c r="N1315" s="278"/>
      <c r="O1315" s="278"/>
      <c r="P1315" s="278"/>
      <c r="Q1315" s="278"/>
      <c r="R1315" s="278"/>
      <c r="S1315" s="278"/>
      <c r="T1315" s="278"/>
      <c r="U1315" s="278"/>
      <c r="V1315" s="278"/>
    </row>
    <row r="1316" spans="1:22" x14ac:dyDescent="0.15">
      <c r="A1316" s="278"/>
      <c r="B1316" s="278"/>
      <c r="C1316" s="278"/>
      <c r="D1316" s="278"/>
      <c r="E1316" s="278"/>
      <c r="F1316" s="278"/>
      <c r="G1316" s="278"/>
      <c r="H1316" s="278"/>
      <c r="I1316" s="278"/>
      <c r="J1316" s="278"/>
      <c r="K1316" s="278"/>
      <c r="L1316" s="278"/>
      <c r="M1316" s="278"/>
      <c r="N1316" s="278"/>
      <c r="O1316" s="278"/>
      <c r="P1316" s="278"/>
      <c r="Q1316" s="278"/>
      <c r="R1316" s="278"/>
      <c r="S1316" s="278"/>
      <c r="T1316" s="278"/>
      <c r="U1316" s="278"/>
      <c r="V1316" s="278"/>
    </row>
    <row r="1317" spans="1:22" x14ac:dyDescent="0.15">
      <c r="A1317" s="278"/>
      <c r="B1317" s="278"/>
      <c r="C1317" s="278"/>
      <c r="D1317" s="278"/>
      <c r="E1317" s="278"/>
      <c r="F1317" s="278"/>
      <c r="G1317" s="278"/>
      <c r="H1317" s="278"/>
      <c r="I1317" s="278"/>
      <c r="J1317" s="278"/>
      <c r="K1317" s="278"/>
      <c r="L1317" s="278"/>
      <c r="M1317" s="278"/>
      <c r="N1317" s="278"/>
      <c r="O1317" s="278"/>
      <c r="P1317" s="278"/>
      <c r="Q1317" s="278"/>
      <c r="R1317" s="278"/>
      <c r="S1317" s="278"/>
      <c r="T1317" s="278"/>
      <c r="U1317" s="278"/>
      <c r="V1317" s="278"/>
    </row>
    <row r="1318" spans="1:22" x14ac:dyDescent="0.15">
      <c r="A1318" s="278"/>
      <c r="B1318" s="278"/>
      <c r="C1318" s="278"/>
      <c r="D1318" s="278"/>
      <c r="E1318" s="278"/>
      <c r="F1318" s="278"/>
      <c r="G1318" s="278"/>
      <c r="H1318" s="278"/>
      <c r="I1318" s="278"/>
      <c r="J1318" s="278"/>
      <c r="K1318" s="278"/>
      <c r="L1318" s="278"/>
      <c r="M1318" s="278"/>
      <c r="N1318" s="278"/>
      <c r="O1318" s="278"/>
      <c r="P1318" s="278"/>
      <c r="Q1318" s="278"/>
      <c r="R1318" s="278"/>
      <c r="S1318" s="278"/>
      <c r="T1318" s="278"/>
      <c r="U1318" s="278"/>
      <c r="V1318" s="278"/>
    </row>
    <row r="1319" spans="1:22" x14ac:dyDescent="0.15">
      <c r="A1319" s="278"/>
      <c r="B1319" s="278"/>
      <c r="C1319" s="278"/>
      <c r="D1319" s="278"/>
      <c r="E1319" s="278"/>
      <c r="F1319" s="278"/>
      <c r="G1319" s="278"/>
      <c r="H1319" s="278"/>
      <c r="I1319" s="278"/>
      <c r="J1319" s="278"/>
      <c r="K1319" s="278"/>
      <c r="L1319" s="278"/>
      <c r="M1319" s="278"/>
      <c r="N1319" s="278"/>
      <c r="O1319" s="278"/>
      <c r="P1319" s="278"/>
      <c r="Q1319" s="278"/>
      <c r="R1319" s="278"/>
      <c r="S1319" s="278"/>
      <c r="T1319" s="278"/>
      <c r="U1319" s="278"/>
      <c r="V1319" s="278"/>
    </row>
    <row r="1320" spans="1:22" x14ac:dyDescent="0.15">
      <c r="A1320" s="278"/>
      <c r="B1320" s="278"/>
      <c r="C1320" s="278"/>
      <c r="D1320" s="278"/>
      <c r="E1320" s="278"/>
      <c r="F1320" s="278"/>
      <c r="G1320" s="278"/>
      <c r="H1320" s="278"/>
      <c r="I1320" s="278"/>
      <c r="J1320" s="278"/>
      <c r="K1320" s="278"/>
      <c r="L1320" s="278"/>
      <c r="M1320" s="278"/>
      <c r="N1320" s="278"/>
      <c r="O1320" s="278"/>
      <c r="P1320" s="278"/>
      <c r="Q1320" s="278"/>
      <c r="R1320" s="278"/>
      <c r="S1320" s="278"/>
      <c r="T1320" s="278"/>
      <c r="U1320" s="278"/>
      <c r="V1320" s="278"/>
    </row>
    <row r="1321" spans="1:22" x14ac:dyDescent="0.15">
      <c r="A1321" s="278"/>
      <c r="B1321" s="278"/>
      <c r="C1321" s="278"/>
      <c r="D1321" s="278"/>
      <c r="E1321" s="278"/>
      <c r="F1321" s="278"/>
      <c r="G1321" s="278"/>
      <c r="H1321" s="278"/>
      <c r="I1321" s="278"/>
      <c r="J1321" s="278"/>
      <c r="K1321" s="278"/>
      <c r="L1321" s="278"/>
      <c r="M1321" s="278"/>
      <c r="N1321" s="278"/>
      <c r="O1321" s="278"/>
      <c r="P1321" s="278"/>
      <c r="Q1321" s="278"/>
      <c r="R1321" s="278"/>
      <c r="S1321" s="278"/>
      <c r="T1321" s="278"/>
      <c r="U1321" s="278"/>
      <c r="V1321" s="278"/>
    </row>
    <row r="1322" spans="1:22" x14ac:dyDescent="0.15">
      <c r="A1322" s="278"/>
      <c r="B1322" s="278"/>
      <c r="C1322" s="278"/>
      <c r="D1322" s="278"/>
      <c r="E1322" s="278"/>
      <c r="F1322" s="278"/>
      <c r="G1322" s="278"/>
      <c r="H1322" s="278"/>
      <c r="I1322" s="278"/>
      <c r="J1322" s="278"/>
      <c r="K1322" s="278"/>
      <c r="L1322" s="278"/>
      <c r="M1322" s="278"/>
      <c r="N1322" s="278"/>
      <c r="O1322" s="278"/>
      <c r="P1322" s="278"/>
      <c r="Q1322" s="278"/>
      <c r="R1322" s="278"/>
      <c r="S1322" s="278"/>
      <c r="T1322" s="278"/>
      <c r="U1322" s="278"/>
      <c r="V1322" s="278"/>
    </row>
    <row r="1323" spans="1:22" x14ac:dyDescent="0.15">
      <c r="A1323" s="278"/>
      <c r="B1323" s="278"/>
      <c r="C1323" s="278"/>
      <c r="D1323" s="278"/>
      <c r="E1323" s="278"/>
      <c r="F1323" s="278"/>
      <c r="G1323" s="278"/>
      <c r="H1323" s="278"/>
      <c r="I1323" s="278"/>
      <c r="J1323" s="278"/>
      <c r="K1323" s="278"/>
      <c r="L1323" s="278"/>
      <c r="M1323" s="278"/>
      <c r="N1323" s="278"/>
      <c r="O1323" s="278"/>
      <c r="P1323" s="278"/>
      <c r="Q1323" s="278"/>
      <c r="R1323" s="278"/>
      <c r="S1323" s="278"/>
      <c r="T1323" s="278"/>
      <c r="U1323" s="278"/>
      <c r="V1323" s="278"/>
    </row>
    <row r="1324" spans="1:22" x14ac:dyDescent="0.15">
      <c r="A1324" s="278"/>
      <c r="B1324" s="278"/>
      <c r="C1324" s="278"/>
      <c r="D1324" s="278"/>
      <c r="E1324" s="278"/>
      <c r="F1324" s="278"/>
      <c r="G1324" s="278"/>
      <c r="H1324" s="278"/>
      <c r="I1324" s="278"/>
      <c r="J1324" s="278"/>
      <c r="K1324" s="278"/>
      <c r="L1324" s="278"/>
      <c r="M1324" s="278"/>
      <c r="N1324" s="278"/>
      <c r="O1324" s="278"/>
      <c r="P1324" s="278"/>
      <c r="Q1324" s="278"/>
      <c r="R1324" s="278"/>
      <c r="S1324" s="278"/>
      <c r="T1324" s="278"/>
      <c r="U1324" s="278"/>
      <c r="V1324" s="278"/>
    </row>
    <row r="1325" spans="1:22" x14ac:dyDescent="0.15">
      <c r="A1325" s="278"/>
      <c r="B1325" s="278"/>
      <c r="C1325" s="278"/>
      <c r="D1325" s="278"/>
      <c r="E1325" s="278"/>
      <c r="F1325" s="278"/>
      <c r="G1325" s="278"/>
      <c r="H1325" s="278"/>
      <c r="I1325" s="278"/>
      <c r="J1325" s="278"/>
      <c r="K1325" s="278"/>
      <c r="L1325" s="278"/>
      <c r="M1325" s="278"/>
      <c r="N1325" s="278"/>
      <c r="O1325" s="278"/>
      <c r="P1325" s="278"/>
      <c r="Q1325" s="278"/>
      <c r="R1325" s="278"/>
      <c r="S1325" s="278"/>
      <c r="T1325" s="278"/>
      <c r="U1325" s="278"/>
      <c r="V1325" s="278"/>
    </row>
    <row r="1326" spans="1:22" x14ac:dyDescent="0.15">
      <c r="A1326" s="278"/>
      <c r="B1326" s="278"/>
      <c r="C1326" s="278"/>
      <c r="D1326" s="278"/>
      <c r="E1326" s="278"/>
      <c r="F1326" s="278"/>
      <c r="G1326" s="278"/>
      <c r="H1326" s="278"/>
      <c r="I1326" s="278"/>
      <c r="J1326" s="278"/>
      <c r="K1326" s="278"/>
      <c r="L1326" s="278"/>
      <c r="M1326" s="278"/>
      <c r="N1326" s="278"/>
      <c r="O1326" s="278"/>
      <c r="P1326" s="278"/>
      <c r="Q1326" s="278"/>
      <c r="R1326" s="278"/>
      <c r="S1326" s="278"/>
      <c r="T1326" s="278"/>
      <c r="U1326" s="278"/>
      <c r="V1326" s="278"/>
    </row>
    <row r="1327" spans="1:22" x14ac:dyDescent="0.15">
      <c r="A1327" s="278"/>
      <c r="B1327" s="278"/>
      <c r="C1327" s="278"/>
      <c r="D1327" s="278"/>
      <c r="E1327" s="278"/>
      <c r="F1327" s="278"/>
      <c r="G1327" s="278"/>
      <c r="H1327" s="278"/>
      <c r="I1327" s="278"/>
      <c r="J1327" s="278"/>
      <c r="K1327" s="278"/>
      <c r="L1327" s="278"/>
      <c r="M1327" s="278"/>
      <c r="N1327" s="278"/>
      <c r="O1327" s="278"/>
      <c r="P1327" s="278"/>
      <c r="Q1327" s="278"/>
      <c r="R1327" s="278"/>
      <c r="S1327" s="278"/>
      <c r="T1327" s="278"/>
      <c r="U1327" s="278"/>
      <c r="V1327" s="278"/>
    </row>
    <row r="1328" spans="1:22" x14ac:dyDescent="0.15">
      <c r="A1328" s="278"/>
      <c r="B1328" s="278"/>
      <c r="C1328" s="278"/>
      <c r="D1328" s="278"/>
      <c r="E1328" s="278"/>
      <c r="F1328" s="278"/>
      <c r="G1328" s="278"/>
      <c r="H1328" s="278"/>
      <c r="I1328" s="278"/>
      <c r="J1328" s="278"/>
      <c r="K1328" s="278"/>
      <c r="L1328" s="278"/>
      <c r="M1328" s="278"/>
      <c r="N1328" s="278"/>
      <c r="O1328" s="278"/>
      <c r="P1328" s="278"/>
      <c r="Q1328" s="278"/>
      <c r="R1328" s="278"/>
      <c r="S1328" s="278"/>
      <c r="T1328" s="278"/>
      <c r="U1328" s="278"/>
      <c r="V1328" s="278"/>
    </row>
    <row r="1329" spans="1:22" x14ac:dyDescent="0.15">
      <c r="A1329" s="278"/>
      <c r="B1329" s="278"/>
      <c r="C1329" s="278"/>
      <c r="D1329" s="278"/>
      <c r="E1329" s="278"/>
      <c r="F1329" s="278"/>
      <c r="G1329" s="278"/>
      <c r="H1329" s="278"/>
      <c r="I1329" s="278"/>
      <c r="J1329" s="278"/>
      <c r="K1329" s="278"/>
      <c r="L1329" s="278"/>
      <c r="M1329" s="278"/>
      <c r="N1329" s="278"/>
      <c r="O1329" s="278"/>
      <c r="P1329" s="278"/>
      <c r="Q1329" s="278"/>
      <c r="R1329" s="278"/>
      <c r="S1329" s="278"/>
      <c r="T1329" s="278"/>
      <c r="U1329" s="278"/>
      <c r="V1329" s="278"/>
    </row>
    <row r="1330" spans="1:22" x14ac:dyDescent="0.15">
      <c r="A1330" s="278"/>
      <c r="B1330" s="278"/>
      <c r="C1330" s="278"/>
      <c r="D1330" s="278"/>
      <c r="E1330" s="278"/>
      <c r="F1330" s="278"/>
      <c r="G1330" s="278"/>
      <c r="H1330" s="278"/>
      <c r="I1330" s="278"/>
      <c r="J1330" s="278"/>
      <c r="K1330" s="278"/>
      <c r="L1330" s="278"/>
      <c r="M1330" s="278"/>
      <c r="N1330" s="278"/>
      <c r="O1330" s="278"/>
      <c r="P1330" s="278"/>
      <c r="Q1330" s="278"/>
      <c r="R1330" s="278"/>
      <c r="S1330" s="278"/>
      <c r="T1330" s="278"/>
      <c r="U1330" s="278"/>
      <c r="V1330" s="278"/>
    </row>
    <row r="1331" spans="1:22" x14ac:dyDescent="0.15">
      <c r="A1331" s="278"/>
      <c r="B1331" s="278"/>
      <c r="C1331" s="278"/>
      <c r="D1331" s="278"/>
      <c r="E1331" s="278"/>
      <c r="F1331" s="278"/>
      <c r="G1331" s="278"/>
      <c r="H1331" s="278"/>
      <c r="I1331" s="278"/>
      <c r="J1331" s="278"/>
      <c r="K1331" s="278"/>
      <c r="L1331" s="278"/>
      <c r="M1331" s="278"/>
      <c r="N1331" s="278"/>
      <c r="O1331" s="278"/>
      <c r="P1331" s="278"/>
      <c r="Q1331" s="278"/>
      <c r="R1331" s="278"/>
      <c r="S1331" s="278"/>
      <c r="T1331" s="278"/>
      <c r="U1331" s="278"/>
      <c r="V1331" s="278"/>
    </row>
    <row r="1332" spans="1:22" x14ac:dyDescent="0.15">
      <c r="A1332" s="278"/>
      <c r="B1332" s="278"/>
      <c r="C1332" s="278"/>
      <c r="D1332" s="278"/>
      <c r="E1332" s="278"/>
      <c r="F1332" s="278"/>
      <c r="G1332" s="278"/>
      <c r="H1332" s="278"/>
      <c r="I1332" s="278"/>
      <c r="J1332" s="278"/>
      <c r="K1332" s="278"/>
      <c r="L1332" s="278"/>
      <c r="M1332" s="278"/>
      <c r="N1332" s="278"/>
      <c r="O1332" s="278"/>
      <c r="P1332" s="278"/>
      <c r="Q1332" s="278"/>
      <c r="R1332" s="278"/>
      <c r="S1332" s="278"/>
      <c r="T1332" s="278"/>
      <c r="U1332" s="278"/>
      <c r="V1332" s="278"/>
    </row>
    <row r="1333" spans="1:22" x14ac:dyDescent="0.15">
      <c r="A1333" s="278"/>
      <c r="B1333" s="278"/>
      <c r="C1333" s="278"/>
      <c r="D1333" s="278"/>
      <c r="E1333" s="278"/>
      <c r="F1333" s="278"/>
      <c r="G1333" s="278"/>
      <c r="H1333" s="278"/>
      <c r="I1333" s="278"/>
      <c r="J1333" s="278"/>
      <c r="K1333" s="278"/>
      <c r="L1333" s="278"/>
      <c r="M1333" s="278"/>
      <c r="N1333" s="278"/>
      <c r="O1333" s="278"/>
      <c r="P1333" s="278"/>
      <c r="Q1333" s="278"/>
      <c r="R1333" s="278"/>
      <c r="S1333" s="278"/>
      <c r="T1333" s="278"/>
      <c r="U1333" s="278"/>
      <c r="V1333" s="278"/>
    </row>
    <row r="1334" spans="1:22" x14ac:dyDescent="0.15">
      <c r="A1334" s="278"/>
      <c r="B1334" s="278"/>
      <c r="C1334" s="278"/>
      <c r="D1334" s="278"/>
      <c r="E1334" s="278"/>
      <c r="F1334" s="278"/>
      <c r="G1334" s="278"/>
      <c r="H1334" s="278"/>
      <c r="I1334" s="278"/>
      <c r="J1334" s="278"/>
      <c r="K1334" s="278"/>
      <c r="L1334" s="278"/>
      <c r="M1334" s="278"/>
      <c r="N1334" s="278"/>
      <c r="O1334" s="278"/>
      <c r="P1334" s="278"/>
      <c r="Q1334" s="278"/>
      <c r="R1334" s="278"/>
      <c r="S1334" s="278"/>
      <c r="T1334" s="278"/>
      <c r="U1334" s="278"/>
      <c r="V1334" s="278"/>
    </row>
    <row r="1335" spans="1:22" x14ac:dyDescent="0.15">
      <c r="A1335" s="278"/>
      <c r="B1335" s="278"/>
      <c r="C1335" s="278"/>
      <c r="D1335" s="278"/>
      <c r="E1335" s="278"/>
      <c r="F1335" s="278"/>
      <c r="G1335" s="278"/>
      <c r="H1335" s="278"/>
      <c r="I1335" s="278"/>
      <c r="J1335" s="278"/>
      <c r="K1335" s="278"/>
      <c r="L1335" s="278"/>
      <c r="M1335" s="278"/>
      <c r="N1335" s="278"/>
      <c r="O1335" s="278"/>
      <c r="P1335" s="278"/>
      <c r="Q1335" s="278"/>
      <c r="R1335" s="278"/>
      <c r="S1335" s="278"/>
      <c r="T1335" s="278"/>
      <c r="U1335" s="278"/>
      <c r="V1335" s="278"/>
    </row>
    <row r="1336" spans="1:22" x14ac:dyDescent="0.15">
      <c r="A1336" s="278"/>
      <c r="B1336" s="278"/>
      <c r="C1336" s="278"/>
      <c r="D1336" s="278"/>
      <c r="E1336" s="278"/>
      <c r="F1336" s="278"/>
      <c r="G1336" s="278"/>
      <c r="H1336" s="278"/>
      <c r="I1336" s="278"/>
      <c r="J1336" s="278"/>
      <c r="K1336" s="278"/>
      <c r="L1336" s="278"/>
      <c r="M1336" s="278"/>
      <c r="N1336" s="278"/>
      <c r="O1336" s="278"/>
      <c r="P1336" s="278"/>
      <c r="Q1336" s="278"/>
      <c r="R1336" s="278"/>
      <c r="S1336" s="278"/>
      <c r="T1336" s="278"/>
      <c r="U1336" s="278"/>
      <c r="V1336" s="278"/>
    </row>
    <row r="1337" spans="1:22" x14ac:dyDescent="0.15">
      <c r="A1337" s="278"/>
      <c r="B1337" s="278"/>
      <c r="C1337" s="278"/>
      <c r="D1337" s="278"/>
      <c r="E1337" s="278"/>
      <c r="F1337" s="278"/>
      <c r="G1337" s="278"/>
      <c r="H1337" s="278"/>
      <c r="I1337" s="278"/>
      <c r="J1337" s="278"/>
      <c r="K1337" s="278"/>
      <c r="L1337" s="278"/>
      <c r="M1337" s="278"/>
      <c r="N1337" s="278"/>
      <c r="O1337" s="278"/>
      <c r="P1337" s="278"/>
      <c r="Q1337" s="278"/>
      <c r="R1337" s="278"/>
      <c r="S1337" s="278"/>
      <c r="T1337" s="278"/>
      <c r="U1337" s="278"/>
      <c r="V1337" s="278"/>
    </row>
    <row r="1338" spans="1:22" x14ac:dyDescent="0.15">
      <c r="A1338" s="278"/>
      <c r="B1338" s="278"/>
      <c r="C1338" s="278"/>
      <c r="D1338" s="278"/>
      <c r="E1338" s="278"/>
      <c r="F1338" s="278"/>
      <c r="G1338" s="278"/>
      <c r="H1338" s="278"/>
      <c r="I1338" s="278"/>
      <c r="J1338" s="278"/>
      <c r="K1338" s="278"/>
      <c r="L1338" s="278"/>
      <c r="M1338" s="278"/>
      <c r="N1338" s="278"/>
      <c r="O1338" s="278"/>
      <c r="P1338" s="278"/>
      <c r="Q1338" s="278"/>
      <c r="R1338" s="278"/>
      <c r="S1338" s="278"/>
      <c r="T1338" s="278"/>
      <c r="U1338" s="278"/>
      <c r="V1338" s="278"/>
    </row>
    <row r="1339" spans="1:22" x14ac:dyDescent="0.15">
      <c r="A1339" s="278"/>
      <c r="B1339" s="278"/>
      <c r="C1339" s="278"/>
      <c r="D1339" s="278"/>
      <c r="E1339" s="278"/>
      <c r="F1339" s="278"/>
      <c r="G1339" s="278"/>
      <c r="H1339" s="278"/>
      <c r="I1339" s="278"/>
      <c r="J1339" s="278"/>
      <c r="K1339" s="278"/>
      <c r="L1339" s="278"/>
      <c r="M1339" s="278"/>
      <c r="N1339" s="278"/>
      <c r="O1339" s="278"/>
      <c r="P1339" s="278"/>
      <c r="Q1339" s="278"/>
      <c r="R1339" s="278"/>
      <c r="S1339" s="278"/>
      <c r="T1339" s="278"/>
      <c r="U1339" s="278"/>
      <c r="V1339" s="278"/>
    </row>
    <row r="1340" spans="1:22" x14ac:dyDescent="0.15">
      <c r="A1340" s="278"/>
      <c r="B1340" s="278"/>
      <c r="C1340" s="278"/>
      <c r="D1340" s="278"/>
      <c r="E1340" s="278"/>
      <c r="F1340" s="278"/>
      <c r="G1340" s="278"/>
      <c r="H1340" s="278"/>
      <c r="I1340" s="278"/>
      <c r="J1340" s="278"/>
      <c r="K1340" s="278"/>
      <c r="L1340" s="278"/>
      <c r="M1340" s="278"/>
      <c r="N1340" s="278"/>
      <c r="O1340" s="278"/>
      <c r="P1340" s="278"/>
      <c r="Q1340" s="278"/>
      <c r="R1340" s="278"/>
      <c r="S1340" s="278"/>
      <c r="T1340" s="278"/>
      <c r="U1340" s="278"/>
      <c r="V1340" s="278"/>
    </row>
    <row r="1341" spans="1:22" x14ac:dyDescent="0.15">
      <c r="A1341" s="278"/>
      <c r="B1341" s="278"/>
      <c r="C1341" s="278"/>
      <c r="D1341" s="278"/>
      <c r="E1341" s="278"/>
      <c r="F1341" s="278"/>
      <c r="G1341" s="278"/>
      <c r="H1341" s="278"/>
      <c r="I1341" s="278"/>
      <c r="J1341" s="278"/>
      <c r="K1341" s="278"/>
      <c r="L1341" s="278"/>
      <c r="M1341" s="278"/>
      <c r="N1341" s="278"/>
      <c r="O1341" s="278"/>
      <c r="P1341" s="278"/>
      <c r="Q1341" s="278"/>
      <c r="R1341" s="278"/>
      <c r="S1341" s="278"/>
      <c r="T1341" s="278"/>
      <c r="U1341" s="278"/>
      <c r="V1341" s="278"/>
    </row>
    <row r="1342" spans="1:22" x14ac:dyDescent="0.15">
      <c r="A1342" s="278"/>
      <c r="B1342" s="278"/>
      <c r="C1342" s="278"/>
      <c r="D1342" s="278"/>
      <c r="E1342" s="278"/>
      <c r="F1342" s="278"/>
      <c r="G1342" s="278"/>
      <c r="H1342" s="278"/>
      <c r="I1342" s="278"/>
      <c r="J1342" s="278"/>
      <c r="K1342" s="278"/>
      <c r="L1342" s="278"/>
      <c r="M1342" s="278"/>
      <c r="N1342" s="278"/>
      <c r="O1342" s="278"/>
      <c r="P1342" s="278"/>
      <c r="Q1342" s="278"/>
      <c r="R1342" s="278"/>
      <c r="S1342" s="278"/>
      <c r="T1342" s="278"/>
      <c r="U1342" s="278"/>
      <c r="V1342" s="278"/>
    </row>
    <row r="1343" spans="1:22" x14ac:dyDescent="0.15">
      <c r="A1343" s="278"/>
      <c r="B1343" s="278"/>
      <c r="C1343" s="278"/>
      <c r="D1343" s="278"/>
      <c r="E1343" s="278"/>
      <c r="F1343" s="278"/>
      <c r="G1343" s="278"/>
      <c r="H1343" s="278"/>
      <c r="I1343" s="278"/>
      <c r="J1343" s="278"/>
      <c r="K1343" s="278"/>
      <c r="L1343" s="278"/>
      <c r="M1343" s="278"/>
      <c r="N1343" s="278"/>
      <c r="O1343" s="278"/>
      <c r="P1343" s="278"/>
      <c r="Q1343" s="278"/>
      <c r="R1343" s="278"/>
      <c r="S1343" s="278"/>
      <c r="T1343" s="278"/>
      <c r="U1343" s="278"/>
      <c r="V1343" s="278"/>
    </row>
    <row r="1344" spans="1:22" x14ac:dyDescent="0.15">
      <c r="A1344" s="278"/>
      <c r="B1344" s="278"/>
      <c r="C1344" s="278"/>
      <c r="D1344" s="278"/>
      <c r="E1344" s="278"/>
      <c r="F1344" s="278"/>
      <c r="G1344" s="278"/>
      <c r="H1344" s="278"/>
      <c r="I1344" s="278"/>
      <c r="J1344" s="278"/>
      <c r="K1344" s="278"/>
      <c r="L1344" s="278"/>
      <c r="M1344" s="278"/>
      <c r="N1344" s="278"/>
      <c r="O1344" s="278"/>
      <c r="P1344" s="278"/>
      <c r="Q1344" s="278"/>
      <c r="R1344" s="278"/>
      <c r="S1344" s="278"/>
      <c r="T1344" s="278"/>
      <c r="U1344" s="278"/>
      <c r="V1344" s="278"/>
    </row>
    <row r="1345" spans="1:22" x14ac:dyDescent="0.15">
      <c r="A1345" s="278"/>
      <c r="B1345" s="278"/>
      <c r="C1345" s="278"/>
      <c r="D1345" s="278"/>
      <c r="E1345" s="278"/>
      <c r="F1345" s="278"/>
      <c r="G1345" s="278"/>
      <c r="H1345" s="278"/>
      <c r="I1345" s="278"/>
      <c r="J1345" s="278"/>
      <c r="K1345" s="278"/>
      <c r="L1345" s="278"/>
      <c r="M1345" s="278"/>
      <c r="N1345" s="278"/>
      <c r="O1345" s="278"/>
      <c r="P1345" s="278"/>
      <c r="Q1345" s="278"/>
      <c r="R1345" s="278"/>
      <c r="S1345" s="278"/>
      <c r="T1345" s="278"/>
      <c r="U1345" s="278"/>
      <c r="V1345" s="278"/>
    </row>
    <row r="1346" spans="1:22" x14ac:dyDescent="0.15">
      <c r="A1346" s="278"/>
      <c r="B1346" s="278"/>
      <c r="C1346" s="278"/>
      <c r="D1346" s="278"/>
      <c r="E1346" s="278"/>
      <c r="F1346" s="278"/>
      <c r="G1346" s="278"/>
      <c r="H1346" s="278"/>
      <c r="I1346" s="278"/>
      <c r="J1346" s="278"/>
      <c r="K1346" s="278"/>
      <c r="L1346" s="278"/>
      <c r="M1346" s="278"/>
      <c r="N1346" s="278"/>
      <c r="O1346" s="278"/>
      <c r="P1346" s="278"/>
      <c r="Q1346" s="278"/>
      <c r="R1346" s="278"/>
      <c r="S1346" s="278"/>
      <c r="T1346" s="278"/>
      <c r="U1346" s="278"/>
      <c r="V1346" s="278"/>
    </row>
    <row r="1347" spans="1:22" x14ac:dyDescent="0.15">
      <c r="A1347" s="278"/>
      <c r="B1347" s="278"/>
      <c r="C1347" s="278"/>
      <c r="D1347" s="278"/>
      <c r="E1347" s="278"/>
      <c r="F1347" s="278"/>
      <c r="G1347" s="278"/>
      <c r="H1347" s="278"/>
      <c r="I1347" s="278"/>
      <c r="J1347" s="278"/>
      <c r="K1347" s="278"/>
      <c r="L1347" s="278"/>
      <c r="M1347" s="278"/>
      <c r="N1347" s="278"/>
      <c r="O1347" s="278"/>
      <c r="P1347" s="278"/>
      <c r="Q1347" s="278"/>
      <c r="R1347" s="278"/>
      <c r="S1347" s="278"/>
      <c r="T1347" s="278"/>
      <c r="U1347" s="278"/>
      <c r="V1347" s="278"/>
    </row>
    <row r="1348" spans="1:22" x14ac:dyDescent="0.15">
      <c r="A1348" s="278"/>
      <c r="B1348" s="278"/>
      <c r="C1348" s="278"/>
      <c r="D1348" s="278"/>
      <c r="E1348" s="278"/>
      <c r="F1348" s="278"/>
      <c r="G1348" s="278"/>
      <c r="H1348" s="278"/>
      <c r="I1348" s="278"/>
      <c r="J1348" s="278"/>
      <c r="K1348" s="278"/>
      <c r="L1348" s="278"/>
      <c r="M1348" s="278"/>
      <c r="N1348" s="278"/>
      <c r="O1348" s="278"/>
      <c r="P1348" s="278"/>
      <c r="Q1348" s="278"/>
      <c r="R1348" s="278"/>
      <c r="S1348" s="278"/>
      <c r="T1348" s="278"/>
      <c r="U1348" s="278"/>
      <c r="V1348" s="278"/>
    </row>
    <row r="1349" spans="1:22" x14ac:dyDescent="0.15">
      <c r="A1349" s="278"/>
      <c r="B1349" s="278"/>
      <c r="C1349" s="278"/>
      <c r="D1349" s="278"/>
      <c r="E1349" s="278"/>
      <c r="F1349" s="278"/>
      <c r="G1349" s="278"/>
      <c r="H1349" s="278"/>
      <c r="I1349" s="278"/>
      <c r="J1349" s="278"/>
      <c r="K1349" s="278"/>
      <c r="L1349" s="278"/>
      <c r="M1349" s="278"/>
      <c r="N1349" s="278"/>
      <c r="O1349" s="278"/>
      <c r="P1349" s="278"/>
      <c r="Q1349" s="278"/>
      <c r="R1349" s="278"/>
      <c r="S1349" s="278"/>
      <c r="T1349" s="278"/>
      <c r="U1349" s="278"/>
      <c r="V1349" s="278"/>
    </row>
    <row r="1350" spans="1:22" x14ac:dyDescent="0.15">
      <c r="A1350" s="278"/>
      <c r="B1350" s="278"/>
      <c r="C1350" s="278"/>
      <c r="D1350" s="278"/>
      <c r="E1350" s="278"/>
      <c r="F1350" s="278"/>
      <c r="G1350" s="278"/>
      <c r="H1350" s="278"/>
      <c r="I1350" s="278"/>
      <c r="J1350" s="278"/>
      <c r="K1350" s="278"/>
      <c r="L1350" s="278"/>
      <c r="M1350" s="278"/>
      <c r="N1350" s="278"/>
      <c r="O1350" s="278"/>
      <c r="P1350" s="278"/>
      <c r="Q1350" s="278"/>
      <c r="R1350" s="278"/>
      <c r="S1350" s="278"/>
      <c r="T1350" s="278"/>
      <c r="U1350" s="278"/>
      <c r="V1350" s="278"/>
    </row>
    <row r="1351" spans="1:22" x14ac:dyDescent="0.15">
      <c r="A1351" s="278"/>
      <c r="B1351" s="278"/>
      <c r="C1351" s="278"/>
      <c r="D1351" s="278"/>
      <c r="E1351" s="278"/>
      <c r="F1351" s="278"/>
      <c r="G1351" s="278"/>
      <c r="H1351" s="278"/>
      <c r="I1351" s="278"/>
      <c r="J1351" s="278"/>
      <c r="K1351" s="278"/>
      <c r="L1351" s="278"/>
      <c r="M1351" s="278"/>
      <c r="N1351" s="278"/>
      <c r="O1351" s="278"/>
      <c r="P1351" s="278"/>
      <c r="Q1351" s="278"/>
      <c r="R1351" s="278"/>
      <c r="S1351" s="278"/>
      <c r="T1351" s="278"/>
      <c r="U1351" s="278"/>
      <c r="V1351" s="278"/>
    </row>
    <row r="1352" spans="1:22" x14ac:dyDescent="0.15">
      <c r="A1352" s="278"/>
      <c r="B1352" s="278"/>
      <c r="C1352" s="278"/>
      <c r="D1352" s="278"/>
      <c r="E1352" s="278"/>
      <c r="F1352" s="278"/>
      <c r="G1352" s="278"/>
      <c r="H1352" s="278"/>
      <c r="I1352" s="278"/>
      <c r="J1352" s="278"/>
      <c r="K1352" s="278"/>
      <c r="L1352" s="278"/>
      <c r="M1352" s="278"/>
      <c r="N1352" s="278"/>
      <c r="O1352" s="278"/>
      <c r="P1352" s="278"/>
      <c r="Q1352" s="278"/>
      <c r="R1352" s="278"/>
      <c r="S1352" s="278"/>
      <c r="T1352" s="278"/>
      <c r="U1352" s="278"/>
      <c r="V1352" s="278"/>
    </row>
    <row r="1353" spans="1:22" x14ac:dyDescent="0.15">
      <c r="A1353" s="278"/>
      <c r="B1353" s="278"/>
      <c r="C1353" s="278"/>
      <c r="D1353" s="278"/>
      <c r="E1353" s="278"/>
      <c r="F1353" s="278"/>
      <c r="G1353" s="278"/>
      <c r="H1353" s="278"/>
      <c r="I1353" s="278"/>
      <c r="J1353" s="278"/>
      <c r="K1353" s="278"/>
      <c r="L1353" s="278"/>
      <c r="M1353" s="278"/>
      <c r="N1353" s="278"/>
      <c r="O1353" s="278"/>
      <c r="P1353" s="278"/>
      <c r="Q1353" s="278"/>
      <c r="R1353" s="278"/>
      <c r="S1353" s="278"/>
      <c r="T1353" s="278"/>
      <c r="U1353" s="278"/>
      <c r="V1353" s="278"/>
    </row>
    <row r="1354" spans="1:22" x14ac:dyDescent="0.15">
      <c r="A1354" s="278"/>
      <c r="B1354" s="278"/>
      <c r="C1354" s="278"/>
      <c r="D1354" s="278"/>
      <c r="E1354" s="278"/>
      <c r="F1354" s="278"/>
      <c r="G1354" s="278"/>
      <c r="H1354" s="278"/>
      <c r="I1354" s="278"/>
      <c r="J1354" s="278"/>
      <c r="K1354" s="278"/>
      <c r="L1354" s="278"/>
      <c r="M1354" s="278"/>
      <c r="N1354" s="278"/>
      <c r="O1354" s="278"/>
      <c r="P1354" s="278"/>
      <c r="Q1354" s="278"/>
      <c r="R1354" s="278"/>
      <c r="S1354" s="278"/>
      <c r="T1354" s="278"/>
      <c r="U1354" s="278"/>
      <c r="V1354" s="278"/>
    </row>
    <row r="1355" spans="1:22" x14ac:dyDescent="0.15">
      <c r="A1355" s="278"/>
      <c r="B1355" s="278"/>
      <c r="C1355" s="278"/>
      <c r="D1355" s="278"/>
      <c r="E1355" s="278"/>
      <c r="F1355" s="278"/>
      <c r="G1355" s="278"/>
      <c r="H1355" s="278"/>
      <c r="I1355" s="278"/>
      <c r="J1355" s="278"/>
      <c r="K1355" s="278"/>
      <c r="L1355" s="278"/>
      <c r="M1355" s="278"/>
      <c r="N1355" s="278"/>
      <c r="O1355" s="278"/>
      <c r="P1355" s="278"/>
      <c r="Q1355" s="278"/>
      <c r="R1355" s="278"/>
      <c r="S1355" s="278"/>
      <c r="T1355" s="278"/>
      <c r="U1355" s="278"/>
      <c r="V1355" s="278"/>
    </row>
    <row r="1356" spans="1:22" x14ac:dyDescent="0.15">
      <c r="A1356" s="278"/>
      <c r="B1356" s="278"/>
      <c r="C1356" s="278"/>
      <c r="D1356" s="278"/>
      <c r="E1356" s="278"/>
      <c r="F1356" s="278"/>
      <c r="G1356" s="278"/>
      <c r="H1356" s="278"/>
      <c r="I1356" s="278"/>
      <c r="J1356" s="278"/>
      <c r="K1356" s="278"/>
      <c r="L1356" s="278"/>
      <c r="M1356" s="278"/>
      <c r="N1356" s="278"/>
      <c r="O1356" s="278"/>
      <c r="P1356" s="278"/>
      <c r="Q1356" s="278"/>
      <c r="R1356" s="278"/>
      <c r="S1356" s="278"/>
      <c r="T1356" s="278"/>
      <c r="U1356" s="278"/>
      <c r="V1356" s="278"/>
    </row>
    <row r="1357" spans="1:22" x14ac:dyDescent="0.15">
      <c r="A1357" s="278"/>
      <c r="B1357" s="278"/>
      <c r="C1357" s="278"/>
      <c r="D1357" s="278"/>
      <c r="E1357" s="278"/>
      <c r="F1357" s="278"/>
      <c r="G1357" s="278"/>
      <c r="H1357" s="278"/>
      <c r="I1357" s="278"/>
      <c r="J1357" s="278"/>
      <c r="K1357" s="278"/>
      <c r="L1357" s="278"/>
      <c r="M1357" s="278"/>
      <c r="N1357" s="278"/>
      <c r="O1357" s="278"/>
      <c r="P1357" s="278"/>
      <c r="Q1357" s="278"/>
      <c r="R1357" s="278"/>
      <c r="S1357" s="278"/>
      <c r="T1357" s="278"/>
      <c r="U1357" s="278"/>
      <c r="V1357" s="278"/>
    </row>
    <row r="1358" spans="1:22" x14ac:dyDescent="0.15">
      <c r="A1358" s="278"/>
      <c r="B1358" s="278"/>
      <c r="C1358" s="278"/>
      <c r="D1358" s="278"/>
      <c r="E1358" s="278"/>
      <c r="F1358" s="278"/>
      <c r="G1358" s="278"/>
      <c r="H1358" s="278"/>
      <c r="I1358" s="278"/>
      <c r="J1358" s="278"/>
      <c r="K1358" s="278"/>
      <c r="L1358" s="278"/>
      <c r="M1358" s="278"/>
      <c r="N1358" s="278"/>
      <c r="O1358" s="278"/>
      <c r="P1358" s="278"/>
      <c r="Q1358" s="278"/>
      <c r="R1358" s="278"/>
      <c r="S1358" s="278"/>
      <c r="T1358" s="278"/>
      <c r="U1358" s="278"/>
      <c r="V1358" s="278"/>
    </row>
    <row r="1359" spans="1:22" x14ac:dyDescent="0.15">
      <c r="A1359" s="278"/>
      <c r="B1359" s="278"/>
      <c r="C1359" s="278"/>
      <c r="D1359" s="278"/>
      <c r="E1359" s="278"/>
      <c r="F1359" s="278"/>
      <c r="G1359" s="278"/>
      <c r="H1359" s="278"/>
      <c r="I1359" s="278"/>
      <c r="J1359" s="278"/>
      <c r="K1359" s="278"/>
      <c r="L1359" s="278"/>
      <c r="M1359" s="278"/>
      <c r="N1359" s="278"/>
      <c r="O1359" s="278"/>
      <c r="P1359" s="278"/>
      <c r="Q1359" s="278"/>
      <c r="R1359" s="278"/>
      <c r="S1359" s="278"/>
      <c r="T1359" s="278"/>
      <c r="U1359" s="278"/>
      <c r="V1359" s="278"/>
    </row>
    <row r="1360" spans="1:22" x14ac:dyDescent="0.15">
      <c r="A1360" s="278"/>
      <c r="B1360" s="278"/>
      <c r="C1360" s="278"/>
      <c r="D1360" s="278"/>
      <c r="E1360" s="278"/>
      <c r="F1360" s="278"/>
      <c r="G1360" s="278"/>
      <c r="H1360" s="278"/>
      <c r="I1360" s="278"/>
      <c r="J1360" s="278"/>
      <c r="K1360" s="278"/>
      <c r="L1360" s="278"/>
      <c r="M1360" s="278"/>
      <c r="N1360" s="278"/>
      <c r="O1360" s="278"/>
      <c r="P1360" s="278"/>
      <c r="Q1360" s="278"/>
      <c r="R1360" s="278"/>
      <c r="S1360" s="278"/>
      <c r="T1360" s="278"/>
      <c r="U1360" s="278"/>
      <c r="V1360" s="278"/>
    </row>
    <row r="1361" spans="1:22" x14ac:dyDescent="0.15">
      <c r="A1361" s="278"/>
      <c r="B1361" s="278"/>
      <c r="C1361" s="278"/>
      <c r="D1361" s="278"/>
      <c r="E1361" s="278"/>
      <c r="F1361" s="278"/>
      <c r="G1361" s="278"/>
      <c r="H1361" s="278"/>
      <c r="I1361" s="278"/>
      <c r="J1361" s="278"/>
      <c r="K1361" s="278"/>
      <c r="L1361" s="278"/>
      <c r="M1361" s="278"/>
      <c r="N1361" s="278"/>
      <c r="O1361" s="278"/>
      <c r="P1361" s="278"/>
      <c r="Q1361" s="278"/>
      <c r="R1361" s="278"/>
      <c r="S1361" s="278"/>
      <c r="T1361" s="278"/>
      <c r="U1361" s="278"/>
      <c r="V1361" s="278"/>
    </row>
    <row r="1362" spans="1:22" x14ac:dyDescent="0.15">
      <c r="A1362" s="278"/>
      <c r="B1362" s="278"/>
      <c r="C1362" s="278"/>
      <c r="D1362" s="278"/>
      <c r="E1362" s="278"/>
      <c r="F1362" s="278"/>
      <c r="G1362" s="278"/>
      <c r="H1362" s="278"/>
      <c r="I1362" s="278"/>
      <c r="J1362" s="278"/>
      <c r="K1362" s="278"/>
      <c r="L1362" s="278"/>
      <c r="M1362" s="278"/>
      <c r="N1362" s="278"/>
      <c r="O1362" s="278"/>
      <c r="P1362" s="278"/>
      <c r="Q1362" s="278"/>
      <c r="R1362" s="278"/>
      <c r="S1362" s="278"/>
      <c r="T1362" s="278"/>
      <c r="U1362" s="278"/>
      <c r="V1362" s="278"/>
    </row>
    <row r="1363" spans="1:22" x14ac:dyDescent="0.15">
      <c r="A1363" s="278"/>
      <c r="B1363" s="278"/>
      <c r="C1363" s="278"/>
      <c r="D1363" s="278"/>
      <c r="E1363" s="278"/>
      <c r="F1363" s="278"/>
      <c r="G1363" s="278"/>
      <c r="H1363" s="278"/>
      <c r="I1363" s="278"/>
      <c r="J1363" s="278"/>
      <c r="K1363" s="278"/>
      <c r="L1363" s="278"/>
      <c r="M1363" s="278"/>
      <c r="N1363" s="278"/>
      <c r="O1363" s="278"/>
      <c r="P1363" s="278"/>
      <c r="Q1363" s="278"/>
      <c r="R1363" s="278"/>
      <c r="S1363" s="278"/>
      <c r="T1363" s="278"/>
      <c r="U1363" s="278"/>
      <c r="V1363" s="278"/>
    </row>
    <row r="1364" spans="1:22" x14ac:dyDescent="0.15">
      <c r="A1364" s="278"/>
      <c r="B1364" s="278"/>
      <c r="C1364" s="278"/>
      <c r="D1364" s="278"/>
      <c r="E1364" s="278"/>
      <c r="F1364" s="278"/>
      <c r="G1364" s="278"/>
      <c r="H1364" s="278"/>
      <c r="I1364" s="278"/>
      <c r="J1364" s="278"/>
      <c r="K1364" s="278"/>
      <c r="L1364" s="278"/>
      <c r="M1364" s="278"/>
      <c r="N1364" s="278"/>
      <c r="O1364" s="278"/>
      <c r="P1364" s="278"/>
      <c r="Q1364" s="278"/>
      <c r="R1364" s="278"/>
      <c r="S1364" s="278"/>
      <c r="T1364" s="278"/>
      <c r="U1364" s="278"/>
      <c r="V1364" s="278"/>
    </row>
    <row r="1365" spans="1:22" x14ac:dyDescent="0.15">
      <c r="A1365" s="278"/>
      <c r="B1365" s="278"/>
      <c r="C1365" s="278"/>
      <c r="D1365" s="278"/>
      <c r="E1365" s="278"/>
      <c r="F1365" s="278"/>
      <c r="G1365" s="278"/>
      <c r="H1365" s="278"/>
      <c r="I1365" s="278"/>
      <c r="J1365" s="278"/>
      <c r="K1365" s="278"/>
      <c r="L1365" s="278"/>
      <c r="M1365" s="278"/>
      <c r="N1365" s="278"/>
      <c r="O1365" s="278"/>
      <c r="P1365" s="278"/>
      <c r="Q1365" s="278"/>
      <c r="R1365" s="278"/>
      <c r="S1365" s="278"/>
      <c r="T1365" s="278"/>
      <c r="U1365" s="278"/>
      <c r="V1365" s="278"/>
    </row>
    <row r="1366" spans="1:22" x14ac:dyDescent="0.15">
      <c r="A1366" s="278"/>
      <c r="B1366" s="278"/>
      <c r="C1366" s="278"/>
      <c r="D1366" s="278"/>
      <c r="E1366" s="278"/>
      <c r="F1366" s="278"/>
      <c r="G1366" s="278"/>
      <c r="H1366" s="278"/>
      <c r="I1366" s="278"/>
      <c r="J1366" s="278"/>
      <c r="K1366" s="278"/>
      <c r="L1366" s="278"/>
      <c r="M1366" s="278"/>
      <c r="N1366" s="278"/>
      <c r="O1366" s="278"/>
      <c r="P1366" s="278"/>
      <c r="Q1366" s="278"/>
      <c r="R1366" s="278"/>
      <c r="S1366" s="278"/>
      <c r="T1366" s="278"/>
      <c r="U1366" s="278"/>
      <c r="V1366" s="278"/>
    </row>
    <row r="1367" spans="1:22" x14ac:dyDescent="0.15">
      <c r="A1367" s="278"/>
      <c r="B1367" s="278"/>
      <c r="C1367" s="278"/>
      <c r="D1367" s="278"/>
      <c r="E1367" s="278"/>
      <c r="F1367" s="278"/>
      <c r="G1367" s="278"/>
      <c r="H1367" s="278"/>
      <c r="I1367" s="278"/>
      <c r="J1367" s="278"/>
      <c r="K1367" s="278"/>
      <c r="L1367" s="278"/>
      <c r="M1367" s="278"/>
      <c r="N1367" s="278"/>
      <c r="O1367" s="278"/>
      <c r="P1367" s="278"/>
      <c r="Q1367" s="278"/>
      <c r="R1367" s="278"/>
      <c r="S1367" s="278"/>
      <c r="T1367" s="278"/>
      <c r="U1367" s="278"/>
      <c r="V1367" s="278"/>
    </row>
    <row r="1368" spans="1:22" x14ac:dyDescent="0.15">
      <c r="A1368" s="278"/>
      <c r="B1368" s="278"/>
      <c r="C1368" s="278"/>
      <c r="D1368" s="278"/>
      <c r="E1368" s="278"/>
      <c r="F1368" s="278"/>
      <c r="G1368" s="278"/>
      <c r="H1368" s="278"/>
      <c r="I1368" s="278"/>
      <c r="J1368" s="278"/>
      <c r="K1368" s="278"/>
      <c r="L1368" s="278"/>
      <c r="M1368" s="278"/>
      <c r="N1368" s="278"/>
      <c r="O1368" s="278"/>
      <c r="P1368" s="278"/>
      <c r="Q1368" s="278"/>
      <c r="R1368" s="278"/>
      <c r="S1368" s="278"/>
      <c r="T1368" s="278"/>
      <c r="U1368" s="278"/>
      <c r="V1368" s="278"/>
    </row>
    <row r="1369" spans="1:22" x14ac:dyDescent="0.15">
      <c r="A1369" s="278"/>
      <c r="B1369" s="278"/>
      <c r="C1369" s="278"/>
      <c r="D1369" s="278"/>
      <c r="E1369" s="278"/>
      <c r="F1369" s="278"/>
      <c r="G1369" s="278"/>
      <c r="H1369" s="278"/>
      <c r="I1369" s="278"/>
      <c r="J1369" s="278"/>
      <c r="K1369" s="278"/>
      <c r="L1369" s="278"/>
      <c r="M1369" s="278"/>
      <c r="N1369" s="278"/>
      <c r="O1369" s="278"/>
      <c r="P1369" s="278"/>
      <c r="Q1369" s="278"/>
      <c r="R1369" s="278"/>
      <c r="S1369" s="278"/>
      <c r="T1369" s="278"/>
      <c r="U1369" s="278"/>
      <c r="V1369" s="278"/>
    </row>
    <row r="1370" spans="1:22" x14ac:dyDescent="0.15">
      <c r="A1370" s="278"/>
      <c r="B1370" s="278"/>
      <c r="C1370" s="278"/>
      <c r="D1370" s="278"/>
      <c r="E1370" s="278"/>
      <c r="F1370" s="278"/>
      <c r="G1370" s="278"/>
      <c r="H1370" s="278"/>
      <c r="I1370" s="278"/>
      <c r="J1370" s="278"/>
      <c r="K1370" s="278"/>
      <c r="L1370" s="278"/>
      <c r="M1370" s="278"/>
      <c r="N1370" s="278"/>
      <c r="O1370" s="278"/>
      <c r="P1370" s="278"/>
      <c r="Q1370" s="278"/>
      <c r="R1370" s="278"/>
      <c r="S1370" s="278"/>
      <c r="T1370" s="278"/>
      <c r="U1370" s="278"/>
      <c r="V1370" s="278"/>
    </row>
    <row r="1371" spans="1:22" x14ac:dyDescent="0.15">
      <c r="A1371" s="278"/>
      <c r="B1371" s="278"/>
      <c r="C1371" s="278"/>
      <c r="D1371" s="278"/>
      <c r="E1371" s="278"/>
      <c r="F1371" s="278"/>
      <c r="G1371" s="278"/>
      <c r="H1371" s="278"/>
      <c r="I1371" s="278"/>
      <c r="J1371" s="278"/>
      <c r="K1371" s="278"/>
      <c r="L1371" s="278"/>
      <c r="M1371" s="278"/>
      <c r="N1371" s="278"/>
      <c r="O1371" s="278"/>
      <c r="P1371" s="278"/>
      <c r="Q1371" s="278"/>
      <c r="R1371" s="278"/>
      <c r="S1371" s="278"/>
      <c r="T1371" s="278"/>
      <c r="U1371" s="278"/>
      <c r="V1371" s="278"/>
    </row>
    <row r="1372" spans="1:22" x14ac:dyDescent="0.15">
      <c r="A1372" s="278"/>
      <c r="B1372" s="278"/>
      <c r="C1372" s="278"/>
      <c r="D1372" s="278"/>
      <c r="E1372" s="278"/>
      <c r="F1372" s="278"/>
      <c r="G1372" s="278"/>
      <c r="H1372" s="278"/>
      <c r="I1372" s="278"/>
      <c r="J1372" s="278"/>
      <c r="K1372" s="278"/>
      <c r="L1372" s="278"/>
      <c r="M1372" s="278"/>
      <c r="N1372" s="278"/>
      <c r="O1372" s="278"/>
      <c r="P1372" s="278"/>
      <c r="Q1372" s="278"/>
      <c r="R1372" s="278"/>
      <c r="S1372" s="278"/>
      <c r="T1372" s="278"/>
      <c r="U1372" s="278"/>
      <c r="V1372" s="278"/>
    </row>
    <row r="1373" spans="1:22" x14ac:dyDescent="0.15">
      <c r="A1373" s="278"/>
      <c r="B1373" s="278"/>
      <c r="C1373" s="278"/>
      <c r="D1373" s="278"/>
      <c r="E1373" s="278"/>
      <c r="F1373" s="278"/>
      <c r="G1373" s="278"/>
      <c r="H1373" s="278"/>
      <c r="I1373" s="278"/>
      <c r="J1373" s="278"/>
      <c r="K1373" s="278"/>
      <c r="L1373" s="278"/>
      <c r="M1373" s="278"/>
      <c r="N1373" s="278"/>
      <c r="O1373" s="278"/>
      <c r="P1373" s="278"/>
      <c r="Q1373" s="278"/>
      <c r="R1373" s="278"/>
      <c r="S1373" s="278"/>
      <c r="T1373" s="278"/>
      <c r="U1373" s="278"/>
      <c r="V1373" s="278"/>
    </row>
    <row r="1374" spans="1:22" x14ac:dyDescent="0.15">
      <c r="A1374" s="278"/>
      <c r="B1374" s="278"/>
      <c r="C1374" s="278"/>
      <c r="D1374" s="278"/>
      <c r="E1374" s="278"/>
      <c r="F1374" s="278"/>
      <c r="G1374" s="278"/>
      <c r="H1374" s="278"/>
      <c r="I1374" s="278"/>
      <c r="J1374" s="278"/>
      <c r="K1374" s="278"/>
      <c r="L1374" s="278"/>
      <c r="M1374" s="278"/>
      <c r="N1374" s="278"/>
      <c r="O1374" s="278"/>
      <c r="P1374" s="278"/>
      <c r="Q1374" s="278"/>
      <c r="R1374" s="278"/>
      <c r="S1374" s="278"/>
      <c r="T1374" s="278"/>
      <c r="U1374" s="278"/>
      <c r="V1374" s="278"/>
    </row>
    <row r="1375" spans="1:22" x14ac:dyDescent="0.15">
      <c r="A1375" s="278"/>
      <c r="B1375" s="278"/>
      <c r="C1375" s="278"/>
      <c r="D1375" s="278"/>
      <c r="E1375" s="278"/>
      <c r="F1375" s="278"/>
      <c r="G1375" s="278"/>
      <c r="H1375" s="278"/>
      <c r="I1375" s="278"/>
      <c r="J1375" s="278"/>
      <c r="K1375" s="278"/>
      <c r="L1375" s="278"/>
      <c r="M1375" s="278"/>
      <c r="N1375" s="278"/>
      <c r="O1375" s="278"/>
      <c r="P1375" s="278"/>
      <c r="Q1375" s="278"/>
      <c r="R1375" s="278"/>
      <c r="S1375" s="278"/>
      <c r="T1375" s="278"/>
      <c r="U1375" s="278"/>
      <c r="V1375" s="278"/>
    </row>
    <row r="1376" spans="1:22" x14ac:dyDescent="0.15">
      <c r="A1376" s="278"/>
      <c r="B1376" s="278"/>
      <c r="C1376" s="278"/>
      <c r="D1376" s="278"/>
      <c r="E1376" s="278"/>
      <c r="F1376" s="278"/>
      <c r="G1376" s="278"/>
      <c r="H1376" s="278"/>
      <c r="I1376" s="278"/>
      <c r="J1376" s="278"/>
      <c r="K1376" s="278"/>
      <c r="L1376" s="278"/>
      <c r="M1376" s="278"/>
      <c r="N1376" s="278"/>
      <c r="O1376" s="278"/>
      <c r="P1376" s="278"/>
      <c r="Q1376" s="278"/>
      <c r="R1376" s="278"/>
      <c r="S1376" s="278"/>
      <c r="T1376" s="278"/>
      <c r="U1376" s="278"/>
      <c r="V1376" s="278"/>
    </row>
    <row r="1377" spans="1:22" x14ac:dyDescent="0.15">
      <c r="A1377" s="278"/>
      <c r="B1377" s="278"/>
      <c r="C1377" s="278"/>
      <c r="D1377" s="278"/>
      <c r="E1377" s="278"/>
      <c r="F1377" s="278"/>
      <c r="G1377" s="278"/>
      <c r="H1377" s="278"/>
      <c r="I1377" s="278"/>
      <c r="J1377" s="278"/>
      <c r="K1377" s="278"/>
      <c r="L1377" s="278"/>
      <c r="M1377" s="278"/>
      <c r="N1377" s="278"/>
      <c r="O1377" s="278"/>
      <c r="P1377" s="278"/>
      <c r="Q1377" s="278"/>
      <c r="R1377" s="278"/>
      <c r="S1377" s="278"/>
      <c r="T1377" s="278"/>
      <c r="U1377" s="278"/>
      <c r="V1377" s="278"/>
    </row>
    <row r="1378" spans="1:22" x14ac:dyDescent="0.15">
      <c r="A1378" s="278"/>
      <c r="B1378" s="278"/>
      <c r="C1378" s="278"/>
      <c r="D1378" s="278"/>
      <c r="E1378" s="278"/>
      <c r="F1378" s="278"/>
      <c r="G1378" s="278"/>
      <c r="H1378" s="278"/>
      <c r="I1378" s="278"/>
      <c r="J1378" s="278"/>
      <c r="K1378" s="278"/>
      <c r="L1378" s="278"/>
      <c r="M1378" s="278"/>
      <c r="N1378" s="278"/>
      <c r="O1378" s="278"/>
      <c r="P1378" s="278"/>
      <c r="Q1378" s="278"/>
      <c r="R1378" s="278"/>
      <c r="S1378" s="278"/>
      <c r="T1378" s="278"/>
      <c r="U1378" s="278"/>
      <c r="V1378" s="278"/>
    </row>
    <row r="1379" spans="1:22" x14ac:dyDescent="0.15">
      <c r="A1379" s="278"/>
      <c r="B1379" s="278"/>
      <c r="C1379" s="278"/>
      <c r="D1379" s="278"/>
      <c r="E1379" s="278"/>
      <c r="F1379" s="278"/>
      <c r="G1379" s="278"/>
      <c r="H1379" s="278"/>
      <c r="I1379" s="278"/>
      <c r="J1379" s="278"/>
      <c r="K1379" s="278"/>
      <c r="L1379" s="278"/>
      <c r="M1379" s="278"/>
      <c r="N1379" s="278"/>
      <c r="O1379" s="278"/>
      <c r="P1379" s="278"/>
      <c r="Q1379" s="278"/>
      <c r="R1379" s="278"/>
      <c r="S1379" s="278"/>
      <c r="T1379" s="278"/>
      <c r="U1379" s="278"/>
      <c r="V1379" s="278"/>
    </row>
    <row r="1380" spans="1:22" x14ac:dyDescent="0.15">
      <c r="A1380" s="278"/>
      <c r="B1380" s="278"/>
      <c r="C1380" s="278"/>
      <c r="D1380" s="278"/>
      <c r="E1380" s="278"/>
      <c r="F1380" s="278"/>
      <c r="G1380" s="278"/>
      <c r="H1380" s="278"/>
      <c r="I1380" s="278"/>
      <c r="J1380" s="278"/>
      <c r="K1380" s="278"/>
      <c r="L1380" s="278"/>
      <c r="M1380" s="278"/>
      <c r="N1380" s="278"/>
      <c r="O1380" s="278"/>
      <c r="P1380" s="278"/>
      <c r="Q1380" s="278"/>
      <c r="R1380" s="278"/>
      <c r="S1380" s="278"/>
      <c r="T1380" s="278"/>
      <c r="U1380" s="278"/>
      <c r="V1380" s="278"/>
    </row>
    <row r="1381" spans="1:22" x14ac:dyDescent="0.15">
      <c r="A1381" s="278"/>
      <c r="B1381" s="278"/>
      <c r="C1381" s="278"/>
      <c r="D1381" s="278"/>
      <c r="E1381" s="278"/>
      <c r="F1381" s="278"/>
      <c r="G1381" s="278"/>
      <c r="H1381" s="278"/>
      <c r="I1381" s="278"/>
      <c r="J1381" s="278"/>
      <c r="K1381" s="278"/>
      <c r="L1381" s="278"/>
      <c r="M1381" s="278"/>
      <c r="N1381" s="278"/>
      <c r="O1381" s="278"/>
      <c r="P1381" s="278"/>
      <c r="Q1381" s="278"/>
      <c r="R1381" s="278"/>
      <c r="S1381" s="278"/>
      <c r="T1381" s="278"/>
      <c r="U1381" s="278"/>
      <c r="V1381" s="278"/>
    </row>
    <row r="1382" spans="1:22" x14ac:dyDescent="0.15">
      <c r="A1382" s="278"/>
      <c r="B1382" s="278"/>
      <c r="C1382" s="278"/>
      <c r="D1382" s="278"/>
      <c r="E1382" s="278"/>
      <c r="F1382" s="278"/>
      <c r="G1382" s="278"/>
      <c r="H1382" s="278"/>
      <c r="I1382" s="278"/>
      <c r="J1382" s="278"/>
      <c r="K1382" s="278"/>
      <c r="L1382" s="278"/>
      <c r="M1382" s="278"/>
      <c r="N1382" s="278"/>
      <c r="O1382" s="278"/>
      <c r="P1382" s="278"/>
      <c r="Q1382" s="278"/>
      <c r="R1382" s="278"/>
      <c r="S1382" s="278"/>
      <c r="T1382" s="278"/>
      <c r="U1382" s="278"/>
      <c r="V1382" s="278"/>
    </row>
    <row r="1383" spans="1:22" x14ac:dyDescent="0.15">
      <c r="A1383" s="278"/>
      <c r="B1383" s="278"/>
      <c r="C1383" s="278"/>
      <c r="D1383" s="278"/>
      <c r="E1383" s="278"/>
      <c r="F1383" s="278"/>
      <c r="G1383" s="278"/>
      <c r="H1383" s="278"/>
      <c r="I1383" s="278"/>
      <c r="J1383" s="278"/>
      <c r="K1383" s="278"/>
      <c r="L1383" s="278"/>
      <c r="M1383" s="278"/>
      <c r="N1383" s="278"/>
      <c r="O1383" s="278"/>
      <c r="P1383" s="278"/>
      <c r="Q1383" s="278"/>
      <c r="R1383" s="278"/>
      <c r="S1383" s="278"/>
      <c r="T1383" s="278"/>
      <c r="U1383" s="278"/>
      <c r="V1383" s="278"/>
    </row>
    <row r="1384" spans="1:22" x14ac:dyDescent="0.15">
      <c r="A1384" s="278"/>
      <c r="B1384" s="278"/>
      <c r="C1384" s="278"/>
      <c r="D1384" s="278"/>
      <c r="E1384" s="278"/>
      <c r="F1384" s="278"/>
      <c r="G1384" s="278"/>
      <c r="H1384" s="278"/>
      <c r="I1384" s="278"/>
      <c r="J1384" s="278"/>
      <c r="K1384" s="278"/>
      <c r="L1384" s="278"/>
      <c r="M1384" s="278"/>
      <c r="N1384" s="278"/>
      <c r="O1384" s="278"/>
      <c r="P1384" s="278"/>
      <c r="Q1384" s="278"/>
      <c r="R1384" s="278"/>
      <c r="S1384" s="278"/>
      <c r="T1384" s="278"/>
      <c r="U1384" s="278"/>
      <c r="V1384" s="278"/>
    </row>
    <row r="1385" spans="1:22" x14ac:dyDescent="0.15">
      <c r="A1385" s="278"/>
      <c r="B1385" s="278"/>
      <c r="C1385" s="278"/>
      <c r="D1385" s="278"/>
      <c r="E1385" s="278"/>
      <c r="F1385" s="278"/>
      <c r="G1385" s="278"/>
      <c r="H1385" s="278"/>
      <c r="I1385" s="278"/>
      <c r="J1385" s="278"/>
      <c r="K1385" s="278"/>
      <c r="L1385" s="278"/>
      <c r="M1385" s="278"/>
      <c r="N1385" s="278"/>
      <c r="O1385" s="278"/>
      <c r="P1385" s="278"/>
      <c r="Q1385" s="278"/>
      <c r="R1385" s="278"/>
      <c r="S1385" s="278"/>
      <c r="T1385" s="278"/>
      <c r="U1385" s="278"/>
      <c r="V1385" s="278"/>
    </row>
    <row r="1386" spans="1:22" x14ac:dyDescent="0.15">
      <c r="A1386" s="278"/>
      <c r="B1386" s="278"/>
      <c r="C1386" s="278"/>
      <c r="D1386" s="278"/>
      <c r="E1386" s="278"/>
      <c r="F1386" s="278"/>
      <c r="G1386" s="278"/>
      <c r="H1386" s="278"/>
      <c r="I1386" s="278"/>
      <c r="J1386" s="278"/>
      <c r="K1386" s="278"/>
      <c r="L1386" s="278"/>
      <c r="M1386" s="278"/>
      <c r="N1386" s="278"/>
      <c r="O1386" s="278"/>
      <c r="P1386" s="278"/>
      <c r="Q1386" s="278"/>
      <c r="R1386" s="278"/>
      <c r="S1386" s="278"/>
      <c r="T1386" s="278"/>
      <c r="U1386" s="278"/>
      <c r="V1386" s="278"/>
    </row>
    <row r="1387" spans="1:22" x14ac:dyDescent="0.15">
      <c r="A1387" s="278"/>
      <c r="B1387" s="278"/>
      <c r="C1387" s="278"/>
      <c r="D1387" s="278"/>
      <c r="E1387" s="278"/>
      <c r="F1387" s="278"/>
      <c r="G1387" s="278"/>
      <c r="H1387" s="278"/>
      <c r="I1387" s="278"/>
      <c r="J1387" s="278"/>
      <c r="K1387" s="278"/>
      <c r="L1387" s="278"/>
      <c r="M1387" s="278"/>
      <c r="N1387" s="278"/>
      <c r="O1387" s="278"/>
      <c r="P1387" s="278"/>
      <c r="Q1387" s="278"/>
      <c r="R1387" s="278"/>
      <c r="S1387" s="278"/>
      <c r="T1387" s="278"/>
      <c r="U1387" s="278"/>
      <c r="V1387" s="278"/>
    </row>
    <row r="1388" spans="1:22" x14ac:dyDescent="0.15">
      <c r="A1388" s="278"/>
      <c r="B1388" s="278"/>
      <c r="C1388" s="278"/>
      <c r="D1388" s="278"/>
      <c r="E1388" s="278"/>
      <c r="F1388" s="278"/>
      <c r="G1388" s="278"/>
      <c r="H1388" s="278"/>
      <c r="I1388" s="278"/>
      <c r="J1388" s="278"/>
      <c r="K1388" s="278"/>
      <c r="L1388" s="278"/>
      <c r="M1388" s="278"/>
      <c r="N1388" s="278"/>
      <c r="O1388" s="278"/>
      <c r="P1388" s="278"/>
      <c r="Q1388" s="278"/>
      <c r="R1388" s="278"/>
      <c r="S1388" s="278"/>
      <c r="T1388" s="278"/>
      <c r="U1388" s="278"/>
      <c r="V1388" s="278"/>
    </row>
    <row r="1389" spans="1:22" x14ac:dyDescent="0.15">
      <c r="A1389" s="278"/>
      <c r="B1389" s="278"/>
      <c r="C1389" s="278"/>
      <c r="D1389" s="278"/>
      <c r="E1389" s="278"/>
      <c r="F1389" s="278"/>
      <c r="G1389" s="278"/>
      <c r="H1389" s="278"/>
      <c r="I1389" s="278"/>
      <c r="J1389" s="278"/>
      <c r="K1389" s="278"/>
      <c r="L1389" s="278"/>
      <c r="M1389" s="278"/>
      <c r="N1389" s="278"/>
      <c r="O1389" s="278"/>
      <c r="P1389" s="278"/>
      <c r="Q1389" s="278"/>
      <c r="R1389" s="278"/>
      <c r="S1389" s="278"/>
      <c r="T1389" s="278"/>
      <c r="U1389" s="278"/>
      <c r="V1389" s="278"/>
    </row>
    <row r="1390" spans="1:22" x14ac:dyDescent="0.15">
      <c r="A1390" s="278"/>
      <c r="B1390" s="278"/>
      <c r="C1390" s="278"/>
      <c r="D1390" s="278"/>
      <c r="E1390" s="278"/>
      <c r="F1390" s="278"/>
      <c r="G1390" s="278"/>
      <c r="H1390" s="278"/>
      <c r="I1390" s="278"/>
      <c r="J1390" s="278"/>
      <c r="K1390" s="278"/>
      <c r="L1390" s="278"/>
      <c r="M1390" s="278"/>
      <c r="N1390" s="278"/>
      <c r="O1390" s="278"/>
      <c r="P1390" s="278"/>
      <c r="Q1390" s="278"/>
      <c r="R1390" s="278"/>
      <c r="S1390" s="278"/>
      <c r="T1390" s="278"/>
      <c r="U1390" s="278"/>
      <c r="V1390" s="278"/>
    </row>
    <row r="1391" spans="1:22" x14ac:dyDescent="0.15">
      <c r="A1391" s="278"/>
      <c r="B1391" s="278"/>
      <c r="C1391" s="278"/>
      <c r="D1391" s="278"/>
      <c r="E1391" s="278"/>
      <c r="F1391" s="278"/>
      <c r="G1391" s="278"/>
      <c r="H1391" s="278"/>
      <c r="I1391" s="278"/>
      <c r="J1391" s="278"/>
      <c r="K1391" s="278"/>
      <c r="L1391" s="278"/>
      <c r="M1391" s="278"/>
      <c r="N1391" s="278"/>
      <c r="O1391" s="278"/>
      <c r="P1391" s="278"/>
      <c r="Q1391" s="278"/>
      <c r="R1391" s="278"/>
      <c r="S1391" s="278"/>
      <c r="T1391" s="278"/>
      <c r="U1391" s="278"/>
      <c r="V1391" s="278"/>
    </row>
    <row r="1392" spans="1:22" x14ac:dyDescent="0.15">
      <c r="A1392" s="278"/>
      <c r="B1392" s="278"/>
      <c r="C1392" s="278"/>
      <c r="D1392" s="278"/>
      <c r="E1392" s="278"/>
      <c r="F1392" s="278"/>
      <c r="G1392" s="278"/>
      <c r="H1392" s="278"/>
      <c r="I1392" s="278"/>
      <c r="J1392" s="278"/>
      <c r="K1392" s="278"/>
      <c r="L1392" s="278"/>
      <c r="M1392" s="278"/>
      <c r="N1392" s="278"/>
      <c r="O1392" s="278"/>
      <c r="P1392" s="278"/>
      <c r="Q1392" s="278"/>
      <c r="R1392" s="278"/>
      <c r="S1392" s="278"/>
      <c r="T1392" s="278"/>
      <c r="U1392" s="278"/>
      <c r="V1392" s="278"/>
    </row>
    <row r="1393" spans="1:22" x14ac:dyDescent="0.15">
      <c r="A1393" s="278"/>
      <c r="B1393" s="278"/>
      <c r="C1393" s="278"/>
      <c r="D1393" s="278"/>
      <c r="E1393" s="278"/>
      <c r="F1393" s="278"/>
      <c r="G1393" s="278"/>
      <c r="H1393" s="278"/>
      <c r="I1393" s="278"/>
      <c r="J1393" s="278"/>
      <c r="K1393" s="278"/>
      <c r="L1393" s="278"/>
      <c r="M1393" s="278"/>
      <c r="N1393" s="278"/>
      <c r="O1393" s="278"/>
      <c r="P1393" s="278"/>
      <c r="Q1393" s="278"/>
      <c r="R1393" s="278"/>
      <c r="S1393" s="278"/>
      <c r="T1393" s="278"/>
      <c r="U1393" s="278"/>
      <c r="V1393" s="278"/>
    </row>
    <row r="1394" spans="1:22" x14ac:dyDescent="0.15">
      <c r="A1394" s="278"/>
      <c r="B1394" s="278"/>
      <c r="C1394" s="278"/>
      <c r="D1394" s="278"/>
      <c r="E1394" s="278"/>
      <c r="F1394" s="278"/>
      <c r="G1394" s="278"/>
      <c r="H1394" s="278"/>
      <c r="I1394" s="278"/>
      <c r="J1394" s="278"/>
      <c r="K1394" s="278"/>
      <c r="L1394" s="278"/>
      <c r="M1394" s="278"/>
      <c r="N1394" s="278"/>
      <c r="O1394" s="278"/>
      <c r="P1394" s="278"/>
      <c r="Q1394" s="278"/>
      <c r="R1394" s="278"/>
      <c r="S1394" s="278"/>
      <c r="T1394" s="278"/>
      <c r="U1394" s="278"/>
      <c r="V1394" s="278"/>
    </row>
    <row r="1395" spans="1:22" x14ac:dyDescent="0.15">
      <c r="A1395" s="278"/>
      <c r="B1395" s="278"/>
      <c r="C1395" s="278"/>
      <c r="D1395" s="278"/>
      <c r="E1395" s="278"/>
      <c r="F1395" s="278"/>
      <c r="G1395" s="278"/>
      <c r="H1395" s="278"/>
      <c r="I1395" s="278"/>
      <c r="J1395" s="278"/>
      <c r="K1395" s="278"/>
      <c r="L1395" s="278"/>
      <c r="M1395" s="278"/>
      <c r="N1395" s="278"/>
      <c r="O1395" s="278"/>
      <c r="P1395" s="278"/>
      <c r="Q1395" s="278"/>
      <c r="R1395" s="278"/>
      <c r="S1395" s="278"/>
      <c r="T1395" s="278"/>
      <c r="U1395" s="278"/>
      <c r="V1395" s="278"/>
    </row>
    <row r="1396" spans="1:22" x14ac:dyDescent="0.15">
      <c r="A1396" s="278"/>
      <c r="B1396" s="278"/>
      <c r="C1396" s="278"/>
      <c r="D1396" s="278"/>
      <c r="E1396" s="278"/>
      <c r="F1396" s="278"/>
      <c r="G1396" s="278"/>
      <c r="H1396" s="278"/>
      <c r="I1396" s="278"/>
      <c r="J1396" s="278"/>
      <c r="K1396" s="278"/>
      <c r="L1396" s="278"/>
      <c r="M1396" s="278"/>
      <c r="N1396" s="278"/>
      <c r="O1396" s="278"/>
      <c r="P1396" s="278"/>
      <c r="Q1396" s="278"/>
      <c r="R1396" s="278"/>
      <c r="S1396" s="278"/>
      <c r="T1396" s="278"/>
      <c r="U1396" s="278"/>
      <c r="V1396" s="278"/>
    </row>
    <row r="1397" spans="1:22" x14ac:dyDescent="0.15">
      <c r="A1397" s="278"/>
      <c r="B1397" s="278"/>
      <c r="C1397" s="278"/>
      <c r="D1397" s="278"/>
      <c r="E1397" s="278"/>
      <c r="F1397" s="278"/>
      <c r="G1397" s="278"/>
      <c r="H1397" s="278"/>
      <c r="I1397" s="278"/>
      <c r="J1397" s="278"/>
      <c r="K1397" s="278"/>
      <c r="L1397" s="278"/>
      <c r="M1397" s="278"/>
      <c r="N1397" s="278"/>
      <c r="O1397" s="278"/>
      <c r="P1397" s="278"/>
      <c r="Q1397" s="278"/>
      <c r="R1397" s="278"/>
      <c r="S1397" s="278"/>
      <c r="T1397" s="278"/>
      <c r="U1397" s="278"/>
      <c r="V1397" s="278"/>
    </row>
    <row r="1398" spans="1:22" x14ac:dyDescent="0.15">
      <c r="A1398" s="278"/>
      <c r="B1398" s="278"/>
      <c r="C1398" s="278"/>
      <c r="D1398" s="278"/>
      <c r="E1398" s="278"/>
      <c r="F1398" s="278"/>
      <c r="G1398" s="278"/>
      <c r="H1398" s="278"/>
      <c r="I1398" s="278"/>
      <c r="J1398" s="278"/>
      <c r="K1398" s="278"/>
      <c r="L1398" s="278"/>
      <c r="M1398" s="278"/>
      <c r="N1398" s="278"/>
      <c r="O1398" s="278"/>
      <c r="P1398" s="278"/>
      <c r="Q1398" s="278"/>
      <c r="R1398" s="278"/>
      <c r="S1398" s="278"/>
      <c r="T1398" s="278"/>
      <c r="U1398" s="278"/>
      <c r="V1398" s="278"/>
    </row>
    <row r="1399" spans="1:22" x14ac:dyDescent="0.15">
      <c r="A1399" s="278"/>
      <c r="B1399" s="278"/>
      <c r="C1399" s="278"/>
      <c r="D1399" s="278"/>
      <c r="E1399" s="278"/>
      <c r="F1399" s="278"/>
      <c r="G1399" s="278"/>
      <c r="H1399" s="278"/>
      <c r="I1399" s="278"/>
      <c r="J1399" s="278"/>
      <c r="K1399" s="278"/>
      <c r="L1399" s="278"/>
      <c r="M1399" s="278"/>
      <c r="N1399" s="278"/>
      <c r="O1399" s="278"/>
      <c r="P1399" s="278"/>
      <c r="Q1399" s="278"/>
      <c r="R1399" s="278"/>
      <c r="S1399" s="278"/>
      <c r="T1399" s="278"/>
      <c r="U1399" s="278"/>
      <c r="V1399" s="278"/>
    </row>
    <row r="1400" spans="1:22" x14ac:dyDescent="0.15">
      <c r="A1400" s="278"/>
      <c r="B1400" s="278"/>
      <c r="C1400" s="278"/>
      <c r="D1400" s="278"/>
      <c r="E1400" s="278"/>
      <c r="F1400" s="278"/>
      <c r="G1400" s="278"/>
      <c r="H1400" s="278"/>
      <c r="I1400" s="278"/>
      <c r="J1400" s="278"/>
      <c r="K1400" s="278"/>
      <c r="L1400" s="278"/>
      <c r="M1400" s="278"/>
      <c r="N1400" s="278"/>
      <c r="O1400" s="278"/>
      <c r="P1400" s="278"/>
      <c r="Q1400" s="278"/>
      <c r="R1400" s="278"/>
      <c r="S1400" s="278"/>
      <c r="T1400" s="278"/>
      <c r="U1400" s="278"/>
      <c r="V1400" s="278"/>
    </row>
    <row r="1401" spans="1:22" x14ac:dyDescent="0.15">
      <c r="A1401" s="278"/>
      <c r="B1401" s="278"/>
      <c r="C1401" s="278"/>
      <c r="D1401" s="278"/>
      <c r="E1401" s="278"/>
      <c r="F1401" s="278"/>
      <c r="G1401" s="278"/>
      <c r="H1401" s="278"/>
      <c r="I1401" s="278"/>
      <c r="J1401" s="278"/>
      <c r="K1401" s="278"/>
      <c r="L1401" s="278"/>
      <c r="M1401" s="278"/>
      <c r="N1401" s="278"/>
      <c r="O1401" s="278"/>
      <c r="P1401" s="278"/>
      <c r="Q1401" s="278"/>
      <c r="R1401" s="278"/>
      <c r="S1401" s="278"/>
      <c r="T1401" s="278"/>
      <c r="U1401" s="278"/>
      <c r="V1401" s="278"/>
    </row>
    <row r="1402" spans="1:22" x14ac:dyDescent="0.15">
      <c r="A1402" s="278"/>
      <c r="B1402" s="278"/>
      <c r="C1402" s="278"/>
      <c r="D1402" s="278"/>
      <c r="E1402" s="278"/>
      <c r="F1402" s="278"/>
      <c r="G1402" s="278"/>
      <c r="H1402" s="278"/>
      <c r="I1402" s="278"/>
      <c r="J1402" s="278"/>
      <c r="K1402" s="278"/>
      <c r="L1402" s="278"/>
      <c r="M1402" s="278"/>
      <c r="N1402" s="278"/>
      <c r="O1402" s="278"/>
      <c r="P1402" s="278"/>
      <c r="Q1402" s="278"/>
      <c r="R1402" s="278"/>
      <c r="S1402" s="278"/>
      <c r="T1402" s="278"/>
      <c r="U1402" s="278"/>
      <c r="V1402" s="278"/>
    </row>
    <row r="1403" spans="1:22" x14ac:dyDescent="0.15">
      <c r="A1403" s="278"/>
      <c r="B1403" s="278"/>
      <c r="C1403" s="278"/>
      <c r="D1403" s="278"/>
      <c r="E1403" s="278"/>
      <c r="F1403" s="278"/>
      <c r="G1403" s="278"/>
      <c r="H1403" s="278"/>
      <c r="I1403" s="278"/>
      <c r="J1403" s="278"/>
      <c r="K1403" s="278"/>
      <c r="L1403" s="278"/>
      <c r="M1403" s="278"/>
      <c r="N1403" s="278"/>
      <c r="O1403" s="278"/>
      <c r="P1403" s="278"/>
      <c r="Q1403" s="278"/>
      <c r="R1403" s="278"/>
      <c r="S1403" s="278"/>
      <c r="T1403" s="278"/>
      <c r="U1403" s="278"/>
      <c r="V1403" s="278"/>
    </row>
    <row r="1404" spans="1:22" x14ac:dyDescent="0.15">
      <c r="A1404" s="278"/>
      <c r="B1404" s="278"/>
      <c r="C1404" s="278"/>
      <c r="D1404" s="278"/>
      <c r="E1404" s="278"/>
      <c r="F1404" s="278"/>
      <c r="G1404" s="278"/>
      <c r="H1404" s="278"/>
      <c r="I1404" s="278"/>
      <c r="J1404" s="278"/>
      <c r="K1404" s="278"/>
      <c r="L1404" s="278"/>
      <c r="M1404" s="278"/>
      <c r="N1404" s="278"/>
      <c r="O1404" s="278"/>
      <c r="P1404" s="278"/>
      <c r="Q1404" s="278"/>
      <c r="R1404" s="278"/>
      <c r="S1404" s="278"/>
      <c r="T1404" s="278"/>
      <c r="U1404" s="278"/>
      <c r="V1404" s="278"/>
    </row>
    <row r="1405" spans="1:22" x14ac:dyDescent="0.15">
      <c r="A1405" s="278"/>
      <c r="B1405" s="278"/>
      <c r="C1405" s="278"/>
      <c r="D1405" s="278"/>
      <c r="E1405" s="278"/>
      <c r="F1405" s="278"/>
      <c r="G1405" s="278"/>
      <c r="H1405" s="278"/>
      <c r="I1405" s="278"/>
      <c r="J1405" s="278"/>
      <c r="K1405" s="278"/>
      <c r="L1405" s="278"/>
      <c r="M1405" s="278"/>
      <c r="N1405" s="278"/>
      <c r="O1405" s="278"/>
      <c r="P1405" s="278"/>
      <c r="Q1405" s="278"/>
      <c r="R1405" s="278"/>
      <c r="S1405" s="278"/>
      <c r="T1405" s="278"/>
      <c r="U1405" s="278"/>
      <c r="V1405" s="278"/>
    </row>
    <row r="1406" spans="1:22" x14ac:dyDescent="0.15">
      <c r="A1406" s="278"/>
      <c r="B1406" s="278"/>
      <c r="C1406" s="278"/>
      <c r="D1406" s="278"/>
      <c r="E1406" s="278"/>
      <c r="F1406" s="278"/>
      <c r="G1406" s="278"/>
      <c r="H1406" s="278"/>
      <c r="I1406" s="278"/>
      <c r="J1406" s="278"/>
      <c r="K1406" s="278"/>
      <c r="L1406" s="278"/>
      <c r="M1406" s="278"/>
      <c r="N1406" s="278"/>
      <c r="O1406" s="278"/>
      <c r="P1406" s="278"/>
      <c r="Q1406" s="278"/>
      <c r="R1406" s="278"/>
      <c r="S1406" s="278"/>
      <c r="T1406" s="278"/>
      <c r="U1406" s="278"/>
      <c r="V1406" s="278"/>
    </row>
    <row r="1407" spans="1:22" x14ac:dyDescent="0.15">
      <c r="A1407" s="278"/>
      <c r="B1407" s="278"/>
      <c r="C1407" s="278"/>
      <c r="D1407" s="278"/>
      <c r="E1407" s="278"/>
      <c r="F1407" s="278"/>
      <c r="G1407" s="278"/>
      <c r="H1407" s="278"/>
      <c r="I1407" s="278"/>
      <c r="J1407" s="278"/>
      <c r="K1407" s="278"/>
      <c r="L1407" s="278"/>
      <c r="M1407" s="278"/>
      <c r="N1407" s="278"/>
      <c r="O1407" s="278"/>
      <c r="P1407" s="278"/>
      <c r="Q1407" s="278"/>
      <c r="R1407" s="278"/>
      <c r="S1407" s="278"/>
      <c r="T1407" s="278"/>
      <c r="U1407" s="278"/>
      <c r="V1407" s="278"/>
    </row>
    <row r="1408" spans="1:22" x14ac:dyDescent="0.15">
      <c r="A1408" s="278"/>
      <c r="B1408" s="278"/>
      <c r="C1408" s="278"/>
      <c r="D1408" s="278"/>
      <c r="E1408" s="278"/>
      <c r="F1408" s="278"/>
      <c r="G1408" s="278"/>
      <c r="H1408" s="278"/>
      <c r="I1408" s="278"/>
      <c r="J1408" s="278"/>
      <c r="K1408" s="278"/>
      <c r="L1408" s="278"/>
      <c r="M1408" s="278"/>
      <c r="N1408" s="278"/>
      <c r="O1408" s="278"/>
      <c r="P1408" s="278"/>
      <c r="Q1408" s="278"/>
      <c r="R1408" s="278"/>
      <c r="S1408" s="278"/>
      <c r="T1408" s="278"/>
      <c r="U1408" s="278"/>
      <c r="V1408" s="278"/>
    </row>
    <row r="1409" spans="1:22" x14ac:dyDescent="0.15">
      <c r="A1409" s="278"/>
      <c r="B1409" s="278"/>
      <c r="C1409" s="278"/>
      <c r="D1409" s="278"/>
      <c r="E1409" s="278"/>
      <c r="F1409" s="278"/>
      <c r="G1409" s="278"/>
      <c r="H1409" s="278"/>
      <c r="I1409" s="278"/>
      <c r="J1409" s="278"/>
      <c r="K1409" s="278"/>
      <c r="L1409" s="278"/>
      <c r="M1409" s="278"/>
      <c r="N1409" s="278"/>
      <c r="O1409" s="278"/>
      <c r="P1409" s="278"/>
      <c r="Q1409" s="278"/>
      <c r="R1409" s="278"/>
      <c r="S1409" s="278"/>
      <c r="T1409" s="278"/>
      <c r="U1409" s="278"/>
      <c r="V1409" s="278"/>
    </row>
    <row r="1410" spans="1:22" x14ac:dyDescent="0.15">
      <c r="A1410" s="278"/>
      <c r="B1410" s="278"/>
      <c r="C1410" s="278"/>
      <c r="D1410" s="278"/>
      <c r="E1410" s="278"/>
      <c r="F1410" s="278"/>
      <c r="G1410" s="278"/>
      <c r="H1410" s="278"/>
      <c r="I1410" s="278"/>
      <c r="J1410" s="278"/>
      <c r="K1410" s="278"/>
      <c r="L1410" s="278"/>
      <c r="M1410" s="278"/>
      <c r="N1410" s="278"/>
      <c r="O1410" s="278"/>
      <c r="P1410" s="278"/>
      <c r="Q1410" s="278"/>
      <c r="R1410" s="278"/>
      <c r="S1410" s="278"/>
      <c r="T1410" s="278"/>
      <c r="U1410" s="278"/>
      <c r="V1410" s="278"/>
    </row>
    <row r="1411" spans="1:22" x14ac:dyDescent="0.15">
      <c r="A1411" s="278"/>
      <c r="B1411" s="278"/>
      <c r="C1411" s="278"/>
      <c r="D1411" s="278"/>
      <c r="E1411" s="278"/>
      <c r="F1411" s="278"/>
      <c r="G1411" s="278"/>
      <c r="H1411" s="278"/>
      <c r="I1411" s="278"/>
      <c r="J1411" s="278"/>
      <c r="K1411" s="278"/>
      <c r="L1411" s="278"/>
      <c r="M1411" s="278"/>
      <c r="N1411" s="278"/>
      <c r="O1411" s="278"/>
      <c r="P1411" s="278"/>
      <c r="Q1411" s="278"/>
      <c r="R1411" s="278"/>
      <c r="S1411" s="278"/>
      <c r="T1411" s="278"/>
      <c r="U1411" s="278"/>
      <c r="V1411" s="278"/>
    </row>
    <row r="1412" spans="1:22" x14ac:dyDescent="0.15">
      <c r="A1412" s="278"/>
      <c r="B1412" s="278"/>
      <c r="C1412" s="278"/>
      <c r="D1412" s="278"/>
      <c r="E1412" s="278"/>
      <c r="F1412" s="278"/>
      <c r="G1412" s="278"/>
      <c r="H1412" s="278"/>
      <c r="I1412" s="278"/>
      <c r="J1412" s="278"/>
      <c r="K1412" s="278"/>
      <c r="L1412" s="278"/>
      <c r="M1412" s="278"/>
      <c r="N1412" s="278"/>
      <c r="O1412" s="278"/>
      <c r="P1412" s="278"/>
      <c r="Q1412" s="278"/>
      <c r="R1412" s="278"/>
      <c r="S1412" s="278"/>
      <c r="T1412" s="278"/>
      <c r="U1412" s="278"/>
      <c r="V1412" s="278"/>
    </row>
    <row r="1413" spans="1:22" x14ac:dyDescent="0.15">
      <c r="A1413" s="278"/>
      <c r="B1413" s="278"/>
      <c r="C1413" s="278"/>
      <c r="D1413" s="278"/>
      <c r="E1413" s="278"/>
      <c r="F1413" s="278"/>
      <c r="G1413" s="278"/>
      <c r="H1413" s="278"/>
      <c r="I1413" s="278"/>
      <c r="J1413" s="278"/>
      <c r="K1413" s="278"/>
      <c r="L1413" s="278"/>
      <c r="M1413" s="278"/>
      <c r="N1413" s="278"/>
      <c r="O1413" s="278"/>
      <c r="P1413" s="278"/>
      <c r="Q1413" s="278"/>
      <c r="R1413" s="278"/>
      <c r="S1413" s="278"/>
      <c r="T1413" s="278"/>
      <c r="U1413" s="278"/>
      <c r="V1413" s="278"/>
    </row>
    <row r="1414" spans="1:22" x14ac:dyDescent="0.15">
      <c r="A1414" s="278"/>
      <c r="B1414" s="278"/>
      <c r="C1414" s="278"/>
      <c r="D1414" s="278"/>
      <c r="E1414" s="278"/>
      <c r="F1414" s="278"/>
      <c r="G1414" s="278"/>
      <c r="H1414" s="278"/>
      <c r="I1414" s="278"/>
      <c r="J1414" s="278"/>
      <c r="K1414" s="278"/>
      <c r="L1414" s="278"/>
      <c r="M1414" s="278"/>
      <c r="N1414" s="278"/>
      <c r="O1414" s="278"/>
      <c r="P1414" s="278"/>
      <c r="Q1414" s="278"/>
      <c r="R1414" s="278"/>
      <c r="S1414" s="278"/>
      <c r="T1414" s="278"/>
      <c r="U1414" s="278"/>
      <c r="V1414" s="278"/>
    </row>
    <row r="1415" spans="1:22" x14ac:dyDescent="0.15">
      <c r="A1415" s="278"/>
      <c r="B1415" s="278"/>
      <c r="C1415" s="278"/>
      <c r="D1415" s="278"/>
      <c r="E1415" s="278"/>
      <c r="F1415" s="278"/>
      <c r="G1415" s="278"/>
      <c r="H1415" s="278"/>
      <c r="I1415" s="278"/>
      <c r="J1415" s="278"/>
      <c r="K1415" s="278"/>
      <c r="L1415" s="278"/>
      <c r="M1415" s="278"/>
      <c r="N1415" s="278"/>
      <c r="O1415" s="278"/>
      <c r="P1415" s="278"/>
      <c r="Q1415" s="278"/>
      <c r="R1415" s="278"/>
      <c r="S1415" s="278"/>
      <c r="T1415" s="278"/>
      <c r="U1415" s="278"/>
      <c r="V1415" s="278"/>
    </row>
    <row r="1416" spans="1:22" x14ac:dyDescent="0.15">
      <c r="A1416" s="278"/>
      <c r="B1416" s="278"/>
      <c r="C1416" s="278"/>
      <c r="D1416" s="278"/>
      <c r="E1416" s="278"/>
      <c r="F1416" s="278"/>
      <c r="G1416" s="278"/>
      <c r="H1416" s="278"/>
      <c r="I1416" s="278"/>
      <c r="J1416" s="278"/>
      <c r="K1416" s="278"/>
      <c r="L1416" s="278"/>
      <c r="M1416" s="278"/>
      <c r="N1416" s="278"/>
      <c r="O1416" s="278"/>
      <c r="P1416" s="278"/>
      <c r="Q1416" s="278"/>
      <c r="R1416" s="278"/>
      <c r="S1416" s="278"/>
      <c r="T1416" s="278"/>
      <c r="U1416" s="278"/>
      <c r="V1416" s="278"/>
    </row>
    <row r="1417" spans="1:22" x14ac:dyDescent="0.15">
      <c r="A1417" s="278"/>
      <c r="B1417" s="278"/>
      <c r="C1417" s="278"/>
      <c r="D1417" s="278"/>
      <c r="E1417" s="278"/>
      <c r="F1417" s="278"/>
      <c r="G1417" s="278"/>
      <c r="H1417" s="278"/>
      <c r="I1417" s="278"/>
      <c r="J1417" s="278"/>
      <c r="K1417" s="278"/>
      <c r="L1417" s="278"/>
      <c r="M1417" s="278"/>
      <c r="N1417" s="278"/>
      <c r="O1417" s="278"/>
      <c r="P1417" s="278"/>
      <c r="Q1417" s="278"/>
      <c r="R1417" s="278"/>
      <c r="S1417" s="278"/>
      <c r="T1417" s="278"/>
      <c r="U1417" s="278"/>
      <c r="V1417" s="278"/>
    </row>
    <row r="1418" spans="1:22" x14ac:dyDescent="0.15">
      <c r="A1418" s="278"/>
      <c r="B1418" s="278"/>
      <c r="C1418" s="278"/>
      <c r="D1418" s="278"/>
      <c r="E1418" s="278"/>
      <c r="F1418" s="278"/>
      <c r="G1418" s="278"/>
      <c r="H1418" s="278"/>
      <c r="I1418" s="278"/>
      <c r="J1418" s="278"/>
      <c r="K1418" s="278"/>
      <c r="L1418" s="278"/>
      <c r="M1418" s="278"/>
      <c r="N1418" s="278"/>
      <c r="O1418" s="278"/>
      <c r="P1418" s="278"/>
      <c r="Q1418" s="278"/>
      <c r="R1418" s="278"/>
      <c r="S1418" s="278"/>
      <c r="T1418" s="278"/>
      <c r="U1418" s="278"/>
      <c r="V1418" s="278"/>
    </row>
    <row r="1419" spans="1:22" x14ac:dyDescent="0.15">
      <c r="A1419" s="278"/>
      <c r="B1419" s="278"/>
      <c r="C1419" s="278"/>
      <c r="D1419" s="278"/>
      <c r="E1419" s="278"/>
      <c r="F1419" s="278"/>
      <c r="G1419" s="278"/>
      <c r="H1419" s="278"/>
      <c r="I1419" s="278"/>
      <c r="J1419" s="278"/>
      <c r="K1419" s="278"/>
      <c r="L1419" s="278"/>
      <c r="M1419" s="278"/>
      <c r="N1419" s="278"/>
      <c r="O1419" s="278"/>
      <c r="P1419" s="278"/>
      <c r="Q1419" s="278"/>
      <c r="R1419" s="278"/>
      <c r="S1419" s="278"/>
      <c r="T1419" s="278"/>
      <c r="U1419" s="278"/>
      <c r="V1419" s="278"/>
    </row>
    <row r="1420" spans="1:22" x14ac:dyDescent="0.15">
      <c r="A1420" s="278"/>
      <c r="B1420" s="278"/>
      <c r="C1420" s="278"/>
      <c r="D1420" s="278"/>
      <c r="E1420" s="278"/>
      <c r="F1420" s="278"/>
      <c r="G1420" s="278"/>
      <c r="H1420" s="278"/>
      <c r="I1420" s="278"/>
      <c r="J1420" s="278"/>
      <c r="K1420" s="278"/>
      <c r="L1420" s="278"/>
      <c r="M1420" s="278"/>
      <c r="N1420" s="278"/>
      <c r="O1420" s="278"/>
      <c r="P1420" s="278"/>
      <c r="Q1420" s="278"/>
      <c r="R1420" s="278"/>
      <c r="S1420" s="278"/>
      <c r="T1420" s="278"/>
      <c r="U1420" s="278"/>
      <c r="V1420" s="278"/>
    </row>
    <row r="1421" spans="1:22" x14ac:dyDescent="0.15">
      <c r="A1421" s="278"/>
      <c r="B1421" s="278"/>
      <c r="C1421" s="278"/>
      <c r="D1421" s="278"/>
      <c r="E1421" s="278"/>
      <c r="F1421" s="278"/>
      <c r="G1421" s="278"/>
      <c r="H1421" s="278"/>
      <c r="I1421" s="278"/>
      <c r="J1421" s="278"/>
      <c r="K1421" s="278"/>
      <c r="L1421" s="278"/>
      <c r="M1421" s="278"/>
      <c r="N1421" s="278"/>
      <c r="O1421" s="278"/>
      <c r="P1421" s="278"/>
      <c r="Q1421" s="278"/>
      <c r="R1421" s="278"/>
      <c r="S1421" s="278"/>
      <c r="T1421" s="278"/>
      <c r="U1421" s="278"/>
      <c r="V1421" s="278"/>
    </row>
    <row r="1422" spans="1:22" x14ac:dyDescent="0.15">
      <c r="A1422" s="278"/>
      <c r="B1422" s="278"/>
      <c r="C1422" s="278"/>
      <c r="D1422" s="278"/>
      <c r="E1422" s="278"/>
      <c r="F1422" s="278"/>
      <c r="G1422" s="278"/>
      <c r="H1422" s="278"/>
      <c r="I1422" s="278"/>
      <c r="J1422" s="278"/>
      <c r="K1422" s="278"/>
      <c r="L1422" s="278"/>
      <c r="M1422" s="278"/>
      <c r="N1422" s="278"/>
      <c r="O1422" s="278"/>
      <c r="P1422" s="278"/>
      <c r="Q1422" s="278"/>
      <c r="R1422" s="278"/>
      <c r="S1422" s="278"/>
      <c r="T1422" s="278"/>
      <c r="U1422" s="278"/>
      <c r="V1422" s="278"/>
    </row>
    <row r="1423" spans="1:22" x14ac:dyDescent="0.15">
      <c r="A1423" s="278"/>
      <c r="B1423" s="278"/>
      <c r="C1423" s="278"/>
      <c r="D1423" s="278"/>
      <c r="E1423" s="278"/>
      <c r="F1423" s="278"/>
      <c r="G1423" s="278"/>
      <c r="H1423" s="278"/>
      <c r="I1423" s="278"/>
      <c r="J1423" s="278"/>
      <c r="K1423" s="278"/>
      <c r="L1423" s="278"/>
      <c r="M1423" s="278"/>
      <c r="N1423" s="278"/>
      <c r="O1423" s="278"/>
      <c r="P1423" s="278"/>
      <c r="Q1423" s="278"/>
      <c r="R1423" s="278"/>
      <c r="S1423" s="278"/>
      <c r="T1423" s="278"/>
      <c r="U1423" s="278"/>
      <c r="V1423" s="278"/>
    </row>
    <row r="1424" spans="1:22" x14ac:dyDescent="0.15">
      <c r="A1424" s="278"/>
      <c r="B1424" s="278"/>
      <c r="C1424" s="278"/>
      <c r="D1424" s="278"/>
      <c r="E1424" s="278"/>
      <c r="F1424" s="278"/>
      <c r="G1424" s="278"/>
      <c r="H1424" s="278"/>
      <c r="I1424" s="278"/>
      <c r="J1424" s="278"/>
      <c r="K1424" s="278"/>
      <c r="L1424" s="278"/>
      <c r="M1424" s="278"/>
      <c r="N1424" s="278"/>
      <c r="O1424" s="278"/>
      <c r="P1424" s="278"/>
      <c r="Q1424" s="278"/>
      <c r="R1424" s="278"/>
      <c r="S1424" s="278"/>
      <c r="T1424" s="278"/>
      <c r="U1424" s="278"/>
      <c r="V1424" s="278"/>
    </row>
    <row r="1425" spans="1:22" x14ac:dyDescent="0.15">
      <c r="A1425" s="278"/>
      <c r="B1425" s="278"/>
      <c r="C1425" s="278"/>
      <c r="D1425" s="278"/>
      <c r="E1425" s="278"/>
      <c r="F1425" s="278"/>
      <c r="G1425" s="278"/>
      <c r="H1425" s="278"/>
      <c r="I1425" s="278"/>
      <c r="J1425" s="278"/>
      <c r="K1425" s="278"/>
      <c r="L1425" s="278"/>
      <c r="M1425" s="278"/>
      <c r="N1425" s="278"/>
      <c r="O1425" s="278"/>
      <c r="P1425" s="278"/>
      <c r="Q1425" s="278"/>
      <c r="R1425" s="278"/>
      <c r="S1425" s="278"/>
      <c r="T1425" s="278"/>
      <c r="U1425" s="278"/>
      <c r="V1425" s="278"/>
    </row>
    <row r="1426" spans="1:22" x14ac:dyDescent="0.15">
      <c r="A1426" s="278"/>
      <c r="B1426" s="278"/>
      <c r="C1426" s="278"/>
      <c r="D1426" s="278"/>
      <c r="E1426" s="278"/>
      <c r="F1426" s="278"/>
      <c r="G1426" s="278"/>
      <c r="H1426" s="278"/>
      <c r="I1426" s="278"/>
      <c r="J1426" s="278"/>
      <c r="K1426" s="278"/>
      <c r="L1426" s="278"/>
      <c r="M1426" s="278"/>
      <c r="N1426" s="278"/>
      <c r="O1426" s="278"/>
      <c r="P1426" s="278"/>
      <c r="Q1426" s="278"/>
      <c r="R1426" s="278"/>
      <c r="S1426" s="278"/>
      <c r="T1426" s="278"/>
      <c r="U1426" s="278"/>
      <c r="V1426" s="278"/>
    </row>
    <row r="1427" spans="1:22" x14ac:dyDescent="0.15">
      <c r="A1427" s="278"/>
      <c r="B1427" s="278"/>
      <c r="C1427" s="278"/>
      <c r="D1427" s="278"/>
      <c r="E1427" s="278"/>
      <c r="F1427" s="278"/>
      <c r="G1427" s="278"/>
      <c r="H1427" s="278"/>
      <c r="I1427" s="278"/>
      <c r="J1427" s="278"/>
      <c r="K1427" s="278"/>
      <c r="L1427" s="278"/>
      <c r="M1427" s="278"/>
      <c r="N1427" s="278"/>
      <c r="O1427" s="278"/>
      <c r="P1427" s="278"/>
      <c r="Q1427" s="278"/>
      <c r="R1427" s="278"/>
      <c r="S1427" s="278"/>
      <c r="T1427" s="278"/>
      <c r="U1427" s="278"/>
      <c r="V1427" s="278"/>
    </row>
    <row r="1428" spans="1:22" x14ac:dyDescent="0.15">
      <c r="A1428" s="278"/>
      <c r="B1428" s="278"/>
      <c r="C1428" s="278"/>
      <c r="D1428" s="278"/>
      <c r="E1428" s="278"/>
      <c r="F1428" s="278"/>
      <c r="G1428" s="278"/>
      <c r="H1428" s="278"/>
      <c r="I1428" s="278"/>
      <c r="J1428" s="278"/>
      <c r="K1428" s="278"/>
      <c r="L1428" s="278"/>
      <c r="M1428" s="278"/>
      <c r="N1428" s="278"/>
      <c r="O1428" s="278"/>
      <c r="P1428" s="278"/>
      <c r="Q1428" s="278"/>
      <c r="R1428" s="278"/>
      <c r="S1428" s="278"/>
      <c r="T1428" s="278"/>
      <c r="U1428" s="278"/>
      <c r="V1428" s="278"/>
    </row>
    <row r="1429" spans="1:22" x14ac:dyDescent="0.15">
      <c r="A1429" s="278"/>
      <c r="B1429" s="278"/>
      <c r="C1429" s="278"/>
      <c r="D1429" s="278"/>
      <c r="E1429" s="278"/>
      <c r="F1429" s="278"/>
      <c r="G1429" s="278"/>
      <c r="H1429" s="278"/>
      <c r="I1429" s="278"/>
      <c r="J1429" s="278"/>
      <c r="K1429" s="278"/>
      <c r="L1429" s="278"/>
      <c r="M1429" s="278"/>
      <c r="N1429" s="278"/>
      <c r="O1429" s="278"/>
      <c r="P1429" s="278"/>
      <c r="Q1429" s="278"/>
      <c r="R1429" s="278"/>
      <c r="S1429" s="278"/>
      <c r="T1429" s="278"/>
      <c r="U1429" s="278"/>
      <c r="V1429" s="278"/>
    </row>
    <row r="1430" spans="1:22" x14ac:dyDescent="0.15">
      <c r="A1430" s="278"/>
      <c r="B1430" s="278"/>
      <c r="C1430" s="278"/>
      <c r="D1430" s="278"/>
      <c r="E1430" s="278"/>
      <c r="F1430" s="278"/>
      <c r="G1430" s="278"/>
      <c r="H1430" s="278"/>
      <c r="I1430" s="278"/>
      <c r="J1430" s="278"/>
      <c r="K1430" s="278"/>
      <c r="L1430" s="278"/>
      <c r="M1430" s="278"/>
      <c r="N1430" s="278"/>
      <c r="O1430" s="278"/>
      <c r="P1430" s="278"/>
      <c r="Q1430" s="278"/>
      <c r="R1430" s="278"/>
      <c r="S1430" s="278"/>
      <c r="T1430" s="278"/>
      <c r="U1430" s="278"/>
      <c r="V1430" s="278"/>
    </row>
    <row r="1431" spans="1:22" x14ac:dyDescent="0.15">
      <c r="A1431" s="278"/>
      <c r="B1431" s="278"/>
      <c r="C1431" s="278"/>
      <c r="D1431" s="278"/>
      <c r="E1431" s="278"/>
      <c r="F1431" s="278"/>
      <c r="G1431" s="278"/>
      <c r="H1431" s="278"/>
      <c r="I1431" s="278"/>
      <c r="J1431" s="278"/>
      <c r="K1431" s="278"/>
      <c r="L1431" s="278"/>
      <c r="M1431" s="278"/>
      <c r="N1431" s="278"/>
      <c r="O1431" s="278"/>
      <c r="P1431" s="278"/>
      <c r="Q1431" s="278"/>
      <c r="R1431" s="278"/>
      <c r="S1431" s="278"/>
      <c r="T1431" s="278"/>
      <c r="U1431" s="278"/>
      <c r="V1431" s="278"/>
    </row>
    <row r="1432" spans="1:22" x14ac:dyDescent="0.15">
      <c r="A1432" s="278"/>
      <c r="B1432" s="278"/>
      <c r="C1432" s="278"/>
      <c r="D1432" s="278"/>
      <c r="E1432" s="278"/>
      <c r="F1432" s="278"/>
      <c r="G1432" s="278"/>
      <c r="H1432" s="278"/>
      <c r="I1432" s="278"/>
      <c r="J1432" s="278"/>
      <c r="K1432" s="278"/>
      <c r="L1432" s="278"/>
      <c r="M1432" s="278"/>
      <c r="N1432" s="278"/>
      <c r="O1432" s="278"/>
      <c r="P1432" s="278"/>
      <c r="Q1432" s="278"/>
      <c r="R1432" s="278"/>
      <c r="S1432" s="278"/>
      <c r="T1432" s="278"/>
      <c r="U1432" s="278"/>
      <c r="V1432" s="278"/>
    </row>
    <row r="1433" spans="1:22" x14ac:dyDescent="0.15">
      <c r="A1433" s="278"/>
      <c r="B1433" s="278"/>
      <c r="C1433" s="278"/>
      <c r="D1433" s="278"/>
      <c r="E1433" s="278"/>
      <c r="F1433" s="278"/>
      <c r="G1433" s="278"/>
      <c r="H1433" s="278"/>
      <c r="I1433" s="278"/>
      <c r="J1433" s="278"/>
      <c r="K1433" s="278"/>
      <c r="L1433" s="278"/>
      <c r="M1433" s="278"/>
      <c r="N1433" s="278"/>
      <c r="O1433" s="278"/>
      <c r="P1433" s="278"/>
      <c r="Q1433" s="278"/>
      <c r="R1433" s="278"/>
      <c r="S1433" s="278"/>
      <c r="T1433" s="278"/>
      <c r="U1433" s="278"/>
      <c r="V1433" s="278"/>
    </row>
    <row r="1434" spans="1:22" x14ac:dyDescent="0.15">
      <c r="A1434" s="278"/>
      <c r="B1434" s="278"/>
      <c r="C1434" s="278"/>
      <c r="D1434" s="278"/>
      <c r="E1434" s="278"/>
      <c r="F1434" s="278"/>
      <c r="G1434" s="278"/>
      <c r="H1434" s="278"/>
      <c r="I1434" s="278"/>
      <c r="J1434" s="278"/>
      <c r="K1434" s="278"/>
      <c r="L1434" s="278"/>
      <c r="M1434" s="278"/>
      <c r="N1434" s="278"/>
      <c r="O1434" s="278"/>
      <c r="P1434" s="278"/>
      <c r="Q1434" s="278"/>
      <c r="R1434" s="278"/>
      <c r="S1434" s="278"/>
      <c r="T1434" s="278"/>
      <c r="U1434" s="278"/>
      <c r="V1434" s="278"/>
    </row>
    <row r="1435" spans="1:22" x14ac:dyDescent="0.15">
      <c r="A1435" s="278"/>
      <c r="B1435" s="278"/>
      <c r="C1435" s="278"/>
      <c r="D1435" s="278"/>
      <c r="E1435" s="278"/>
      <c r="F1435" s="278"/>
      <c r="G1435" s="278"/>
      <c r="H1435" s="278"/>
      <c r="I1435" s="278"/>
      <c r="J1435" s="278"/>
      <c r="K1435" s="278"/>
      <c r="L1435" s="278"/>
      <c r="M1435" s="278"/>
      <c r="N1435" s="278"/>
      <c r="O1435" s="278"/>
      <c r="P1435" s="278"/>
      <c r="Q1435" s="278"/>
      <c r="R1435" s="278"/>
      <c r="S1435" s="278"/>
      <c r="T1435" s="278"/>
      <c r="U1435" s="278"/>
      <c r="V1435" s="278"/>
    </row>
    <row r="1436" spans="1:22" x14ac:dyDescent="0.15">
      <c r="A1436" s="278"/>
      <c r="B1436" s="278"/>
      <c r="C1436" s="278"/>
      <c r="D1436" s="278"/>
      <c r="E1436" s="278"/>
      <c r="F1436" s="278"/>
      <c r="G1436" s="278"/>
      <c r="H1436" s="278"/>
      <c r="I1436" s="278"/>
      <c r="J1436" s="278"/>
      <c r="K1436" s="278"/>
      <c r="L1436" s="278"/>
      <c r="M1436" s="278"/>
      <c r="N1436" s="278"/>
      <c r="O1436" s="278"/>
      <c r="P1436" s="278"/>
      <c r="Q1436" s="278"/>
      <c r="R1436" s="278"/>
      <c r="S1436" s="278"/>
      <c r="T1436" s="278"/>
      <c r="U1436" s="278"/>
      <c r="V1436" s="278"/>
    </row>
    <row r="1437" spans="1:22" x14ac:dyDescent="0.15">
      <c r="A1437" s="278"/>
      <c r="B1437" s="278"/>
      <c r="C1437" s="278"/>
      <c r="D1437" s="278"/>
      <c r="E1437" s="278"/>
      <c r="F1437" s="278"/>
      <c r="G1437" s="278"/>
      <c r="H1437" s="278"/>
      <c r="I1437" s="278"/>
      <c r="J1437" s="278"/>
      <c r="K1437" s="278"/>
      <c r="L1437" s="278"/>
      <c r="M1437" s="278"/>
      <c r="N1437" s="278"/>
      <c r="O1437" s="278"/>
      <c r="P1437" s="278"/>
      <c r="Q1437" s="278"/>
      <c r="R1437" s="278"/>
      <c r="S1437" s="278"/>
      <c r="T1437" s="278"/>
      <c r="U1437" s="278"/>
      <c r="V1437" s="278"/>
    </row>
    <row r="1438" spans="1:22" x14ac:dyDescent="0.15">
      <c r="A1438" s="278"/>
      <c r="B1438" s="278"/>
      <c r="C1438" s="278"/>
      <c r="D1438" s="278"/>
      <c r="E1438" s="278"/>
      <c r="F1438" s="278"/>
      <c r="G1438" s="278"/>
      <c r="H1438" s="278"/>
      <c r="I1438" s="278"/>
      <c r="J1438" s="278"/>
      <c r="K1438" s="278"/>
      <c r="L1438" s="278"/>
      <c r="M1438" s="278"/>
      <c r="N1438" s="278"/>
      <c r="O1438" s="278"/>
      <c r="P1438" s="278"/>
      <c r="Q1438" s="278"/>
      <c r="R1438" s="278"/>
      <c r="S1438" s="278"/>
      <c r="T1438" s="278"/>
      <c r="U1438" s="278"/>
      <c r="V1438" s="278"/>
    </row>
    <row r="1439" spans="1:22" x14ac:dyDescent="0.15">
      <c r="A1439" s="278"/>
      <c r="B1439" s="278"/>
      <c r="C1439" s="278"/>
      <c r="D1439" s="278"/>
      <c r="E1439" s="278"/>
      <c r="F1439" s="278"/>
      <c r="G1439" s="278"/>
      <c r="H1439" s="278"/>
      <c r="I1439" s="278"/>
      <c r="J1439" s="278"/>
      <c r="K1439" s="278"/>
      <c r="L1439" s="278"/>
      <c r="M1439" s="278"/>
      <c r="N1439" s="278"/>
      <c r="O1439" s="278"/>
      <c r="P1439" s="278"/>
      <c r="Q1439" s="278"/>
      <c r="R1439" s="278"/>
      <c r="S1439" s="278"/>
      <c r="T1439" s="278"/>
      <c r="U1439" s="278"/>
      <c r="V1439" s="278"/>
    </row>
    <row r="1440" spans="1:22" x14ac:dyDescent="0.15">
      <c r="A1440" s="278"/>
      <c r="B1440" s="278"/>
      <c r="C1440" s="278"/>
      <c r="D1440" s="278"/>
      <c r="E1440" s="278"/>
      <c r="F1440" s="278"/>
      <c r="G1440" s="278"/>
      <c r="H1440" s="278"/>
      <c r="I1440" s="278"/>
      <c r="J1440" s="278"/>
      <c r="K1440" s="278"/>
      <c r="L1440" s="278"/>
      <c r="M1440" s="278"/>
      <c r="N1440" s="278"/>
      <c r="O1440" s="278"/>
      <c r="P1440" s="278"/>
      <c r="Q1440" s="278"/>
      <c r="R1440" s="278"/>
      <c r="S1440" s="278"/>
      <c r="T1440" s="278"/>
      <c r="U1440" s="278"/>
      <c r="V1440" s="278"/>
    </row>
    <row r="1441" spans="1:22" x14ac:dyDescent="0.15">
      <c r="A1441" s="278"/>
      <c r="B1441" s="278"/>
      <c r="C1441" s="278"/>
      <c r="D1441" s="278"/>
      <c r="E1441" s="278"/>
      <c r="F1441" s="278"/>
      <c r="G1441" s="278"/>
      <c r="H1441" s="278"/>
      <c r="I1441" s="278"/>
      <c r="J1441" s="278"/>
      <c r="K1441" s="278"/>
      <c r="L1441" s="278"/>
      <c r="M1441" s="278"/>
      <c r="N1441" s="278"/>
      <c r="O1441" s="278"/>
      <c r="P1441" s="278"/>
      <c r="Q1441" s="278"/>
      <c r="R1441" s="278"/>
      <c r="S1441" s="278"/>
      <c r="T1441" s="278"/>
      <c r="U1441" s="278"/>
      <c r="V1441" s="278"/>
    </row>
    <row r="1442" spans="1:22" x14ac:dyDescent="0.15">
      <c r="A1442" s="278"/>
      <c r="B1442" s="278"/>
      <c r="C1442" s="278"/>
      <c r="D1442" s="278"/>
      <c r="E1442" s="278"/>
      <c r="F1442" s="278"/>
      <c r="G1442" s="278"/>
      <c r="H1442" s="278"/>
      <c r="I1442" s="278"/>
      <c r="J1442" s="278"/>
      <c r="K1442" s="278"/>
      <c r="L1442" s="278"/>
      <c r="M1442" s="278"/>
      <c r="N1442" s="278"/>
      <c r="O1442" s="278"/>
      <c r="P1442" s="278"/>
      <c r="Q1442" s="278"/>
      <c r="R1442" s="278"/>
      <c r="S1442" s="278"/>
      <c r="T1442" s="278"/>
      <c r="U1442" s="278"/>
      <c r="V1442" s="278"/>
    </row>
    <row r="1443" spans="1:22" x14ac:dyDescent="0.15">
      <c r="A1443" s="278"/>
      <c r="B1443" s="278"/>
      <c r="C1443" s="278"/>
      <c r="D1443" s="278"/>
      <c r="E1443" s="278"/>
      <c r="F1443" s="278"/>
      <c r="G1443" s="278"/>
      <c r="H1443" s="278"/>
      <c r="I1443" s="278"/>
      <c r="J1443" s="278"/>
      <c r="K1443" s="278"/>
      <c r="L1443" s="278"/>
      <c r="M1443" s="278"/>
      <c r="N1443" s="278"/>
      <c r="O1443" s="278"/>
      <c r="P1443" s="278"/>
      <c r="Q1443" s="278"/>
      <c r="R1443" s="278"/>
      <c r="S1443" s="278"/>
      <c r="T1443" s="278"/>
      <c r="U1443" s="278"/>
      <c r="V1443" s="278"/>
    </row>
    <row r="1444" spans="1:22" x14ac:dyDescent="0.15">
      <c r="A1444" s="278"/>
      <c r="B1444" s="278"/>
      <c r="C1444" s="278"/>
      <c r="D1444" s="278"/>
      <c r="E1444" s="278"/>
      <c r="F1444" s="278"/>
      <c r="G1444" s="278"/>
      <c r="H1444" s="278"/>
      <c r="I1444" s="278"/>
      <c r="J1444" s="278"/>
      <c r="K1444" s="278"/>
      <c r="L1444" s="278"/>
      <c r="M1444" s="278"/>
      <c r="N1444" s="278"/>
      <c r="O1444" s="278"/>
      <c r="P1444" s="278"/>
      <c r="Q1444" s="278"/>
      <c r="R1444" s="278"/>
      <c r="S1444" s="278"/>
      <c r="T1444" s="278"/>
      <c r="U1444" s="278"/>
      <c r="V1444" s="278"/>
    </row>
    <row r="1445" spans="1:22" x14ac:dyDescent="0.15">
      <c r="A1445" s="278"/>
      <c r="B1445" s="278"/>
      <c r="C1445" s="278"/>
      <c r="D1445" s="278"/>
      <c r="E1445" s="278"/>
      <c r="F1445" s="278"/>
      <c r="G1445" s="278"/>
      <c r="H1445" s="278"/>
      <c r="I1445" s="278"/>
      <c r="J1445" s="278"/>
      <c r="K1445" s="278"/>
      <c r="L1445" s="278"/>
      <c r="M1445" s="278"/>
      <c r="N1445" s="278"/>
      <c r="O1445" s="278"/>
      <c r="P1445" s="278"/>
      <c r="Q1445" s="278"/>
      <c r="R1445" s="278"/>
      <c r="S1445" s="278"/>
      <c r="T1445" s="278"/>
      <c r="U1445" s="278"/>
      <c r="V1445" s="278"/>
    </row>
    <row r="1446" spans="1:22" x14ac:dyDescent="0.15">
      <c r="A1446" s="278"/>
      <c r="B1446" s="278"/>
      <c r="C1446" s="278"/>
      <c r="D1446" s="278"/>
      <c r="E1446" s="278"/>
      <c r="F1446" s="278"/>
      <c r="G1446" s="278"/>
      <c r="H1446" s="278"/>
      <c r="I1446" s="278"/>
      <c r="J1446" s="278"/>
      <c r="K1446" s="278"/>
      <c r="L1446" s="278"/>
      <c r="M1446" s="278"/>
      <c r="N1446" s="278"/>
      <c r="O1446" s="278"/>
      <c r="P1446" s="278"/>
      <c r="Q1446" s="278"/>
      <c r="R1446" s="278"/>
      <c r="S1446" s="278"/>
      <c r="T1446" s="278"/>
      <c r="U1446" s="278"/>
      <c r="V1446" s="278"/>
    </row>
    <row r="1447" spans="1:22" x14ac:dyDescent="0.15">
      <c r="A1447" s="278"/>
      <c r="B1447" s="278"/>
      <c r="C1447" s="278"/>
      <c r="D1447" s="278"/>
      <c r="E1447" s="278"/>
      <c r="F1447" s="278"/>
      <c r="G1447" s="278"/>
      <c r="H1447" s="278"/>
      <c r="I1447" s="278"/>
      <c r="J1447" s="278"/>
      <c r="K1447" s="278"/>
      <c r="L1447" s="278"/>
      <c r="M1447" s="278"/>
      <c r="N1447" s="278"/>
      <c r="O1447" s="278"/>
      <c r="P1447" s="278"/>
      <c r="Q1447" s="278"/>
      <c r="R1447" s="278"/>
      <c r="S1447" s="278"/>
      <c r="T1447" s="278"/>
      <c r="U1447" s="278"/>
      <c r="V1447" s="278"/>
    </row>
    <row r="1448" spans="1:22" x14ac:dyDescent="0.15">
      <c r="A1448" s="278"/>
      <c r="B1448" s="278"/>
      <c r="C1448" s="278"/>
      <c r="D1448" s="278"/>
      <c r="E1448" s="278"/>
      <c r="F1448" s="278"/>
      <c r="G1448" s="278"/>
      <c r="H1448" s="278"/>
      <c r="I1448" s="278"/>
      <c r="J1448" s="278"/>
      <c r="K1448" s="278"/>
      <c r="L1448" s="278"/>
      <c r="M1448" s="278"/>
      <c r="N1448" s="278"/>
      <c r="O1448" s="278"/>
      <c r="P1448" s="278"/>
      <c r="Q1448" s="278"/>
      <c r="R1448" s="278"/>
      <c r="S1448" s="278"/>
      <c r="T1448" s="278"/>
      <c r="U1448" s="278"/>
      <c r="V1448" s="278"/>
    </row>
    <row r="1449" spans="1:22" x14ac:dyDescent="0.15">
      <c r="A1449" s="278"/>
      <c r="B1449" s="278"/>
      <c r="C1449" s="278"/>
      <c r="D1449" s="278"/>
      <c r="E1449" s="278"/>
      <c r="F1449" s="278"/>
      <c r="G1449" s="278"/>
      <c r="H1449" s="278"/>
      <c r="I1449" s="278"/>
      <c r="J1449" s="278"/>
      <c r="K1449" s="278"/>
      <c r="L1449" s="278"/>
      <c r="M1449" s="278"/>
      <c r="N1449" s="278"/>
      <c r="O1449" s="278"/>
      <c r="P1449" s="278"/>
      <c r="Q1449" s="278"/>
      <c r="R1449" s="278"/>
      <c r="S1449" s="278"/>
      <c r="T1449" s="278"/>
      <c r="U1449" s="278"/>
      <c r="V1449" s="278"/>
    </row>
    <row r="1450" spans="1:22" x14ac:dyDescent="0.15">
      <c r="A1450" s="278"/>
      <c r="B1450" s="278"/>
      <c r="C1450" s="278"/>
      <c r="D1450" s="278"/>
      <c r="E1450" s="278"/>
      <c r="F1450" s="278"/>
      <c r="G1450" s="278"/>
      <c r="H1450" s="278"/>
      <c r="I1450" s="278"/>
      <c r="J1450" s="278"/>
      <c r="K1450" s="278"/>
      <c r="L1450" s="278"/>
      <c r="M1450" s="278"/>
      <c r="N1450" s="278"/>
      <c r="O1450" s="278"/>
      <c r="P1450" s="278"/>
      <c r="Q1450" s="278"/>
      <c r="R1450" s="278"/>
      <c r="S1450" s="278"/>
      <c r="T1450" s="278"/>
      <c r="U1450" s="278"/>
      <c r="V1450" s="278"/>
    </row>
    <row r="1451" spans="1:22" x14ac:dyDescent="0.15">
      <c r="A1451" s="278"/>
      <c r="B1451" s="278"/>
      <c r="C1451" s="278"/>
      <c r="D1451" s="278"/>
      <c r="E1451" s="278"/>
      <c r="F1451" s="278"/>
      <c r="G1451" s="278"/>
      <c r="H1451" s="278"/>
      <c r="I1451" s="278"/>
      <c r="J1451" s="278"/>
      <c r="K1451" s="278"/>
      <c r="L1451" s="278"/>
      <c r="M1451" s="278"/>
      <c r="N1451" s="278"/>
      <c r="O1451" s="278"/>
      <c r="P1451" s="278"/>
      <c r="Q1451" s="278"/>
      <c r="R1451" s="278"/>
      <c r="S1451" s="278"/>
      <c r="T1451" s="278"/>
      <c r="U1451" s="278"/>
      <c r="V1451" s="278"/>
    </row>
    <row r="1452" spans="1:22" x14ac:dyDescent="0.15">
      <c r="A1452" s="278"/>
      <c r="B1452" s="278"/>
      <c r="C1452" s="278"/>
      <c r="D1452" s="278"/>
      <c r="E1452" s="278"/>
      <c r="F1452" s="278"/>
      <c r="G1452" s="278"/>
      <c r="H1452" s="278"/>
      <c r="I1452" s="278"/>
      <c r="J1452" s="278"/>
      <c r="K1452" s="278"/>
      <c r="L1452" s="278"/>
      <c r="M1452" s="278"/>
      <c r="N1452" s="278"/>
      <c r="O1452" s="278"/>
      <c r="P1452" s="278"/>
      <c r="Q1452" s="278"/>
      <c r="R1452" s="278"/>
      <c r="S1452" s="278"/>
      <c r="T1452" s="278"/>
      <c r="U1452" s="278"/>
      <c r="V1452" s="278"/>
    </row>
    <row r="1453" spans="1:22" x14ac:dyDescent="0.15">
      <c r="A1453" s="278"/>
      <c r="B1453" s="278"/>
      <c r="C1453" s="278"/>
      <c r="D1453" s="278"/>
      <c r="E1453" s="278"/>
      <c r="F1453" s="278"/>
      <c r="G1453" s="278"/>
      <c r="H1453" s="278"/>
      <c r="I1453" s="278"/>
      <c r="J1453" s="278"/>
      <c r="K1453" s="278"/>
      <c r="L1453" s="278"/>
      <c r="M1453" s="278"/>
      <c r="N1453" s="278"/>
      <c r="O1453" s="278"/>
      <c r="P1453" s="278"/>
      <c r="Q1453" s="278"/>
      <c r="R1453" s="278"/>
      <c r="S1453" s="278"/>
      <c r="T1453" s="278"/>
      <c r="U1453" s="278"/>
      <c r="V1453" s="278"/>
    </row>
    <row r="1454" spans="1:22" x14ac:dyDescent="0.15">
      <c r="A1454" s="278"/>
      <c r="B1454" s="278"/>
      <c r="C1454" s="278"/>
      <c r="D1454" s="278"/>
      <c r="E1454" s="278"/>
      <c r="F1454" s="278"/>
      <c r="G1454" s="278"/>
      <c r="H1454" s="278"/>
      <c r="I1454" s="278"/>
      <c r="J1454" s="278"/>
      <c r="K1454" s="278"/>
      <c r="L1454" s="278"/>
      <c r="M1454" s="278"/>
      <c r="N1454" s="278"/>
      <c r="O1454" s="278"/>
      <c r="P1454" s="278"/>
      <c r="Q1454" s="278"/>
      <c r="R1454" s="278"/>
      <c r="S1454" s="278"/>
      <c r="T1454" s="278"/>
      <c r="U1454" s="278"/>
      <c r="V1454" s="278"/>
    </row>
    <row r="1455" spans="1:22" x14ac:dyDescent="0.15">
      <c r="A1455" s="278"/>
      <c r="B1455" s="278"/>
      <c r="C1455" s="278"/>
      <c r="D1455" s="278"/>
      <c r="E1455" s="278"/>
      <c r="F1455" s="278"/>
      <c r="G1455" s="278"/>
      <c r="H1455" s="278"/>
      <c r="I1455" s="278"/>
      <c r="J1455" s="278"/>
      <c r="K1455" s="278"/>
      <c r="L1455" s="278"/>
      <c r="M1455" s="278"/>
      <c r="N1455" s="278"/>
      <c r="O1455" s="278"/>
      <c r="P1455" s="278"/>
      <c r="Q1455" s="278"/>
      <c r="R1455" s="278"/>
      <c r="S1455" s="278"/>
      <c r="T1455" s="278"/>
      <c r="U1455" s="278"/>
      <c r="V1455" s="278"/>
    </row>
    <row r="1456" spans="1:22" x14ac:dyDescent="0.15">
      <c r="A1456" s="278"/>
      <c r="B1456" s="278"/>
      <c r="C1456" s="278"/>
      <c r="D1456" s="278"/>
      <c r="E1456" s="278"/>
      <c r="F1456" s="278"/>
      <c r="G1456" s="278"/>
      <c r="H1456" s="278"/>
      <c r="I1456" s="278"/>
      <c r="J1456" s="278"/>
      <c r="K1456" s="278"/>
      <c r="L1456" s="278"/>
      <c r="M1456" s="278"/>
      <c r="N1456" s="278"/>
      <c r="O1456" s="278"/>
      <c r="P1456" s="278"/>
      <c r="Q1456" s="278"/>
      <c r="R1456" s="278"/>
      <c r="S1456" s="278"/>
      <c r="T1456" s="278"/>
      <c r="U1456" s="278"/>
      <c r="V1456" s="278"/>
    </row>
    <row r="1457" spans="1:22" x14ac:dyDescent="0.15">
      <c r="A1457" s="278"/>
      <c r="B1457" s="278"/>
      <c r="C1457" s="278"/>
      <c r="D1457" s="278"/>
      <c r="E1457" s="278"/>
      <c r="F1457" s="278"/>
      <c r="G1457" s="278"/>
      <c r="H1457" s="278"/>
      <c r="I1457" s="278"/>
      <c r="J1457" s="278"/>
      <c r="K1457" s="278"/>
      <c r="L1457" s="278"/>
      <c r="M1457" s="278"/>
      <c r="N1457" s="278"/>
      <c r="O1457" s="278"/>
      <c r="P1457" s="278"/>
      <c r="Q1457" s="278"/>
      <c r="R1457" s="278"/>
      <c r="S1457" s="278"/>
      <c r="T1457" s="278"/>
      <c r="U1457" s="278"/>
      <c r="V1457" s="278"/>
    </row>
    <row r="1458" spans="1:22" x14ac:dyDescent="0.15">
      <c r="A1458" s="278"/>
      <c r="B1458" s="278"/>
      <c r="C1458" s="278"/>
      <c r="D1458" s="278"/>
      <c r="E1458" s="278"/>
      <c r="F1458" s="278"/>
      <c r="G1458" s="278"/>
      <c r="H1458" s="278"/>
      <c r="I1458" s="278"/>
      <c r="J1458" s="278"/>
      <c r="K1458" s="278"/>
      <c r="L1458" s="278"/>
      <c r="M1458" s="278"/>
      <c r="N1458" s="278"/>
      <c r="O1458" s="278"/>
      <c r="P1458" s="278"/>
      <c r="Q1458" s="278"/>
      <c r="R1458" s="278"/>
      <c r="S1458" s="278"/>
      <c r="T1458" s="278"/>
      <c r="U1458" s="278"/>
      <c r="V1458" s="278"/>
    </row>
    <row r="1459" spans="1:22" x14ac:dyDescent="0.15">
      <c r="A1459" s="278"/>
      <c r="B1459" s="278"/>
      <c r="C1459" s="278"/>
      <c r="D1459" s="278"/>
      <c r="E1459" s="278"/>
      <c r="F1459" s="278"/>
      <c r="G1459" s="278"/>
      <c r="H1459" s="278"/>
      <c r="I1459" s="278"/>
      <c r="J1459" s="278"/>
      <c r="K1459" s="278"/>
      <c r="L1459" s="278"/>
      <c r="M1459" s="278"/>
      <c r="N1459" s="278"/>
      <c r="O1459" s="278"/>
      <c r="P1459" s="278"/>
      <c r="Q1459" s="278"/>
      <c r="R1459" s="278"/>
      <c r="S1459" s="278"/>
      <c r="T1459" s="278"/>
      <c r="U1459" s="278"/>
      <c r="V1459" s="278"/>
    </row>
    <row r="1460" spans="1:22" x14ac:dyDescent="0.15">
      <c r="A1460" s="278"/>
      <c r="B1460" s="278"/>
      <c r="C1460" s="278"/>
      <c r="D1460" s="278"/>
      <c r="E1460" s="278"/>
      <c r="F1460" s="278"/>
      <c r="G1460" s="278"/>
      <c r="H1460" s="278"/>
      <c r="I1460" s="278"/>
      <c r="J1460" s="278"/>
      <c r="K1460" s="278"/>
      <c r="L1460" s="278"/>
      <c r="M1460" s="278"/>
      <c r="N1460" s="278"/>
      <c r="O1460" s="278"/>
      <c r="P1460" s="278"/>
      <c r="Q1460" s="278"/>
      <c r="R1460" s="278"/>
      <c r="S1460" s="278"/>
      <c r="T1460" s="278"/>
      <c r="U1460" s="278"/>
      <c r="V1460" s="278"/>
    </row>
    <row r="1461" spans="1:22" x14ac:dyDescent="0.15">
      <c r="A1461" s="278"/>
      <c r="B1461" s="278"/>
      <c r="C1461" s="278"/>
      <c r="D1461" s="278"/>
      <c r="E1461" s="278"/>
      <c r="F1461" s="278"/>
      <c r="G1461" s="278"/>
      <c r="H1461" s="278"/>
      <c r="I1461" s="278"/>
      <c r="J1461" s="278"/>
      <c r="K1461" s="278"/>
      <c r="L1461" s="278"/>
      <c r="M1461" s="278"/>
      <c r="N1461" s="278"/>
      <c r="O1461" s="278"/>
      <c r="P1461" s="278"/>
      <c r="Q1461" s="278"/>
      <c r="R1461" s="278"/>
      <c r="S1461" s="278"/>
      <c r="T1461" s="278"/>
      <c r="U1461" s="278"/>
      <c r="V1461" s="278"/>
    </row>
    <row r="1462" spans="1:22" x14ac:dyDescent="0.15">
      <c r="A1462" s="278"/>
      <c r="B1462" s="278"/>
      <c r="C1462" s="278"/>
      <c r="D1462" s="278"/>
      <c r="E1462" s="278"/>
      <c r="F1462" s="278"/>
      <c r="G1462" s="278"/>
      <c r="H1462" s="278"/>
      <c r="I1462" s="278"/>
      <c r="J1462" s="278"/>
      <c r="K1462" s="278"/>
      <c r="L1462" s="278"/>
      <c r="M1462" s="278"/>
      <c r="N1462" s="278"/>
      <c r="O1462" s="278"/>
      <c r="P1462" s="278"/>
      <c r="Q1462" s="278"/>
      <c r="R1462" s="278"/>
      <c r="S1462" s="278"/>
      <c r="T1462" s="278"/>
      <c r="U1462" s="278"/>
      <c r="V1462" s="278"/>
    </row>
    <row r="1463" spans="1:22" x14ac:dyDescent="0.15">
      <c r="A1463" s="278"/>
      <c r="B1463" s="278"/>
      <c r="C1463" s="278"/>
      <c r="D1463" s="278"/>
      <c r="E1463" s="278"/>
      <c r="F1463" s="278"/>
      <c r="G1463" s="278"/>
      <c r="H1463" s="278"/>
      <c r="I1463" s="278"/>
      <c r="J1463" s="278"/>
      <c r="K1463" s="278"/>
      <c r="L1463" s="278"/>
      <c r="M1463" s="278"/>
      <c r="N1463" s="278"/>
      <c r="O1463" s="278"/>
      <c r="P1463" s="278"/>
      <c r="Q1463" s="278"/>
      <c r="R1463" s="278"/>
      <c r="S1463" s="278"/>
      <c r="T1463" s="278"/>
      <c r="U1463" s="278"/>
      <c r="V1463" s="278"/>
    </row>
    <row r="1464" spans="1:22" x14ac:dyDescent="0.15">
      <c r="A1464" s="278"/>
      <c r="B1464" s="278"/>
      <c r="C1464" s="278"/>
      <c r="D1464" s="278"/>
      <c r="E1464" s="278"/>
      <c r="F1464" s="278"/>
      <c r="G1464" s="278"/>
      <c r="H1464" s="278"/>
      <c r="I1464" s="278"/>
      <c r="J1464" s="278"/>
      <c r="K1464" s="278"/>
      <c r="L1464" s="278"/>
      <c r="M1464" s="278"/>
      <c r="N1464" s="278"/>
      <c r="O1464" s="278"/>
      <c r="P1464" s="278"/>
      <c r="Q1464" s="278"/>
      <c r="R1464" s="278"/>
      <c r="S1464" s="278"/>
      <c r="T1464" s="278"/>
      <c r="U1464" s="278"/>
      <c r="V1464" s="278"/>
    </row>
    <row r="1465" spans="1:22" x14ac:dyDescent="0.15">
      <c r="A1465" s="278"/>
      <c r="B1465" s="278"/>
      <c r="C1465" s="278"/>
      <c r="D1465" s="278"/>
      <c r="E1465" s="278"/>
      <c r="F1465" s="278"/>
      <c r="G1465" s="278"/>
      <c r="H1465" s="278"/>
      <c r="I1465" s="278"/>
      <c r="J1465" s="278"/>
      <c r="K1465" s="278"/>
      <c r="L1465" s="278"/>
      <c r="M1465" s="278"/>
      <c r="N1465" s="278"/>
      <c r="O1465" s="278"/>
      <c r="P1465" s="278"/>
      <c r="Q1465" s="278"/>
      <c r="R1465" s="278"/>
      <c r="S1465" s="278"/>
      <c r="T1465" s="278"/>
      <c r="U1465" s="278"/>
      <c r="V1465" s="278"/>
    </row>
    <row r="1466" spans="1:22" x14ac:dyDescent="0.15">
      <c r="A1466" s="278"/>
      <c r="B1466" s="278"/>
      <c r="C1466" s="278"/>
      <c r="D1466" s="278"/>
      <c r="E1466" s="278"/>
      <c r="F1466" s="278"/>
      <c r="G1466" s="278"/>
      <c r="H1466" s="278"/>
      <c r="I1466" s="278"/>
      <c r="J1466" s="278"/>
      <c r="K1466" s="278"/>
      <c r="L1466" s="278"/>
      <c r="M1466" s="278"/>
      <c r="N1466" s="278"/>
      <c r="O1466" s="278"/>
      <c r="P1466" s="278"/>
      <c r="Q1466" s="278"/>
      <c r="R1466" s="278"/>
      <c r="S1466" s="278"/>
      <c r="T1466" s="278"/>
      <c r="U1466" s="278"/>
      <c r="V1466" s="278"/>
    </row>
    <row r="1467" spans="1:22" x14ac:dyDescent="0.15">
      <c r="A1467" s="278"/>
      <c r="B1467" s="278"/>
      <c r="C1467" s="278"/>
      <c r="D1467" s="278"/>
      <c r="E1467" s="278"/>
      <c r="F1467" s="278"/>
      <c r="G1467" s="278"/>
      <c r="H1467" s="278"/>
      <c r="I1467" s="278"/>
      <c r="J1467" s="278"/>
      <c r="K1467" s="278"/>
      <c r="L1467" s="278"/>
      <c r="M1467" s="278"/>
      <c r="N1467" s="278"/>
      <c r="O1467" s="278"/>
      <c r="P1467" s="278"/>
      <c r="Q1467" s="278"/>
      <c r="R1467" s="278"/>
      <c r="S1467" s="278"/>
      <c r="T1467" s="278"/>
      <c r="U1467" s="278"/>
      <c r="V1467" s="278"/>
    </row>
    <row r="1468" spans="1:22" x14ac:dyDescent="0.15">
      <c r="A1468" s="278"/>
      <c r="B1468" s="278"/>
      <c r="C1468" s="278"/>
      <c r="D1468" s="278"/>
      <c r="E1468" s="278"/>
      <c r="F1468" s="278"/>
      <c r="G1468" s="278"/>
      <c r="H1468" s="278"/>
      <c r="I1468" s="278"/>
      <c r="J1468" s="278"/>
      <c r="K1468" s="278"/>
      <c r="L1468" s="278"/>
      <c r="M1468" s="278"/>
      <c r="N1468" s="278"/>
      <c r="O1468" s="278"/>
      <c r="P1468" s="278"/>
      <c r="Q1468" s="278"/>
      <c r="R1468" s="278"/>
      <c r="S1468" s="278"/>
      <c r="T1468" s="278"/>
      <c r="U1468" s="278"/>
      <c r="V1468" s="278"/>
    </row>
    <row r="1469" spans="1:22" x14ac:dyDescent="0.15">
      <c r="A1469" s="278"/>
      <c r="B1469" s="278"/>
      <c r="C1469" s="278"/>
      <c r="D1469" s="278"/>
      <c r="E1469" s="278"/>
      <c r="F1469" s="278"/>
      <c r="G1469" s="278"/>
      <c r="H1469" s="278"/>
      <c r="I1469" s="278"/>
      <c r="J1469" s="278"/>
      <c r="K1469" s="278"/>
      <c r="L1469" s="278"/>
      <c r="M1469" s="278"/>
      <c r="N1469" s="278"/>
      <c r="O1469" s="278"/>
      <c r="P1469" s="278"/>
      <c r="Q1469" s="278"/>
      <c r="R1469" s="278"/>
      <c r="S1469" s="278"/>
      <c r="T1469" s="278"/>
      <c r="U1469" s="278"/>
      <c r="V1469" s="278"/>
    </row>
    <row r="1470" spans="1:22" x14ac:dyDescent="0.15">
      <c r="A1470" s="278"/>
      <c r="B1470" s="278"/>
      <c r="C1470" s="278"/>
      <c r="D1470" s="278"/>
      <c r="E1470" s="278"/>
      <c r="F1470" s="278"/>
      <c r="G1470" s="278"/>
      <c r="H1470" s="278"/>
      <c r="I1470" s="278"/>
      <c r="J1470" s="278"/>
      <c r="K1470" s="278"/>
      <c r="L1470" s="278"/>
      <c r="M1470" s="278"/>
      <c r="N1470" s="278"/>
      <c r="O1470" s="278"/>
      <c r="P1470" s="278"/>
      <c r="Q1470" s="278"/>
      <c r="R1470" s="278"/>
      <c r="S1470" s="278"/>
      <c r="T1470" s="278"/>
      <c r="U1470" s="278"/>
      <c r="V1470" s="278"/>
    </row>
    <row r="1471" spans="1:22" x14ac:dyDescent="0.15">
      <c r="A1471" s="278"/>
      <c r="B1471" s="278"/>
      <c r="C1471" s="278"/>
      <c r="D1471" s="278"/>
      <c r="E1471" s="278"/>
      <c r="F1471" s="278"/>
      <c r="G1471" s="278"/>
      <c r="H1471" s="278"/>
      <c r="I1471" s="278"/>
      <c r="J1471" s="278"/>
      <c r="K1471" s="278"/>
      <c r="L1471" s="278"/>
      <c r="M1471" s="278"/>
      <c r="N1471" s="278"/>
      <c r="O1471" s="278"/>
      <c r="P1471" s="278"/>
      <c r="Q1471" s="278"/>
      <c r="R1471" s="278"/>
      <c r="S1471" s="278"/>
      <c r="T1471" s="278"/>
      <c r="U1471" s="278"/>
      <c r="V1471" s="278"/>
    </row>
    <row r="1472" spans="1:22" x14ac:dyDescent="0.15">
      <c r="A1472" s="278"/>
      <c r="B1472" s="278"/>
      <c r="C1472" s="278"/>
      <c r="D1472" s="278"/>
      <c r="E1472" s="278"/>
      <c r="F1472" s="278"/>
      <c r="G1472" s="278"/>
      <c r="H1472" s="278"/>
      <c r="I1472" s="278"/>
      <c r="J1472" s="278"/>
      <c r="K1472" s="278"/>
      <c r="L1472" s="278"/>
      <c r="M1472" s="278"/>
      <c r="N1472" s="278"/>
      <c r="O1472" s="278"/>
      <c r="P1472" s="278"/>
      <c r="Q1472" s="278"/>
      <c r="R1472" s="278"/>
      <c r="S1472" s="278"/>
      <c r="T1472" s="278"/>
      <c r="U1472" s="278"/>
      <c r="V1472" s="278"/>
    </row>
    <row r="1473" spans="1:22" x14ac:dyDescent="0.15">
      <c r="A1473" s="278"/>
      <c r="B1473" s="278"/>
      <c r="C1473" s="278"/>
      <c r="D1473" s="278"/>
      <c r="E1473" s="278"/>
      <c r="F1473" s="278"/>
      <c r="G1473" s="278"/>
      <c r="H1473" s="278"/>
      <c r="I1473" s="278"/>
      <c r="J1473" s="278"/>
      <c r="K1473" s="278"/>
      <c r="L1473" s="278"/>
      <c r="M1473" s="278"/>
      <c r="N1473" s="278"/>
      <c r="O1473" s="278"/>
      <c r="P1473" s="278"/>
      <c r="Q1473" s="278"/>
      <c r="R1473" s="278"/>
      <c r="S1473" s="278"/>
      <c r="T1473" s="278"/>
      <c r="U1473" s="278"/>
      <c r="V1473" s="278"/>
    </row>
    <row r="1474" spans="1:22" x14ac:dyDescent="0.15">
      <c r="A1474" s="278"/>
      <c r="B1474" s="278"/>
      <c r="C1474" s="278"/>
      <c r="D1474" s="278"/>
      <c r="E1474" s="278"/>
      <c r="F1474" s="278"/>
      <c r="G1474" s="278"/>
      <c r="H1474" s="278"/>
      <c r="I1474" s="278"/>
      <c r="J1474" s="278"/>
      <c r="K1474" s="278"/>
      <c r="L1474" s="278"/>
      <c r="M1474" s="278"/>
      <c r="N1474" s="278"/>
      <c r="O1474" s="278"/>
      <c r="P1474" s="278"/>
      <c r="Q1474" s="278"/>
      <c r="R1474" s="278"/>
      <c r="S1474" s="278"/>
      <c r="T1474" s="278"/>
      <c r="U1474" s="278"/>
      <c r="V1474" s="278"/>
    </row>
    <row r="1475" spans="1:22" x14ac:dyDescent="0.15">
      <c r="A1475" s="278"/>
      <c r="B1475" s="278"/>
      <c r="C1475" s="278"/>
      <c r="D1475" s="278"/>
      <c r="E1475" s="278"/>
      <c r="F1475" s="278"/>
      <c r="G1475" s="278"/>
      <c r="H1475" s="278"/>
      <c r="I1475" s="278"/>
      <c r="J1475" s="278"/>
      <c r="K1475" s="278"/>
      <c r="L1475" s="278"/>
      <c r="M1475" s="278"/>
      <c r="N1475" s="278"/>
      <c r="O1475" s="278"/>
      <c r="P1475" s="278"/>
      <c r="Q1475" s="278"/>
      <c r="R1475" s="278"/>
      <c r="S1475" s="278"/>
      <c r="T1475" s="278"/>
      <c r="U1475" s="278"/>
      <c r="V1475" s="278"/>
    </row>
    <row r="1476" spans="1:22" x14ac:dyDescent="0.15">
      <c r="A1476" s="278"/>
      <c r="B1476" s="278"/>
      <c r="C1476" s="278"/>
      <c r="D1476" s="278"/>
      <c r="E1476" s="278"/>
      <c r="F1476" s="278"/>
      <c r="G1476" s="278"/>
      <c r="H1476" s="278"/>
      <c r="I1476" s="278"/>
      <c r="J1476" s="278"/>
      <c r="K1476" s="278"/>
      <c r="L1476" s="278"/>
      <c r="M1476" s="278"/>
      <c r="N1476" s="278"/>
      <c r="O1476" s="278"/>
      <c r="P1476" s="278"/>
      <c r="Q1476" s="278"/>
      <c r="R1476" s="278"/>
      <c r="S1476" s="278"/>
      <c r="T1476" s="278"/>
      <c r="U1476" s="278"/>
      <c r="V1476" s="278"/>
    </row>
    <row r="1477" spans="1:22" x14ac:dyDescent="0.15">
      <c r="A1477" s="278"/>
      <c r="B1477" s="278"/>
      <c r="C1477" s="278"/>
      <c r="D1477" s="278"/>
      <c r="E1477" s="278"/>
      <c r="F1477" s="278"/>
      <c r="G1477" s="278"/>
      <c r="H1477" s="278"/>
      <c r="I1477" s="278"/>
      <c r="J1477" s="278"/>
      <c r="K1477" s="278"/>
      <c r="L1477" s="278"/>
      <c r="M1477" s="278"/>
      <c r="N1477" s="278"/>
      <c r="O1477" s="278"/>
      <c r="P1477" s="278"/>
      <c r="Q1477" s="278"/>
      <c r="R1477" s="278"/>
      <c r="S1477" s="278"/>
      <c r="T1477" s="278"/>
      <c r="U1477" s="278"/>
      <c r="V1477" s="278"/>
    </row>
    <row r="1478" spans="1:22" x14ac:dyDescent="0.15">
      <c r="A1478" s="278"/>
      <c r="B1478" s="278"/>
      <c r="C1478" s="278"/>
      <c r="D1478" s="278"/>
      <c r="E1478" s="278"/>
      <c r="F1478" s="278"/>
      <c r="G1478" s="278"/>
      <c r="H1478" s="278"/>
      <c r="I1478" s="278"/>
      <c r="J1478" s="278"/>
      <c r="K1478" s="278"/>
      <c r="L1478" s="278"/>
      <c r="M1478" s="278"/>
      <c r="N1478" s="278"/>
      <c r="O1478" s="278"/>
      <c r="P1478" s="278"/>
      <c r="Q1478" s="278"/>
      <c r="R1478" s="278"/>
      <c r="S1478" s="278"/>
      <c r="T1478" s="278"/>
      <c r="U1478" s="278"/>
      <c r="V1478" s="278"/>
    </row>
    <row r="1479" spans="1:22" x14ac:dyDescent="0.15">
      <c r="A1479" s="278"/>
      <c r="B1479" s="278"/>
      <c r="C1479" s="278"/>
      <c r="D1479" s="278"/>
      <c r="E1479" s="278"/>
      <c r="F1479" s="278"/>
      <c r="G1479" s="278"/>
      <c r="H1479" s="278"/>
      <c r="I1479" s="278"/>
      <c r="J1479" s="278"/>
      <c r="K1479" s="278"/>
      <c r="L1479" s="278"/>
      <c r="M1479" s="278"/>
      <c r="N1479" s="278"/>
      <c r="O1479" s="278"/>
      <c r="P1479" s="278"/>
      <c r="Q1479" s="278"/>
      <c r="R1479" s="278"/>
      <c r="S1479" s="278"/>
      <c r="T1479" s="278"/>
      <c r="U1479" s="278"/>
      <c r="V1479" s="278"/>
    </row>
    <row r="1480" spans="1:22" x14ac:dyDescent="0.15">
      <c r="A1480" s="278"/>
      <c r="B1480" s="278"/>
      <c r="C1480" s="278"/>
      <c r="D1480" s="278"/>
      <c r="E1480" s="278"/>
      <c r="F1480" s="278"/>
      <c r="G1480" s="278"/>
      <c r="H1480" s="278"/>
      <c r="I1480" s="278"/>
      <c r="J1480" s="278"/>
      <c r="K1480" s="278"/>
      <c r="L1480" s="278"/>
      <c r="M1480" s="278"/>
      <c r="N1480" s="278"/>
      <c r="O1480" s="278"/>
      <c r="P1480" s="278"/>
      <c r="Q1480" s="278"/>
      <c r="R1480" s="278"/>
      <c r="S1480" s="278"/>
      <c r="T1480" s="278"/>
      <c r="U1480" s="278"/>
      <c r="V1480" s="278"/>
    </row>
    <row r="1481" spans="1:22" x14ac:dyDescent="0.15">
      <c r="A1481" s="278"/>
      <c r="B1481" s="278"/>
      <c r="C1481" s="278"/>
      <c r="D1481" s="278"/>
      <c r="E1481" s="278"/>
      <c r="F1481" s="278"/>
      <c r="G1481" s="278"/>
      <c r="H1481" s="278"/>
      <c r="I1481" s="278"/>
      <c r="J1481" s="278"/>
      <c r="K1481" s="278"/>
      <c r="L1481" s="278"/>
      <c r="M1481" s="278"/>
      <c r="N1481" s="278"/>
      <c r="O1481" s="278"/>
      <c r="P1481" s="278"/>
      <c r="Q1481" s="278"/>
      <c r="R1481" s="278"/>
      <c r="S1481" s="278"/>
      <c r="T1481" s="278"/>
      <c r="U1481" s="278"/>
      <c r="V1481" s="278"/>
    </row>
    <row r="1482" spans="1:22" x14ac:dyDescent="0.15">
      <c r="A1482" s="278"/>
      <c r="B1482" s="278"/>
      <c r="C1482" s="278"/>
      <c r="D1482" s="278"/>
      <c r="E1482" s="278"/>
      <c r="F1482" s="278"/>
      <c r="G1482" s="278"/>
      <c r="H1482" s="278"/>
      <c r="I1482" s="278"/>
      <c r="J1482" s="278"/>
      <c r="K1482" s="278"/>
      <c r="L1482" s="278"/>
      <c r="M1482" s="278"/>
      <c r="N1482" s="278"/>
      <c r="O1482" s="278"/>
      <c r="P1482" s="278"/>
      <c r="Q1482" s="278"/>
      <c r="R1482" s="278"/>
      <c r="S1482" s="278"/>
      <c r="T1482" s="278"/>
      <c r="U1482" s="278"/>
      <c r="V1482" s="278"/>
    </row>
    <row r="1483" spans="1:22" x14ac:dyDescent="0.15">
      <c r="A1483" s="278"/>
      <c r="B1483" s="278"/>
      <c r="C1483" s="278"/>
      <c r="D1483" s="278"/>
      <c r="E1483" s="278"/>
      <c r="F1483" s="278"/>
      <c r="G1483" s="278"/>
      <c r="H1483" s="278"/>
      <c r="I1483" s="278"/>
      <c r="J1483" s="278"/>
      <c r="K1483" s="278"/>
      <c r="L1483" s="278"/>
      <c r="M1483" s="278"/>
      <c r="N1483" s="278"/>
      <c r="O1483" s="278"/>
      <c r="P1483" s="278"/>
      <c r="Q1483" s="278"/>
      <c r="R1483" s="278"/>
      <c r="S1483" s="278"/>
      <c r="T1483" s="278"/>
      <c r="U1483" s="278"/>
      <c r="V1483" s="278"/>
    </row>
    <row r="1484" spans="1:22" x14ac:dyDescent="0.15">
      <c r="A1484" s="278"/>
      <c r="B1484" s="278"/>
      <c r="C1484" s="278"/>
      <c r="D1484" s="278"/>
      <c r="E1484" s="278"/>
      <c r="F1484" s="278"/>
      <c r="G1484" s="278"/>
      <c r="H1484" s="278"/>
      <c r="I1484" s="278"/>
      <c r="J1484" s="278"/>
      <c r="K1484" s="278"/>
      <c r="L1484" s="278"/>
      <c r="M1484" s="278"/>
      <c r="N1484" s="278"/>
      <c r="O1484" s="278"/>
      <c r="P1484" s="278"/>
      <c r="Q1484" s="278"/>
      <c r="R1484" s="278"/>
      <c r="S1484" s="278"/>
      <c r="T1484" s="278"/>
      <c r="U1484" s="278"/>
      <c r="V1484" s="278"/>
    </row>
    <row r="1485" spans="1:22" x14ac:dyDescent="0.15">
      <c r="A1485" s="278"/>
      <c r="B1485" s="278"/>
      <c r="C1485" s="278"/>
      <c r="D1485" s="278"/>
      <c r="E1485" s="278"/>
      <c r="F1485" s="278"/>
      <c r="G1485" s="278"/>
      <c r="H1485" s="278"/>
      <c r="I1485" s="278"/>
      <c r="J1485" s="278"/>
      <c r="K1485" s="278"/>
      <c r="L1485" s="278"/>
      <c r="M1485" s="278"/>
      <c r="N1485" s="278"/>
      <c r="O1485" s="278"/>
      <c r="P1485" s="278"/>
      <c r="Q1485" s="278"/>
      <c r="R1485" s="278"/>
      <c r="S1485" s="278"/>
      <c r="T1485" s="278"/>
      <c r="U1485" s="278"/>
      <c r="V1485" s="278"/>
    </row>
    <row r="1486" spans="1:22" x14ac:dyDescent="0.15">
      <c r="A1486" s="278"/>
      <c r="B1486" s="278"/>
      <c r="C1486" s="278"/>
      <c r="D1486" s="278"/>
      <c r="E1486" s="278"/>
      <c r="F1486" s="278"/>
      <c r="G1486" s="278"/>
      <c r="H1486" s="278"/>
      <c r="I1486" s="278"/>
      <c r="J1486" s="278"/>
      <c r="K1486" s="278"/>
      <c r="L1486" s="278"/>
      <c r="M1486" s="278"/>
      <c r="N1486" s="278"/>
      <c r="O1486" s="278"/>
      <c r="P1486" s="278"/>
      <c r="Q1486" s="278"/>
      <c r="R1486" s="278"/>
      <c r="S1486" s="278"/>
      <c r="T1486" s="278"/>
      <c r="U1486" s="278"/>
      <c r="V1486" s="278"/>
    </row>
    <row r="1487" spans="1:22" x14ac:dyDescent="0.15">
      <c r="A1487" s="278"/>
      <c r="B1487" s="278"/>
      <c r="C1487" s="278"/>
      <c r="D1487" s="278"/>
      <c r="E1487" s="278"/>
      <c r="F1487" s="278"/>
      <c r="G1487" s="278"/>
      <c r="H1487" s="278"/>
      <c r="I1487" s="278"/>
      <c r="J1487" s="278"/>
      <c r="K1487" s="278"/>
      <c r="L1487" s="278"/>
      <c r="M1487" s="278"/>
      <c r="N1487" s="278"/>
      <c r="O1487" s="278"/>
      <c r="P1487" s="278"/>
      <c r="Q1487" s="278"/>
      <c r="R1487" s="278"/>
      <c r="S1487" s="278"/>
      <c r="T1487" s="278"/>
      <c r="U1487" s="278"/>
      <c r="V1487" s="278"/>
    </row>
    <row r="1488" spans="1:22" x14ac:dyDescent="0.15">
      <c r="A1488" s="278"/>
      <c r="B1488" s="278"/>
      <c r="C1488" s="278"/>
      <c r="D1488" s="278"/>
      <c r="E1488" s="278"/>
      <c r="F1488" s="278"/>
      <c r="G1488" s="278"/>
      <c r="H1488" s="278"/>
      <c r="I1488" s="278"/>
      <c r="J1488" s="278"/>
      <c r="K1488" s="278"/>
      <c r="L1488" s="278"/>
      <c r="M1488" s="278"/>
      <c r="N1488" s="278"/>
      <c r="O1488" s="278"/>
      <c r="P1488" s="278"/>
      <c r="Q1488" s="278"/>
      <c r="R1488" s="278"/>
      <c r="S1488" s="278"/>
      <c r="T1488" s="278"/>
      <c r="U1488" s="278"/>
      <c r="V1488" s="278"/>
    </row>
    <row r="1489" spans="1:22" x14ac:dyDescent="0.15">
      <c r="A1489" s="278"/>
      <c r="B1489" s="278"/>
      <c r="C1489" s="278"/>
      <c r="D1489" s="278"/>
      <c r="E1489" s="278"/>
      <c r="F1489" s="278"/>
      <c r="G1489" s="278"/>
      <c r="H1489" s="278"/>
      <c r="I1489" s="278"/>
      <c r="J1489" s="278"/>
      <c r="K1489" s="278"/>
      <c r="L1489" s="278"/>
      <c r="M1489" s="278"/>
      <c r="N1489" s="278"/>
      <c r="O1489" s="278"/>
      <c r="P1489" s="278"/>
      <c r="Q1489" s="278"/>
      <c r="R1489" s="278"/>
      <c r="S1489" s="278"/>
      <c r="T1489" s="278"/>
      <c r="U1489" s="278"/>
      <c r="V1489" s="278"/>
    </row>
    <row r="1490" spans="1:22" x14ac:dyDescent="0.15">
      <c r="A1490" s="278"/>
      <c r="B1490" s="278"/>
      <c r="C1490" s="278"/>
      <c r="D1490" s="278"/>
      <c r="E1490" s="278"/>
      <c r="F1490" s="278"/>
      <c r="G1490" s="278"/>
      <c r="H1490" s="278"/>
      <c r="I1490" s="278"/>
      <c r="J1490" s="278"/>
      <c r="K1490" s="278"/>
      <c r="L1490" s="278"/>
      <c r="M1490" s="278"/>
      <c r="N1490" s="278"/>
      <c r="O1490" s="278"/>
      <c r="P1490" s="278"/>
      <c r="Q1490" s="278"/>
      <c r="R1490" s="278"/>
      <c r="S1490" s="278"/>
      <c r="T1490" s="278"/>
      <c r="U1490" s="278"/>
      <c r="V1490" s="278"/>
    </row>
    <row r="1491" spans="1:22" x14ac:dyDescent="0.15">
      <c r="A1491" s="278"/>
      <c r="B1491" s="278"/>
      <c r="C1491" s="278"/>
      <c r="D1491" s="278"/>
      <c r="E1491" s="278"/>
      <c r="F1491" s="278"/>
      <c r="G1491" s="278"/>
      <c r="H1491" s="278"/>
      <c r="I1491" s="278"/>
      <c r="J1491" s="278"/>
      <c r="K1491" s="278"/>
      <c r="L1491" s="278"/>
      <c r="M1491" s="278"/>
      <c r="N1491" s="278"/>
      <c r="O1491" s="278"/>
      <c r="P1491" s="278"/>
      <c r="Q1491" s="278"/>
      <c r="R1491" s="278"/>
      <c r="S1491" s="278"/>
      <c r="T1491" s="278"/>
      <c r="U1491" s="278"/>
      <c r="V1491" s="278"/>
    </row>
    <row r="1492" spans="1:22" x14ac:dyDescent="0.15">
      <c r="A1492" s="278"/>
      <c r="B1492" s="278"/>
      <c r="C1492" s="278"/>
      <c r="D1492" s="278"/>
      <c r="E1492" s="278"/>
      <c r="F1492" s="278"/>
      <c r="G1492" s="278"/>
      <c r="H1492" s="278"/>
      <c r="I1492" s="278"/>
      <c r="J1492" s="278"/>
      <c r="K1492" s="278"/>
      <c r="L1492" s="278"/>
      <c r="M1492" s="278"/>
      <c r="N1492" s="278"/>
      <c r="O1492" s="278"/>
      <c r="P1492" s="278"/>
      <c r="Q1492" s="278"/>
      <c r="R1492" s="278"/>
      <c r="S1492" s="278"/>
      <c r="T1492" s="278"/>
      <c r="U1492" s="278"/>
      <c r="V1492" s="278"/>
    </row>
    <row r="1493" spans="1:22" x14ac:dyDescent="0.15">
      <c r="A1493" s="278"/>
      <c r="B1493" s="278"/>
      <c r="C1493" s="278"/>
      <c r="D1493" s="278"/>
      <c r="E1493" s="278"/>
      <c r="F1493" s="278"/>
      <c r="G1493" s="278"/>
      <c r="H1493" s="278"/>
      <c r="I1493" s="278"/>
      <c r="J1493" s="278"/>
      <c r="K1493" s="278"/>
      <c r="L1493" s="278"/>
      <c r="M1493" s="278"/>
      <c r="N1493" s="278"/>
      <c r="O1493" s="278"/>
      <c r="P1493" s="278"/>
      <c r="Q1493" s="278"/>
      <c r="R1493" s="278"/>
      <c r="S1493" s="278"/>
      <c r="T1493" s="278"/>
      <c r="U1493" s="278"/>
      <c r="V1493" s="278"/>
    </row>
    <row r="1494" spans="1:22" x14ac:dyDescent="0.15">
      <c r="A1494" s="278"/>
      <c r="B1494" s="278"/>
      <c r="C1494" s="278"/>
      <c r="D1494" s="278"/>
      <c r="E1494" s="278"/>
      <c r="F1494" s="278"/>
      <c r="G1494" s="278"/>
      <c r="H1494" s="278"/>
      <c r="I1494" s="278"/>
      <c r="J1494" s="278"/>
      <c r="K1494" s="278"/>
      <c r="L1494" s="278"/>
      <c r="M1494" s="278"/>
      <c r="N1494" s="278"/>
      <c r="O1494" s="278"/>
      <c r="P1494" s="278"/>
      <c r="Q1494" s="278"/>
      <c r="R1494" s="278"/>
      <c r="S1494" s="278"/>
      <c r="T1494" s="278"/>
      <c r="U1494" s="278"/>
      <c r="V1494" s="278"/>
    </row>
    <row r="1495" spans="1:22" x14ac:dyDescent="0.15">
      <c r="A1495" s="278"/>
      <c r="B1495" s="278"/>
      <c r="C1495" s="278"/>
      <c r="D1495" s="278"/>
      <c r="E1495" s="278"/>
      <c r="F1495" s="278"/>
      <c r="G1495" s="278"/>
      <c r="H1495" s="278"/>
      <c r="I1495" s="278"/>
      <c r="J1495" s="278"/>
      <c r="K1495" s="278"/>
      <c r="L1495" s="278"/>
      <c r="M1495" s="278"/>
      <c r="N1495" s="278"/>
      <c r="O1495" s="278"/>
      <c r="P1495" s="278"/>
      <c r="Q1495" s="278"/>
      <c r="R1495" s="278"/>
      <c r="S1495" s="278"/>
      <c r="T1495" s="278"/>
      <c r="U1495" s="278"/>
      <c r="V1495" s="278"/>
    </row>
    <row r="1496" spans="1:22" x14ac:dyDescent="0.15">
      <c r="A1496" s="278"/>
      <c r="B1496" s="278"/>
      <c r="C1496" s="278"/>
      <c r="D1496" s="278"/>
      <c r="E1496" s="278"/>
      <c r="F1496" s="278"/>
      <c r="G1496" s="278"/>
      <c r="H1496" s="278"/>
      <c r="I1496" s="278"/>
      <c r="J1496" s="278"/>
      <c r="K1496" s="278"/>
      <c r="L1496" s="278"/>
      <c r="M1496" s="278"/>
      <c r="N1496" s="278"/>
      <c r="O1496" s="278"/>
      <c r="P1496" s="278"/>
      <c r="Q1496" s="278"/>
      <c r="R1496" s="278"/>
      <c r="S1496" s="278"/>
      <c r="T1496" s="278"/>
      <c r="U1496" s="278"/>
      <c r="V1496" s="278"/>
    </row>
    <row r="1497" spans="1:22" x14ac:dyDescent="0.15">
      <c r="A1497" s="278"/>
      <c r="B1497" s="278"/>
      <c r="C1497" s="278"/>
      <c r="D1497" s="278"/>
      <c r="E1497" s="278"/>
      <c r="F1497" s="278"/>
      <c r="G1497" s="278"/>
      <c r="H1497" s="278"/>
      <c r="I1497" s="278"/>
      <c r="J1497" s="278"/>
      <c r="K1497" s="278"/>
      <c r="L1497" s="278"/>
      <c r="M1497" s="278"/>
      <c r="N1497" s="278"/>
      <c r="O1497" s="278"/>
      <c r="P1497" s="278"/>
      <c r="Q1497" s="278"/>
      <c r="R1497" s="278"/>
      <c r="S1497" s="278"/>
      <c r="T1497" s="278"/>
      <c r="U1497" s="278"/>
      <c r="V1497" s="278"/>
    </row>
    <row r="1498" spans="1:22" x14ac:dyDescent="0.15">
      <c r="A1498" s="278"/>
      <c r="B1498" s="278"/>
      <c r="C1498" s="278"/>
      <c r="D1498" s="278"/>
      <c r="E1498" s="278"/>
      <c r="F1498" s="278"/>
      <c r="G1498" s="278"/>
      <c r="H1498" s="278"/>
      <c r="I1498" s="278"/>
      <c r="J1498" s="278"/>
      <c r="K1498" s="278"/>
      <c r="L1498" s="278"/>
      <c r="M1498" s="278"/>
      <c r="N1498" s="278"/>
      <c r="O1498" s="278"/>
      <c r="P1498" s="278"/>
      <c r="Q1498" s="278"/>
      <c r="R1498" s="278"/>
      <c r="S1498" s="278"/>
      <c r="T1498" s="278"/>
      <c r="U1498" s="278"/>
      <c r="V1498" s="278"/>
    </row>
    <row r="1499" spans="1:22" x14ac:dyDescent="0.15">
      <c r="A1499" s="278"/>
      <c r="B1499" s="278"/>
      <c r="C1499" s="278"/>
      <c r="D1499" s="278"/>
      <c r="E1499" s="278"/>
      <c r="F1499" s="278"/>
      <c r="G1499" s="278"/>
      <c r="H1499" s="278"/>
      <c r="I1499" s="278"/>
      <c r="J1499" s="278"/>
      <c r="K1499" s="278"/>
      <c r="L1499" s="278"/>
      <c r="M1499" s="278"/>
      <c r="N1499" s="278"/>
      <c r="O1499" s="278"/>
      <c r="P1499" s="278"/>
      <c r="Q1499" s="278"/>
      <c r="R1499" s="278"/>
      <c r="S1499" s="278"/>
      <c r="T1499" s="278"/>
      <c r="U1499" s="278"/>
      <c r="V1499" s="278"/>
    </row>
    <row r="1500" spans="1:22" x14ac:dyDescent="0.15">
      <c r="A1500" s="278"/>
      <c r="B1500" s="278"/>
      <c r="C1500" s="278"/>
      <c r="D1500" s="278"/>
      <c r="E1500" s="278"/>
      <c r="F1500" s="278"/>
      <c r="G1500" s="278"/>
      <c r="H1500" s="278"/>
      <c r="I1500" s="278"/>
      <c r="J1500" s="278"/>
      <c r="K1500" s="278"/>
      <c r="L1500" s="278"/>
      <c r="M1500" s="278"/>
      <c r="N1500" s="278"/>
      <c r="O1500" s="278"/>
      <c r="P1500" s="278"/>
      <c r="Q1500" s="278"/>
      <c r="R1500" s="278"/>
      <c r="S1500" s="278"/>
      <c r="T1500" s="278"/>
      <c r="U1500" s="278"/>
      <c r="V1500" s="278"/>
    </row>
    <row r="1501" spans="1:22" x14ac:dyDescent="0.15">
      <c r="A1501" s="278"/>
      <c r="B1501" s="278"/>
      <c r="C1501" s="278"/>
      <c r="D1501" s="278"/>
      <c r="E1501" s="278"/>
      <c r="F1501" s="278"/>
      <c r="G1501" s="278"/>
      <c r="H1501" s="278"/>
      <c r="I1501" s="278"/>
      <c r="J1501" s="278"/>
      <c r="K1501" s="278"/>
      <c r="L1501" s="278"/>
      <c r="M1501" s="278"/>
      <c r="N1501" s="278"/>
      <c r="O1501" s="278"/>
      <c r="P1501" s="278"/>
      <c r="Q1501" s="278"/>
      <c r="R1501" s="278"/>
      <c r="S1501" s="278"/>
      <c r="T1501" s="278"/>
      <c r="U1501" s="278"/>
      <c r="V1501" s="278"/>
    </row>
    <row r="1502" spans="1:22" x14ac:dyDescent="0.15">
      <c r="A1502" s="278"/>
      <c r="B1502" s="278"/>
      <c r="C1502" s="278"/>
      <c r="D1502" s="278"/>
      <c r="E1502" s="278"/>
      <c r="F1502" s="278"/>
      <c r="G1502" s="278"/>
      <c r="H1502" s="278"/>
      <c r="I1502" s="278"/>
      <c r="J1502" s="278"/>
      <c r="K1502" s="278"/>
      <c r="L1502" s="278"/>
      <c r="M1502" s="278"/>
      <c r="N1502" s="278"/>
      <c r="O1502" s="278"/>
      <c r="P1502" s="278"/>
      <c r="Q1502" s="278"/>
      <c r="R1502" s="278"/>
      <c r="S1502" s="278"/>
      <c r="T1502" s="278"/>
      <c r="U1502" s="278"/>
      <c r="V1502" s="278"/>
    </row>
    <row r="1503" spans="1:22" x14ac:dyDescent="0.15">
      <c r="A1503" s="278"/>
      <c r="B1503" s="278"/>
      <c r="C1503" s="278"/>
      <c r="D1503" s="278"/>
      <c r="E1503" s="278"/>
      <c r="F1503" s="278"/>
      <c r="G1503" s="278"/>
      <c r="H1503" s="278"/>
      <c r="I1503" s="278"/>
      <c r="J1503" s="278"/>
      <c r="K1503" s="278"/>
      <c r="L1503" s="278"/>
      <c r="M1503" s="278"/>
      <c r="N1503" s="278"/>
      <c r="O1503" s="278"/>
      <c r="P1503" s="278"/>
      <c r="Q1503" s="278"/>
      <c r="R1503" s="278"/>
      <c r="S1503" s="278"/>
      <c r="T1503" s="278"/>
      <c r="U1503" s="278"/>
      <c r="V1503" s="278"/>
    </row>
    <row r="1504" spans="1:22" x14ac:dyDescent="0.15">
      <c r="A1504" s="278"/>
      <c r="B1504" s="278"/>
      <c r="C1504" s="278"/>
      <c r="D1504" s="278"/>
      <c r="E1504" s="278"/>
      <c r="F1504" s="278"/>
      <c r="G1504" s="278"/>
      <c r="H1504" s="278"/>
      <c r="I1504" s="278"/>
      <c r="J1504" s="278"/>
      <c r="K1504" s="278"/>
      <c r="L1504" s="278"/>
      <c r="M1504" s="278"/>
      <c r="N1504" s="278"/>
      <c r="O1504" s="278"/>
      <c r="P1504" s="278"/>
      <c r="Q1504" s="278"/>
      <c r="R1504" s="278"/>
      <c r="S1504" s="278"/>
      <c r="T1504" s="278"/>
      <c r="U1504" s="278"/>
      <c r="V1504" s="278"/>
    </row>
    <row r="1505" spans="1:22" x14ac:dyDescent="0.15">
      <c r="A1505" s="278"/>
      <c r="B1505" s="278"/>
      <c r="C1505" s="278"/>
      <c r="D1505" s="278"/>
      <c r="E1505" s="278"/>
      <c r="F1505" s="278"/>
      <c r="G1505" s="278"/>
      <c r="H1505" s="278"/>
      <c r="I1505" s="278"/>
      <c r="J1505" s="278"/>
      <c r="K1505" s="278"/>
      <c r="L1505" s="278"/>
      <c r="M1505" s="278"/>
      <c r="N1505" s="278"/>
      <c r="O1505" s="278"/>
      <c r="P1505" s="278"/>
      <c r="Q1505" s="278"/>
      <c r="R1505" s="278"/>
      <c r="S1505" s="278"/>
      <c r="T1505" s="278"/>
      <c r="U1505" s="278"/>
      <c r="V1505" s="278"/>
    </row>
    <row r="1506" spans="1:22" x14ac:dyDescent="0.15">
      <c r="A1506" s="278"/>
      <c r="B1506" s="278"/>
      <c r="C1506" s="278"/>
      <c r="D1506" s="278"/>
      <c r="E1506" s="278"/>
      <c r="F1506" s="278"/>
      <c r="G1506" s="278"/>
      <c r="H1506" s="278"/>
      <c r="I1506" s="278"/>
      <c r="J1506" s="278"/>
      <c r="K1506" s="278"/>
      <c r="L1506" s="278"/>
      <c r="M1506" s="278"/>
      <c r="N1506" s="278"/>
      <c r="O1506" s="278"/>
      <c r="P1506" s="278"/>
      <c r="Q1506" s="278"/>
      <c r="R1506" s="278"/>
      <c r="S1506" s="278"/>
      <c r="T1506" s="278"/>
      <c r="U1506" s="278"/>
      <c r="V1506" s="278"/>
    </row>
    <row r="1507" spans="1:22" x14ac:dyDescent="0.15">
      <c r="A1507" s="278"/>
      <c r="B1507" s="278"/>
      <c r="C1507" s="278"/>
      <c r="D1507" s="278"/>
      <c r="E1507" s="278"/>
      <c r="F1507" s="278"/>
      <c r="G1507" s="278"/>
      <c r="H1507" s="278"/>
      <c r="I1507" s="278"/>
      <c r="J1507" s="278"/>
      <c r="K1507" s="278"/>
      <c r="L1507" s="278"/>
      <c r="M1507" s="278"/>
      <c r="N1507" s="278"/>
      <c r="O1507" s="278"/>
      <c r="P1507" s="278"/>
      <c r="Q1507" s="278"/>
      <c r="R1507" s="278"/>
      <c r="S1507" s="278"/>
      <c r="T1507" s="278"/>
      <c r="U1507" s="278"/>
      <c r="V1507" s="278"/>
    </row>
    <row r="1508" spans="1:22" x14ac:dyDescent="0.15">
      <c r="A1508" s="278"/>
      <c r="B1508" s="278"/>
      <c r="C1508" s="278"/>
      <c r="D1508" s="278"/>
      <c r="E1508" s="278"/>
      <c r="F1508" s="278"/>
      <c r="G1508" s="278"/>
      <c r="H1508" s="278"/>
      <c r="I1508" s="278"/>
      <c r="J1508" s="278"/>
      <c r="K1508" s="278"/>
      <c r="L1508" s="278"/>
      <c r="M1508" s="278"/>
      <c r="N1508" s="278"/>
      <c r="O1508" s="278"/>
      <c r="P1508" s="278"/>
      <c r="Q1508" s="278"/>
      <c r="R1508" s="278"/>
      <c r="S1508" s="278"/>
      <c r="T1508" s="278"/>
      <c r="U1508" s="278"/>
      <c r="V1508" s="278"/>
    </row>
    <row r="1509" spans="1:22" x14ac:dyDescent="0.15">
      <c r="A1509" s="278"/>
      <c r="B1509" s="278"/>
      <c r="C1509" s="278"/>
      <c r="D1509" s="278"/>
      <c r="E1509" s="278"/>
      <c r="F1509" s="278"/>
      <c r="G1509" s="278"/>
      <c r="H1509" s="278"/>
      <c r="I1509" s="278"/>
      <c r="J1509" s="278"/>
      <c r="K1509" s="278"/>
      <c r="L1509" s="278"/>
      <c r="M1509" s="278"/>
      <c r="N1509" s="278"/>
      <c r="O1509" s="278"/>
      <c r="P1509" s="278"/>
      <c r="Q1509" s="278"/>
      <c r="R1509" s="278"/>
      <c r="S1509" s="278"/>
      <c r="T1509" s="278"/>
      <c r="U1509" s="278"/>
      <c r="V1509" s="278"/>
    </row>
    <row r="1510" spans="1:22" x14ac:dyDescent="0.15">
      <c r="A1510" s="278"/>
      <c r="B1510" s="278"/>
      <c r="C1510" s="278"/>
      <c r="D1510" s="278"/>
      <c r="E1510" s="278"/>
      <c r="F1510" s="278"/>
      <c r="G1510" s="278"/>
      <c r="H1510" s="278"/>
      <c r="I1510" s="278"/>
      <c r="J1510" s="278"/>
      <c r="K1510" s="278"/>
      <c r="L1510" s="278"/>
      <c r="M1510" s="278"/>
      <c r="N1510" s="278"/>
      <c r="O1510" s="278"/>
      <c r="P1510" s="278"/>
      <c r="Q1510" s="278"/>
      <c r="R1510" s="278"/>
      <c r="S1510" s="278"/>
      <c r="T1510" s="278"/>
      <c r="U1510" s="278"/>
      <c r="V1510" s="278"/>
    </row>
    <row r="1511" spans="1:22" x14ac:dyDescent="0.15">
      <c r="A1511" s="278"/>
      <c r="B1511" s="278"/>
      <c r="C1511" s="278"/>
      <c r="D1511" s="278"/>
      <c r="E1511" s="278"/>
      <c r="F1511" s="278"/>
      <c r="G1511" s="278"/>
      <c r="H1511" s="278"/>
      <c r="I1511" s="278"/>
      <c r="J1511" s="278"/>
      <c r="K1511" s="278"/>
      <c r="L1511" s="278"/>
      <c r="M1511" s="278"/>
      <c r="N1511" s="278"/>
      <c r="O1511" s="278"/>
      <c r="P1511" s="278"/>
      <c r="Q1511" s="278"/>
      <c r="R1511" s="278"/>
      <c r="S1511" s="278"/>
      <c r="T1511" s="278"/>
      <c r="U1511" s="278"/>
      <c r="V1511" s="278"/>
    </row>
    <row r="1512" spans="1:22" x14ac:dyDescent="0.15">
      <c r="A1512" s="278"/>
      <c r="B1512" s="278"/>
      <c r="C1512" s="278"/>
      <c r="D1512" s="278"/>
      <c r="E1512" s="278"/>
      <c r="F1512" s="278"/>
      <c r="G1512" s="278"/>
      <c r="H1512" s="278"/>
      <c r="I1512" s="278"/>
      <c r="J1512" s="278"/>
      <c r="K1512" s="278"/>
      <c r="L1512" s="278"/>
      <c r="M1512" s="278"/>
      <c r="N1512" s="278"/>
      <c r="O1512" s="278"/>
      <c r="P1512" s="278"/>
      <c r="Q1512" s="278"/>
      <c r="R1512" s="278"/>
      <c r="S1512" s="278"/>
      <c r="T1512" s="278"/>
      <c r="U1512" s="278"/>
      <c r="V1512" s="278"/>
    </row>
    <row r="1513" spans="1:22" x14ac:dyDescent="0.15">
      <c r="A1513" s="278"/>
      <c r="B1513" s="278"/>
      <c r="C1513" s="278"/>
      <c r="D1513" s="278"/>
      <c r="E1513" s="278"/>
      <c r="F1513" s="278"/>
      <c r="G1513" s="278"/>
      <c r="H1513" s="278"/>
      <c r="I1513" s="278"/>
      <c r="J1513" s="278"/>
      <c r="K1513" s="278"/>
      <c r="L1513" s="278"/>
      <c r="M1513" s="278"/>
      <c r="N1513" s="278"/>
      <c r="O1513" s="278"/>
      <c r="P1513" s="278"/>
      <c r="Q1513" s="278"/>
      <c r="R1513" s="278"/>
      <c r="S1513" s="278"/>
      <c r="T1513" s="278"/>
      <c r="U1513" s="278"/>
      <c r="V1513" s="278"/>
    </row>
    <row r="1514" spans="1:22" x14ac:dyDescent="0.15">
      <c r="A1514" s="278"/>
      <c r="B1514" s="278"/>
      <c r="C1514" s="278"/>
      <c r="D1514" s="278"/>
      <c r="E1514" s="278"/>
      <c r="F1514" s="278"/>
      <c r="G1514" s="278"/>
      <c r="H1514" s="278"/>
      <c r="I1514" s="278"/>
      <c r="J1514" s="278"/>
      <c r="K1514" s="278"/>
      <c r="L1514" s="278"/>
      <c r="M1514" s="278"/>
      <c r="N1514" s="278"/>
      <c r="O1514" s="278"/>
      <c r="P1514" s="278"/>
      <c r="Q1514" s="278"/>
      <c r="R1514" s="278"/>
      <c r="S1514" s="278"/>
      <c r="T1514" s="278"/>
      <c r="U1514" s="278"/>
      <c r="V1514" s="278"/>
    </row>
    <row r="1515" spans="1:22" x14ac:dyDescent="0.15">
      <c r="A1515" s="278"/>
      <c r="B1515" s="278"/>
      <c r="C1515" s="278"/>
      <c r="D1515" s="278"/>
      <c r="E1515" s="278"/>
      <c r="F1515" s="278"/>
      <c r="G1515" s="278"/>
      <c r="H1515" s="278"/>
      <c r="I1515" s="278"/>
      <c r="J1515" s="278"/>
      <c r="K1515" s="278"/>
      <c r="L1515" s="278"/>
      <c r="M1515" s="278"/>
      <c r="N1515" s="278"/>
      <c r="O1515" s="278"/>
      <c r="P1515" s="278"/>
      <c r="Q1515" s="278"/>
      <c r="R1515" s="278"/>
      <c r="S1515" s="278"/>
      <c r="T1515" s="278"/>
      <c r="U1515" s="278"/>
      <c r="V1515" s="278"/>
    </row>
    <row r="1516" spans="1:22" x14ac:dyDescent="0.15">
      <c r="A1516" s="278"/>
      <c r="B1516" s="278"/>
      <c r="C1516" s="278"/>
      <c r="D1516" s="278"/>
      <c r="E1516" s="278"/>
      <c r="F1516" s="278"/>
      <c r="G1516" s="278"/>
      <c r="H1516" s="278"/>
      <c r="I1516" s="278"/>
      <c r="J1516" s="278"/>
      <c r="K1516" s="278"/>
      <c r="L1516" s="278"/>
      <c r="M1516" s="278"/>
      <c r="N1516" s="278"/>
      <c r="O1516" s="278"/>
      <c r="P1516" s="278"/>
      <c r="Q1516" s="278"/>
      <c r="R1516" s="278"/>
      <c r="S1516" s="278"/>
      <c r="T1516" s="278"/>
      <c r="U1516" s="278"/>
      <c r="V1516" s="278"/>
    </row>
    <row r="1517" spans="1:22" x14ac:dyDescent="0.15">
      <c r="A1517" s="278"/>
      <c r="B1517" s="278"/>
      <c r="C1517" s="278"/>
      <c r="D1517" s="278"/>
      <c r="E1517" s="278"/>
      <c r="F1517" s="278"/>
      <c r="G1517" s="278"/>
      <c r="H1517" s="278"/>
      <c r="I1517" s="278"/>
      <c r="J1517" s="278"/>
      <c r="K1517" s="278"/>
      <c r="L1517" s="278"/>
      <c r="M1517" s="278"/>
      <c r="N1517" s="278"/>
      <c r="O1517" s="278"/>
      <c r="P1517" s="278"/>
      <c r="Q1517" s="278"/>
      <c r="R1517" s="278"/>
      <c r="S1517" s="278"/>
      <c r="T1517" s="278"/>
      <c r="U1517" s="278"/>
      <c r="V1517" s="278"/>
    </row>
    <row r="1518" spans="1:22" x14ac:dyDescent="0.15">
      <c r="A1518" s="278"/>
      <c r="B1518" s="278"/>
      <c r="C1518" s="278"/>
      <c r="D1518" s="278"/>
      <c r="E1518" s="278"/>
      <c r="F1518" s="278"/>
      <c r="G1518" s="278"/>
      <c r="H1518" s="278"/>
      <c r="I1518" s="278"/>
      <c r="J1518" s="278"/>
      <c r="K1518" s="278"/>
      <c r="L1518" s="278"/>
      <c r="M1518" s="278"/>
      <c r="N1518" s="278"/>
      <c r="O1518" s="278"/>
      <c r="P1518" s="278"/>
      <c r="Q1518" s="278"/>
      <c r="R1518" s="278"/>
      <c r="S1518" s="278"/>
      <c r="T1518" s="278"/>
      <c r="U1518" s="278"/>
      <c r="V1518" s="278"/>
    </row>
    <row r="1519" spans="1:22" x14ac:dyDescent="0.15">
      <c r="A1519" s="278"/>
      <c r="B1519" s="278"/>
      <c r="C1519" s="278"/>
      <c r="D1519" s="278"/>
      <c r="E1519" s="278"/>
      <c r="F1519" s="278"/>
      <c r="G1519" s="278"/>
      <c r="H1519" s="278"/>
      <c r="I1519" s="278"/>
      <c r="J1519" s="278"/>
      <c r="K1519" s="278"/>
      <c r="L1519" s="278"/>
      <c r="M1519" s="278"/>
      <c r="N1519" s="278"/>
      <c r="O1519" s="278"/>
      <c r="P1519" s="278"/>
      <c r="Q1519" s="278"/>
      <c r="R1519" s="278"/>
      <c r="S1519" s="278"/>
      <c r="T1519" s="278"/>
      <c r="U1519" s="278"/>
      <c r="V1519" s="278"/>
    </row>
    <row r="1520" spans="1:22" x14ac:dyDescent="0.15">
      <c r="A1520" s="278"/>
      <c r="B1520" s="278"/>
      <c r="C1520" s="278"/>
      <c r="D1520" s="278"/>
      <c r="E1520" s="278"/>
      <c r="F1520" s="278"/>
      <c r="G1520" s="278"/>
      <c r="H1520" s="278"/>
      <c r="I1520" s="278"/>
      <c r="J1520" s="278"/>
      <c r="K1520" s="278"/>
      <c r="L1520" s="278"/>
      <c r="M1520" s="278"/>
      <c r="N1520" s="278"/>
      <c r="O1520" s="278"/>
      <c r="P1520" s="278"/>
      <c r="Q1520" s="278"/>
      <c r="R1520" s="278"/>
      <c r="S1520" s="278"/>
      <c r="T1520" s="278"/>
      <c r="U1520" s="278"/>
      <c r="V1520" s="278"/>
    </row>
    <row r="1521" spans="1:22" x14ac:dyDescent="0.15">
      <c r="A1521" s="278"/>
      <c r="B1521" s="278"/>
      <c r="C1521" s="278"/>
      <c r="D1521" s="278"/>
      <c r="E1521" s="278"/>
      <c r="F1521" s="278"/>
      <c r="G1521" s="278"/>
      <c r="H1521" s="278"/>
      <c r="I1521" s="278"/>
      <c r="J1521" s="278"/>
      <c r="K1521" s="278"/>
      <c r="L1521" s="278"/>
      <c r="M1521" s="278"/>
      <c r="N1521" s="278"/>
      <c r="O1521" s="278"/>
      <c r="P1521" s="278"/>
      <c r="Q1521" s="278"/>
      <c r="R1521" s="278"/>
      <c r="S1521" s="278"/>
      <c r="T1521" s="278"/>
      <c r="U1521" s="278"/>
      <c r="V1521" s="278"/>
    </row>
    <row r="1522" spans="1:22" x14ac:dyDescent="0.15">
      <c r="A1522" s="278"/>
      <c r="B1522" s="278"/>
      <c r="C1522" s="278"/>
      <c r="D1522" s="278"/>
      <c r="E1522" s="278"/>
      <c r="F1522" s="278"/>
      <c r="G1522" s="278"/>
      <c r="H1522" s="278"/>
      <c r="I1522" s="278"/>
      <c r="J1522" s="278"/>
      <c r="K1522" s="278"/>
      <c r="L1522" s="278"/>
      <c r="M1522" s="278"/>
      <c r="N1522" s="278"/>
      <c r="O1522" s="278"/>
      <c r="P1522" s="278"/>
      <c r="Q1522" s="278"/>
      <c r="R1522" s="278"/>
      <c r="S1522" s="278"/>
      <c r="T1522" s="278"/>
      <c r="U1522" s="278"/>
      <c r="V1522" s="278"/>
    </row>
    <row r="1523" spans="1:22" x14ac:dyDescent="0.15">
      <c r="A1523" s="278"/>
      <c r="B1523" s="278"/>
      <c r="C1523" s="278"/>
      <c r="D1523" s="278"/>
      <c r="E1523" s="278"/>
      <c r="F1523" s="278"/>
      <c r="G1523" s="278"/>
      <c r="H1523" s="278"/>
      <c r="I1523" s="278"/>
      <c r="J1523" s="278"/>
      <c r="K1523" s="278"/>
      <c r="L1523" s="278"/>
      <c r="M1523" s="278"/>
      <c r="N1523" s="278"/>
      <c r="O1523" s="278"/>
      <c r="P1523" s="278"/>
      <c r="Q1523" s="278"/>
      <c r="R1523" s="278"/>
      <c r="S1523" s="278"/>
      <c r="T1523" s="278"/>
      <c r="U1523" s="278"/>
      <c r="V1523" s="278"/>
    </row>
    <row r="1524" spans="1:22" x14ac:dyDescent="0.15">
      <c r="A1524" s="278"/>
      <c r="B1524" s="278"/>
      <c r="C1524" s="278"/>
      <c r="D1524" s="278"/>
      <c r="E1524" s="278"/>
      <c r="F1524" s="278"/>
      <c r="G1524" s="278"/>
      <c r="H1524" s="278"/>
      <c r="I1524" s="278"/>
      <c r="J1524" s="278"/>
      <c r="K1524" s="278"/>
      <c r="L1524" s="278"/>
      <c r="M1524" s="278"/>
      <c r="N1524" s="278"/>
      <c r="O1524" s="278"/>
      <c r="P1524" s="278"/>
      <c r="Q1524" s="278"/>
      <c r="R1524" s="278"/>
      <c r="S1524" s="278"/>
      <c r="T1524" s="278"/>
      <c r="U1524" s="278"/>
      <c r="V1524" s="278"/>
    </row>
    <row r="1525" spans="1:22" x14ac:dyDescent="0.15">
      <c r="A1525" s="278"/>
      <c r="B1525" s="278"/>
      <c r="C1525" s="278"/>
      <c r="D1525" s="278"/>
      <c r="E1525" s="278"/>
      <c r="F1525" s="278"/>
      <c r="G1525" s="278"/>
      <c r="H1525" s="278"/>
      <c r="I1525" s="278"/>
      <c r="J1525" s="278"/>
      <c r="K1525" s="278"/>
      <c r="L1525" s="278"/>
      <c r="M1525" s="278"/>
      <c r="N1525" s="278"/>
      <c r="O1525" s="278"/>
      <c r="P1525" s="278"/>
      <c r="Q1525" s="278"/>
      <c r="R1525" s="278"/>
      <c r="S1525" s="278"/>
      <c r="T1525" s="278"/>
      <c r="U1525" s="278"/>
      <c r="V1525" s="278"/>
    </row>
    <row r="1526" spans="1:22" x14ac:dyDescent="0.15">
      <c r="A1526" s="278"/>
      <c r="B1526" s="278"/>
      <c r="C1526" s="278"/>
      <c r="D1526" s="278"/>
      <c r="E1526" s="278"/>
      <c r="F1526" s="278"/>
      <c r="G1526" s="278"/>
      <c r="H1526" s="278"/>
      <c r="I1526" s="278"/>
      <c r="J1526" s="278"/>
      <c r="K1526" s="278"/>
      <c r="L1526" s="278"/>
      <c r="M1526" s="278"/>
      <c r="N1526" s="278"/>
      <c r="O1526" s="278"/>
      <c r="P1526" s="278"/>
      <c r="Q1526" s="278"/>
      <c r="R1526" s="278"/>
      <c r="S1526" s="278"/>
      <c r="T1526" s="278"/>
      <c r="U1526" s="278"/>
      <c r="V1526" s="278"/>
    </row>
    <row r="1527" spans="1:22" x14ac:dyDescent="0.15">
      <c r="A1527" s="278"/>
      <c r="B1527" s="278"/>
      <c r="C1527" s="278"/>
      <c r="D1527" s="278"/>
      <c r="E1527" s="278"/>
      <c r="F1527" s="278"/>
      <c r="G1527" s="278"/>
      <c r="H1527" s="278"/>
      <c r="I1527" s="278"/>
      <c r="J1527" s="278"/>
      <c r="K1527" s="278"/>
      <c r="L1527" s="278"/>
      <c r="M1527" s="278"/>
      <c r="N1527" s="278"/>
      <c r="O1527" s="278"/>
      <c r="P1527" s="278"/>
      <c r="Q1527" s="278"/>
      <c r="R1527" s="278"/>
      <c r="S1527" s="278"/>
      <c r="T1527" s="278"/>
      <c r="U1527" s="278"/>
      <c r="V1527" s="278"/>
    </row>
    <row r="1528" spans="1:22" x14ac:dyDescent="0.15">
      <c r="A1528" s="278"/>
      <c r="B1528" s="278"/>
      <c r="C1528" s="278"/>
      <c r="D1528" s="278"/>
      <c r="E1528" s="278"/>
      <c r="F1528" s="278"/>
      <c r="G1528" s="278"/>
      <c r="H1528" s="278"/>
      <c r="I1528" s="278"/>
      <c r="J1528" s="278"/>
      <c r="K1528" s="278"/>
      <c r="L1528" s="278"/>
      <c r="M1528" s="278"/>
      <c r="N1528" s="278"/>
      <c r="O1528" s="278"/>
      <c r="P1528" s="278"/>
      <c r="Q1528" s="278"/>
      <c r="R1528" s="278"/>
      <c r="S1528" s="278"/>
      <c r="T1528" s="278"/>
      <c r="U1528" s="278"/>
      <c r="V1528" s="278"/>
    </row>
    <row r="1529" spans="1:22" x14ac:dyDescent="0.15">
      <c r="A1529" s="278"/>
      <c r="B1529" s="278"/>
      <c r="C1529" s="278"/>
      <c r="D1529" s="278"/>
      <c r="E1529" s="278"/>
      <c r="F1529" s="278"/>
      <c r="G1529" s="278"/>
      <c r="H1529" s="278"/>
      <c r="I1529" s="278"/>
      <c r="J1529" s="278"/>
      <c r="K1529" s="278"/>
      <c r="L1529" s="278"/>
      <c r="M1529" s="278"/>
      <c r="N1529" s="278"/>
      <c r="O1529" s="278"/>
      <c r="P1529" s="278"/>
      <c r="Q1529" s="278"/>
      <c r="R1529" s="278"/>
      <c r="S1529" s="278"/>
      <c r="T1529" s="278"/>
      <c r="U1529" s="278"/>
      <c r="V1529" s="278"/>
    </row>
    <row r="1530" spans="1:22" x14ac:dyDescent="0.15">
      <c r="A1530" s="278"/>
      <c r="B1530" s="278"/>
      <c r="C1530" s="278"/>
      <c r="D1530" s="278"/>
      <c r="E1530" s="278"/>
      <c r="F1530" s="278"/>
      <c r="G1530" s="278"/>
      <c r="H1530" s="278"/>
      <c r="I1530" s="278"/>
      <c r="J1530" s="278"/>
      <c r="K1530" s="278"/>
      <c r="L1530" s="278"/>
      <c r="M1530" s="278"/>
      <c r="N1530" s="278"/>
      <c r="O1530" s="278"/>
      <c r="P1530" s="278"/>
      <c r="Q1530" s="278"/>
      <c r="R1530" s="278"/>
      <c r="S1530" s="278"/>
      <c r="T1530" s="278"/>
      <c r="U1530" s="278"/>
      <c r="V1530" s="278"/>
    </row>
    <row r="1531" spans="1:22" x14ac:dyDescent="0.15">
      <c r="A1531" s="278"/>
      <c r="B1531" s="278"/>
      <c r="C1531" s="278"/>
      <c r="D1531" s="278"/>
      <c r="E1531" s="278"/>
      <c r="F1531" s="278"/>
      <c r="G1531" s="278"/>
      <c r="H1531" s="278"/>
      <c r="I1531" s="278"/>
      <c r="J1531" s="278"/>
      <c r="K1531" s="278"/>
      <c r="L1531" s="278"/>
      <c r="M1531" s="278"/>
      <c r="N1531" s="278"/>
      <c r="O1531" s="278"/>
      <c r="P1531" s="278"/>
      <c r="Q1531" s="278"/>
      <c r="R1531" s="278"/>
      <c r="S1531" s="278"/>
      <c r="T1531" s="278"/>
      <c r="U1531" s="278"/>
      <c r="V1531" s="278"/>
    </row>
    <row r="1532" spans="1:22" x14ac:dyDescent="0.15">
      <c r="A1532" s="278"/>
      <c r="B1532" s="278"/>
      <c r="C1532" s="278"/>
      <c r="D1532" s="278"/>
      <c r="E1532" s="278"/>
      <c r="F1532" s="278"/>
      <c r="G1532" s="278"/>
      <c r="H1532" s="278"/>
      <c r="I1532" s="278"/>
      <c r="J1532" s="278"/>
      <c r="K1532" s="278"/>
      <c r="L1532" s="278"/>
      <c r="M1532" s="278"/>
      <c r="N1532" s="278"/>
      <c r="O1532" s="278"/>
      <c r="P1532" s="278"/>
      <c r="Q1532" s="278"/>
      <c r="R1532" s="278"/>
      <c r="S1532" s="278"/>
      <c r="T1532" s="278"/>
      <c r="U1532" s="278"/>
      <c r="V1532" s="278"/>
    </row>
    <row r="1533" spans="1:22" x14ac:dyDescent="0.15">
      <c r="A1533" s="278"/>
      <c r="B1533" s="278"/>
      <c r="C1533" s="278"/>
      <c r="D1533" s="278"/>
      <c r="E1533" s="278"/>
      <c r="F1533" s="278"/>
      <c r="G1533" s="278"/>
      <c r="H1533" s="278"/>
      <c r="I1533" s="278"/>
      <c r="J1533" s="278"/>
      <c r="K1533" s="278"/>
      <c r="L1533" s="278"/>
      <c r="M1533" s="278"/>
      <c r="N1533" s="278"/>
      <c r="O1533" s="278"/>
      <c r="P1533" s="278"/>
      <c r="Q1533" s="278"/>
      <c r="R1533" s="278"/>
      <c r="S1533" s="278"/>
      <c r="T1533" s="278"/>
      <c r="U1533" s="278"/>
      <c r="V1533" s="278"/>
    </row>
    <row r="1534" spans="1:22" x14ac:dyDescent="0.15">
      <c r="A1534" s="278"/>
      <c r="B1534" s="278"/>
      <c r="C1534" s="278"/>
      <c r="D1534" s="278"/>
      <c r="E1534" s="278"/>
      <c r="F1534" s="278"/>
      <c r="G1534" s="278"/>
      <c r="H1534" s="278"/>
      <c r="I1534" s="278"/>
      <c r="J1534" s="278"/>
      <c r="K1534" s="278"/>
      <c r="L1534" s="278"/>
      <c r="M1534" s="278"/>
      <c r="N1534" s="278"/>
      <c r="O1534" s="278"/>
      <c r="P1534" s="278"/>
      <c r="Q1534" s="278"/>
      <c r="R1534" s="278"/>
      <c r="S1534" s="278"/>
      <c r="T1534" s="278"/>
      <c r="U1534" s="278"/>
      <c r="V1534" s="278"/>
    </row>
    <row r="1535" spans="1:22" x14ac:dyDescent="0.15">
      <c r="A1535" s="278"/>
      <c r="B1535" s="278"/>
      <c r="C1535" s="278"/>
      <c r="D1535" s="278"/>
      <c r="E1535" s="278"/>
      <c r="F1535" s="278"/>
      <c r="G1535" s="278"/>
      <c r="H1535" s="278"/>
      <c r="I1535" s="278"/>
      <c r="J1535" s="278"/>
      <c r="K1535" s="278"/>
      <c r="L1535" s="278"/>
      <c r="M1535" s="278"/>
      <c r="N1535" s="278"/>
      <c r="O1535" s="278"/>
      <c r="P1535" s="278"/>
      <c r="Q1535" s="278"/>
      <c r="R1535" s="278"/>
      <c r="S1535" s="278"/>
      <c r="T1535" s="278"/>
      <c r="U1535" s="278"/>
      <c r="V1535" s="278"/>
    </row>
    <row r="1536" spans="1:22" x14ac:dyDescent="0.15">
      <c r="A1536" s="278"/>
      <c r="B1536" s="278"/>
      <c r="C1536" s="278"/>
      <c r="D1536" s="278"/>
      <c r="E1536" s="278"/>
      <c r="F1536" s="278"/>
      <c r="G1536" s="278"/>
      <c r="H1536" s="278"/>
      <c r="I1536" s="278"/>
      <c r="J1536" s="278"/>
      <c r="K1536" s="278"/>
      <c r="L1536" s="278"/>
      <c r="M1536" s="278"/>
      <c r="N1536" s="278"/>
      <c r="O1536" s="278"/>
      <c r="P1536" s="278"/>
      <c r="Q1536" s="278"/>
      <c r="R1536" s="278"/>
      <c r="S1536" s="278"/>
      <c r="T1536" s="278"/>
      <c r="U1536" s="278"/>
      <c r="V1536" s="278"/>
    </row>
    <row r="1537" spans="1:22" x14ac:dyDescent="0.15">
      <c r="A1537" s="278"/>
      <c r="B1537" s="278"/>
      <c r="C1537" s="278"/>
      <c r="D1537" s="278"/>
      <c r="E1537" s="278"/>
      <c r="F1537" s="278"/>
      <c r="G1537" s="278"/>
      <c r="H1537" s="278"/>
      <c r="I1537" s="278"/>
      <c r="J1537" s="278"/>
      <c r="K1537" s="278"/>
      <c r="L1537" s="278"/>
      <c r="M1537" s="278"/>
      <c r="N1537" s="278"/>
      <c r="O1537" s="278"/>
      <c r="P1537" s="278"/>
      <c r="Q1537" s="278"/>
      <c r="R1537" s="278"/>
      <c r="S1537" s="278"/>
      <c r="T1537" s="278"/>
      <c r="U1537" s="278"/>
      <c r="V1537" s="278"/>
    </row>
    <row r="1538" spans="1:22" x14ac:dyDescent="0.15">
      <c r="A1538" s="278"/>
      <c r="B1538" s="278"/>
      <c r="C1538" s="278"/>
      <c r="D1538" s="278"/>
      <c r="E1538" s="278"/>
      <c r="F1538" s="278"/>
      <c r="G1538" s="278"/>
      <c r="H1538" s="278"/>
      <c r="I1538" s="278"/>
      <c r="J1538" s="278"/>
      <c r="K1538" s="278"/>
      <c r="L1538" s="278"/>
      <c r="M1538" s="278"/>
      <c r="N1538" s="278"/>
      <c r="O1538" s="278"/>
      <c r="P1538" s="278"/>
      <c r="Q1538" s="278"/>
      <c r="R1538" s="278"/>
      <c r="S1538" s="278"/>
      <c r="T1538" s="278"/>
      <c r="U1538" s="278"/>
      <c r="V1538" s="278"/>
    </row>
    <row r="1539" spans="1:22" x14ac:dyDescent="0.15">
      <c r="A1539" s="278"/>
      <c r="B1539" s="278"/>
      <c r="C1539" s="278"/>
      <c r="D1539" s="278"/>
      <c r="E1539" s="278"/>
      <c r="F1539" s="278"/>
      <c r="G1539" s="278"/>
      <c r="H1539" s="278"/>
      <c r="I1539" s="278"/>
      <c r="J1539" s="278"/>
      <c r="K1539" s="278"/>
      <c r="L1539" s="278"/>
      <c r="M1539" s="278"/>
      <c r="N1539" s="278"/>
      <c r="O1539" s="278"/>
      <c r="P1539" s="278"/>
      <c r="Q1539" s="278"/>
      <c r="R1539" s="278"/>
      <c r="S1539" s="278"/>
      <c r="T1539" s="278"/>
      <c r="U1539" s="278"/>
      <c r="V1539" s="278"/>
    </row>
    <row r="1540" spans="1:22" x14ac:dyDescent="0.15">
      <c r="A1540" s="278"/>
      <c r="B1540" s="278"/>
      <c r="C1540" s="278"/>
      <c r="D1540" s="278"/>
      <c r="E1540" s="278"/>
      <c r="F1540" s="278"/>
      <c r="G1540" s="278"/>
      <c r="H1540" s="278"/>
      <c r="I1540" s="278"/>
      <c r="J1540" s="278"/>
      <c r="K1540" s="278"/>
      <c r="L1540" s="278"/>
      <c r="M1540" s="278"/>
      <c r="N1540" s="278"/>
      <c r="O1540" s="278"/>
      <c r="P1540" s="278"/>
      <c r="Q1540" s="278"/>
      <c r="R1540" s="278"/>
      <c r="S1540" s="278"/>
      <c r="T1540" s="278"/>
      <c r="U1540" s="278"/>
      <c r="V1540" s="278"/>
    </row>
    <row r="1541" spans="1:22" x14ac:dyDescent="0.15">
      <c r="A1541" s="278"/>
      <c r="B1541" s="278"/>
      <c r="C1541" s="278"/>
      <c r="D1541" s="278"/>
      <c r="E1541" s="278"/>
      <c r="F1541" s="278"/>
      <c r="G1541" s="278"/>
      <c r="H1541" s="278"/>
      <c r="I1541" s="278"/>
      <c r="J1541" s="278"/>
      <c r="K1541" s="278"/>
      <c r="L1541" s="278"/>
      <c r="M1541" s="278"/>
      <c r="N1541" s="278"/>
      <c r="O1541" s="278"/>
      <c r="P1541" s="278"/>
      <c r="Q1541" s="278"/>
      <c r="R1541" s="278"/>
      <c r="S1541" s="278"/>
      <c r="T1541" s="278"/>
      <c r="U1541" s="278"/>
      <c r="V1541" s="278"/>
    </row>
    <row r="1542" spans="1:22" x14ac:dyDescent="0.15">
      <c r="A1542" s="278"/>
      <c r="B1542" s="278"/>
      <c r="C1542" s="278"/>
      <c r="D1542" s="278"/>
      <c r="E1542" s="278"/>
      <c r="F1542" s="278"/>
      <c r="G1542" s="278"/>
      <c r="H1542" s="278"/>
      <c r="I1542" s="278"/>
      <c r="J1542" s="278"/>
      <c r="K1542" s="278"/>
      <c r="L1542" s="278"/>
      <c r="M1542" s="278"/>
      <c r="N1542" s="278"/>
      <c r="O1542" s="278"/>
      <c r="P1542" s="278"/>
      <c r="Q1542" s="278"/>
      <c r="R1542" s="278"/>
      <c r="S1542" s="278"/>
      <c r="T1542" s="278"/>
      <c r="U1542" s="278"/>
      <c r="V1542" s="278"/>
    </row>
    <row r="1543" spans="1:22" x14ac:dyDescent="0.15">
      <c r="A1543" s="278"/>
      <c r="B1543" s="278"/>
      <c r="C1543" s="278"/>
      <c r="D1543" s="278"/>
      <c r="E1543" s="278"/>
      <c r="F1543" s="278"/>
      <c r="G1543" s="278"/>
      <c r="H1543" s="278"/>
      <c r="I1543" s="278"/>
      <c r="J1543" s="278"/>
      <c r="K1543" s="278"/>
      <c r="L1543" s="278"/>
      <c r="M1543" s="278"/>
      <c r="N1543" s="278"/>
      <c r="O1543" s="278"/>
      <c r="P1543" s="278"/>
      <c r="Q1543" s="278"/>
      <c r="R1543" s="278"/>
      <c r="S1543" s="278"/>
      <c r="T1543" s="278"/>
      <c r="U1543" s="278"/>
      <c r="V1543" s="278"/>
    </row>
    <row r="1544" spans="1:22" x14ac:dyDescent="0.15">
      <c r="A1544" s="278"/>
      <c r="B1544" s="278"/>
      <c r="C1544" s="278"/>
      <c r="D1544" s="278"/>
      <c r="E1544" s="278"/>
      <c r="F1544" s="278"/>
      <c r="G1544" s="278"/>
      <c r="H1544" s="278"/>
      <c r="I1544" s="278"/>
      <c r="J1544" s="278"/>
      <c r="K1544" s="278"/>
      <c r="L1544" s="278"/>
      <c r="M1544" s="278"/>
      <c r="N1544" s="278"/>
      <c r="O1544" s="278"/>
      <c r="P1544" s="278"/>
      <c r="Q1544" s="278"/>
      <c r="R1544" s="278"/>
      <c r="S1544" s="278"/>
      <c r="T1544" s="278"/>
      <c r="U1544" s="278"/>
      <c r="V1544" s="278"/>
    </row>
    <row r="1545" spans="1:22" x14ac:dyDescent="0.15">
      <c r="A1545" s="278"/>
      <c r="B1545" s="278"/>
      <c r="C1545" s="278"/>
      <c r="D1545" s="278"/>
      <c r="E1545" s="278"/>
      <c r="F1545" s="278"/>
      <c r="G1545" s="278"/>
      <c r="H1545" s="278"/>
      <c r="I1545" s="278"/>
      <c r="J1545" s="278"/>
      <c r="K1545" s="278"/>
      <c r="L1545" s="278"/>
      <c r="M1545" s="278"/>
      <c r="N1545" s="278"/>
      <c r="O1545" s="278"/>
      <c r="P1545" s="278"/>
      <c r="Q1545" s="278"/>
      <c r="R1545" s="278"/>
      <c r="S1545" s="278"/>
      <c r="T1545" s="278"/>
      <c r="U1545" s="278"/>
      <c r="V1545" s="278"/>
    </row>
    <row r="1546" spans="1:22" x14ac:dyDescent="0.15">
      <c r="A1546" s="278"/>
      <c r="B1546" s="278"/>
      <c r="C1546" s="278"/>
      <c r="D1546" s="278"/>
      <c r="E1546" s="278"/>
      <c r="F1546" s="278"/>
      <c r="G1546" s="278"/>
      <c r="H1546" s="278"/>
      <c r="I1546" s="278"/>
      <c r="J1546" s="278"/>
      <c r="K1546" s="278"/>
      <c r="L1546" s="278"/>
      <c r="M1546" s="278"/>
      <c r="N1546" s="278"/>
      <c r="O1546" s="278"/>
      <c r="P1546" s="278"/>
      <c r="Q1546" s="278"/>
      <c r="R1546" s="278"/>
      <c r="S1546" s="278"/>
      <c r="T1546" s="278"/>
      <c r="U1546" s="278"/>
      <c r="V1546" s="278"/>
    </row>
    <row r="1547" spans="1:22" x14ac:dyDescent="0.15">
      <c r="A1547" s="278"/>
      <c r="B1547" s="278"/>
      <c r="C1547" s="278"/>
      <c r="D1547" s="278"/>
      <c r="E1547" s="278"/>
      <c r="F1547" s="278"/>
      <c r="G1547" s="278"/>
      <c r="H1547" s="278"/>
      <c r="I1547" s="278"/>
      <c r="J1547" s="278"/>
      <c r="K1547" s="278"/>
      <c r="L1547" s="278"/>
      <c r="M1547" s="278"/>
      <c r="N1547" s="278"/>
      <c r="O1547" s="278"/>
      <c r="P1547" s="278"/>
      <c r="Q1547" s="278"/>
      <c r="R1547" s="278"/>
      <c r="S1547" s="278"/>
      <c r="T1547" s="278"/>
      <c r="U1547" s="278"/>
      <c r="V1547" s="278"/>
    </row>
    <row r="1548" spans="1:22" x14ac:dyDescent="0.15">
      <c r="A1548" s="278"/>
      <c r="B1548" s="278"/>
      <c r="C1548" s="278"/>
      <c r="D1548" s="278"/>
      <c r="E1548" s="278"/>
      <c r="F1548" s="278"/>
      <c r="G1548" s="278"/>
      <c r="H1548" s="278"/>
      <c r="I1548" s="278"/>
      <c r="J1548" s="278"/>
      <c r="K1548" s="278"/>
      <c r="L1548" s="278"/>
      <c r="M1548" s="278"/>
      <c r="N1548" s="278"/>
      <c r="O1548" s="278"/>
      <c r="P1548" s="278"/>
      <c r="Q1548" s="278"/>
      <c r="R1548" s="278"/>
      <c r="S1548" s="278"/>
      <c r="T1548" s="278"/>
      <c r="U1548" s="278"/>
      <c r="V1548" s="278"/>
    </row>
    <row r="1549" spans="1:22" x14ac:dyDescent="0.15">
      <c r="A1549" s="278"/>
      <c r="B1549" s="278"/>
      <c r="C1549" s="278"/>
      <c r="D1549" s="278"/>
      <c r="E1549" s="278"/>
      <c r="F1549" s="278"/>
      <c r="G1549" s="278"/>
      <c r="H1549" s="278"/>
      <c r="I1549" s="278"/>
      <c r="J1549" s="278"/>
      <c r="K1549" s="278"/>
      <c r="L1549" s="278"/>
      <c r="M1549" s="278"/>
      <c r="N1549" s="278"/>
      <c r="O1549" s="278"/>
      <c r="P1549" s="278"/>
      <c r="Q1549" s="278"/>
      <c r="R1549" s="278"/>
      <c r="S1549" s="278"/>
      <c r="T1549" s="278"/>
      <c r="U1549" s="278"/>
      <c r="V1549" s="278"/>
    </row>
    <row r="1550" spans="1:22" x14ac:dyDescent="0.15">
      <c r="A1550" s="278"/>
      <c r="B1550" s="278"/>
      <c r="C1550" s="278"/>
      <c r="D1550" s="278"/>
      <c r="E1550" s="278"/>
      <c r="F1550" s="278"/>
      <c r="G1550" s="278"/>
      <c r="H1550" s="278"/>
      <c r="I1550" s="278"/>
      <c r="J1550" s="278"/>
      <c r="K1550" s="278"/>
      <c r="L1550" s="278"/>
      <c r="M1550" s="278"/>
      <c r="N1550" s="278"/>
      <c r="O1550" s="278"/>
      <c r="P1550" s="278"/>
      <c r="Q1550" s="278"/>
      <c r="R1550" s="278"/>
      <c r="S1550" s="278"/>
      <c r="T1550" s="278"/>
      <c r="U1550" s="278"/>
      <c r="V1550" s="278"/>
    </row>
    <row r="1551" spans="1:22" x14ac:dyDescent="0.15">
      <c r="A1551" s="278"/>
      <c r="B1551" s="278"/>
      <c r="C1551" s="278"/>
      <c r="D1551" s="278"/>
      <c r="E1551" s="278"/>
      <c r="F1551" s="278"/>
      <c r="G1551" s="278"/>
      <c r="H1551" s="278"/>
      <c r="I1551" s="278"/>
      <c r="J1551" s="278"/>
      <c r="K1551" s="278"/>
      <c r="L1551" s="278"/>
      <c r="M1551" s="278"/>
      <c r="N1551" s="278"/>
      <c r="O1551" s="278"/>
      <c r="P1551" s="278"/>
      <c r="Q1551" s="278"/>
      <c r="R1551" s="278"/>
      <c r="S1551" s="278"/>
      <c r="T1551" s="278"/>
      <c r="U1551" s="278"/>
      <c r="V1551" s="278"/>
    </row>
    <row r="1552" spans="1:22" x14ac:dyDescent="0.15">
      <c r="A1552" s="278"/>
      <c r="B1552" s="278"/>
      <c r="C1552" s="278"/>
      <c r="D1552" s="278"/>
      <c r="E1552" s="278"/>
      <c r="F1552" s="278"/>
      <c r="G1552" s="278"/>
      <c r="H1552" s="278"/>
      <c r="I1552" s="278"/>
      <c r="J1552" s="278"/>
      <c r="K1552" s="278"/>
      <c r="L1552" s="278"/>
      <c r="M1552" s="278"/>
      <c r="N1552" s="278"/>
      <c r="O1552" s="278"/>
      <c r="P1552" s="278"/>
      <c r="Q1552" s="278"/>
      <c r="R1552" s="278"/>
      <c r="S1552" s="278"/>
      <c r="T1552" s="278"/>
      <c r="U1552" s="278"/>
      <c r="V1552" s="278"/>
    </row>
    <row r="1553" spans="1:22" x14ac:dyDescent="0.15">
      <c r="A1553" s="278"/>
      <c r="B1553" s="278"/>
      <c r="C1553" s="278"/>
      <c r="D1553" s="278"/>
      <c r="E1553" s="278"/>
      <c r="F1553" s="278"/>
      <c r="G1553" s="278"/>
      <c r="H1553" s="278"/>
      <c r="I1553" s="278"/>
      <c r="J1553" s="278"/>
      <c r="K1553" s="278"/>
      <c r="L1553" s="278"/>
      <c r="M1553" s="278"/>
      <c r="N1553" s="278"/>
      <c r="O1553" s="278"/>
      <c r="P1553" s="278"/>
      <c r="Q1553" s="278"/>
      <c r="R1553" s="278"/>
      <c r="S1553" s="278"/>
      <c r="T1553" s="278"/>
      <c r="U1553" s="278"/>
      <c r="V1553" s="278"/>
    </row>
    <row r="1554" spans="1:22" x14ac:dyDescent="0.15">
      <c r="A1554" s="278"/>
      <c r="B1554" s="278"/>
      <c r="C1554" s="278"/>
      <c r="D1554" s="278"/>
      <c r="E1554" s="278"/>
      <c r="F1554" s="278"/>
      <c r="G1554" s="278"/>
      <c r="H1554" s="278"/>
      <c r="I1554" s="278"/>
      <c r="J1554" s="278"/>
      <c r="K1554" s="278"/>
      <c r="L1554" s="278"/>
      <c r="M1554" s="278"/>
      <c r="N1554" s="278"/>
      <c r="O1554" s="278"/>
      <c r="P1554" s="278"/>
      <c r="Q1554" s="278"/>
      <c r="R1554" s="278"/>
      <c r="S1554" s="278"/>
      <c r="T1554" s="278"/>
      <c r="U1554" s="278"/>
      <c r="V1554" s="278"/>
    </row>
    <row r="1555" spans="1:22" x14ac:dyDescent="0.15">
      <c r="A1555" s="278"/>
      <c r="B1555" s="278"/>
      <c r="C1555" s="278"/>
      <c r="D1555" s="278"/>
      <c r="E1555" s="278"/>
      <c r="F1555" s="278"/>
      <c r="G1555" s="278"/>
      <c r="H1555" s="278"/>
      <c r="I1555" s="278"/>
      <c r="J1555" s="278"/>
      <c r="K1555" s="278"/>
      <c r="L1555" s="278"/>
      <c r="M1555" s="278"/>
      <c r="N1555" s="278"/>
      <c r="O1555" s="278"/>
      <c r="P1555" s="278"/>
      <c r="Q1555" s="278"/>
      <c r="R1555" s="278"/>
      <c r="S1555" s="278"/>
      <c r="T1555" s="278"/>
      <c r="U1555" s="278"/>
      <c r="V1555" s="278"/>
    </row>
    <row r="1556" spans="1:22" x14ac:dyDescent="0.15">
      <c r="A1556" s="278"/>
      <c r="B1556" s="278"/>
      <c r="C1556" s="278"/>
      <c r="D1556" s="278"/>
      <c r="E1556" s="278"/>
      <c r="F1556" s="278"/>
      <c r="G1556" s="278"/>
      <c r="H1556" s="278"/>
      <c r="I1556" s="278"/>
      <c r="J1556" s="278"/>
      <c r="K1556" s="278"/>
      <c r="L1556" s="278"/>
      <c r="M1556" s="278"/>
      <c r="N1556" s="278"/>
      <c r="O1556" s="278"/>
      <c r="P1556" s="278"/>
      <c r="Q1556" s="278"/>
      <c r="R1556" s="278"/>
      <c r="S1556" s="278"/>
      <c r="T1556" s="278"/>
      <c r="U1556" s="278"/>
      <c r="V1556" s="278"/>
    </row>
    <row r="1557" spans="1:22" x14ac:dyDescent="0.15">
      <c r="A1557" s="278"/>
      <c r="B1557" s="278"/>
      <c r="C1557" s="278"/>
      <c r="D1557" s="278"/>
      <c r="E1557" s="278"/>
      <c r="F1557" s="278"/>
      <c r="G1557" s="278"/>
      <c r="H1557" s="278"/>
      <c r="I1557" s="278"/>
      <c r="J1557" s="278"/>
      <c r="K1557" s="278"/>
      <c r="L1557" s="278"/>
      <c r="M1557" s="278"/>
      <c r="N1557" s="278"/>
      <c r="O1557" s="278"/>
      <c r="P1557" s="278"/>
      <c r="Q1557" s="278"/>
      <c r="R1557" s="278"/>
      <c r="S1557" s="278"/>
      <c r="T1557" s="278"/>
      <c r="U1557" s="278"/>
      <c r="V1557" s="278"/>
    </row>
    <row r="1558" spans="1:22" x14ac:dyDescent="0.15">
      <c r="A1558" s="278"/>
      <c r="B1558" s="278"/>
      <c r="C1558" s="278"/>
      <c r="D1558" s="278"/>
      <c r="E1558" s="278"/>
      <c r="F1558" s="278"/>
      <c r="G1558" s="278"/>
      <c r="H1558" s="278"/>
      <c r="I1558" s="278"/>
      <c r="J1558" s="278"/>
      <c r="K1558" s="278"/>
      <c r="L1558" s="278"/>
      <c r="M1558" s="278"/>
      <c r="N1558" s="278"/>
      <c r="O1558" s="278"/>
      <c r="P1558" s="278"/>
      <c r="Q1558" s="278"/>
      <c r="R1558" s="278"/>
      <c r="S1558" s="278"/>
      <c r="T1558" s="278"/>
      <c r="U1558" s="278"/>
      <c r="V1558" s="278"/>
    </row>
    <row r="1559" spans="1:22" x14ac:dyDescent="0.15">
      <c r="A1559" s="278"/>
      <c r="B1559" s="278"/>
      <c r="C1559" s="278"/>
      <c r="D1559" s="278"/>
      <c r="E1559" s="278"/>
      <c r="F1559" s="278"/>
      <c r="G1559" s="278"/>
      <c r="H1559" s="278"/>
      <c r="I1559" s="278"/>
      <c r="J1559" s="278"/>
      <c r="K1559" s="278"/>
      <c r="L1559" s="278"/>
      <c r="M1559" s="278"/>
      <c r="N1559" s="278"/>
      <c r="O1559" s="278"/>
      <c r="P1559" s="278"/>
      <c r="Q1559" s="278"/>
      <c r="R1559" s="278"/>
      <c r="S1559" s="278"/>
      <c r="T1559" s="278"/>
      <c r="U1559" s="278"/>
      <c r="V1559" s="278"/>
    </row>
    <row r="1560" spans="1:22" x14ac:dyDescent="0.15">
      <c r="A1560" s="278"/>
      <c r="B1560" s="278"/>
      <c r="C1560" s="278"/>
      <c r="D1560" s="278"/>
      <c r="E1560" s="278"/>
      <c r="F1560" s="278"/>
      <c r="G1560" s="278"/>
      <c r="H1560" s="278"/>
      <c r="I1560" s="278"/>
      <c r="J1560" s="278"/>
      <c r="K1560" s="278"/>
      <c r="L1560" s="278"/>
      <c r="M1560" s="278"/>
      <c r="N1560" s="278"/>
      <c r="O1560" s="278"/>
      <c r="P1560" s="278"/>
      <c r="Q1560" s="278"/>
      <c r="R1560" s="278"/>
      <c r="S1560" s="278"/>
      <c r="T1560" s="278"/>
      <c r="U1560" s="278"/>
      <c r="V1560" s="278"/>
    </row>
    <row r="1561" spans="1:22" x14ac:dyDescent="0.15">
      <c r="A1561" s="278"/>
      <c r="B1561" s="278"/>
      <c r="C1561" s="278"/>
      <c r="D1561" s="278"/>
      <c r="E1561" s="278"/>
      <c r="F1561" s="278"/>
      <c r="G1561" s="278"/>
      <c r="H1561" s="278"/>
      <c r="I1561" s="278"/>
      <c r="J1561" s="278"/>
      <c r="K1561" s="278"/>
      <c r="L1561" s="278"/>
      <c r="M1561" s="278"/>
      <c r="N1561" s="278"/>
      <c r="O1561" s="278"/>
      <c r="P1561" s="278"/>
      <c r="Q1561" s="278"/>
      <c r="R1561" s="278"/>
      <c r="S1561" s="278"/>
      <c r="T1561" s="278"/>
      <c r="U1561" s="278"/>
      <c r="V1561" s="278"/>
    </row>
    <row r="1562" spans="1:22" x14ac:dyDescent="0.15">
      <c r="A1562" s="278"/>
      <c r="B1562" s="278"/>
      <c r="C1562" s="278"/>
      <c r="D1562" s="278"/>
      <c r="E1562" s="278"/>
      <c r="F1562" s="278"/>
      <c r="G1562" s="278"/>
      <c r="H1562" s="278"/>
      <c r="I1562" s="278"/>
      <c r="J1562" s="278"/>
      <c r="K1562" s="278"/>
      <c r="L1562" s="278"/>
      <c r="M1562" s="278"/>
      <c r="N1562" s="278"/>
      <c r="O1562" s="278"/>
      <c r="P1562" s="278"/>
      <c r="Q1562" s="278"/>
      <c r="R1562" s="278"/>
      <c r="S1562" s="278"/>
      <c r="T1562" s="278"/>
      <c r="U1562" s="278"/>
      <c r="V1562" s="278"/>
    </row>
    <row r="1563" spans="1:22" x14ac:dyDescent="0.15">
      <c r="A1563" s="278"/>
      <c r="B1563" s="278"/>
      <c r="C1563" s="278"/>
      <c r="D1563" s="278"/>
      <c r="E1563" s="278"/>
      <c r="F1563" s="278"/>
      <c r="G1563" s="278"/>
      <c r="H1563" s="278"/>
      <c r="I1563" s="278"/>
      <c r="J1563" s="278"/>
      <c r="K1563" s="278"/>
      <c r="L1563" s="278"/>
      <c r="M1563" s="278"/>
      <c r="N1563" s="278"/>
      <c r="O1563" s="278"/>
      <c r="P1563" s="278"/>
      <c r="Q1563" s="278"/>
      <c r="R1563" s="278"/>
      <c r="S1563" s="278"/>
      <c r="T1563" s="278"/>
      <c r="U1563" s="278"/>
      <c r="V1563" s="278"/>
    </row>
    <row r="1564" spans="1:22" x14ac:dyDescent="0.15">
      <c r="A1564" s="278"/>
      <c r="B1564" s="278"/>
      <c r="C1564" s="278"/>
      <c r="D1564" s="278"/>
      <c r="E1564" s="278"/>
      <c r="F1564" s="278"/>
      <c r="G1564" s="278"/>
      <c r="H1564" s="278"/>
      <c r="I1564" s="278"/>
      <c r="J1564" s="278"/>
      <c r="K1564" s="278"/>
      <c r="L1564" s="278"/>
      <c r="M1564" s="278"/>
      <c r="N1564" s="278"/>
      <c r="O1564" s="278"/>
      <c r="P1564" s="278"/>
      <c r="Q1564" s="278"/>
      <c r="R1564" s="278"/>
      <c r="S1564" s="278"/>
      <c r="T1564" s="278"/>
      <c r="U1564" s="278"/>
      <c r="V1564" s="278"/>
    </row>
    <row r="1565" spans="1:22" x14ac:dyDescent="0.15">
      <c r="A1565" s="278"/>
      <c r="B1565" s="278"/>
      <c r="C1565" s="278"/>
      <c r="D1565" s="278"/>
      <c r="E1565" s="278"/>
      <c r="F1565" s="278"/>
      <c r="G1565" s="278"/>
      <c r="H1565" s="278"/>
      <c r="I1565" s="278"/>
      <c r="J1565" s="278"/>
      <c r="K1565" s="278"/>
      <c r="L1565" s="278"/>
      <c r="M1565" s="278"/>
      <c r="N1565" s="278"/>
      <c r="O1565" s="278"/>
      <c r="P1565" s="278"/>
      <c r="Q1565" s="278"/>
      <c r="R1565" s="278"/>
      <c r="S1565" s="278"/>
      <c r="T1565" s="278"/>
      <c r="U1565" s="278"/>
      <c r="V1565" s="278"/>
    </row>
    <row r="1566" spans="1:22" x14ac:dyDescent="0.15">
      <c r="A1566" s="278"/>
      <c r="B1566" s="278"/>
      <c r="C1566" s="278"/>
      <c r="D1566" s="278"/>
      <c r="E1566" s="278"/>
      <c r="F1566" s="278"/>
      <c r="G1566" s="278"/>
      <c r="H1566" s="278"/>
      <c r="I1566" s="278"/>
      <c r="J1566" s="278"/>
      <c r="K1566" s="278"/>
      <c r="L1566" s="278"/>
      <c r="M1566" s="278"/>
      <c r="N1566" s="278"/>
      <c r="O1566" s="278"/>
      <c r="P1566" s="278"/>
      <c r="Q1566" s="278"/>
      <c r="R1566" s="278"/>
      <c r="S1566" s="278"/>
      <c r="T1566" s="278"/>
      <c r="U1566" s="278"/>
      <c r="V1566" s="278"/>
    </row>
    <row r="1567" spans="1:22" x14ac:dyDescent="0.15">
      <c r="A1567" s="278"/>
      <c r="B1567" s="278"/>
      <c r="C1567" s="278"/>
      <c r="D1567" s="278"/>
      <c r="E1567" s="278"/>
      <c r="F1567" s="278"/>
      <c r="G1567" s="278"/>
      <c r="H1567" s="278"/>
      <c r="I1567" s="278"/>
      <c r="J1567" s="278"/>
      <c r="K1567" s="278"/>
      <c r="L1567" s="278"/>
      <c r="M1567" s="278"/>
      <c r="N1567" s="278"/>
      <c r="O1567" s="278"/>
      <c r="P1567" s="278"/>
      <c r="Q1567" s="278"/>
      <c r="R1567" s="278"/>
      <c r="S1567" s="278"/>
      <c r="T1567" s="278"/>
      <c r="U1567" s="278"/>
      <c r="V1567" s="278"/>
    </row>
    <row r="1568" spans="1:22" x14ac:dyDescent="0.15">
      <c r="A1568" s="278"/>
      <c r="B1568" s="278"/>
      <c r="C1568" s="278"/>
      <c r="D1568" s="278"/>
      <c r="E1568" s="278"/>
      <c r="F1568" s="278"/>
      <c r="G1568" s="278"/>
      <c r="H1568" s="278"/>
      <c r="I1568" s="278"/>
      <c r="J1568" s="278"/>
      <c r="K1568" s="278"/>
      <c r="L1568" s="278"/>
      <c r="M1568" s="278"/>
      <c r="N1568" s="278"/>
      <c r="O1568" s="278"/>
      <c r="P1568" s="278"/>
      <c r="Q1568" s="278"/>
      <c r="R1568" s="278"/>
      <c r="S1568" s="278"/>
      <c r="T1568" s="278"/>
      <c r="U1568" s="278"/>
      <c r="V1568" s="278"/>
    </row>
    <row r="1569" spans="1:22" x14ac:dyDescent="0.15">
      <c r="A1569" s="278"/>
      <c r="B1569" s="278"/>
      <c r="C1569" s="278"/>
      <c r="D1569" s="278"/>
      <c r="E1569" s="278"/>
      <c r="F1569" s="278"/>
      <c r="G1569" s="278"/>
      <c r="H1569" s="278"/>
      <c r="I1569" s="278"/>
      <c r="J1569" s="278"/>
      <c r="K1569" s="278"/>
      <c r="L1569" s="278"/>
      <c r="M1569" s="278"/>
      <c r="N1569" s="278"/>
      <c r="O1569" s="278"/>
      <c r="P1569" s="278"/>
      <c r="Q1569" s="278"/>
      <c r="R1569" s="278"/>
      <c r="S1569" s="278"/>
      <c r="T1569" s="278"/>
      <c r="U1569" s="278"/>
      <c r="V1569" s="278"/>
    </row>
    <row r="1570" spans="1:22" x14ac:dyDescent="0.15">
      <c r="A1570" s="278"/>
      <c r="B1570" s="278"/>
      <c r="C1570" s="278"/>
      <c r="D1570" s="278"/>
      <c r="E1570" s="278"/>
      <c r="F1570" s="278"/>
      <c r="G1570" s="278"/>
      <c r="H1570" s="278"/>
      <c r="I1570" s="278"/>
      <c r="J1570" s="278"/>
      <c r="K1570" s="278"/>
      <c r="L1570" s="278"/>
      <c r="M1570" s="278"/>
      <c r="N1570" s="278"/>
      <c r="O1570" s="278"/>
      <c r="P1570" s="278"/>
      <c r="Q1570" s="278"/>
      <c r="R1570" s="278"/>
      <c r="S1570" s="278"/>
      <c r="T1570" s="278"/>
      <c r="U1570" s="278"/>
      <c r="V1570" s="278"/>
    </row>
    <row r="1571" spans="1:22" x14ac:dyDescent="0.15">
      <c r="A1571" s="278"/>
      <c r="B1571" s="278"/>
      <c r="C1571" s="278"/>
      <c r="D1571" s="278"/>
      <c r="E1571" s="278"/>
      <c r="F1571" s="278"/>
      <c r="G1571" s="278"/>
      <c r="H1571" s="278"/>
      <c r="I1571" s="278"/>
      <c r="J1571" s="278"/>
      <c r="K1571" s="278"/>
      <c r="L1571" s="278"/>
      <c r="M1571" s="278"/>
      <c r="N1571" s="278"/>
      <c r="O1571" s="278"/>
      <c r="P1571" s="278"/>
      <c r="Q1571" s="278"/>
      <c r="R1571" s="278"/>
      <c r="S1571" s="278"/>
      <c r="T1571" s="278"/>
      <c r="U1571" s="278"/>
      <c r="V1571" s="278"/>
    </row>
    <row r="1572" spans="1:22" x14ac:dyDescent="0.15">
      <c r="A1572" s="278"/>
      <c r="B1572" s="278"/>
      <c r="C1572" s="278"/>
      <c r="D1572" s="278"/>
      <c r="E1572" s="278"/>
      <c r="F1572" s="278"/>
      <c r="G1572" s="278"/>
      <c r="H1572" s="278"/>
      <c r="I1572" s="278"/>
      <c r="J1572" s="278"/>
      <c r="K1572" s="278"/>
      <c r="L1572" s="278"/>
      <c r="M1572" s="278"/>
      <c r="N1572" s="278"/>
      <c r="O1572" s="278"/>
      <c r="P1572" s="278"/>
      <c r="Q1572" s="278"/>
      <c r="R1572" s="278"/>
      <c r="S1572" s="278"/>
      <c r="T1572" s="278"/>
      <c r="U1572" s="278"/>
      <c r="V1572" s="278"/>
    </row>
    <row r="1573" spans="1:22" x14ac:dyDescent="0.15">
      <c r="A1573" s="278"/>
      <c r="B1573" s="278"/>
      <c r="C1573" s="278"/>
      <c r="D1573" s="278"/>
      <c r="E1573" s="278"/>
      <c r="F1573" s="278"/>
      <c r="G1573" s="278"/>
      <c r="H1573" s="278"/>
      <c r="I1573" s="278"/>
      <c r="J1573" s="278"/>
      <c r="K1573" s="278"/>
      <c r="L1573" s="278"/>
      <c r="M1573" s="278"/>
      <c r="N1573" s="278"/>
      <c r="O1573" s="278"/>
      <c r="P1573" s="278"/>
      <c r="Q1573" s="278"/>
      <c r="R1573" s="278"/>
      <c r="S1573" s="278"/>
      <c r="T1573" s="278"/>
      <c r="U1573" s="278"/>
      <c r="V1573" s="278"/>
    </row>
    <row r="1574" spans="1:22" x14ac:dyDescent="0.15">
      <c r="A1574" s="278"/>
      <c r="B1574" s="278"/>
      <c r="C1574" s="278"/>
      <c r="D1574" s="278"/>
      <c r="E1574" s="278"/>
      <c r="F1574" s="278"/>
      <c r="G1574" s="278"/>
      <c r="H1574" s="278"/>
      <c r="I1574" s="278"/>
      <c r="J1574" s="278"/>
      <c r="K1574" s="278"/>
      <c r="L1574" s="278"/>
      <c r="M1574" s="278"/>
      <c r="N1574" s="278"/>
      <c r="O1574" s="278"/>
      <c r="P1574" s="278"/>
      <c r="Q1574" s="278"/>
      <c r="R1574" s="278"/>
      <c r="S1574" s="278"/>
      <c r="T1574" s="278"/>
      <c r="U1574" s="278"/>
      <c r="V1574" s="278"/>
    </row>
    <row r="1575" spans="1:22" x14ac:dyDescent="0.15">
      <c r="A1575" s="278"/>
      <c r="B1575" s="278"/>
      <c r="C1575" s="278"/>
      <c r="D1575" s="278"/>
      <c r="E1575" s="278"/>
      <c r="F1575" s="278"/>
      <c r="G1575" s="278"/>
      <c r="H1575" s="278"/>
      <c r="I1575" s="278"/>
      <c r="J1575" s="278"/>
      <c r="K1575" s="278"/>
      <c r="L1575" s="278"/>
      <c r="M1575" s="278"/>
      <c r="N1575" s="278"/>
      <c r="O1575" s="278"/>
      <c r="P1575" s="278"/>
      <c r="Q1575" s="278"/>
      <c r="R1575" s="278"/>
      <c r="S1575" s="278"/>
      <c r="T1575" s="278"/>
      <c r="U1575" s="278"/>
      <c r="V1575" s="278"/>
    </row>
    <row r="1576" spans="1:22" x14ac:dyDescent="0.15">
      <c r="A1576" s="278"/>
      <c r="B1576" s="278"/>
      <c r="C1576" s="278"/>
      <c r="D1576" s="278"/>
      <c r="E1576" s="278"/>
      <c r="F1576" s="278"/>
      <c r="G1576" s="278"/>
      <c r="H1576" s="278"/>
      <c r="I1576" s="278"/>
      <c r="J1576" s="278"/>
      <c r="K1576" s="278"/>
      <c r="L1576" s="278"/>
      <c r="M1576" s="278"/>
      <c r="N1576" s="278"/>
      <c r="O1576" s="278"/>
      <c r="P1576" s="278"/>
      <c r="Q1576" s="278"/>
      <c r="R1576" s="278"/>
      <c r="S1576" s="278"/>
      <c r="T1576" s="278"/>
      <c r="U1576" s="278"/>
      <c r="V1576" s="278"/>
    </row>
    <row r="1577" spans="1:22" x14ac:dyDescent="0.15">
      <c r="A1577" s="278"/>
      <c r="B1577" s="278"/>
      <c r="C1577" s="278"/>
      <c r="D1577" s="278"/>
      <c r="E1577" s="278"/>
      <c r="F1577" s="278"/>
      <c r="G1577" s="278"/>
      <c r="H1577" s="278"/>
      <c r="I1577" s="278"/>
      <c r="J1577" s="278"/>
      <c r="K1577" s="278"/>
      <c r="L1577" s="278"/>
      <c r="M1577" s="278"/>
      <c r="N1577" s="278"/>
      <c r="O1577" s="278"/>
      <c r="P1577" s="278"/>
      <c r="Q1577" s="278"/>
      <c r="R1577" s="278"/>
      <c r="S1577" s="278"/>
      <c r="T1577" s="278"/>
      <c r="U1577" s="278"/>
      <c r="V1577" s="278"/>
    </row>
    <row r="1578" spans="1:22" x14ac:dyDescent="0.15">
      <c r="A1578" s="278"/>
      <c r="B1578" s="278"/>
      <c r="C1578" s="278"/>
      <c r="D1578" s="278"/>
      <c r="E1578" s="278"/>
      <c r="F1578" s="278"/>
      <c r="G1578" s="278"/>
      <c r="H1578" s="278"/>
      <c r="I1578" s="278"/>
      <c r="J1578" s="278"/>
      <c r="K1578" s="278"/>
      <c r="L1578" s="278"/>
      <c r="M1578" s="278"/>
      <c r="N1578" s="278"/>
      <c r="O1578" s="278"/>
      <c r="P1578" s="278"/>
      <c r="Q1578" s="278"/>
      <c r="R1578" s="278"/>
      <c r="S1578" s="278"/>
      <c r="T1578" s="278"/>
      <c r="U1578" s="278"/>
      <c r="V1578" s="278"/>
    </row>
    <row r="1579" spans="1:22" x14ac:dyDescent="0.15">
      <c r="A1579" s="278"/>
      <c r="B1579" s="278"/>
      <c r="C1579" s="278"/>
      <c r="D1579" s="278"/>
      <c r="E1579" s="278"/>
      <c r="F1579" s="278"/>
      <c r="G1579" s="278"/>
      <c r="H1579" s="278"/>
      <c r="I1579" s="278"/>
      <c r="J1579" s="278"/>
      <c r="K1579" s="278"/>
      <c r="L1579" s="278"/>
      <c r="M1579" s="278"/>
      <c r="N1579" s="278"/>
      <c r="O1579" s="278"/>
      <c r="P1579" s="278"/>
      <c r="Q1579" s="278"/>
      <c r="R1579" s="278"/>
      <c r="S1579" s="278"/>
      <c r="T1579" s="278"/>
      <c r="U1579" s="278"/>
      <c r="V1579" s="278"/>
    </row>
    <row r="1580" spans="1:22" x14ac:dyDescent="0.15">
      <c r="A1580" s="278"/>
      <c r="B1580" s="278"/>
      <c r="C1580" s="278"/>
      <c r="D1580" s="278"/>
      <c r="E1580" s="278"/>
      <c r="F1580" s="278"/>
      <c r="G1580" s="278"/>
      <c r="H1580" s="278"/>
      <c r="I1580" s="278"/>
      <c r="J1580" s="278"/>
      <c r="K1580" s="278"/>
      <c r="L1580" s="278"/>
      <c r="M1580" s="278"/>
      <c r="N1580" s="278"/>
      <c r="O1580" s="278"/>
      <c r="P1580" s="278"/>
      <c r="Q1580" s="278"/>
      <c r="R1580" s="278"/>
      <c r="S1580" s="278"/>
      <c r="T1580" s="278"/>
      <c r="U1580" s="278"/>
      <c r="V1580" s="278"/>
    </row>
    <row r="1581" spans="1:22" x14ac:dyDescent="0.15">
      <c r="A1581" s="278"/>
      <c r="B1581" s="278"/>
      <c r="C1581" s="278"/>
      <c r="D1581" s="278"/>
      <c r="E1581" s="278"/>
      <c r="F1581" s="278"/>
      <c r="G1581" s="278"/>
      <c r="H1581" s="278"/>
      <c r="I1581" s="278"/>
      <c r="J1581" s="278"/>
      <c r="K1581" s="278"/>
      <c r="L1581" s="278"/>
      <c r="M1581" s="278"/>
      <c r="N1581" s="278"/>
      <c r="O1581" s="278"/>
      <c r="P1581" s="278"/>
      <c r="Q1581" s="278"/>
      <c r="R1581" s="278"/>
      <c r="S1581" s="278"/>
      <c r="T1581" s="278"/>
      <c r="U1581" s="278"/>
      <c r="V1581" s="278"/>
    </row>
    <row r="1582" spans="1:22" x14ac:dyDescent="0.15">
      <c r="A1582" s="278"/>
      <c r="B1582" s="278"/>
      <c r="C1582" s="278"/>
      <c r="D1582" s="278"/>
      <c r="E1582" s="278"/>
      <c r="F1582" s="278"/>
      <c r="G1582" s="278"/>
      <c r="H1582" s="278"/>
      <c r="I1582" s="278"/>
      <c r="J1582" s="278"/>
      <c r="K1582" s="278"/>
      <c r="L1582" s="278"/>
      <c r="M1582" s="278"/>
      <c r="N1582" s="278"/>
      <c r="O1582" s="278"/>
      <c r="P1582" s="278"/>
      <c r="Q1582" s="278"/>
      <c r="R1582" s="278"/>
      <c r="S1582" s="278"/>
      <c r="T1582" s="278"/>
      <c r="U1582" s="278"/>
      <c r="V1582" s="278"/>
    </row>
    <row r="1583" spans="1:22" x14ac:dyDescent="0.15">
      <c r="A1583" s="278"/>
      <c r="B1583" s="278"/>
      <c r="C1583" s="278"/>
      <c r="D1583" s="278"/>
      <c r="E1583" s="278"/>
      <c r="F1583" s="278"/>
      <c r="G1583" s="278"/>
      <c r="H1583" s="278"/>
      <c r="I1583" s="278"/>
      <c r="J1583" s="278"/>
      <c r="K1583" s="278"/>
      <c r="L1583" s="278"/>
      <c r="M1583" s="278"/>
      <c r="N1583" s="278"/>
      <c r="O1583" s="278"/>
      <c r="P1583" s="278"/>
      <c r="Q1583" s="278"/>
      <c r="R1583" s="278"/>
      <c r="S1583" s="278"/>
      <c r="T1583" s="278"/>
      <c r="U1583" s="278"/>
      <c r="V1583" s="278"/>
    </row>
    <row r="1584" spans="1:22" x14ac:dyDescent="0.15">
      <c r="A1584" s="278"/>
      <c r="B1584" s="278"/>
      <c r="C1584" s="278"/>
      <c r="D1584" s="278"/>
      <c r="E1584" s="278"/>
      <c r="F1584" s="278"/>
      <c r="G1584" s="278"/>
      <c r="H1584" s="278"/>
      <c r="I1584" s="278"/>
      <c r="J1584" s="278"/>
      <c r="K1584" s="278"/>
      <c r="L1584" s="278"/>
      <c r="M1584" s="278"/>
      <c r="N1584" s="278"/>
      <c r="O1584" s="278"/>
      <c r="P1584" s="278"/>
      <c r="Q1584" s="278"/>
      <c r="R1584" s="278"/>
      <c r="S1584" s="278"/>
      <c r="T1584" s="278"/>
      <c r="U1584" s="278"/>
      <c r="V1584" s="278"/>
    </row>
    <row r="1585" spans="1:22" x14ac:dyDescent="0.15">
      <c r="A1585" s="278"/>
      <c r="B1585" s="278"/>
      <c r="C1585" s="278"/>
      <c r="D1585" s="278"/>
      <c r="E1585" s="278"/>
      <c r="F1585" s="278"/>
      <c r="G1585" s="278"/>
      <c r="H1585" s="278"/>
      <c r="I1585" s="278"/>
      <c r="J1585" s="278"/>
      <c r="K1585" s="278"/>
      <c r="L1585" s="278"/>
      <c r="M1585" s="278"/>
      <c r="N1585" s="278"/>
      <c r="O1585" s="278"/>
      <c r="P1585" s="278"/>
      <c r="Q1585" s="278"/>
      <c r="R1585" s="278"/>
      <c r="S1585" s="278"/>
      <c r="T1585" s="278"/>
      <c r="U1585" s="278"/>
      <c r="V1585" s="278"/>
    </row>
    <row r="1586" spans="1:22" x14ac:dyDescent="0.15">
      <c r="A1586" s="278"/>
      <c r="B1586" s="278"/>
      <c r="C1586" s="278"/>
      <c r="D1586" s="278"/>
      <c r="E1586" s="278"/>
      <c r="F1586" s="278"/>
      <c r="G1586" s="278"/>
      <c r="H1586" s="278"/>
      <c r="I1586" s="278"/>
      <c r="J1586" s="278"/>
      <c r="K1586" s="278"/>
      <c r="L1586" s="278"/>
      <c r="M1586" s="278"/>
      <c r="N1586" s="278"/>
      <c r="O1586" s="278"/>
      <c r="P1586" s="278"/>
      <c r="Q1586" s="278"/>
      <c r="R1586" s="278"/>
      <c r="S1586" s="278"/>
      <c r="T1586" s="278"/>
      <c r="U1586" s="278"/>
      <c r="V1586" s="278"/>
    </row>
    <row r="1587" spans="1:22" x14ac:dyDescent="0.15">
      <c r="A1587" s="278"/>
      <c r="B1587" s="278"/>
      <c r="C1587" s="278"/>
      <c r="D1587" s="278"/>
      <c r="E1587" s="278"/>
      <c r="F1587" s="278"/>
      <c r="G1587" s="278"/>
      <c r="H1587" s="278"/>
      <c r="I1587" s="278"/>
      <c r="J1587" s="278"/>
      <c r="K1587" s="278"/>
      <c r="L1587" s="278"/>
      <c r="M1587" s="278"/>
      <c r="N1587" s="278"/>
      <c r="O1587" s="278"/>
      <c r="P1587" s="278"/>
      <c r="Q1587" s="278"/>
      <c r="R1587" s="278"/>
      <c r="S1587" s="278"/>
      <c r="T1587" s="278"/>
      <c r="U1587" s="278"/>
      <c r="V1587" s="278"/>
    </row>
    <row r="1588" spans="1:22" x14ac:dyDescent="0.15">
      <c r="A1588" s="278"/>
      <c r="B1588" s="278"/>
      <c r="C1588" s="278"/>
      <c r="D1588" s="278"/>
      <c r="E1588" s="278"/>
      <c r="F1588" s="278"/>
      <c r="G1588" s="278"/>
      <c r="H1588" s="278"/>
      <c r="I1588" s="278"/>
      <c r="J1588" s="278"/>
      <c r="K1588" s="278"/>
      <c r="L1588" s="278"/>
      <c r="M1588" s="278"/>
      <c r="N1588" s="278"/>
      <c r="O1588" s="278"/>
      <c r="P1588" s="278"/>
      <c r="Q1588" s="278"/>
      <c r="R1588" s="278"/>
      <c r="S1588" s="278"/>
      <c r="T1588" s="278"/>
      <c r="U1588" s="278"/>
      <c r="V1588" s="278"/>
    </row>
    <row r="1589" spans="1:22" x14ac:dyDescent="0.15">
      <c r="A1589" s="278"/>
      <c r="B1589" s="278"/>
      <c r="C1589" s="278"/>
      <c r="D1589" s="278"/>
      <c r="E1589" s="278"/>
      <c r="F1589" s="278"/>
      <c r="G1589" s="278"/>
      <c r="H1589" s="278"/>
      <c r="I1589" s="278"/>
      <c r="J1589" s="278"/>
      <c r="K1589" s="278"/>
      <c r="L1589" s="278"/>
      <c r="M1589" s="278"/>
      <c r="N1589" s="278"/>
      <c r="O1589" s="278"/>
      <c r="P1589" s="278"/>
      <c r="Q1589" s="278"/>
      <c r="R1589" s="278"/>
      <c r="S1589" s="278"/>
      <c r="T1589" s="278"/>
      <c r="U1589" s="278"/>
      <c r="V1589" s="278"/>
    </row>
    <row r="1590" spans="1:22" x14ac:dyDescent="0.15">
      <c r="A1590" s="278"/>
      <c r="B1590" s="278"/>
      <c r="C1590" s="278"/>
      <c r="D1590" s="278"/>
      <c r="E1590" s="278"/>
      <c r="F1590" s="278"/>
      <c r="G1590" s="278"/>
      <c r="H1590" s="278"/>
      <c r="I1590" s="278"/>
      <c r="J1590" s="278"/>
      <c r="K1590" s="278"/>
      <c r="L1590" s="278"/>
      <c r="M1590" s="278"/>
      <c r="N1590" s="278"/>
      <c r="O1590" s="278"/>
      <c r="P1590" s="278"/>
      <c r="Q1590" s="278"/>
      <c r="R1590" s="278"/>
      <c r="S1590" s="278"/>
      <c r="T1590" s="278"/>
      <c r="U1590" s="278"/>
      <c r="V1590" s="278"/>
    </row>
    <row r="1591" spans="1:22" x14ac:dyDescent="0.15">
      <c r="A1591" s="278"/>
      <c r="B1591" s="278"/>
      <c r="C1591" s="278"/>
      <c r="D1591" s="278"/>
      <c r="E1591" s="278"/>
      <c r="F1591" s="278"/>
      <c r="G1591" s="278"/>
      <c r="H1591" s="278"/>
      <c r="I1591" s="278"/>
      <c r="J1591" s="278"/>
      <c r="K1591" s="278"/>
      <c r="L1591" s="278"/>
      <c r="M1591" s="278"/>
      <c r="N1591" s="278"/>
      <c r="O1591" s="278"/>
      <c r="P1591" s="278"/>
      <c r="Q1591" s="278"/>
      <c r="R1591" s="278"/>
      <c r="S1591" s="278"/>
      <c r="T1591" s="278"/>
      <c r="U1591" s="278"/>
      <c r="V1591" s="278"/>
    </row>
    <row r="1592" spans="1:22" x14ac:dyDescent="0.15">
      <c r="A1592" s="278"/>
      <c r="B1592" s="278"/>
      <c r="C1592" s="278"/>
      <c r="D1592" s="278"/>
      <c r="E1592" s="278"/>
      <c r="F1592" s="278"/>
      <c r="G1592" s="278"/>
      <c r="H1592" s="278"/>
      <c r="I1592" s="278"/>
      <c r="J1592" s="278"/>
      <c r="K1592" s="278"/>
      <c r="L1592" s="278"/>
      <c r="M1592" s="278"/>
      <c r="N1592" s="278"/>
      <c r="O1592" s="278"/>
      <c r="P1592" s="278"/>
      <c r="Q1592" s="278"/>
      <c r="R1592" s="278"/>
      <c r="S1592" s="278"/>
      <c r="T1592" s="278"/>
      <c r="U1592" s="278"/>
      <c r="V1592" s="278"/>
    </row>
    <row r="1593" spans="1:22" x14ac:dyDescent="0.15">
      <c r="A1593" s="278"/>
      <c r="B1593" s="278"/>
      <c r="C1593" s="278"/>
      <c r="D1593" s="278"/>
      <c r="E1593" s="278"/>
      <c r="F1593" s="278"/>
      <c r="G1593" s="278"/>
      <c r="H1593" s="278"/>
      <c r="I1593" s="278"/>
      <c r="J1593" s="278"/>
      <c r="K1593" s="278"/>
      <c r="L1593" s="278"/>
      <c r="M1593" s="278"/>
      <c r="N1593" s="278"/>
      <c r="O1593" s="278"/>
      <c r="P1593" s="278"/>
      <c r="Q1593" s="278"/>
      <c r="R1593" s="278"/>
      <c r="S1593" s="278"/>
      <c r="T1593" s="278"/>
      <c r="U1593" s="278"/>
      <c r="V1593" s="278"/>
    </row>
    <row r="1594" spans="1:22" x14ac:dyDescent="0.15">
      <c r="A1594" s="278"/>
      <c r="B1594" s="278"/>
      <c r="C1594" s="278"/>
      <c r="D1594" s="278"/>
      <c r="E1594" s="278"/>
      <c r="F1594" s="278"/>
      <c r="G1594" s="278"/>
      <c r="H1594" s="278"/>
      <c r="I1594" s="278"/>
      <c r="J1594" s="278"/>
      <c r="K1594" s="278"/>
      <c r="L1594" s="278"/>
      <c r="M1594" s="278"/>
      <c r="N1594" s="278"/>
      <c r="O1594" s="278"/>
      <c r="P1594" s="278"/>
      <c r="Q1594" s="278"/>
      <c r="R1594" s="278"/>
      <c r="S1594" s="278"/>
      <c r="T1594" s="278"/>
      <c r="U1594" s="278"/>
      <c r="V1594" s="278"/>
    </row>
    <row r="1595" spans="1:22" x14ac:dyDescent="0.15">
      <c r="A1595" s="278"/>
      <c r="B1595" s="278"/>
      <c r="C1595" s="278"/>
      <c r="D1595" s="278"/>
      <c r="E1595" s="278"/>
      <c r="F1595" s="278"/>
      <c r="G1595" s="278"/>
      <c r="H1595" s="278"/>
      <c r="I1595" s="278"/>
      <c r="J1595" s="278"/>
      <c r="K1595" s="278"/>
      <c r="L1595" s="278"/>
      <c r="M1595" s="278"/>
      <c r="N1595" s="278"/>
      <c r="O1595" s="278"/>
      <c r="P1595" s="278"/>
      <c r="Q1595" s="278"/>
      <c r="R1595" s="278"/>
      <c r="S1595" s="278"/>
      <c r="T1595" s="278"/>
      <c r="U1595" s="278"/>
      <c r="V1595" s="278"/>
    </row>
    <row r="1596" spans="1:22" x14ac:dyDescent="0.15">
      <c r="A1596" s="278"/>
      <c r="B1596" s="278"/>
      <c r="C1596" s="278"/>
      <c r="D1596" s="278"/>
      <c r="E1596" s="278"/>
      <c r="F1596" s="278"/>
      <c r="G1596" s="278"/>
      <c r="H1596" s="278"/>
      <c r="I1596" s="278"/>
      <c r="J1596" s="278"/>
      <c r="K1596" s="278"/>
      <c r="L1596" s="278"/>
      <c r="M1596" s="278"/>
      <c r="N1596" s="278"/>
      <c r="O1596" s="278"/>
      <c r="P1596" s="278"/>
      <c r="Q1596" s="278"/>
      <c r="R1596" s="278"/>
      <c r="S1596" s="278"/>
      <c r="T1596" s="278"/>
      <c r="U1596" s="278"/>
      <c r="V1596" s="278"/>
    </row>
    <row r="1597" spans="1:22" x14ac:dyDescent="0.15">
      <c r="A1597" s="278"/>
      <c r="B1597" s="278"/>
      <c r="C1597" s="278"/>
      <c r="D1597" s="278"/>
      <c r="E1597" s="278"/>
      <c r="F1597" s="278"/>
      <c r="G1597" s="278"/>
      <c r="H1597" s="278"/>
      <c r="I1597" s="278"/>
      <c r="J1597" s="278"/>
      <c r="K1597" s="278"/>
      <c r="L1597" s="278"/>
      <c r="M1597" s="278"/>
      <c r="N1597" s="278"/>
      <c r="O1597" s="278"/>
      <c r="P1597" s="278"/>
      <c r="Q1597" s="278"/>
      <c r="R1597" s="278"/>
      <c r="S1597" s="278"/>
      <c r="T1597" s="278"/>
      <c r="U1597" s="278"/>
      <c r="V1597" s="278"/>
    </row>
    <row r="1598" spans="1:22" x14ac:dyDescent="0.15">
      <c r="A1598" s="278"/>
      <c r="B1598" s="278"/>
      <c r="C1598" s="278"/>
      <c r="D1598" s="278"/>
      <c r="E1598" s="278"/>
      <c r="F1598" s="278"/>
      <c r="G1598" s="278"/>
      <c r="H1598" s="278"/>
      <c r="I1598" s="278"/>
      <c r="J1598" s="278"/>
      <c r="K1598" s="278"/>
      <c r="L1598" s="278"/>
      <c r="M1598" s="278"/>
      <c r="N1598" s="278"/>
      <c r="O1598" s="278"/>
      <c r="P1598" s="278"/>
      <c r="Q1598" s="278"/>
      <c r="R1598" s="278"/>
      <c r="S1598" s="278"/>
      <c r="T1598" s="278"/>
      <c r="U1598" s="278"/>
      <c r="V1598" s="278"/>
    </row>
    <row r="1599" spans="1:22" x14ac:dyDescent="0.15">
      <c r="A1599" s="278"/>
      <c r="B1599" s="278"/>
      <c r="C1599" s="278"/>
      <c r="D1599" s="278"/>
      <c r="E1599" s="278"/>
      <c r="F1599" s="278"/>
      <c r="G1599" s="278"/>
      <c r="H1599" s="278"/>
      <c r="I1599" s="278"/>
      <c r="J1599" s="278"/>
      <c r="K1599" s="278"/>
      <c r="L1599" s="278"/>
      <c r="M1599" s="278"/>
      <c r="N1599" s="278"/>
      <c r="O1599" s="278"/>
      <c r="P1599" s="278"/>
      <c r="Q1599" s="278"/>
      <c r="R1599" s="278"/>
      <c r="S1599" s="278"/>
      <c r="T1599" s="278"/>
      <c r="U1599" s="278"/>
      <c r="V1599" s="278"/>
    </row>
    <row r="1600" spans="1:22" x14ac:dyDescent="0.15">
      <c r="A1600" s="278"/>
      <c r="B1600" s="278"/>
      <c r="C1600" s="278"/>
      <c r="D1600" s="278"/>
      <c r="E1600" s="278"/>
      <c r="F1600" s="278"/>
      <c r="G1600" s="278"/>
      <c r="H1600" s="278"/>
      <c r="I1600" s="278"/>
      <c r="J1600" s="278"/>
      <c r="K1600" s="278"/>
      <c r="L1600" s="278"/>
      <c r="M1600" s="278"/>
      <c r="N1600" s="278"/>
      <c r="O1600" s="278"/>
      <c r="P1600" s="278"/>
      <c r="Q1600" s="278"/>
      <c r="R1600" s="278"/>
      <c r="S1600" s="278"/>
      <c r="T1600" s="278"/>
      <c r="U1600" s="278"/>
      <c r="V1600" s="278"/>
    </row>
    <row r="1601" spans="1:22" x14ac:dyDescent="0.15">
      <c r="A1601" s="278"/>
      <c r="B1601" s="278"/>
      <c r="C1601" s="278"/>
      <c r="D1601" s="278"/>
      <c r="E1601" s="278"/>
      <c r="F1601" s="278"/>
      <c r="G1601" s="278"/>
      <c r="H1601" s="278"/>
      <c r="I1601" s="278"/>
      <c r="J1601" s="278"/>
      <c r="K1601" s="278"/>
      <c r="L1601" s="278"/>
      <c r="M1601" s="278"/>
      <c r="N1601" s="278"/>
      <c r="O1601" s="278"/>
      <c r="P1601" s="278"/>
      <c r="Q1601" s="278"/>
      <c r="R1601" s="278"/>
      <c r="S1601" s="278"/>
      <c r="T1601" s="278"/>
      <c r="U1601" s="278"/>
      <c r="V1601" s="278"/>
    </row>
    <row r="1602" spans="1:22" x14ac:dyDescent="0.15">
      <c r="A1602" s="278"/>
      <c r="B1602" s="278"/>
      <c r="C1602" s="278"/>
      <c r="D1602" s="278"/>
      <c r="E1602" s="278"/>
      <c r="F1602" s="278"/>
      <c r="G1602" s="278"/>
      <c r="H1602" s="278"/>
      <c r="I1602" s="278"/>
      <c r="J1602" s="278"/>
      <c r="K1602" s="278"/>
      <c r="L1602" s="278"/>
      <c r="M1602" s="278"/>
      <c r="N1602" s="278"/>
      <c r="O1602" s="278"/>
      <c r="P1602" s="278"/>
      <c r="Q1602" s="278"/>
      <c r="R1602" s="278"/>
      <c r="S1602" s="278"/>
      <c r="T1602" s="278"/>
      <c r="U1602" s="278"/>
      <c r="V1602" s="278"/>
    </row>
    <row r="1603" spans="1:22" x14ac:dyDescent="0.15">
      <c r="A1603" s="278"/>
      <c r="B1603" s="278"/>
      <c r="C1603" s="278"/>
      <c r="D1603" s="278"/>
      <c r="E1603" s="278"/>
      <c r="F1603" s="278"/>
      <c r="G1603" s="278"/>
      <c r="H1603" s="278"/>
      <c r="I1603" s="278"/>
      <c r="J1603" s="278"/>
      <c r="K1603" s="278"/>
      <c r="L1603" s="278"/>
      <c r="M1603" s="278"/>
      <c r="N1603" s="278"/>
      <c r="O1603" s="278"/>
      <c r="P1603" s="278"/>
      <c r="Q1603" s="278"/>
      <c r="R1603" s="278"/>
      <c r="S1603" s="278"/>
      <c r="T1603" s="278"/>
      <c r="U1603" s="278"/>
      <c r="V1603" s="278"/>
    </row>
    <row r="1604" spans="1:22" x14ac:dyDescent="0.15">
      <c r="A1604" s="278"/>
      <c r="B1604" s="278"/>
      <c r="C1604" s="278"/>
      <c r="D1604" s="278"/>
      <c r="E1604" s="278"/>
      <c r="F1604" s="278"/>
      <c r="G1604" s="278"/>
      <c r="H1604" s="278"/>
      <c r="I1604" s="278"/>
      <c r="J1604" s="278"/>
      <c r="K1604" s="278"/>
      <c r="L1604" s="278"/>
      <c r="M1604" s="278"/>
      <c r="N1604" s="278"/>
      <c r="O1604" s="278"/>
      <c r="P1604" s="278"/>
      <c r="Q1604" s="278"/>
      <c r="R1604" s="278"/>
      <c r="S1604" s="278"/>
      <c r="T1604" s="278"/>
      <c r="U1604" s="278"/>
      <c r="V1604" s="278"/>
    </row>
    <row r="1605" spans="1:22" x14ac:dyDescent="0.15">
      <c r="A1605" s="278"/>
      <c r="B1605" s="278"/>
      <c r="C1605" s="278"/>
      <c r="D1605" s="278"/>
      <c r="E1605" s="278"/>
      <c r="F1605" s="278"/>
      <c r="G1605" s="278"/>
      <c r="H1605" s="278"/>
      <c r="I1605" s="278"/>
      <c r="J1605" s="278"/>
      <c r="K1605" s="278"/>
      <c r="L1605" s="278"/>
      <c r="M1605" s="278"/>
      <c r="N1605" s="278"/>
      <c r="O1605" s="278"/>
      <c r="P1605" s="278"/>
      <c r="Q1605" s="278"/>
      <c r="R1605" s="278"/>
      <c r="S1605" s="278"/>
      <c r="T1605" s="278"/>
      <c r="U1605" s="278"/>
      <c r="V1605" s="278"/>
    </row>
    <row r="1606" spans="1:22" x14ac:dyDescent="0.15">
      <c r="A1606" s="278"/>
      <c r="B1606" s="278"/>
      <c r="C1606" s="278"/>
      <c r="D1606" s="278"/>
      <c r="E1606" s="278"/>
      <c r="F1606" s="278"/>
      <c r="G1606" s="278"/>
      <c r="H1606" s="278"/>
      <c r="I1606" s="278"/>
      <c r="J1606" s="278"/>
      <c r="K1606" s="278"/>
      <c r="L1606" s="278"/>
      <c r="M1606" s="278"/>
      <c r="N1606" s="278"/>
      <c r="O1606" s="278"/>
      <c r="P1606" s="278"/>
      <c r="Q1606" s="278"/>
      <c r="R1606" s="278"/>
      <c r="S1606" s="278"/>
      <c r="T1606" s="278"/>
      <c r="U1606" s="278"/>
      <c r="V1606" s="278"/>
    </row>
    <row r="1607" spans="1:22" x14ac:dyDescent="0.15">
      <c r="A1607" s="278"/>
      <c r="B1607" s="278"/>
      <c r="C1607" s="278"/>
      <c r="D1607" s="278"/>
      <c r="E1607" s="278"/>
      <c r="F1607" s="278"/>
      <c r="G1607" s="278"/>
      <c r="H1607" s="278"/>
      <c r="I1607" s="278"/>
      <c r="J1607" s="278"/>
      <c r="K1607" s="278"/>
      <c r="L1607" s="278"/>
      <c r="M1607" s="278"/>
      <c r="N1607" s="278"/>
      <c r="O1607" s="278"/>
      <c r="P1607" s="278"/>
      <c r="Q1607" s="278"/>
      <c r="R1607" s="278"/>
      <c r="S1607" s="278"/>
      <c r="T1607" s="278"/>
      <c r="U1607" s="278"/>
      <c r="V1607" s="278"/>
    </row>
    <row r="1608" spans="1:22" x14ac:dyDescent="0.15">
      <c r="A1608" s="278"/>
      <c r="B1608" s="278"/>
      <c r="C1608" s="278"/>
      <c r="D1608" s="278"/>
      <c r="E1608" s="278"/>
      <c r="F1608" s="278"/>
      <c r="G1608" s="278"/>
      <c r="H1608" s="278"/>
      <c r="I1608" s="278"/>
      <c r="J1608" s="278"/>
      <c r="K1608" s="278"/>
      <c r="L1608" s="278"/>
      <c r="M1608" s="278"/>
      <c r="N1608" s="278"/>
      <c r="O1608" s="278"/>
      <c r="P1608" s="278"/>
      <c r="Q1608" s="278"/>
      <c r="R1608" s="278"/>
      <c r="S1608" s="278"/>
      <c r="T1608" s="278"/>
      <c r="U1608" s="278"/>
      <c r="V1608" s="278"/>
    </row>
    <row r="1609" spans="1:22" x14ac:dyDescent="0.15">
      <c r="A1609" s="278"/>
      <c r="B1609" s="278"/>
      <c r="C1609" s="278"/>
      <c r="D1609" s="278"/>
      <c r="E1609" s="278"/>
      <c r="F1609" s="278"/>
      <c r="G1609" s="278"/>
      <c r="H1609" s="278"/>
      <c r="I1609" s="278"/>
      <c r="J1609" s="278"/>
      <c r="K1609" s="278"/>
      <c r="L1609" s="278"/>
      <c r="M1609" s="278"/>
      <c r="N1609" s="278"/>
      <c r="O1609" s="278"/>
      <c r="P1609" s="278"/>
      <c r="Q1609" s="278"/>
      <c r="R1609" s="278"/>
      <c r="S1609" s="278"/>
      <c r="T1609" s="278"/>
      <c r="U1609" s="278"/>
      <c r="V1609" s="278"/>
    </row>
    <row r="1610" spans="1:22" x14ac:dyDescent="0.15">
      <c r="A1610" s="278"/>
      <c r="B1610" s="278"/>
      <c r="C1610" s="278"/>
      <c r="D1610" s="278"/>
      <c r="E1610" s="278"/>
      <c r="F1610" s="278"/>
      <c r="G1610" s="278"/>
      <c r="H1610" s="278"/>
      <c r="I1610" s="278"/>
      <c r="J1610" s="278"/>
      <c r="K1610" s="278"/>
      <c r="L1610" s="278"/>
      <c r="M1610" s="278"/>
      <c r="N1610" s="278"/>
      <c r="O1610" s="278"/>
      <c r="P1610" s="278"/>
      <c r="Q1610" s="278"/>
      <c r="R1610" s="278"/>
      <c r="S1610" s="278"/>
      <c r="T1610" s="278"/>
      <c r="U1610" s="278"/>
      <c r="V1610" s="278"/>
    </row>
    <row r="1611" spans="1:22" x14ac:dyDescent="0.15">
      <c r="A1611" s="278"/>
      <c r="B1611" s="278"/>
      <c r="C1611" s="278"/>
      <c r="D1611" s="278"/>
      <c r="E1611" s="278"/>
      <c r="F1611" s="278"/>
      <c r="G1611" s="278"/>
      <c r="H1611" s="278"/>
      <c r="I1611" s="278"/>
      <c r="J1611" s="278"/>
      <c r="K1611" s="278"/>
      <c r="L1611" s="278"/>
      <c r="M1611" s="278"/>
      <c r="N1611" s="278"/>
      <c r="O1611" s="278"/>
      <c r="P1611" s="278"/>
      <c r="Q1611" s="278"/>
      <c r="R1611" s="278"/>
      <c r="S1611" s="278"/>
      <c r="T1611" s="278"/>
      <c r="U1611" s="278"/>
      <c r="V1611" s="278"/>
    </row>
    <row r="1612" spans="1:22" x14ac:dyDescent="0.15">
      <c r="A1612" s="278"/>
      <c r="B1612" s="278"/>
      <c r="C1612" s="278"/>
      <c r="D1612" s="278"/>
      <c r="E1612" s="278"/>
      <c r="F1612" s="278"/>
      <c r="G1612" s="278"/>
      <c r="H1612" s="278"/>
      <c r="I1612" s="278"/>
      <c r="J1612" s="278"/>
      <c r="K1612" s="278"/>
      <c r="L1612" s="278"/>
      <c r="M1612" s="278"/>
      <c r="N1612" s="278"/>
      <c r="O1612" s="278"/>
      <c r="P1612" s="278"/>
      <c r="Q1612" s="278"/>
      <c r="R1612" s="278"/>
      <c r="S1612" s="278"/>
      <c r="T1612" s="278"/>
      <c r="U1612" s="278"/>
      <c r="V1612" s="278"/>
    </row>
    <row r="1613" spans="1:22" x14ac:dyDescent="0.15">
      <c r="A1613" s="278"/>
      <c r="B1613" s="278"/>
      <c r="C1613" s="278"/>
      <c r="D1613" s="278"/>
      <c r="E1613" s="278"/>
      <c r="F1613" s="278"/>
      <c r="G1613" s="278"/>
      <c r="H1613" s="278"/>
      <c r="I1613" s="278"/>
      <c r="J1613" s="278"/>
      <c r="K1613" s="278"/>
      <c r="L1613" s="278"/>
      <c r="M1613" s="278"/>
      <c r="N1613" s="278"/>
      <c r="O1613" s="278"/>
      <c r="P1613" s="278"/>
      <c r="Q1613" s="278"/>
      <c r="R1613" s="278"/>
      <c r="S1613" s="278"/>
      <c r="T1613" s="278"/>
      <c r="U1613" s="278"/>
      <c r="V1613" s="278"/>
    </row>
    <row r="1614" spans="1:22" x14ac:dyDescent="0.15">
      <c r="A1614" s="278"/>
      <c r="B1614" s="278"/>
      <c r="C1614" s="278"/>
      <c r="D1614" s="278"/>
      <c r="E1614" s="278"/>
      <c r="F1614" s="278"/>
      <c r="G1614" s="278"/>
      <c r="H1614" s="278"/>
      <c r="I1614" s="278"/>
      <c r="J1614" s="278"/>
      <c r="K1614" s="278"/>
      <c r="L1614" s="278"/>
      <c r="M1614" s="278"/>
      <c r="N1614" s="278"/>
      <c r="O1614" s="278"/>
      <c r="P1614" s="278"/>
      <c r="Q1614" s="278"/>
      <c r="R1614" s="278"/>
      <c r="S1614" s="278"/>
      <c r="T1614" s="278"/>
      <c r="U1614" s="278"/>
      <c r="V1614" s="278"/>
    </row>
    <row r="1615" spans="1:22" x14ac:dyDescent="0.15">
      <c r="A1615" s="278"/>
      <c r="B1615" s="278"/>
      <c r="C1615" s="278"/>
      <c r="D1615" s="278"/>
      <c r="E1615" s="278"/>
      <c r="F1615" s="278"/>
      <c r="G1615" s="278"/>
      <c r="H1615" s="278"/>
      <c r="I1615" s="278"/>
      <c r="J1615" s="278"/>
      <c r="K1615" s="278"/>
      <c r="L1615" s="278"/>
      <c r="M1615" s="278"/>
      <c r="N1615" s="278"/>
      <c r="O1615" s="278"/>
      <c r="P1615" s="278"/>
      <c r="Q1615" s="278"/>
      <c r="R1615" s="278"/>
      <c r="S1615" s="278"/>
      <c r="T1615" s="278"/>
      <c r="U1615" s="278"/>
      <c r="V1615" s="278"/>
    </row>
    <row r="1616" spans="1:22" x14ac:dyDescent="0.15">
      <c r="A1616" s="278"/>
      <c r="B1616" s="278"/>
      <c r="C1616" s="278"/>
      <c r="D1616" s="278"/>
      <c r="E1616" s="278"/>
      <c r="F1616" s="278"/>
      <c r="G1616" s="278"/>
      <c r="H1616" s="278"/>
      <c r="I1616" s="278"/>
      <c r="J1616" s="278"/>
      <c r="K1616" s="278"/>
      <c r="L1616" s="278"/>
      <c r="M1616" s="278"/>
      <c r="N1616" s="278"/>
      <c r="O1616" s="278"/>
      <c r="P1616" s="278"/>
      <c r="Q1616" s="278"/>
      <c r="R1616" s="278"/>
      <c r="S1616" s="278"/>
      <c r="T1616" s="278"/>
      <c r="U1616" s="278"/>
      <c r="V1616" s="278"/>
    </row>
    <row r="1617" spans="1:22" x14ac:dyDescent="0.15">
      <c r="A1617" s="278"/>
      <c r="B1617" s="278"/>
      <c r="C1617" s="278"/>
      <c r="D1617" s="278"/>
      <c r="E1617" s="278"/>
      <c r="F1617" s="278"/>
      <c r="G1617" s="278"/>
      <c r="H1617" s="278"/>
      <c r="I1617" s="278"/>
      <c r="J1617" s="278"/>
      <c r="K1617" s="278"/>
      <c r="L1617" s="278"/>
      <c r="M1617" s="278"/>
      <c r="N1617" s="278"/>
      <c r="O1617" s="278"/>
      <c r="P1617" s="278"/>
      <c r="Q1617" s="278"/>
      <c r="R1617" s="278"/>
      <c r="S1617" s="278"/>
      <c r="T1617" s="278"/>
      <c r="U1617" s="278"/>
      <c r="V1617" s="278"/>
    </row>
    <row r="1618" spans="1:22" x14ac:dyDescent="0.15">
      <c r="A1618" s="278"/>
      <c r="B1618" s="278"/>
      <c r="C1618" s="278"/>
      <c r="D1618" s="278"/>
      <c r="E1618" s="278"/>
      <c r="F1618" s="278"/>
      <c r="G1618" s="278"/>
      <c r="H1618" s="278"/>
      <c r="I1618" s="278"/>
      <c r="J1618" s="278"/>
      <c r="K1618" s="278"/>
      <c r="L1618" s="278"/>
      <c r="M1618" s="278"/>
      <c r="N1618" s="278"/>
      <c r="O1618" s="278"/>
      <c r="P1618" s="278"/>
      <c r="Q1618" s="278"/>
      <c r="R1618" s="278"/>
      <c r="S1618" s="278"/>
      <c r="T1618" s="278"/>
      <c r="U1618" s="278"/>
      <c r="V1618" s="278"/>
    </row>
    <row r="1619" spans="1:22" x14ac:dyDescent="0.15">
      <c r="A1619" s="278"/>
      <c r="B1619" s="278"/>
      <c r="C1619" s="278"/>
      <c r="D1619" s="278"/>
      <c r="E1619" s="278"/>
      <c r="F1619" s="278"/>
      <c r="G1619" s="278"/>
      <c r="H1619" s="278"/>
      <c r="I1619" s="278"/>
      <c r="J1619" s="278"/>
      <c r="K1619" s="278"/>
      <c r="L1619" s="278"/>
      <c r="M1619" s="278"/>
      <c r="N1619" s="278"/>
      <c r="O1619" s="278"/>
      <c r="P1619" s="278"/>
      <c r="Q1619" s="278"/>
      <c r="R1619" s="278"/>
      <c r="S1619" s="278"/>
      <c r="T1619" s="278"/>
      <c r="U1619" s="278"/>
      <c r="V1619" s="278"/>
    </row>
    <row r="1620" spans="1:22" x14ac:dyDescent="0.15">
      <c r="A1620" s="278"/>
      <c r="B1620" s="278"/>
      <c r="C1620" s="278"/>
      <c r="D1620" s="278"/>
      <c r="E1620" s="278"/>
      <c r="F1620" s="278"/>
      <c r="G1620" s="278"/>
      <c r="H1620" s="278"/>
      <c r="I1620" s="278"/>
      <c r="J1620" s="278"/>
      <c r="K1620" s="278"/>
      <c r="L1620" s="278"/>
      <c r="M1620" s="278"/>
      <c r="N1620" s="278"/>
      <c r="O1620" s="278"/>
      <c r="P1620" s="278"/>
      <c r="Q1620" s="278"/>
      <c r="R1620" s="278"/>
      <c r="S1620" s="278"/>
      <c r="T1620" s="278"/>
      <c r="U1620" s="278"/>
      <c r="V1620" s="278"/>
    </row>
    <row r="1621" spans="1:22" x14ac:dyDescent="0.15">
      <c r="A1621" s="278"/>
      <c r="B1621" s="278"/>
      <c r="C1621" s="278"/>
      <c r="D1621" s="278"/>
      <c r="E1621" s="278"/>
      <c r="F1621" s="278"/>
      <c r="G1621" s="278"/>
      <c r="H1621" s="278"/>
      <c r="I1621" s="278"/>
      <c r="J1621" s="278"/>
      <c r="K1621" s="278"/>
      <c r="L1621" s="278"/>
      <c r="M1621" s="278"/>
      <c r="N1621" s="278"/>
      <c r="O1621" s="278"/>
      <c r="P1621" s="278"/>
      <c r="Q1621" s="278"/>
      <c r="R1621" s="278"/>
      <c r="S1621" s="278"/>
      <c r="T1621" s="278"/>
      <c r="U1621" s="278"/>
      <c r="V1621" s="278"/>
    </row>
    <row r="1622" spans="1:22" x14ac:dyDescent="0.15">
      <c r="A1622" s="278"/>
      <c r="B1622" s="278"/>
      <c r="C1622" s="278"/>
      <c r="D1622" s="278"/>
      <c r="E1622" s="278"/>
      <c r="F1622" s="278"/>
      <c r="G1622" s="278"/>
      <c r="H1622" s="278"/>
      <c r="I1622" s="278"/>
      <c r="J1622" s="278"/>
      <c r="K1622" s="278"/>
      <c r="L1622" s="278"/>
      <c r="M1622" s="278"/>
      <c r="N1622" s="278"/>
      <c r="O1622" s="278"/>
      <c r="P1622" s="278"/>
      <c r="Q1622" s="278"/>
      <c r="R1622" s="278"/>
      <c r="S1622" s="278"/>
      <c r="T1622" s="278"/>
      <c r="U1622" s="278"/>
      <c r="V1622" s="278"/>
    </row>
    <row r="1623" spans="1:22" x14ac:dyDescent="0.15">
      <c r="A1623" s="278"/>
      <c r="B1623" s="278"/>
      <c r="C1623" s="278"/>
      <c r="D1623" s="278"/>
      <c r="E1623" s="278"/>
      <c r="F1623" s="278"/>
      <c r="G1623" s="278"/>
      <c r="H1623" s="278"/>
      <c r="I1623" s="278"/>
      <c r="J1623" s="278"/>
      <c r="K1623" s="278"/>
      <c r="L1623" s="278"/>
      <c r="M1623" s="278"/>
      <c r="N1623" s="278"/>
      <c r="O1623" s="278"/>
      <c r="P1623" s="278"/>
      <c r="Q1623" s="278"/>
      <c r="R1623" s="278"/>
      <c r="S1623" s="278"/>
      <c r="T1623" s="278"/>
      <c r="U1623" s="278"/>
      <c r="V1623" s="278"/>
    </row>
    <row r="1624" spans="1:22" x14ac:dyDescent="0.15">
      <c r="A1624" s="278"/>
      <c r="B1624" s="278"/>
      <c r="C1624" s="278"/>
      <c r="D1624" s="278"/>
      <c r="E1624" s="278"/>
      <c r="F1624" s="278"/>
      <c r="G1624" s="278"/>
      <c r="H1624" s="278"/>
      <c r="I1624" s="278"/>
      <c r="J1624" s="278"/>
      <c r="K1624" s="278"/>
      <c r="L1624" s="278"/>
      <c r="M1624" s="278"/>
      <c r="N1624" s="278"/>
      <c r="O1624" s="278"/>
      <c r="P1624" s="278"/>
      <c r="Q1624" s="278"/>
      <c r="R1624" s="278"/>
      <c r="S1624" s="278"/>
      <c r="T1624" s="278"/>
      <c r="U1624" s="278"/>
      <c r="V1624" s="278"/>
    </row>
    <row r="1625" spans="1:22" x14ac:dyDescent="0.15">
      <c r="A1625" s="278"/>
      <c r="B1625" s="278"/>
      <c r="C1625" s="278"/>
      <c r="D1625" s="278"/>
      <c r="E1625" s="278"/>
      <c r="F1625" s="278"/>
      <c r="G1625" s="278"/>
      <c r="H1625" s="278"/>
      <c r="I1625" s="278"/>
      <c r="J1625" s="278"/>
      <c r="K1625" s="278"/>
      <c r="L1625" s="278"/>
      <c r="M1625" s="278"/>
      <c r="N1625" s="278"/>
      <c r="O1625" s="278"/>
      <c r="P1625" s="278"/>
      <c r="Q1625" s="278"/>
      <c r="R1625" s="278"/>
      <c r="S1625" s="278"/>
      <c r="T1625" s="278"/>
      <c r="U1625" s="278"/>
      <c r="V1625" s="278"/>
    </row>
    <row r="1626" spans="1:22" x14ac:dyDescent="0.15">
      <c r="A1626" s="278"/>
      <c r="B1626" s="278"/>
      <c r="C1626" s="278"/>
      <c r="D1626" s="278"/>
      <c r="E1626" s="278"/>
      <c r="F1626" s="278"/>
      <c r="G1626" s="278"/>
      <c r="H1626" s="278"/>
      <c r="I1626" s="278"/>
      <c r="J1626" s="278"/>
      <c r="K1626" s="278"/>
      <c r="L1626" s="278"/>
      <c r="M1626" s="278"/>
      <c r="N1626" s="278"/>
      <c r="O1626" s="278"/>
      <c r="P1626" s="278"/>
      <c r="Q1626" s="278"/>
      <c r="R1626" s="278"/>
      <c r="S1626" s="278"/>
      <c r="T1626" s="278"/>
      <c r="U1626" s="278"/>
      <c r="V1626" s="278"/>
    </row>
    <row r="1627" spans="1:22" x14ac:dyDescent="0.15">
      <c r="A1627" s="278"/>
      <c r="B1627" s="278"/>
      <c r="C1627" s="278"/>
      <c r="D1627" s="278"/>
      <c r="E1627" s="278"/>
      <c r="F1627" s="278"/>
      <c r="G1627" s="278"/>
      <c r="H1627" s="278"/>
      <c r="I1627" s="278"/>
      <c r="J1627" s="278"/>
      <c r="K1627" s="278"/>
      <c r="L1627" s="278"/>
      <c r="M1627" s="278"/>
      <c r="N1627" s="278"/>
      <c r="O1627" s="278"/>
      <c r="P1627" s="278"/>
      <c r="Q1627" s="278"/>
      <c r="R1627" s="278"/>
      <c r="S1627" s="278"/>
      <c r="T1627" s="278"/>
      <c r="U1627" s="278"/>
      <c r="V1627" s="278"/>
    </row>
    <row r="1628" spans="1:22" x14ac:dyDescent="0.15">
      <c r="A1628" s="278"/>
      <c r="B1628" s="278"/>
      <c r="C1628" s="278"/>
      <c r="D1628" s="278"/>
      <c r="E1628" s="278"/>
      <c r="F1628" s="278"/>
      <c r="G1628" s="278"/>
      <c r="H1628" s="278"/>
      <c r="I1628" s="278"/>
      <c r="J1628" s="278"/>
      <c r="K1628" s="278"/>
      <c r="L1628" s="278"/>
      <c r="M1628" s="278"/>
      <c r="N1628" s="278"/>
      <c r="O1628" s="278"/>
      <c r="P1628" s="278"/>
      <c r="Q1628" s="278"/>
      <c r="R1628" s="278"/>
      <c r="S1628" s="278"/>
      <c r="T1628" s="278"/>
      <c r="U1628" s="278"/>
      <c r="V1628" s="278"/>
    </row>
    <row r="1629" spans="1:22" x14ac:dyDescent="0.15">
      <c r="A1629" s="278"/>
      <c r="B1629" s="278"/>
      <c r="C1629" s="278"/>
      <c r="D1629" s="278"/>
      <c r="E1629" s="278"/>
      <c r="F1629" s="278"/>
      <c r="G1629" s="278"/>
      <c r="H1629" s="278"/>
      <c r="I1629" s="278"/>
      <c r="J1629" s="278"/>
      <c r="K1629" s="278"/>
      <c r="L1629" s="278"/>
      <c r="M1629" s="278"/>
      <c r="N1629" s="278"/>
      <c r="O1629" s="278"/>
      <c r="P1629" s="278"/>
      <c r="Q1629" s="278"/>
      <c r="R1629" s="278"/>
      <c r="S1629" s="278"/>
      <c r="T1629" s="278"/>
      <c r="U1629" s="278"/>
      <c r="V1629" s="278"/>
    </row>
    <row r="1630" spans="1:22" x14ac:dyDescent="0.15">
      <c r="A1630" s="278"/>
      <c r="B1630" s="278"/>
      <c r="C1630" s="278"/>
      <c r="D1630" s="278"/>
      <c r="E1630" s="278"/>
      <c r="F1630" s="278"/>
      <c r="G1630" s="278"/>
      <c r="H1630" s="278"/>
      <c r="I1630" s="278"/>
      <c r="J1630" s="278"/>
      <c r="K1630" s="278"/>
      <c r="L1630" s="278"/>
      <c r="M1630" s="278"/>
      <c r="N1630" s="278"/>
      <c r="O1630" s="278"/>
      <c r="P1630" s="278"/>
      <c r="Q1630" s="278"/>
      <c r="R1630" s="278"/>
      <c r="S1630" s="278"/>
      <c r="T1630" s="278"/>
      <c r="U1630" s="278"/>
      <c r="V1630" s="278"/>
    </row>
    <row r="1631" spans="1:22" x14ac:dyDescent="0.15">
      <c r="A1631" s="278"/>
      <c r="B1631" s="278"/>
      <c r="C1631" s="278"/>
      <c r="D1631" s="278"/>
      <c r="E1631" s="278"/>
      <c r="F1631" s="278"/>
      <c r="G1631" s="278"/>
      <c r="H1631" s="278"/>
      <c r="I1631" s="278"/>
      <c r="J1631" s="278"/>
      <c r="K1631" s="278"/>
      <c r="L1631" s="278"/>
      <c r="M1631" s="278"/>
      <c r="N1631" s="278"/>
      <c r="O1631" s="278"/>
      <c r="P1631" s="278"/>
      <c r="Q1631" s="278"/>
      <c r="R1631" s="278"/>
      <c r="S1631" s="278"/>
      <c r="T1631" s="278"/>
      <c r="U1631" s="278"/>
      <c r="V1631" s="278"/>
    </row>
    <row r="1632" spans="1:22" x14ac:dyDescent="0.15">
      <c r="A1632" s="278"/>
      <c r="B1632" s="278"/>
      <c r="C1632" s="278"/>
      <c r="D1632" s="278"/>
      <c r="E1632" s="278"/>
      <c r="F1632" s="278"/>
      <c r="G1632" s="278"/>
      <c r="H1632" s="278"/>
      <c r="I1632" s="278"/>
      <c r="J1632" s="278"/>
      <c r="K1632" s="278"/>
      <c r="L1632" s="278"/>
      <c r="M1632" s="278"/>
      <c r="N1632" s="278"/>
      <c r="O1632" s="278"/>
      <c r="P1632" s="278"/>
      <c r="Q1632" s="278"/>
      <c r="R1632" s="278"/>
      <c r="S1632" s="278"/>
      <c r="T1632" s="278"/>
      <c r="U1632" s="278"/>
      <c r="V1632" s="278"/>
    </row>
    <row r="1633" spans="1:22" x14ac:dyDescent="0.15">
      <c r="A1633" s="278"/>
      <c r="B1633" s="278"/>
      <c r="C1633" s="278"/>
      <c r="D1633" s="278"/>
      <c r="E1633" s="278"/>
      <c r="F1633" s="278"/>
      <c r="G1633" s="278"/>
      <c r="H1633" s="278"/>
      <c r="I1633" s="278"/>
      <c r="J1633" s="278"/>
      <c r="K1633" s="278"/>
      <c r="L1633" s="278"/>
      <c r="M1633" s="278"/>
      <c r="N1633" s="278"/>
      <c r="O1633" s="278"/>
      <c r="P1633" s="278"/>
      <c r="Q1633" s="278"/>
      <c r="R1633" s="278"/>
      <c r="S1633" s="278"/>
      <c r="T1633" s="278"/>
      <c r="U1633" s="278"/>
      <c r="V1633" s="278"/>
    </row>
    <row r="1634" spans="1:22" x14ac:dyDescent="0.15">
      <c r="A1634" s="278"/>
      <c r="B1634" s="278"/>
      <c r="C1634" s="278"/>
      <c r="D1634" s="278"/>
      <c r="E1634" s="278"/>
      <c r="F1634" s="278"/>
      <c r="G1634" s="278"/>
      <c r="H1634" s="278"/>
      <c r="I1634" s="278"/>
      <c r="J1634" s="278"/>
      <c r="K1634" s="278"/>
      <c r="L1634" s="278"/>
      <c r="M1634" s="278"/>
      <c r="N1634" s="278"/>
      <c r="O1634" s="278"/>
      <c r="P1634" s="278"/>
      <c r="Q1634" s="278"/>
      <c r="R1634" s="278"/>
      <c r="S1634" s="278"/>
      <c r="T1634" s="278"/>
      <c r="U1634" s="278"/>
      <c r="V1634" s="278"/>
    </row>
    <row r="1635" spans="1:22" x14ac:dyDescent="0.15">
      <c r="A1635" s="278"/>
      <c r="B1635" s="278"/>
      <c r="C1635" s="278"/>
      <c r="D1635" s="278"/>
      <c r="E1635" s="278"/>
      <c r="F1635" s="278"/>
      <c r="G1635" s="278"/>
      <c r="H1635" s="278"/>
      <c r="I1635" s="278"/>
      <c r="J1635" s="278"/>
      <c r="K1635" s="278"/>
      <c r="L1635" s="278"/>
      <c r="M1635" s="278"/>
      <c r="N1635" s="278"/>
      <c r="O1635" s="278"/>
      <c r="P1635" s="278"/>
      <c r="Q1635" s="278"/>
      <c r="R1635" s="278"/>
      <c r="S1635" s="278"/>
      <c r="T1635" s="278"/>
      <c r="U1635" s="278"/>
      <c r="V1635" s="278"/>
    </row>
    <row r="1636" spans="1:22" x14ac:dyDescent="0.15">
      <c r="A1636" s="278"/>
      <c r="B1636" s="278"/>
      <c r="C1636" s="278"/>
      <c r="D1636" s="278"/>
      <c r="E1636" s="278"/>
      <c r="F1636" s="278"/>
      <c r="G1636" s="278"/>
      <c r="H1636" s="278"/>
      <c r="I1636" s="278"/>
      <c r="J1636" s="278"/>
      <c r="K1636" s="278"/>
      <c r="L1636" s="278"/>
      <c r="M1636" s="278"/>
      <c r="N1636" s="278"/>
      <c r="O1636" s="278"/>
      <c r="P1636" s="278"/>
      <c r="Q1636" s="278"/>
      <c r="R1636" s="278"/>
      <c r="S1636" s="278"/>
      <c r="T1636" s="278"/>
      <c r="U1636" s="278"/>
      <c r="V1636" s="278"/>
    </row>
    <row r="1637" spans="1:22" x14ac:dyDescent="0.15">
      <c r="A1637" s="278"/>
      <c r="B1637" s="278"/>
      <c r="C1637" s="278"/>
      <c r="D1637" s="278"/>
      <c r="E1637" s="278"/>
      <c r="F1637" s="278"/>
      <c r="G1637" s="278"/>
      <c r="H1637" s="278"/>
      <c r="I1637" s="278"/>
      <c r="J1637" s="278"/>
      <c r="K1637" s="278"/>
      <c r="L1637" s="278"/>
      <c r="M1637" s="278"/>
      <c r="N1637" s="278"/>
      <c r="O1637" s="278"/>
      <c r="P1637" s="278"/>
      <c r="Q1637" s="278"/>
      <c r="R1637" s="278"/>
      <c r="S1637" s="278"/>
      <c r="T1637" s="278"/>
      <c r="U1637" s="278"/>
      <c r="V1637" s="278"/>
    </row>
    <row r="1638" spans="1:22" x14ac:dyDescent="0.15">
      <c r="A1638" s="278"/>
      <c r="B1638" s="278"/>
      <c r="C1638" s="278"/>
      <c r="D1638" s="278"/>
      <c r="E1638" s="278"/>
      <c r="F1638" s="278"/>
      <c r="G1638" s="278"/>
      <c r="H1638" s="278"/>
      <c r="I1638" s="278"/>
      <c r="J1638" s="278"/>
      <c r="K1638" s="278"/>
      <c r="L1638" s="278"/>
      <c r="M1638" s="278"/>
      <c r="N1638" s="278"/>
      <c r="O1638" s="278"/>
      <c r="P1638" s="278"/>
      <c r="Q1638" s="278"/>
      <c r="R1638" s="278"/>
      <c r="S1638" s="278"/>
      <c r="T1638" s="278"/>
      <c r="U1638" s="278"/>
      <c r="V1638" s="278"/>
    </row>
    <row r="1639" spans="1:22" x14ac:dyDescent="0.15">
      <c r="A1639" s="278"/>
      <c r="B1639" s="278"/>
      <c r="C1639" s="278"/>
      <c r="D1639" s="278"/>
      <c r="E1639" s="278"/>
      <c r="F1639" s="278"/>
      <c r="G1639" s="278"/>
      <c r="H1639" s="278"/>
      <c r="I1639" s="278"/>
      <c r="J1639" s="278"/>
      <c r="K1639" s="278"/>
      <c r="L1639" s="278"/>
      <c r="M1639" s="278"/>
      <c r="N1639" s="278"/>
      <c r="O1639" s="278"/>
      <c r="P1639" s="278"/>
      <c r="Q1639" s="278"/>
      <c r="R1639" s="278"/>
      <c r="S1639" s="278"/>
      <c r="T1639" s="278"/>
      <c r="U1639" s="278"/>
      <c r="V1639" s="278"/>
    </row>
    <row r="1640" spans="1:22" x14ac:dyDescent="0.15">
      <c r="A1640" s="278"/>
      <c r="B1640" s="278"/>
      <c r="C1640" s="278"/>
      <c r="D1640" s="278"/>
      <c r="E1640" s="278"/>
      <c r="F1640" s="278"/>
      <c r="G1640" s="278"/>
      <c r="H1640" s="278"/>
      <c r="I1640" s="278"/>
      <c r="J1640" s="278"/>
      <c r="K1640" s="278"/>
      <c r="L1640" s="278"/>
      <c r="M1640" s="278"/>
      <c r="N1640" s="278"/>
      <c r="O1640" s="278"/>
      <c r="P1640" s="278"/>
      <c r="Q1640" s="278"/>
      <c r="R1640" s="278"/>
      <c r="S1640" s="278"/>
      <c r="T1640" s="278"/>
      <c r="U1640" s="278"/>
      <c r="V1640" s="278"/>
    </row>
    <row r="1641" spans="1:22" x14ac:dyDescent="0.15">
      <c r="A1641" s="278"/>
      <c r="B1641" s="278"/>
      <c r="C1641" s="278"/>
      <c r="D1641" s="278"/>
      <c r="E1641" s="278"/>
      <c r="F1641" s="278"/>
      <c r="G1641" s="278"/>
      <c r="H1641" s="278"/>
      <c r="I1641" s="278"/>
      <c r="J1641" s="278"/>
      <c r="K1641" s="278"/>
      <c r="L1641" s="278"/>
      <c r="M1641" s="278"/>
      <c r="N1641" s="278"/>
      <c r="O1641" s="278"/>
      <c r="P1641" s="278"/>
      <c r="Q1641" s="278"/>
      <c r="R1641" s="278"/>
      <c r="S1641" s="278"/>
      <c r="T1641" s="278"/>
      <c r="U1641" s="278"/>
      <c r="V1641" s="278"/>
    </row>
    <row r="1642" spans="1:22" x14ac:dyDescent="0.15">
      <c r="A1642" s="278"/>
      <c r="B1642" s="278"/>
      <c r="C1642" s="278"/>
      <c r="D1642" s="278"/>
      <c r="E1642" s="278"/>
      <c r="F1642" s="278"/>
      <c r="G1642" s="278"/>
      <c r="H1642" s="278"/>
      <c r="I1642" s="278"/>
      <c r="J1642" s="278"/>
      <c r="K1642" s="278"/>
      <c r="L1642" s="278"/>
      <c r="M1642" s="278"/>
      <c r="N1642" s="278"/>
      <c r="O1642" s="278"/>
      <c r="P1642" s="278"/>
      <c r="Q1642" s="278"/>
      <c r="R1642" s="278"/>
      <c r="S1642" s="278"/>
      <c r="T1642" s="278"/>
      <c r="U1642" s="278"/>
      <c r="V1642" s="278"/>
    </row>
    <row r="1643" spans="1:22" x14ac:dyDescent="0.15">
      <c r="A1643" s="278"/>
      <c r="B1643" s="278"/>
      <c r="C1643" s="278"/>
      <c r="D1643" s="278"/>
      <c r="E1643" s="278"/>
      <c r="F1643" s="278"/>
      <c r="G1643" s="278"/>
      <c r="H1643" s="278"/>
      <c r="I1643" s="278"/>
      <c r="J1643" s="278"/>
      <c r="K1643" s="278"/>
      <c r="L1643" s="278"/>
      <c r="M1643" s="278"/>
      <c r="N1643" s="278"/>
      <c r="O1643" s="278"/>
      <c r="P1643" s="278"/>
      <c r="Q1643" s="278"/>
      <c r="R1643" s="278"/>
      <c r="S1643" s="278"/>
      <c r="T1643" s="278"/>
      <c r="U1643" s="278"/>
      <c r="V1643" s="278"/>
    </row>
    <row r="1644" spans="1:22" x14ac:dyDescent="0.15">
      <c r="A1644" s="278"/>
      <c r="B1644" s="278"/>
      <c r="C1644" s="278"/>
      <c r="D1644" s="278"/>
      <c r="E1644" s="278"/>
      <c r="F1644" s="278"/>
      <c r="G1644" s="278"/>
      <c r="H1644" s="278"/>
      <c r="I1644" s="278"/>
      <c r="J1644" s="278"/>
      <c r="K1644" s="278"/>
      <c r="L1644" s="278"/>
      <c r="M1644" s="278"/>
      <c r="N1644" s="278"/>
      <c r="O1644" s="278"/>
      <c r="P1644" s="278"/>
      <c r="Q1644" s="278"/>
      <c r="R1644" s="278"/>
      <c r="S1644" s="278"/>
      <c r="T1644" s="278"/>
      <c r="U1644" s="278"/>
      <c r="V1644" s="278"/>
    </row>
    <row r="1645" spans="1:22" x14ac:dyDescent="0.15">
      <c r="A1645" s="278"/>
      <c r="B1645" s="278"/>
      <c r="C1645" s="278"/>
      <c r="D1645" s="278"/>
      <c r="E1645" s="278"/>
      <c r="F1645" s="278"/>
      <c r="G1645" s="278"/>
      <c r="H1645" s="278"/>
      <c r="I1645" s="278"/>
      <c r="J1645" s="278"/>
      <c r="K1645" s="278"/>
      <c r="L1645" s="278"/>
      <c r="M1645" s="278"/>
      <c r="N1645" s="278"/>
      <c r="O1645" s="278"/>
      <c r="P1645" s="278"/>
      <c r="Q1645" s="278"/>
      <c r="R1645" s="278"/>
      <c r="S1645" s="278"/>
      <c r="T1645" s="278"/>
      <c r="U1645" s="278"/>
      <c r="V1645" s="278"/>
    </row>
    <row r="1646" spans="1:22" x14ac:dyDescent="0.15">
      <c r="A1646" s="278"/>
      <c r="B1646" s="278"/>
      <c r="C1646" s="278"/>
      <c r="D1646" s="278"/>
      <c r="E1646" s="278"/>
      <c r="F1646" s="278"/>
      <c r="G1646" s="278"/>
      <c r="H1646" s="278"/>
      <c r="I1646" s="278"/>
      <c r="J1646" s="278"/>
      <c r="K1646" s="278"/>
      <c r="L1646" s="278"/>
      <c r="M1646" s="278"/>
      <c r="N1646" s="278"/>
      <c r="O1646" s="278"/>
      <c r="P1646" s="278"/>
      <c r="Q1646" s="278"/>
      <c r="R1646" s="278"/>
      <c r="S1646" s="278"/>
      <c r="T1646" s="278"/>
      <c r="U1646" s="278"/>
      <c r="V1646" s="278"/>
    </row>
    <row r="1647" spans="1:22" x14ac:dyDescent="0.15">
      <c r="A1647" s="278"/>
      <c r="B1647" s="278"/>
      <c r="C1647" s="278"/>
      <c r="D1647" s="278"/>
      <c r="E1647" s="278"/>
      <c r="F1647" s="278"/>
      <c r="G1647" s="278"/>
      <c r="H1647" s="278"/>
      <c r="I1647" s="278"/>
      <c r="J1647" s="278"/>
      <c r="K1647" s="278"/>
      <c r="L1647" s="278"/>
      <c r="M1647" s="278"/>
      <c r="N1647" s="278"/>
      <c r="O1647" s="278"/>
      <c r="P1647" s="278"/>
      <c r="Q1647" s="278"/>
      <c r="R1647" s="278"/>
      <c r="S1647" s="278"/>
      <c r="T1647" s="278"/>
      <c r="U1647" s="278"/>
      <c r="V1647" s="278"/>
    </row>
    <row r="1648" spans="1:22" x14ac:dyDescent="0.15">
      <c r="A1648" s="278"/>
      <c r="B1648" s="278"/>
      <c r="C1648" s="278"/>
      <c r="D1648" s="278"/>
      <c r="E1648" s="278"/>
      <c r="F1648" s="278"/>
      <c r="G1648" s="278"/>
      <c r="H1648" s="278"/>
      <c r="I1648" s="278"/>
      <c r="J1648" s="278"/>
      <c r="K1648" s="278"/>
      <c r="L1648" s="278"/>
      <c r="M1648" s="278"/>
      <c r="N1648" s="278"/>
      <c r="O1648" s="278"/>
      <c r="P1648" s="278"/>
      <c r="Q1648" s="278"/>
      <c r="R1648" s="278"/>
      <c r="S1648" s="278"/>
      <c r="T1648" s="278"/>
      <c r="U1648" s="278"/>
      <c r="V1648" s="278"/>
    </row>
    <row r="1649" spans="1:22" x14ac:dyDescent="0.15">
      <c r="A1649" s="278"/>
      <c r="B1649" s="278"/>
      <c r="C1649" s="278"/>
      <c r="D1649" s="278"/>
      <c r="E1649" s="278"/>
      <c r="F1649" s="278"/>
      <c r="G1649" s="278"/>
      <c r="H1649" s="278"/>
      <c r="I1649" s="278"/>
      <c r="J1649" s="278"/>
      <c r="K1649" s="278"/>
      <c r="L1649" s="278"/>
      <c r="M1649" s="278"/>
      <c r="N1649" s="278"/>
      <c r="O1649" s="278"/>
      <c r="P1649" s="278"/>
      <c r="Q1649" s="278"/>
      <c r="R1649" s="278"/>
      <c r="S1649" s="278"/>
      <c r="T1649" s="278"/>
      <c r="U1649" s="278"/>
      <c r="V1649" s="278"/>
    </row>
    <row r="1650" spans="1:22" x14ac:dyDescent="0.15">
      <c r="A1650" s="278"/>
      <c r="B1650" s="278"/>
      <c r="C1650" s="278"/>
      <c r="D1650" s="278"/>
      <c r="E1650" s="278"/>
      <c r="F1650" s="278"/>
      <c r="G1650" s="278"/>
      <c r="H1650" s="278"/>
      <c r="I1650" s="278"/>
      <c r="J1650" s="278"/>
      <c r="K1650" s="278"/>
      <c r="L1650" s="278"/>
      <c r="M1650" s="278"/>
      <c r="N1650" s="278"/>
      <c r="O1650" s="278"/>
      <c r="P1650" s="278"/>
      <c r="Q1650" s="278"/>
      <c r="R1650" s="278"/>
      <c r="S1650" s="278"/>
      <c r="T1650" s="278"/>
      <c r="U1650" s="278"/>
      <c r="V1650" s="278"/>
    </row>
    <row r="1651" spans="1:22" x14ac:dyDescent="0.15">
      <c r="A1651" s="278"/>
      <c r="B1651" s="278"/>
      <c r="C1651" s="278"/>
      <c r="D1651" s="278"/>
      <c r="E1651" s="278"/>
      <c r="F1651" s="278"/>
      <c r="G1651" s="278"/>
      <c r="H1651" s="278"/>
      <c r="I1651" s="278"/>
      <c r="J1651" s="278"/>
      <c r="K1651" s="278"/>
      <c r="L1651" s="278"/>
      <c r="M1651" s="278"/>
      <c r="N1651" s="278"/>
      <c r="O1651" s="278"/>
      <c r="P1651" s="278"/>
      <c r="Q1651" s="278"/>
      <c r="R1651" s="278"/>
      <c r="S1651" s="278"/>
      <c r="T1651" s="278"/>
      <c r="U1651" s="278"/>
      <c r="V1651" s="278"/>
    </row>
    <row r="1652" spans="1:22" x14ac:dyDescent="0.15">
      <c r="A1652" s="278"/>
      <c r="B1652" s="278"/>
      <c r="C1652" s="278"/>
      <c r="D1652" s="278"/>
      <c r="E1652" s="278"/>
      <c r="F1652" s="278"/>
      <c r="G1652" s="278"/>
      <c r="H1652" s="278"/>
      <c r="I1652" s="278"/>
      <c r="J1652" s="278"/>
      <c r="K1652" s="278"/>
      <c r="L1652" s="278"/>
      <c r="M1652" s="278"/>
      <c r="N1652" s="278"/>
      <c r="O1652" s="278"/>
      <c r="P1652" s="278"/>
      <c r="Q1652" s="278"/>
      <c r="R1652" s="278"/>
      <c r="S1652" s="278"/>
      <c r="T1652" s="278"/>
      <c r="U1652" s="278"/>
      <c r="V1652" s="278"/>
    </row>
    <row r="1653" spans="1:22" x14ac:dyDescent="0.15">
      <c r="A1653" s="278"/>
      <c r="B1653" s="278"/>
      <c r="C1653" s="278"/>
      <c r="D1653" s="278"/>
      <c r="E1653" s="278"/>
      <c r="F1653" s="278"/>
      <c r="G1653" s="278"/>
      <c r="H1653" s="278"/>
      <c r="I1653" s="278"/>
      <c r="J1653" s="278"/>
      <c r="K1653" s="278"/>
      <c r="L1653" s="278"/>
      <c r="M1653" s="278"/>
      <c r="N1653" s="278"/>
      <c r="O1653" s="278"/>
      <c r="P1653" s="278"/>
      <c r="Q1653" s="278"/>
      <c r="R1653" s="278"/>
      <c r="S1653" s="278"/>
      <c r="T1653" s="278"/>
      <c r="U1653" s="278"/>
      <c r="V1653" s="278"/>
    </row>
    <row r="1654" spans="1:22" x14ac:dyDescent="0.15">
      <c r="A1654" s="278"/>
      <c r="B1654" s="278"/>
      <c r="C1654" s="278"/>
      <c r="D1654" s="278"/>
      <c r="E1654" s="278"/>
      <c r="F1654" s="278"/>
      <c r="G1654" s="278"/>
      <c r="H1654" s="278"/>
      <c r="I1654" s="278"/>
      <c r="J1654" s="278"/>
      <c r="K1654" s="278"/>
      <c r="L1654" s="278"/>
      <c r="M1654" s="278"/>
      <c r="N1654" s="278"/>
      <c r="O1654" s="278"/>
      <c r="P1654" s="278"/>
      <c r="Q1654" s="278"/>
      <c r="R1654" s="278"/>
      <c r="S1654" s="278"/>
      <c r="T1654" s="278"/>
      <c r="U1654" s="278"/>
      <c r="V1654" s="278"/>
    </row>
    <row r="1655" spans="1:22" x14ac:dyDescent="0.15">
      <c r="A1655" s="278"/>
      <c r="B1655" s="278"/>
      <c r="C1655" s="278"/>
      <c r="D1655" s="278"/>
      <c r="E1655" s="278"/>
      <c r="F1655" s="278"/>
      <c r="G1655" s="278"/>
      <c r="H1655" s="278"/>
      <c r="I1655" s="278"/>
      <c r="J1655" s="278"/>
      <c r="K1655" s="278"/>
      <c r="L1655" s="278"/>
      <c r="M1655" s="278"/>
      <c r="N1655" s="278"/>
      <c r="O1655" s="278"/>
      <c r="P1655" s="278"/>
      <c r="Q1655" s="278"/>
      <c r="R1655" s="278"/>
      <c r="S1655" s="278"/>
      <c r="T1655" s="278"/>
      <c r="U1655" s="278"/>
      <c r="V1655" s="278"/>
    </row>
    <row r="1656" spans="1:22" x14ac:dyDescent="0.15">
      <c r="A1656" s="278"/>
      <c r="B1656" s="278"/>
      <c r="C1656" s="278"/>
      <c r="D1656" s="278"/>
      <c r="E1656" s="278"/>
      <c r="F1656" s="278"/>
      <c r="G1656" s="278"/>
      <c r="H1656" s="278"/>
      <c r="I1656" s="278"/>
      <c r="J1656" s="278"/>
      <c r="K1656" s="278"/>
      <c r="L1656" s="278"/>
      <c r="M1656" s="278"/>
      <c r="N1656" s="278"/>
      <c r="O1656" s="278"/>
      <c r="P1656" s="278"/>
      <c r="Q1656" s="278"/>
      <c r="R1656" s="278"/>
      <c r="S1656" s="278"/>
      <c r="T1656" s="278"/>
      <c r="U1656" s="278"/>
      <c r="V1656" s="278"/>
    </row>
    <row r="1657" spans="1:22" x14ac:dyDescent="0.15">
      <c r="A1657" s="278"/>
      <c r="B1657" s="278"/>
      <c r="C1657" s="278"/>
      <c r="D1657" s="278"/>
      <c r="E1657" s="278"/>
      <c r="F1657" s="278"/>
      <c r="G1657" s="278"/>
      <c r="H1657" s="278"/>
      <c r="I1657" s="278"/>
      <c r="J1657" s="278"/>
      <c r="K1657" s="278"/>
      <c r="L1657" s="278"/>
      <c r="M1657" s="278"/>
      <c r="N1657" s="278"/>
      <c r="O1657" s="278"/>
      <c r="P1657" s="278"/>
      <c r="Q1657" s="278"/>
      <c r="R1657" s="278"/>
      <c r="S1657" s="278"/>
      <c r="T1657" s="278"/>
      <c r="U1657" s="278"/>
      <c r="V1657" s="278"/>
    </row>
    <row r="1658" spans="1:22" x14ac:dyDescent="0.15">
      <c r="A1658" s="278"/>
      <c r="B1658" s="278"/>
      <c r="C1658" s="278"/>
      <c r="D1658" s="278"/>
      <c r="E1658" s="278"/>
      <c r="F1658" s="278"/>
      <c r="G1658" s="278"/>
      <c r="H1658" s="278"/>
      <c r="I1658" s="278"/>
      <c r="J1658" s="278"/>
      <c r="K1658" s="278"/>
      <c r="L1658" s="278"/>
      <c r="M1658" s="278"/>
      <c r="N1658" s="278"/>
      <c r="O1658" s="278"/>
      <c r="P1658" s="278"/>
      <c r="Q1658" s="278"/>
      <c r="R1658" s="278"/>
      <c r="S1658" s="278"/>
      <c r="T1658" s="278"/>
      <c r="U1658" s="278"/>
      <c r="V1658" s="278"/>
    </row>
    <row r="1659" spans="1:22" x14ac:dyDescent="0.15">
      <c r="A1659" s="278"/>
      <c r="B1659" s="278"/>
      <c r="C1659" s="278"/>
      <c r="D1659" s="278"/>
      <c r="E1659" s="278"/>
      <c r="F1659" s="278"/>
      <c r="G1659" s="278"/>
      <c r="H1659" s="278"/>
      <c r="I1659" s="278"/>
      <c r="J1659" s="278"/>
      <c r="K1659" s="278"/>
      <c r="L1659" s="278"/>
      <c r="M1659" s="278"/>
      <c r="N1659" s="278"/>
      <c r="O1659" s="278"/>
      <c r="P1659" s="278"/>
      <c r="Q1659" s="278"/>
      <c r="R1659" s="278"/>
      <c r="S1659" s="278"/>
      <c r="T1659" s="278"/>
      <c r="U1659" s="278"/>
      <c r="V1659" s="278"/>
    </row>
    <row r="1660" spans="1:22" x14ac:dyDescent="0.15">
      <c r="A1660" s="278"/>
      <c r="B1660" s="278"/>
      <c r="C1660" s="278"/>
      <c r="D1660" s="278"/>
      <c r="E1660" s="278"/>
      <c r="F1660" s="278"/>
      <c r="G1660" s="278"/>
      <c r="H1660" s="278"/>
      <c r="I1660" s="278"/>
      <c r="J1660" s="278"/>
      <c r="K1660" s="278"/>
      <c r="L1660" s="278"/>
      <c r="M1660" s="278"/>
      <c r="N1660" s="278"/>
      <c r="O1660" s="278"/>
      <c r="P1660" s="278"/>
      <c r="Q1660" s="278"/>
      <c r="R1660" s="278"/>
      <c r="S1660" s="278"/>
      <c r="T1660" s="278"/>
      <c r="U1660" s="278"/>
      <c r="V1660" s="278"/>
    </row>
    <row r="1661" spans="1:22" x14ac:dyDescent="0.15">
      <c r="A1661" s="278"/>
      <c r="B1661" s="278"/>
      <c r="C1661" s="278"/>
      <c r="D1661" s="278"/>
      <c r="E1661" s="278"/>
      <c r="F1661" s="278"/>
      <c r="G1661" s="278"/>
      <c r="H1661" s="278"/>
      <c r="I1661" s="278"/>
      <c r="J1661" s="278"/>
      <c r="K1661" s="278"/>
      <c r="L1661" s="278"/>
      <c r="M1661" s="278"/>
      <c r="N1661" s="278"/>
      <c r="O1661" s="278"/>
      <c r="P1661" s="278"/>
      <c r="Q1661" s="278"/>
      <c r="R1661" s="278"/>
      <c r="S1661" s="278"/>
      <c r="T1661" s="278"/>
      <c r="U1661" s="278"/>
      <c r="V1661" s="278"/>
    </row>
    <row r="1662" spans="1:22" x14ac:dyDescent="0.15">
      <c r="A1662" s="278"/>
      <c r="B1662" s="278"/>
      <c r="C1662" s="278"/>
      <c r="D1662" s="278"/>
      <c r="E1662" s="278"/>
      <c r="F1662" s="278"/>
      <c r="G1662" s="278"/>
      <c r="H1662" s="278"/>
      <c r="I1662" s="278"/>
      <c r="J1662" s="278"/>
      <c r="K1662" s="278"/>
      <c r="L1662" s="278"/>
      <c r="M1662" s="278"/>
      <c r="N1662" s="278"/>
      <c r="O1662" s="278"/>
      <c r="P1662" s="278"/>
      <c r="Q1662" s="278"/>
      <c r="R1662" s="278"/>
      <c r="S1662" s="278"/>
      <c r="T1662" s="278"/>
      <c r="U1662" s="278"/>
      <c r="V1662" s="278"/>
    </row>
    <row r="1663" spans="1:22" x14ac:dyDescent="0.15">
      <c r="A1663" s="278"/>
      <c r="B1663" s="278"/>
      <c r="C1663" s="278"/>
      <c r="D1663" s="278"/>
      <c r="E1663" s="278"/>
      <c r="F1663" s="278"/>
      <c r="G1663" s="278"/>
      <c r="H1663" s="278"/>
      <c r="I1663" s="278"/>
      <c r="J1663" s="278"/>
      <c r="K1663" s="278"/>
      <c r="L1663" s="278"/>
      <c r="M1663" s="278"/>
      <c r="N1663" s="278"/>
      <c r="O1663" s="278"/>
      <c r="P1663" s="278"/>
      <c r="Q1663" s="278"/>
      <c r="R1663" s="278"/>
      <c r="S1663" s="278"/>
      <c r="T1663" s="278"/>
      <c r="U1663" s="278"/>
      <c r="V1663" s="278"/>
    </row>
    <row r="1664" spans="1:22" x14ac:dyDescent="0.15">
      <c r="A1664" s="278"/>
      <c r="B1664" s="278"/>
      <c r="C1664" s="278"/>
      <c r="D1664" s="278"/>
      <c r="E1664" s="278"/>
      <c r="F1664" s="278"/>
      <c r="G1664" s="278"/>
      <c r="H1664" s="278"/>
      <c r="I1664" s="278"/>
      <c r="J1664" s="278"/>
      <c r="K1664" s="278"/>
      <c r="L1664" s="278"/>
      <c r="M1664" s="278"/>
      <c r="N1664" s="278"/>
      <c r="O1664" s="278"/>
      <c r="P1664" s="278"/>
      <c r="Q1664" s="278"/>
      <c r="R1664" s="278"/>
      <c r="S1664" s="278"/>
      <c r="T1664" s="278"/>
      <c r="U1664" s="278"/>
      <c r="V1664" s="278"/>
    </row>
    <row r="1665" spans="1:22" x14ac:dyDescent="0.15">
      <c r="A1665" s="278"/>
      <c r="B1665" s="278"/>
      <c r="C1665" s="278"/>
      <c r="D1665" s="278"/>
      <c r="E1665" s="278"/>
      <c r="F1665" s="278"/>
      <c r="G1665" s="278"/>
      <c r="H1665" s="278"/>
      <c r="I1665" s="278"/>
      <c r="J1665" s="278"/>
      <c r="K1665" s="278"/>
      <c r="L1665" s="278"/>
      <c r="M1665" s="278"/>
      <c r="N1665" s="278"/>
      <c r="O1665" s="278"/>
      <c r="P1665" s="278"/>
      <c r="Q1665" s="278"/>
      <c r="R1665" s="278"/>
      <c r="S1665" s="278"/>
      <c r="T1665" s="278"/>
      <c r="U1665" s="278"/>
      <c r="V1665" s="278"/>
    </row>
    <row r="1666" spans="1:22" x14ac:dyDescent="0.15">
      <c r="A1666" s="278"/>
      <c r="B1666" s="278"/>
      <c r="C1666" s="278"/>
      <c r="D1666" s="278"/>
      <c r="E1666" s="278"/>
      <c r="F1666" s="278"/>
      <c r="G1666" s="278"/>
      <c r="H1666" s="278"/>
      <c r="I1666" s="278"/>
      <c r="J1666" s="278"/>
      <c r="K1666" s="278"/>
      <c r="L1666" s="278"/>
      <c r="M1666" s="278"/>
      <c r="N1666" s="278"/>
      <c r="O1666" s="278"/>
      <c r="P1666" s="278"/>
      <c r="Q1666" s="278"/>
      <c r="R1666" s="278"/>
      <c r="S1666" s="278"/>
      <c r="T1666" s="278"/>
      <c r="U1666" s="278"/>
      <c r="V1666" s="278"/>
    </row>
    <row r="1667" spans="1:22" x14ac:dyDescent="0.15">
      <c r="A1667" s="278"/>
      <c r="B1667" s="278"/>
      <c r="C1667" s="278"/>
      <c r="D1667" s="278"/>
      <c r="E1667" s="278"/>
      <c r="F1667" s="278"/>
      <c r="G1667" s="278"/>
      <c r="H1667" s="278"/>
      <c r="I1667" s="278"/>
      <c r="J1667" s="278"/>
      <c r="K1667" s="278"/>
      <c r="L1667" s="278"/>
      <c r="M1667" s="278"/>
      <c r="N1667" s="278"/>
      <c r="O1667" s="278"/>
      <c r="P1667" s="278"/>
      <c r="Q1667" s="278"/>
      <c r="R1667" s="278"/>
      <c r="S1667" s="278"/>
      <c r="T1667" s="278"/>
      <c r="U1667" s="278"/>
      <c r="V1667" s="278"/>
    </row>
    <row r="1668" spans="1:22" x14ac:dyDescent="0.15">
      <c r="A1668" s="278"/>
      <c r="B1668" s="278"/>
      <c r="C1668" s="278"/>
      <c r="D1668" s="278"/>
      <c r="E1668" s="278"/>
      <c r="F1668" s="278"/>
      <c r="G1668" s="278"/>
      <c r="H1668" s="278"/>
      <c r="I1668" s="278"/>
      <c r="J1668" s="278"/>
      <c r="K1668" s="278"/>
      <c r="L1668" s="278"/>
      <c r="M1668" s="278"/>
      <c r="N1668" s="278"/>
      <c r="O1668" s="278"/>
      <c r="P1668" s="278"/>
      <c r="Q1668" s="278"/>
      <c r="R1668" s="278"/>
      <c r="S1668" s="278"/>
      <c r="T1668" s="278"/>
      <c r="U1668" s="278"/>
      <c r="V1668" s="278"/>
    </row>
    <row r="1669" spans="1:22" x14ac:dyDescent="0.15">
      <c r="A1669" s="278"/>
      <c r="B1669" s="278"/>
      <c r="C1669" s="278"/>
      <c r="D1669" s="278"/>
      <c r="E1669" s="278"/>
      <c r="F1669" s="278"/>
      <c r="G1669" s="278"/>
      <c r="H1669" s="278"/>
      <c r="I1669" s="278"/>
      <c r="J1669" s="278"/>
      <c r="K1669" s="278"/>
      <c r="L1669" s="278"/>
      <c r="M1669" s="278"/>
      <c r="N1669" s="278"/>
      <c r="O1669" s="278"/>
      <c r="P1669" s="278"/>
      <c r="Q1669" s="278"/>
      <c r="R1669" s="278"/>
      <c r="S1669" s="278"/>
      <c r="T1669" s="278"/>
      <c r="U1669" s="278"/>
      <c r="V1669" s="278"/>
    </row>
    <row r="1670" spans="1:22" x14ac:dyDescent="0.15">
      <c r="A1670" s="278"/>
      <c r="B1670" s="278"/>
      <c r="C1670" s="278"/>
      <c r="D1670" s="278"/>
      <c r="E1670" s="278"/>
      <c r="F1670" s="278"/>
      <c r="G1670" s="278"/>
      <c r="H1670" s="278"/>
      <c r="I1670" s="278"/>
      <c r="J1670" s="278"/>
      <c r="K1670" s="278"/>
      <c r="L1670" s="278"/>
      <c r="M1670" s="278"/>
      <c r="N1670" s="278"/>
      <c r="O1670" s="278"/>
      <c r="P1670" s="278"/>
      <c r="Q1670" s="278"/>
      <c r="R1670" s="278"/>
      <c r="S1670" s="278"/>
      <c r="T1670" s="278"/>
      <c r="U1670" s="278"/>
      <c r="V1670" s="278"/>
    </row>
    <row r="1671" spans="1:22" x14ac:dyDescent="0.15">
      <c r="A1671" s="278"/>
      <c r="B1671" s="278"/>
      <c r="C1671" s="278"/>
      <c r="D1671" s="278"/>
      <c r="E1671" s="278"/>
      <c r="F1671" s="278"/>
      <c r="G1671" s="278"/>
      <c r="H1671" s="278"/>
      <c r="I1671" s="278"/>
      <c r="J1671" s="278"/>
      <c r="K1671" s="278"/>
      <c r="L1671" s="278"/>
      <c r="M1671" s="278"/>
      <c r="N1671" s="278"/>
      <c r="O1671" s="278"/>
      <c r="P1671" s="278"/>
      <c r="Q1671" s="278"/>
      <c r="R1671" s="278"/>
      <c r="S1671" s="278"/>
      <c r="T1671" s="278"/>
      <c r="U1671" s="278"/>
      <c r="V1671" s="278"/>
    </row>
    <row r="1672" spans="1:22" x14ac:dyDescent="0.15">
      <c r="A1672" s="278"/>
      <c r="B1672" s="278"/>
      <c r="C1672" s="278"/>
      <c r="D1672" s="278"/>
      <c r="E1672" s="278"/>
      <c r="F1672" s="278"/>
      <c r="G1672" s="278"/>
      <c r="H1672" s="278"/>
      <c r="I1672" s="278"/>
      <c r="J1672" s="278"/>
      <c r="K1672" s="278"/>
      <c r="L1672" s="278"/>
      <c r="M1672" s="278"/>
      <c r="N1672" s="278"/>
      <c r="O1672" s="278"/>
      <c r="P1672" s="278"/>
      <c r="Q1672" s="278"/>
      <c r="R1672" s="278"/>
      <c r="S1672" s="278"/>
      <c r="T1672" s="278"/>
      <c r="U1672" s="278"/>
      <c r="V1672" s="278"/>
    </row>
    <row r="1673" spans="1:22" x14ac:dyDescent="0.15">
      <c r="A1673" s="278"/>
      <c r="B1673" s="278"/>
      <c r="C1673" s="278"/>
      <c r="D1673" s="278"/>
      <c r="E1673" s="278"/>
      <c r="F1673" s="278"/>
      <c r="G1673" s="278"/>
      <c r="H1673" s="278"/>
      <c r="I1673" s="278"/>
      <c r="J1673" s="278"/>
      <c r="K1673" s="278"/>
      <c r="L1673" s="278"/>
      <c r="M1673" s="278"/>
      <c r="N1673" s="278"/>
      <c r="O1673" s="278"/>
      <c r="P1673" s="278"/>
      <c r="Q1673" s="278"/>
      <c r="R1673" s="278"/>
      <c r="S1673" s="278"/>
      <c r="T1673" s="278"/>
      <c r="U1673" s="278"/>
      <c r="V1673" s="278"/>
    </row>
    <row r="1674" spans="1:22" x14ac:dyDescent="0.15">
      <c r="A1674" s="278"/>
      <c r="B1674" s="278"/>
      <c r="C1674" s="278"/>
      <c r="D1674" s="278"/>
      <c r="E1674" s="278"/>
      <c r="F1674" s="278"/>
      <c r="G1674" s="278"/>
      <c r="H1674" s="278"/>
      <c r="I1674" s="278"/>
      <c r="J1674" s="278"/>
      <c r="K1674" s="278"/>
      <c r="L1674" s="278"/>
      <c r="M1674" s="278"/>
      <c r="N1674" s="278"/>
      <c r="O1674" s="278"/>
      <c r="P1674" s="278"/>
      <c r="Q1674" s="278"/>
      <c r="R1674" s="278"/>
      <c r="S1674" s="278"/>
      <c r="T1674" s="278"/>
      <c r="U1674" s="278"/>
      <c r="V1674" s="278"/>
    </row>
    <row r="1675" spans="1:22" x14ac:dyDescent="0.15">
      <c r="A1675" s="278"/>
      <c r="B1675" s="278"/>
      <c r="C1675" s="278"/>
      <c r="D1675" s="278"/>
      <c r="E1675" s="278"/>
      <c r="F1675" s="278"/>
      <c r="G1675" s="278"/>
      <c r="H1675" s="278"/>
      <c r="I1675" s="278"/>
      <c r="J1675" s="278"/>
      <c r="K1675" s="278"/>
      <c r="L1675" s="278"/>
      <c r="M1675" s="278"/>
      <c r="N1675" s="278"/>
      <c r="O1675" s="278"/>
      <c r="P1675" s="278"/>
      <c r="Q1675" s="278"/>
      <c r="R1675" s="278"/>
      <c r="S1675" s="278"/>
      <c r="T1675" s="278"/>
      <c r="U1675" s="278"/>
      <c r="V1675" s="278"/>
    </row>
    <row r="1676" spans="1:22" x14ac:dyDescent="0.15">
      <c r="A1676" s="278"/>
      <c r="B1676" s="278"/>
      <c r="C1676" s="278"/>
      <c r="D1676" s="278"/>
      <c r="E1676" s="278"/>
      <c r="F1676" s="278"/>
      <c r="G1676" s="278"/>
      <c r="H1676" s="278"/>
      <c r="I1676" s="278"/>
      <c r="J1676" s="278"/>
      <c r="K1676" s="278"/>
      <c r="L1676" s="278"/>
      <c r="M1676" s="278"/>
      <c r="N1676" s="278"/>
      <c r="O1676" s="278"/>
      <c r="P1676" s="278"/>
      <c r="Q1676" s="278"/>
      <c r="R1676" s="278"/>
      <c r="S1676" s="278"/>
      <c r="T1676" s="278"/>
      <c r="U1676" s="278"/>
      <c r="V1676" s="278"/>
    </row>
    <row r="1677" spans="1:22" x14ac:dyDescent="0.15">
      <c r="A1677" s="278"/>
      <c r="B1677" s="278"/>
      <c r="C1677" s="278"/>
      <c r="D1677" s="278"/>
      <c r="E1677" s="278"/>
      <c r="F1677" s="278"/>
      <c r="G1677" s="278"/>
      <c r="H1677" s="278"/>
      <c r="I1677" s="278"/>
      <c r="J1677" s="278"/>
      <c r="K1677" s="278"/>
      <c r="L1677" s="278"/>
      <c r="M1677" s="278"/>
      <c r="N1677" s="278"/>
      <c r="O1677" s="278"/>
      <c r="P1677" s="278"/>
      <c r="Q1677" s="278"/>
      <c r="R1677" s="278"/>
      <c r="S1677" s="278"/>
      <c r="T1677" s="278"/>
      <c r="U1677" s="278"/>
      <c r="V1677" s="278"/>
    </row>
    <row r="1678" spans="1:22" x14ac:dyDescent="0.15">
      <c r="A1678" s="278"/>
      <c r="B1678" s="278"/>
      <c r="C1678" s="278"/>
      <c r="D1678" s="278"/>
      <c r="E1678" s="278"/>
      <c r="F1678" s="278"/>
      <c r="G1678" s="278"/>
      <c r="H1678" s="278"/>
      <c r="I1678" s="278"/>
      <c r="J1678" s="278"/>
      <c r="K1678" s="278"/>
      <c r="L1678" s="278"/>
      <c r="M1678" s="278"/>
      <c r="N1678" s="278"/>
      <c r="O1678" s="278"/>
      <c r="P1678" s="278"/>
      <c r="Q1678" s="278"/>
      <c r="R1678" s="278"/>
      <c r="S1678" s="278"/>
      <c r="T1678" s="278"/>
      <c r="U1678" s="278"/>
      <c r="V1678" s="278"/>
    </row>
    <row r="1679" spans="1:22" x14ac:dyDescent="0.15">
      <c r="A1679" s="278"/>
      <c r="B1679" s="278"/>
      <c r="C1679" s="278"/>
      <c r="D1679" s="278"/>
      <c r="E1679" s="278"/>
      <c r="F1679" s="278"/>
      <c r="G1679" s="278"/>
      <c r="H1679" s="278"/>
      <c r="I1679" s="278"/>
      <c r="J1679" s="278"/>
      <c r="K1679" s="278"/>
      <c r="L1679" s="278"/>
      <c r="M1679" s="278"/>
      <c r="N1679" s="278"/>
      <c r="O1679" s="278"/>
      <c r="P1679" s="278"/>
      <c r="Q1679" s="278"/>
      <c r="R1679" s="278"/>
      <c r="S1679" s="278"/>
      <c r="T1679" s="278"/>
      <c r="U1679" s="278"/>
      <c r="V1679" s="278"/>
    </row>
    <row r="1680" spans="1:22" x14ac:dyDescent="0.15">
      <c r="A1680" s="278"/>
      <c r="B1680" s="278"/>
      <c r="C1680" s="278"/>
      <c r="D1680" s="278"/>
      <c r="E1680" s="278"/>
      <c r="F1680" s="278"/>
      <c r="G1680" s="278"/>
      <c r="H1680" s="278"/>
      <c r="I1680" s="278"/>
      <c r="J1680" s="278"/>
      <c r="K1680" s="278"/>
      <c r="L1680" s="278"/>
      <c r="M1680" s="278"/>
      <c r="N1680" s="278"/>
      <c r="O1680" s="278"/>
      <c r="P1680" s="278"/>
      <c r="Q1680" s="278"/>
      <c r="R1680" s="278"/>
      <c r="S1680" s="278"/>
      <c r="T1680" s="278"/>
      <c r="U1680" s="278"/>
      <c r="V1680" s="278"/>
    </row>
    <row r="1681" spans="1:22" x14ac:dyDescent="0.15">
      <c r="A1681" s="278"/>
      <c r="B1681" s="278"/>
      <c r="C1681" s="278"/>
      <c r="D1681" s="278"/>
      <c r="E1681" s="278"/>
      <c r="F1681" s="278"/>
      <c r="G1681" s="278"/>
      <c r="H1681" s="278"/>
      <c r="I1681" s="278"/>
      <c r="J1681" s="278"/>
      <c r="K1681" s="278"/>
      <c r="L1681" s="278"/>
      <c r="M1681" s="278"/>
      <c r="N1681" s="278"/>
      <c r="O1681" s="278"/>
      <c r="P1681" s="278"/>
      <c r="Q1681" s="278"/>
      <c r="R1681" s="278"/>
      <c r="S1681" s="278"/>
      <c r="T1681" s="278"/>
      <c r="U1681" s="278"/>
      <c r="V1681" s="278"/>
    </row>
    <row r="1682" spans="1:22" x14ac:dyDescent="0.15">
      <c r="A1682" s="278"/>
      <c r="B1682" s="278"/>
      <c r="C1682" s="278"/>
      <c r="D1682" s="278"/>
      <c r="E1682" s="278"/>
      <c r="F1682" s="278"/>
      <c r="G1682" s="278"/>
      <c r="H1682" s="278"/>
      <c r="I1682" s="278"/>
      <c r="J1682" s="278"/>
      <c r="K1682" s="278"/>
      <c r="L1682" s="278"/>
      <c r="M1682" s="278"/>
      <c r="N1682" s="278"/>
      <c r="O1682" s="278"/>
      <c r="P1682" s="278"/>
      <c r="Q1682" s="278"/>
      <c r="R1682" s="278"/>
      <c r="S1682" s="278"/>
      <c r="T1682" s="278"/>
      <c r="U1682" s="278"/>
      <c r="V1682" s="278"/>
    </row>
    <row r="1683" spans="1:22" x14ac:dyDescent="0.15">
      <c r="A1683" s="278"/>
      <c r="B1683" s="278"/>
      <c r="C1683" s="278"/>
      <c r="D1683" s="278"/>
      <c r="E1683" s="278"/>
      <c r="F1683" s="278"/>
      <c r="G1683" s="278"/>
      <c r="H1683" s="278"/>
      <c r="I1683" s="278"/>
      <c r="J1683" s="278"/>
      <c r="K1683" s="278"/>
      <c r="L1683" s="278"/>
      <c r="M1683" s="278"/>
      <c r="N1683" s="278"/>
      <c r="O1683" s="278"/>
      <c r="P1683" s="278"/>
      <c r="Q1683" s="278"/>
      <c r="R1683" s="278"/>
      <c r="S1683" s="278"/>
      <c r="T1683" s="278"/>
      <c r="U1683" s="278"/>
      <c r="V1683" s="278"/>
    </row>
    <row r="1684" spans="1:22" x14ac:dyDescent="0.15">
      <c r="A1684" s="278"/>
      <c r="B1684" s="278"/>
      <c r="C1684" s="278"/>
      <c r="D1684" s="278"/>
      <c r="E1684" s="278"/>
      <c r="F1684" s="278"/>
      <c r="G1684" s="278"/>
      <c r="H1684" s="278"/>
      <c r="I1684" s="278"/>
      <c r="J1684" s="278"/>
      <c r="K1684" s="278"/>
      <c r="L1684" s="278"/>
      <c r="M1684" s="278"/>
      <c r="N1684" s="278"/>
      <c r="O1684" s="278"/>
      <c r="P1684" s="278"/>
      <c r="Q1684" s="278"/>
      <c r="R1684" s="278"/>
      <c r="S1684" s="278"/>
      <c r="T1684" s="278"/>
      <c r="U1684" s="278"/>
      <c r="V1684" s="278"/>
    </row>
    <row r="1685" spans="1:22" x14ac:dyDescent="0.15">
      <c r="A1685" s="278"/>
      <c r="B1685" s="278"/>
      <c r="C1685" s="278"/>
      <c r="D1685" s="278"/>
      <c r="E1685" s="278"/>
      <c r="F1685" s="278"/>
      <c r="G1685" s="278"/>
      <c r="H1685" s="278"/>
      <c r="I1685" s="278"/>
      <c r="J1685" s="278"/>
      <c r="K1685" s="278"/>
      <c r="L1685" s="278"/>
      <c r="M1685" s="278"/>
      <c r="N1685" s="278"/>
      <c r="O1685" s="278"/>
      <c r="P1685" s="278"/>
      <c r="Q1685" s="278"/>
      <c r="R1685" s="278"/>
      <c r="S1685" s="278"/>
      <c r="T1685" s="278"/>
      <c r="U1685" s="278"/>
      <c r="V1685" s="278"/>
    </row>
    <row r="1686" spans="1:22" x14ac:dyDescent="0.15">
      <c r="A1686" s="278"/>
      <c r="B1686" s="278"/>
      <c r="C1686" s="278"/>
      <c r="D1686" s="278"/>
      <c r="E1686" s="278"/>
      <c r="F1686" s="278"/>
      <c r="G1686" s="278"/>
      <c r="H1686" s="278"/>
      <c r="I1686" s="278"/>
      <c r="J1686" s="278"/>
      <c r="K1686" s="278"/>
      <c r="L1686" s="278"/>
      <c r="M1686" s="278"/>
      <c r="N1686" s="278"/>
      <c r="O1686" s="278"/>
      <c r="P1686" s="278"/>
      <c r="Q1686" s="278"/>
      <c r="R1686" s="278"/>
      <c r="S1686" s="278"/>
      <c r="T1686" s="278"/>
      <c r="U1686" s="278"/>
      <c r="V1686" s="278"/>
    </row>
    <row r="1687" spans="1:22" x14ac:dyDescent="0.15">
      <c r="A1687" s="278"/>
      <c r="B1687" s="278"/>
      <c r="C1687" s="278"/>
      <c r="D1687" s="278"/>
      <c r="E1687" s="278"/>
      <c r="F1687" s="278"/>
      <c r="G1687" s="278"/>
      <c r="H1687" s="278"/>
      <c r="I1687" s="278"/>
      <c r="J1687" s="278"/>
      <c r="K1687" s="278"/>
      <c r="L1687" s="278"/>
      <c r="M1687" s="278"/>
      <c r="N1687" s="278"/>
      <c r="O1687" s="278"/>
      <c r="P1687" s="278"/>
      <c r="Q1687" s="278"/>
      <c r="R1687" s="278"/>
      <c r="S1687" s="278"/>
      <c r="T1687" s="278"/>
      <c r="U1687" s="278"/>
      <c r="V1687" s="278"/>
    </row>
    <row r="1688" spans="1:22" x14ac:dyDescent="0.15">
      <c r="A1688" s="278"/>
      <c r="B1688" s="278"/>
      <c r="C1688" s="278"/>
      <c r="D1688" s="278"/>
      <c r="E1688" s="278"/>
      <c r="F1688" s="278"/>
      <c r="G1688" s="278"/>
      <c r="H1688" s="278"/>
      <c r="I1688" s="278"/>
      <c r="J1688" s="278"/>
      <c r="K1688" s="278"/>
      <c r="L1688" s="278"/>
      <c r="M1688" s="278"/>
      <c r="N1688" s="278"/>
      <c r="O1688" s="278"/>
      <c r="P1688" s="278"/>
      <c r="Q1688" s="278"/>
      <c r="R1688" s="278"/>
      <c r="S1688" s="278"/>
      <c r="T1688" s="278"/>
      <c r="U1688" s="278"/>
      <c r="V1688" s="278"/>
    </row>
    <row r="1689" spans="1:22" x14ac:dyDescent="0.15">
      <c r="A1689" s="278"/>
      <c r="B1689" s="278"/>
      <c r="C1689" s="278"/>
      <c r="D1689" s="278"/>
      <c r="E1689" s="278"/>
      <c r="F1689" s="278"/>
      <c r="G1689" s="278"/>
      <c r="H1689" s="278"/>
      <c r="I1689" s="278"/>
      <c r="J1689" s="278"/>
      <c r="K1689" s="278"/>
      <c r="L1689" s="278"/>
      <c r="M1689" s="278"/>
      <c r="N1689" s="278"/>
      <c r="O1689" s="278"/>
      <c r="P1689" s="278"/>
      <c r="Q1689" s="278"/>
      <c r="R1689" s="278"/>
      <c r="S1689" s="278"/>
      <c r="T1689" s="278"/>
      <c r="U1689" s="278"/>
      <c r="V1689" s="278"/>
    </row>
    <row r="1690" spans="1:22" x14ac:dyDescent="0.15">
      <c r="A1690" s="278"/>
      <c r="B1690" s="278"/>
      <c r="C1690" s="278"/>
      <c r="D1690" s="278"/>
      <c r="E1690" s="278"/>
      <c r="F1690" s="278"/>
      <c r="G1690" s="278"/>
      <c r="H1690" s="278"/>
      <c r="I1690" s="278"/>
      <c r="J1690" s="278"/>
      <c r="K1690" s="278"/>
      <c r="L1690" s="278"/>
      <c r="M1690" s="278"/>
      <c r="N1690" s="278"/>
      <c r="O1690" s="278"/>
      <c r="P1690" s="278"/>
      <c r="Q1690" s="278"/>
      <c r="R1690" s="278"/>
      <c r="S1690" s="278"/>
      <c r="T1690" s="278"/>
      <c r="U1690" s="278"/>
      <c r="V1690" s="278"/>
    </row>
    <row r="1691" spans="1:22" x14ac:dyDescent="0.15">
      <c r="A1691" s="278"/>
      <c r="B1691" s="278"/>
      <c r="C1691" s="278"/>
      <c r="D1691" s="278"/>
      <c r="E1691" s="278"/>
      <c r="F1691" s="278"/>
      <c r="G1691" s="278"/>
      <c r="H1691" s="278"/>
      <c r="I1691" s="278"/>
      <c r="J1691" s="278"/>
      <c r="K1691" s="278"/>
      <c r="L1691" s="278"/>
      <c r="M1691" s="278"/>
      <c r="N1691" s="278"/>
      <c r="O1691" s="278"/>
      <c r="P1691" s="278"/>
      <c r="Q1691" s="278"/>
      <c r="R1691" s="278"/>
      <c r="S1691" s="278"/>
      <c r="T1691" s="278"/>
      <c r="U1691" s="278"/>
      <c r="V1691" s="278"/>
    </row>
    <row r="1692" spans="1:22" x14ac:dyDescent="0.15">
      <c r="A1692" s="278"/>
      <c r="B1692" s="278"/>
      <c r="C1692" s="278"/>
      <c r="D1692" s="278"/>
      <c r="E1692" s="278"/>
      <c r="F1692" s="278"/>
      <c r="G1692" s="278"/>
      <c r="H1692" s="278"/>
      <c r="I1692" s="278"/>
      <c r="J1692" s="278"/>
      <c r="K1692" s="278"/>
      <c r="L1692" s="278"/>
      <c r="M1692" s="278"/>
      <c r="N1692" s="278"/>
      <c r="O1692" s="278"/>
      <c r="P1692" s="278"/>
      <c r="Q1692" s="278"/>
      <c r="R1692" s="278"/>
      <c r="S1692" s="278"/>
      <c r="T1692" s="278"/>
      <c r="U1692" s="278"/>
      <c r="V1692" s="278"/>
    </row>
    <row r="1693" spans="1:22" x14ac:dyDescent="0.15">
      <c r="A1693" s="278"/>
      <c r="B1693" s="278"/>
      <c r="C1693" s="278"/>
      <c r="D1693" s="278"/>
      <c r="E1693" s="278"/>
      <c r="F1693" s="278"/>
      <c r="G1693" s="278"/>
      <c r="H1693" s="278"/>
      <c r="I1693" s="278"/>
      <c r="J1693" s="278"/>
      <c r="K1693" s="278"/>
      <c r="L1693" s="278"/>
      <c r="M1693" s="278"/>
      <c r="N1693" s="278"/>
      <c r="O1693" s="278"/>
      <c r="P1693" s="278"/>
      <c r="Q1693" s="278"/>
      <c r="R1693" s="278"/>
      <c r="S1693" s="278"/>
      <c r="T1693" s="278"/>
      <c r="U1693" s="278"/>
      <c r="V1693" s="278"/>
    </row>
    <row r="1694" spans="1:22" x14ac:dyDescent="0.15">
      <c r="A1694" s="278"/>
      <c r="B1694" s="278"/>
      <c r="C1694" s="278"/>
      <c r="D1694" s="278"/>
      <c r="E1694" s="278"/>
      <c r="F1694" s="278"/>
      <c r="G1694" s="278"/>
      <c r="H1694" s="278"/>
      <c r="I1694" s="278"/>
      <c r="J1694" s="278"/>
      <c r="K1694" s="278"/>
      <c r="L1694" s="278"/>
      <c r="M1694" s="278"/>
      <c r="N1694" s="278"/>
      <c r="O1694" s="278"/>
      <c r="P1694" s="278"/>
      <c r="Q1694" s="278"/>
      <c r="R1694" s="278"/>
      <c r="S1694" s="278"/>
      <c r="T1694" s="278"/>
      <c r="U1694" s="278"/>
      <c r="V1694" s="278"/>
    </row>
    <row r="1695" spans="1:22" x14ac:dyDescent="0.15">
      <c r="A1695" s="278"/>
      <c r="B1695" s="278"/>
      <c r="C1695" s="278"/>
      <c r="D1695" s="278"/>
      <c r="E1695" s="278"/>
      <c r="F1695" s="278"/>
      <c r="G1695" s="278"/>
      <c r="H1695" s="278"/>
      <c r="I1695" s="278"/>
      <c r="J1695" s="278"/>
      <c r="K1695" s="278"/>
      <c r="L1695" s="278"/>
      <c r="M1695" s="278"/>
      <c r="N1695" s="278"/>
      <c r="O1695" s="278"/>
      <c r="P1695" s="278"/>
      <c r="Q1695" s="278"/>
      <c r="R1695" s="278"/>
      <c r="S1695" s="278"/>
      <c r="T1695" s="278"/>
      <c r="U1695" s="278"/>
      <c r="V1695" s="278"/>
    </row>
    <row r="1696" spans="1:22" x14ac:dyDescent="0.15">
      <c r="A1696" s="278"/>
      <c r="B1696" s="278"/>
      <c r="C1696" s="278"/>
      <c r="D1696" s="278"/>
      <c r="E1696" s="278"/>
      <c r="F1696" s="278"/>
      <c r="G1696" s="278"/>
      <c r="H1696" s="278"/>
      <c r="I1696" s="278"/>
      <c r="J1696" s="278"/>
      <c r="K1696" s="278"/>
      <c r="L1696" s="278"/>
      <c r="M1696" s="278"/>
      <c r="N1696" s="278"/>
      <c r="O1696" s="278"/>
      <c r="P1696" s="278"/>
      <c r="Q1696" s="278"/>
      <c r="R1696" s="278"/>
      <c r="S1696" s="278"/>
      <c r="T1696" s="278"/>
      <c r="U1696" s="278"/>
      <c r="V1696" s="278"/>
    </row>
    <row r="1697" spans="1:22" x14ac:dyDescent="0.15">
      <c r="A1697" s="278"/>
      <c r="B1697" s="278"/>
      <c r="C1697" s="278"/>
      <c r="D1697" s="278"/>
      <c r="E1697" s="278"/>
      <c r="F1697" s="278"/>
      <c r="G1697" s="278"/>
      <c r="H1697" s="278"/>
      <c r="I1697" s="278"/>
      <c r="J1697" s="278"/>
      <c r="K1697" s="278"/>
      <c r="L1697" s="278"/>
      <c r="M1697" s="278"/>
      <c r="N1697" s="278"/>
      <c r="O1697" s="278"/>
      <c r="P1697" s="278"/>
      <c r="Q1697" s="278"/>
      <c r="R1697" s="278"/>
      <c r="S1697" s="278"/>
      <c r="T1697" s="278"/>
      <c r="U1697" s="278"/>
      <c r="V1697" s="278"/>
    </row>
    <row r="1698" spans="1:22" x14ac:dyDescent="0.15">
      <c r="A1698" s="278"/>
      <c r="B1698" s="278"/>
      <c r="C1698" s="278"/>
      <c r="D1698" s="278"/>
      <c r="E1698" s="278"/>
      <c r="F1698" s="278"/>
      <c r="G1698" s="278"/>
      <c r="H1698" s="278"/>
      <c r="I1698" s="278"/>
      <c r="J1698" s="278"/>
      <c r="K1698" s="278"/>
      <c r="L1698" s="278"/>
      <c r="M1698" s="278"/>
      <c r="N1698" s="278"/>
      <c r="O1698" s="278"/>
      <c r="P1698" s="278"/>
      <c r="Q1698" s="278"/>
      <c r="R1698" s="278"/>
      <c r="S1698" s="278"/>
      <c r="T1698" s="278"/>
      <c r="U1698" s="278"/>
      <c r="V1698" s="278"/>
    </row>
    <row r="1699" spans="1:22" x14ac:dyDescent="0.15">
      <c r="A1699" s="278"/>
      <c r="B1699" s="278"/>
      <c r="C1699" s="278"/>
      <c r="D1699" s="278"/>
      <c r="E1699" s="278"/>
      <c r="F1699" s="278"/>
      <c r="G1699" s="278"/>
      <c r="H1699" s="278"/>
      <c r="I1699" s="278"/>
      <c r="J1699" s="278"/>
      <c r="K1699" s="278"/>
      <c r="L1699" s="278"/>
      <c r="M1699" s="278"/>
      <c r="N1699" s="278"/>
      <c r="O1699" s="278"/>
      <c r="P1699" s="278"/>
      <c r="Q1699" s="278"/>
      <c r="R1699" s="278"/>
      <c r="S1699" s="278"/>
      <c r="T1699" s="278"/>
      <c r="U1699" s="278"/>
      <c r="V1699" s="278"/>
    </row>
    <row r="1700" spans="1:22" x14ac:dyDescent="0.15">
      <c r="A1700" s="278"/>
      <c r="B1700" s="278"/>
      <c r="C1700" s="278"/>
      <c r="D1700" s="278"/>
      <c r="E1700" s="278"/>
      <c r="F1700" s="278"/>
      <c r="G1700" s="278"/>
      <c r="H1700" s="278"/>
      <c r="I1700" s="278"/>
      <c r="J1700" s="278"/>
      <c r="K1700" s="278"/>
      <c r="L1700" s="278"/>
      <c r="M1700" s="278"/>
      <c r="N1700" s="278"/>
      <c r="O1700" s="278"/>
      <c r="P1700" s="278"/>
      <c r="Q1700" s="278"/>
      <c r="R1700" s="278"/>
      <c r="S1700" s="278"/>
      <c r="T1700" s="278"/>
      <c r="U1700" s="278"/>
      <c r="V1700" s="278"/>
    </row>
    <row r="1701" spans="1:22" x14ac:dyDescent="0.15">
      <c r="A1701" s="278"/>
      <c r="B1701" s="278"/>
      <c r="C1701" s="278"/>
      <c r="D1701" s="278"/>
      <c r="E1701" s="278"/>
      <c r="F1701" s="278"/>
      <c r="G1701" s="278"/>
      <c r="H1701" s="278"/>
      <c r="I1701" s="278"/>
      <c r="J1701" s="278"/>
      <c r="K1701" s="278"/>
      <c r="L1701" s="278"/>
      <c r="M1701" s="278"/>
      <c r="N1701" s="278"/>
      <c r="O1701" s="278"/>
      <c r="P1701" s="278"/>
      <c r="Q1701" s="278"/>
      <c r="R1701" s="278"/>
      <c r="S1701" s="278"/>
      <c r="T1701" s="278"/>
      <c r="U1701" s="278"/>
      <c r="V1701" s="278"/>
    </row>
    <row r="1702" spans="1:22" x14ac:dyDescent="0.15">
      <c r="A1702" s="278"/>
      <c r="B1702" s="278"/>
      <c r="C1702" s="278"/>
      <c r="D1702" s="278"/>
      <c r="E1702" s="278"/>
      <c r="F1702" s="278"/>
      <c r="G1702" s="278"/>
      <c r="H1702" s="278"/>
      <c r="I1702" s="278"/>
      <c r="J1702" s="278"/>
      <c r="K1702" s="278"/>
      <c r="L1702" s="278"/>
      <c r="M1702" s="278"/>
      <c r="N1702" s="278"/>
      <c r="O1702" s="278"/>
      <c r="P1702" s="278"/>
      <c r="Q1702" s="278"/>
      <c r="R1702" s="278"/>
      <c r="S1702" s="278"/>
      <c r="T1702" s="278"/>
      <c r="U1702" s="278"/>
      <c r="V1702" s="278"/>
    </row>
    <row r="1703" spans="1:22" x14ac:dyDescent="0.15">
      <c r="A1703" s="278"/>
      <c r="B1703" s="278"/>
      <c r="C1703" s="278"/>
      <c r="D1703" s="278"/>
      <c r="E1703" s="278"/>
      <c r="F1703" s="278"/>
      <c r="G1703" s="278"/>
      <c r="H1703" s="278"/>
      <c r="I1703" s="278"/>
      <c r="J1703" s="278"/>
      <c r="K1703" s="278"/>
      <c r="L1703" s="278"/>
      <c r="M1703" s="278"/>
      <c r="N1703" s="278"/>
      <c r="O1703" s="278"/>
      <c r="P1703" s="278"/>
      <c r="Q1703" s="278"/>
      <c r="R1703" s="278"/>
      <c r="S1703" s="278"/>
      <c r="T1703" s="278"/>
      <c r="U1703" s="278"/>
      <c r="V1703" s="278"/>
    </row>
    <row r="1704" spans="1:22" x14ac:dyDescent="0.15">
      <c r="A1704" s="278"/>
      <c r="B1704" s="278"/>
      <c r="C1704" s="278"/>
      <c r="D1704" s="278"/>
      <c r="E1704" s="278"/>
      <c r="F1704" s="278"/>
      <c r="G1704" s="278"/>
      <c r="H1704" s="278"/>
      <c r="I1704" s="278"/>
      <c r="J1704" s="278"/>
      <c r="K1704" s="278"/>
      <c r="L1704" s="278"/>
      <c r="M1704" s="278"/>
      <c r="N1704" s="278"/>
      <c r="O1704" s="278"/>
      <c r="P1704" s="278"/>
      <c r="Q1704" s="278"/>
      <c r="R1704" s="278"/>
      <c r="S1704" s="278"/>
      <c r="T1704" s="278"/>
      <c r="U1704" s="278"/>
      <c r="V1704" s="278"/>
    </row>
    <row r="1705" spans="1:22" x14ac:dyDescent="0.15">
      <c r="A1705" s="278"/>
      <c r="B1705" s="278"/>
      <c r="C1705" s="278"/>
      <c r="D1705" s="278"/>
      <c r="E1705" s="278"/>
      <c r="F1705" s="278"/>
      <c r="G1705" s="278"/>
      <c r="H1705" s="278"/>
      <c r="I1705" s="278"/>
      <c r="J1705" s="278"/>
      <c r="K1705" s="278"/>
      <c r="L1705" s="278"/>
      <c r="M1705" s="278"/>
      <c r="N1705" s="278"/>
      <c r="O1705" s="278"/>
      <c r="P1705" s="278"/>
      <c r="Q1705" s="278"/>
      <c r="R1705" s="278"/>
      <c r="S1705" s="278"/>
      <c r="T1705" s="278"/>
      <c r="U1705" s="278"/>
      <c r="V1705" s="278"/>
    </row>
    <row r="1706" spans="1:22" x14ac:dyDescent="0.15">
      <c r="A1706" s="278"/>
      <c r="B1706" s="278"/>
      <c r="C1706" s="278"/>
      <c r="D1706" s="278"/>
      <c r="E1706" s="278"/>
      <c r="F1706" s="278"/>
      <c r="G1706" s="278"/>
      <c r="H1706" s="278"/>
      <c r="I1706" s="278"/>
      <c r="J1706" s="278"/>
      <c r="K1706" s="278"/>
      <c r="L1706" s="278"/>
      <c r="M1706" s="278"/>
      <c r="N1706" s="278"/>
      <c r="O1706" s="278"/>
      <c r="P1706" s="278"/>
      <c r="Q1706" s="278"/>
      <c r="R1706" s="278"/>
      <c r="S1706" s="278"/>
      <c r="T1706" s="278"/>
      <c r="U1706" s="278"/>
      <c r="V1706" s="278"/>
    </row>
    <row r="1707" spans="1:22" x14ac:dyDescent="0.15">
      <c r="A1707" s="278"/>
      <c r="B1707" s="278"/>
      <c r="C1707" s="278"/>
      <c r="D1707" s="278"/>
      <c r="E1707" s="278"/>
      <c r="F1707" s="278"/>
      <c r="G1707" s="278"/>
      <c r="H1707" s="278"/>
      <c r="I1707" s="278"/>
      <c r="J1707" s="278"/>
      <c r="K1707" s="278"/>
      <c r="L1707" s="278"/>
      <c r="M1707" s="278"/>
      <c r="N1707" s="278"/>
      <c r="O1707" s="278"/>
      <c r="P1707" s="278"/>
      <c r="Q1707" s="278"/>
      <c r="R1707" s="278"/>
      <c r="S1707" s="278"/>
      <c r="T1707" s="278"/>
      <c r="U1707" s="278"/>
      <c r="V1707" s="278"/>
    </row>
    <row r="1708" spans="1:22" x14ac:dyDescent="0.15">
      <c r="A1708" s="278"/>
      <c r="B1708" s="278"/>
      <c r="C1708" s="278"/>
      <c r="D1708" s="278"/>
      <c r="E1708" s="278"/>
      <c r="F1708" s="278"/>
      <c r="G1708" s="278"/>
      <c r="H1708" s="278"/>
      <c r="I1708" s="278"/>
      <c r="J1708" s="278"/>
      <c r="K1708" s="278"/>
      <c r="L1708" s="278"/>
      <c r="M1708" s="278"/>
      <c r="N1708" s="278"/>
      <c r="O1708" s="278"/>
      <c r="P1708" s="278"/>
      <c r="Q1708" s="278"/>
      <c r="R1708" s="278"/>
      <c r="S1708" s="278"/>
      <c r="T1708" s="278"/>
      <c r="U1708" s="278"/>
      <c r="V1708" s="278"/>
    </row>
    <row r="1709" spans="1:22" x14ac:dyDescent="0.15">
      <c r="A1709" s="278"/>
      <c r="B1709" s="278"/>
      <c r="C1709" s="278"/>
      <c r="D1709" s="278"/>
      <c r="E1709" s="278"/>
      <c r="F1709" s="278"/>
      <c r="G1709" s="278"/>
      <c r="H1709" s="278"/>
      <c r="I1709" s="278"/>
      <c r="J1709" s="278"/>
      <c r="K1709" s="278"/>
      <c r="L1709" s="278"/>
      <c r="M1709" s="278"/>
      <c r="N1709" s="278"/>
      <c r="O1709" s="278"/>
      <c r="P1709" s="278"/>
      <c r="Q1709" s="278"/>
      <c r="R1709" s="278"/>
      <c r="S1709" s="278"/>
      <c r="T1709" s="278"/>
      <c r="U1709" s="278"/>
      <c r="V1709" s="278"/>
    </row>
    <row r="1710" spans="1:22" x14ac:dyDescent="0.15">
      <c r="A1710" s="278"/>
      <c r="B1710" s="278"/>
      <c r="C1710" s="278"/>
      <c r="D1710" s="278"/>
      <c r="E1710" s="278"/>
      <c r="F1710" s="278"/>
      <c r="G1710" s="278"/>
      <c r="H1710" s="278"/>
      <c r="I1710" s="278"/>
      <c r="J1710" s="278"/>
      <c r="K1710" s="278"/>
      <c r="L1710" s="278"/>
      <c r="M1710" s="278"/>
      <c r="N1710" s="278"/>
      <c r="O1710" s="278"/>
      <c r="P1710" s="278"/>
      <c r="Q1710" s="278"/>
      <c r="R1710" s="278"/>
      <c r="S1710" s="278"/>
      <c r="T1710" s="278"/>
      <c r="U1710" s="278"/>
      <c r="V1710" s="278"/>
    </row>
    <row r="1711" spans="1:22" x14ac:dyDescent="0.15">
      <c r="A1711" s="278"/>
      <c r="B1711" s="278"/>
      <c r="C1711" s="278"/>
      <c r="D1711" s="278"/>
      <c r="E1711" s="278"/>
      <c r="F1711" s="278"/>
      <c r="G1711" s="278"/>
      <c r="H1711" s="278"/>
      <c r="I1711" s="278"/>
      <c r="J1711" s="278"/>
      <c r="K1711" s="278"/>
      <c r="L1711" s="278"/>
      <c r="M1711" s="278"/>
      <c r="N1711" s="278"/>
      <c r="O1711" s="278"/>
      <c r="P1711" s="278"/>
      <c r="Q1711" s="278"/>
      <c r="R1711" s="278"/>
      <c r="S1711" s="278"/>
      <c r="T1711" s="278"/>
      <c r="U1711" s="278"/>
      <c r="V1711" s="278"/>
    </row>
    <row r="1712" spans="1:22" x14ac:dyDescent="0.15">
      <c r="A1712" s="278"/>
      <c r="B1712" s="278"/>
      <c r="C1712" s="278"/>
      <c r="D1712" s="278"/>
      <c r="E1712" s="278"/>
      <c r="F1712" s="278"/>
      <c r="G1712" s="278"/>
      <c r="H1712" s="278"/>
      <c r="I1712" s="278"/>
      <c r="J1712" s="278"/>
      <c r="K1712" s="278"/>
      <c r="L1712" s="278"/>
      <c r="M1712" s="278"/>
      <c r="N1712" s="278"/>
      <c r="O1712" s="278"/>
      <c r="P1712" s="278"/>
      <c r="Q1712" s="278"/>
      <c r="R1712" s="278"/>
      <c r="S1712" s="278"/>
      <c r="T1712" s="278"/>
      <c r="U1712" s="278"/>
      <c r="V1712" s="278"/>
    </row>
    <row r="1713" spans="1:22" x14ac:dyDescent="0.15">
      <c r="A1713" s="278"/>
      <c r="B1713" s="278"/>
      <c r="C1713" s="278"/>
      <c r="D1713" s="278"/>
      <c r="E1713" s="278"/>
      <c r="F1713" s="278"/>
      <c r="G1713" s="278"/>
      <c r="H1713" s="278"/>
      <c r="I1713" s="278"/>
      <c r="J1713" s="278"/>
      <c r="K1713" s="278"/>
      <c r="L1713" s="278"/>
      <c r="M1713" s="278"/>
      <c r="N1713" s="278"/>
      <c r="O1713" s="278"/>
      <c r="P1713" s="278"/>
      <c r="Q1713" s="278"/>
      <c r="R1713" s="278"/>
      <c r="S1713" s="278"/>
      <c r="T1713" s="278"/>
      <c r="U1713" s="278"/>
      <c r="V1713" s="278"/>
    </row>
    <row r="1714" spans="1:22" x14ac:dyDescent="0.15">
      <c r="A1714" s="278"/>
      <c r="B1714" s="278"/>
      <c r="C1714" s="278"/>
      <c r="D1714" s="278"/>
      <c r="E1714" s="278"/>
      <c r="F1714" s="278"/>
      <c r="G1714" s="278"/>
      <c r="H1714" s="278"/>
      <c r="I1714" s="278"/>
      <c r="J1714" s="278"/>
      <c r="K1714" s="278"/>
      <c r="L1714" s="278"/>
      <c r="M1714" s="278"/>
      <c r="N1714" s="278"/>
      <c r="O1714" s="278"/>
      <c r="P1714" s="278"/>
      <c r="Q1714" s="278"/>
      <c r="R1714" s="278"/>
      <c r="S1714" s="278"/>
      <c r="T1714" s="278"/>
      <c r="U1714" s="278"/>
      <c r="V1714" s="278"/>
    </row>
    <row r="1715" spans="1:22" x14ac:dyDescent="0.15">
      <c r="A1715" s="278"/>
      <c r="B1715" s="278"/>
      <c r="C1715" s="278"/>
      <c r="D1715" s="278"/>
      <c r="E1715" s="278"/>
      <c r="F1715" s="278"/>
      <c r="G1715" s="278"/>
      <c r="H1715" s="278"/>
      <c r="I1715" s="278"/>
      <c r="J1715" s="278"/>
      <c r="K1715" s="278"/>
      <c r="L1715" s="278"/>
      <c r="M1715" s="278"/>
      <c r="N1715" s="278"/>
      <c r="O1715" s="278"/>
      <c r="P1715" s="278"/>
      <c r="Q1715" s="278"/>
      <c r="R1715" s="278"/>
      <c r="S1715" s="278"/>
      <c r="T1715" s="278"/>
      <c r="U1715" s="278"/>
      <c r="V1715" s="278"/>
    </row>
    <row r="1716" spans="1:22" x14ac:dyDescent="0.15">
      <c r="A1716" s="278"/>
      <c r="B1716" s="278"/>
      <c r="C1716" s="278"/>
      <c r="D1716" s="278"/>
      <c r="E1716" s="278"/>
      <c r="F1716" s="278"/>
      <c r="G1716" s="278"/>
      <c r="H1716" s="278"/>
      <c r="I1716" s="278"/>
      <c r="J1716" s="278"/>
      <c r="K1716" s="278"/>
      <c r="L1716" s="278"/>
      <c r="M1716" s="278"/>
      <c r="N1716" s="278"/>
      <c r="O1716" s="278"/>
      <c r="P1716" s="278"/>
      <c r="Q1716" s="278"/>
      <c r="R1716" s="278"/>
      <c r="S1716" s="278"/>
      <c r="T1716" s="278"/>
      <c r="U1716" s="278"/>
      <c r="V1716" s="278"/>
    </row>
    <row r="1717" spans="1:22" x14ac:dyDescent="0.15">
      <c r="A1717" s="278"/>
      <c r="B1717" s="278"/>
      <c r="C1717" s="278"/>
      <c r="D1717" s="278"/>
      <c r="E1717" s="278"/>
      <c r="F1717" s="278"/>
      <c r="G1717" s="278"/>
      <c r="H1717" s="278"/>
      <c r="I1717" s="278"/>
      <c r="J1717" s="278"/>
      <c r="K1717" s="278"/>
      <c r="L1717" s="278"/>
      <c r="M1717" s="278"/>
      <c r="N1717" s="278"/>
      <c r="O1717" s="278"/>
      <c r="P1717" s="278"/>
      <c r="Q1717" s="278"/>
      <c r="R1717" s="278"/>
      <c r="S1717" s="278"/>
      <c r="T1717" s="278"/>
      <c r="U1717" s="278"/>
      <c r="V1717" s="278"/>
    </row>
    <row r="1718" spans="1:22" x14ac:dyDescent="0.15">
      <c r="A1718" s="278"/>
      <c r="B1718" s="278"/>
      <c r="C1718" s="278"/>
      <c r="D1718" s="278"/>
      <c r="E1718" s="278"/>
      <c r="F1718" s="278"/>
      <c r="G1718" s="278"/>
      <c r="H1718" s="278"/>
      <c r="I1718" s="278"/>
      <c r="J1718" s="278"/>
      <c r="K1718" s="278"/>
      <c r="L1718" s="278"/>
      <c r="M1718" s="278"/>
      <c r="N1718" s="278"/>
      <c r="O1718" s="278"/>
      <c r="P1718" s="278"/>
      <c r="Q1718" s="278"/>
      <c r="R1718" s="278"/>
      <c r="S1718" s="278"/>
      <c r="T1718" s="278"/>
      <c r="U1718" s="278"/>
      <c r="V1718" s="278"/>
    </row>
    <row r="1719" spans="1:22" x14ac:dyDescent="0.15">
      <c r="A1719" s="278"/>
      <c r="B1719" s="278"/>
      <c r="C1719" s="278"/>
      <c r="D1719" s="278"/>
      <c r="E1719" s="278"/>
      <c r="F1719" s="278"/>
      <c r="G1719" s="278"/>
      <c r="H1719" s="278"/>
      <c r="I1719" s="278"/>
      <c r="J1719" s="278"/>
      <c r="K1719" s="278"/>
      <c r="L1719" s="278"/>
      <c r="M1719" s="278"/>
      <c r="N1719" s="278"/>
      <c r="O1719" s="278"/>
      <c r="P1719" s="278"/>
      <c r="Q1719" s="278"/>
      <c r="R1719" s="278"/>
      <c r="S1719" s="278"/>
      <c r="T1719" s="278"/>
      <c r="U1719" s="278"/>
      <c r="V1719" s="278"/>
    </row>
    <row r="1720" spans="1:22" x14ac:dyDescent="0.15">
      <c r="A1720" s="278"/>
      <c r="B1720" s="278"/>
      <c r="C1720" s="278"/>
      <c r="D1720" s="278"/>
      <c r="E1720" s="278"/>
      <c r="F1720" s="278"/>
      <c r="G1720" s="278"/>
      <c r="H1720" s="278"/>
      <c r="I1720" s="278"/>
      <c r="J1720" s="278"/>
      <c r="K1720" s="278"/>
      <c r="L1720" s="278"/>
      <c r="M1720" s="278"/>
      <c r="N1720" s="278"/>
      <c r="O1720" s="278"/>
      <c r="P1720" s="278"/>
      <c r="Q1720" s="278"/>
      <c r="R1720" s="278"/>
      <c r="S1720" s="278"/>
      <c r="T1720" s="278"/>
      <c r="U1720" s="278"/>
      <c r="V1720" s="278"/>
    </row>
    <row r="1721" spans="1:22" x14ac:dyDescent="0.15">
      <c r="A1721" s="278"/>
      <c r="B1721" s="278"/>
      <c r="C1721" s="278"/>
      <c r="D1721" s="278"/>
      <c r="E1721" s="278"/>
      <c r="F1721" s="278"/>
      <c r="G1721" s="278"/>
      <c r="H1721" s="278"/>
      <c r="I1721" s="278"/>
      <c r="J1721" s="278"/>
      <c r="K1721" s="278"/>
      <c r="L1721" s="278"/>
      <c r="M1721" s="278"/>
      <c r="N1721" s="278"/>
      <c r="O1721" s="278"/>
      <c r="P1721" s="278"/>
      <c r="Q1721" s="278"/>
      <c r="R1721" s="278"/>
      <c r="S1721" s="278"/>
      <c r="T1721" s="278"/>
      <c r="U1721" s="278"/>
      <c r="V1721" s="278"/>
    </row>
    <row r="1722" spans="1:22" x14ac:dyDescent="0.15">
      <c r="A1722" s="278"/>
      <c r="B1722" s="278"/>
      <c r="C1722" s="278"/>
      <c r="D1722" s="278"/>
      <c r="E1722" s="278"/>
      <c r="F1722" s="278"/>
      <c r="G1722" s="278"/>
      <c r="H1722" s="278"/>
      <c r="I1722" s="278"/>
      <c r="J1722" s="278"/>
      <c r="K1722" s="278"/>
      <c r="L1722" s="278"/>
      <c r="M1722" s="278"/>
      <c r="N1722" s="278"/>
      <c r="O1722" s="278"/>
      <c r="P1722" s="278"/>
      <c r="Q1722" s="278"/>
      <c r="R1722" s="278"/>
      <c r="S1722" s="278"/>
      <c r="T1722" s="278"/>
      <c r="U1722" s="278"/>
      <c r="V1722" s="278"/>
    </row>
    <row r="1723" spans="1:22" x14ac:dyDescent="0.15">
      <c r="A1723" s="278"/>
      <c r="B1723" s="278"/>
      <c r="C1723" s="278"/>
      <c r="D1723" s="278"/>
      <c r="E1723" s="278"/>
      <c r="F1723" s="278"/>
      <c r="G1723" s="278"/>
      <c r="H1723" s="278"/>
      <c r="I1723" s="278"/>
      <c r="J1723" s="278"/>
      <c r="K1723" s="278"/>
      <c r="L1723" s="278"/>
      <c r="M1723" s="278"/>
      <c r="N1723" s="278"/>
      <c r="O1723" s="278"/>
      <c r="P1723" s="278"/>
      <c r="Q1723" s="278"/>
      <c r="R1723" s="278"/>
      <c r="S1723" s="278"/>
      <c r="T1723" s="278"/>
      <c r="U1723" s="278"/>
      <c r="V1723" s="278"/>
    </row>
    <row r="1724" spans="1:22" x14ac:dyDescent="0.15">
      <c r="A1724" s="278"/>
      <c r="B1724" s="278"/>
      <c r="C1724" s="278"/>
      <c r="D1724" s="278"/>
      <c r="E1724" s="278"/>
      <c r="F1724" s="278"/>
      <c r="G1724" s="278"/>
      <c r="H1724" s="278"/>
      <c r="I1724" s="278"/>
      <c r="J1724" s="278"/>
      <c r="K1724" s="278"/>
      <c r="L1724" s="278"/>
      <c r="M1724" s="278"/>
      <c r="N1724" s="278"/>
      <c r="O1724" s="278"/>
      <c r="P1724" s="278"/>
      <c r="Q1724" s="278"/>
      <c r="R1724" s="278"/>
      <c r="S1724" s="278"/>
      <c r="T1724" s="278"/>
      <c r="U1724" s="278"/>
      <c r="V1724" s="278"/>
    </row>
    <row r="1725" spans="1:22" x14ac:dyDescent="0.15">
      <c r="A1725" s="278"/>
      <c r="B1725" s="278"/>
      <c r="C1725" s="278"/>
      <c r="D1725" s="278"/>
      <c r="E1725" s="278"/>
      <c r="F1725" s="278"/>
      <c r="G1725" s="278"/>
      <c r="H1725" s="278"/>
      <c r="I1725" s="278"/>
      <c r="J1725" s="278"/>
      <c r="K1725" s="278"/>
      <c r="L1725" s="278"/>
      <c r="M1725" s="278"/>
      <c r="N1725" s="278"/>
      <c r="O1725" s="278"/>
      <c r="P1725" s="278"/>
      <c r="Q1725" s="278"/>
      <c r="R1725" s="278"/>
      <c r="S1725" s="278"/>
      <c r="T1725" s="278"/>
      <c r="U1725" s="278"/>
      <c r="V1725" s="278"/>
    </row>
    <row r="1726" spans="1:22" x14ac:dyDescent="0.15">
      <c r="A1726" s="278"/>
      <c r="B1726" s="278"/>
      <c r="C1726" s="278"/>
      <c r="D1726" s="278"/>
      <c r="E1726" s="278"/>
      <c r="F1726" s="278"/>
      <c r="G1726" s="278"/>
      <c r="H1726" s="278"/>
      <c r="I1726" s="278"/>
      <c r="J1726" s="278"/>
      <c r="K1726" s="278"/>
      <c r="L1726" s="278"/>
      <c r="M1726" s="278"/>
      <c r="N1726" s="278"/>
      <c r="O1726" s="278"/>
      <c r="P1726" s="278"/>
      <c r="Q1726" s="278"/>
      <c r="R1726" s="278"/>
      <c r="S1726" s="278"/>
      <c r="T1726" s="278"/>
      <c r="U1726" s="278"/>
      <c r="V1726" s="278"/>
    </row>
    <row r="1727" spans="1:22" x14ac:dyDescent="0.15">
      <c r="A1727" s="278"/>
      <c r="B1727" s="278"/>
      <c r="C1727" s="278"/>
      <c r="D1727" s="278"/>
      <c r="E1727" s="278"/>
      <c r="F1727" s="278"/>
      <c r="G1727" s="278"/>
      <c r="H1727" s="278"/>
      <c r="I1727" s="278"/>
      <c r="J1727" s="278"/>
      <c r="K1727" s="278"/>
      <c r="L1727" s="278"/>
      <c r="M1727" s="278"/>
      <c r="N1727" s="278"/>
      <c r="O1727" s="278"/>
      <c r="P1727" s="278"/>
      <c r="Q1727" s="278"/>
      <c r="R1727" s="278"/>
      <c r="S1727" s="278"/>
      <c r="T1727" s="278"/>
      <c r="U1727" s="278"/>
      <c r="V1727" s="278"/>
    </row>
    <row r="1728" spans="1:22" x14ac:dyDescent="0.15">
      <c r="A1728" s="278"/>
      <c r="B1728" s="278"/>
      <c r="C1728" s="278"/>
      <c r="D1728" s="278"/>
      <c r="E1728" s="278"/>
      <c r="F1728" s="278"/>
      <c r="G1728" s="278"/>
      <c r="H1728" s="278"/>
      <c r="I1728" s="278"/>
      <c r="J1728" s="278"/>
      <c r="K1728" s="278"/>
      <c r="L1728" s="278"/>
      <c r="M1728" s="278"/>
      <c r="N1728" s="278"/>
      <c r="O1728" s="278"/>
      <c r="P1728" s="278"/>
      <c r="Q1728" s="278"/>
      <c r="R1728" s="278"/>
      <c r="S1728" s="278"/>
      <c r="T1728" s="278"/>
      <c r="U1728" s="278"/>
      <c r="V1728" s="278"/>
    </row>
    <row r="1729" spans="1:22" x14ac:dyDescent="0.15">
      <c r="A1729" s="278"/>
      <c r="B1729" s="278"/>
      <c r="C1729" s="278"/>
      <c r="D1729" s="278"/>
      <c r="E1729" s="278"/>
      <c r="F1729" s="278"/>
      <c r="G1729" s="278"/>
      <c r="H1729" s="278"/>
      <c r="I1729" s="278"/>
      <c r="J1729" s="278"/>
      <c r="K1729" s="278"/>
      <c r="L1729" s="278"/>
      <c r="M1729" s="278"/>
      <c r="N1729" s="278"/>
      <c r="O1729" s="278"/>
      <c r="P1729" s="278"/>
      <c r="Q1729" s="278"/>
      <c r="R1729" s="278"/>
      <c r="S1729" s="278"/>
      <c r="T1729" s="278"/>
      <c r="U1729" s="278"/>
      <c r="V1729" s="278"/>
    </row>
    <row r="1730" spans="1:22" x14ac:dyDescent="0.15">
      <c r="A1730" s="278"/>
      <c r="B1730" s="278"/>
      <c r="C1730" s="278"/>
      <c r="D1730" s="278"/>
      <c r="E1730" s="278"/>
      <c r="F1730" s="278"/>
      <c r="G1730" s="278"/>
      <c r="H1730" s="278"/>
      <c r="I1730" s="278"/>
      <c r="J1730" s="278"/>
      <c r="K1730" s="278"/>
      <c r="L1730" s="278"/>
      <c r="M1730" s="278"/>
      <c r="N1730" s="278"/>
      <c r="O1730" s="278"/>
      <c r="P1730" s="278"/>
      <c r="Q1730" s="278"/>
      <c r="R1730" s="278"/>
      <c r="S1730" s="278"/>
      <c r="T1730" s="278"/>
      <c r="U1730" s="278"/>
      <c r="V1730" s="278"/>
    </row>
    <row r="1731" spans="1:22" x14ac:dyDescent="0.15">
      <c r="A1731" s="278"/>
      <c r="B1731" s="278"/>
      <c r="C1731" s="278"/>
      <c r="D1731" s="278"/>
      <c r="E1731" s="278"/>
      <c r="F1731" s="278"/>
      <c r="G1731" s="278"/>
      <c r="H1731" s="278"/>
      <c r="I1731" s="278"/>
      <c r="J1731" s="278"/>
      <c r="K1731" s="278"/>
      <c r="L1731" s="278"/>
      <c r="M1731" s="278"/>
      <c r="N1731" s="278"/>
      <c r="O1731" s="278"/>
      <c r="P1731" s="278"/>
      <c r="Q1731" s="278"/>
      <c r="R1731" s="278"/>
      <c r="S1731" s="278"/>
      <c r="T1731" s="278"/>
      <c r="U1731" s="278"/>
      <c r="V1731" s="278"/>
    </row>
    <row r="1732" spans="1:22" x14ac:dyDescent="0.15">
      <c r="A1732" s="278"/>
      <c r="B1732" s="278"/>
      <c r="C1732" s="278"/>
      <c r="D1732" s="278"/>
      <c r="E1732" s="278"/>
      <c r="F1732" s="278"/>
      <c r="G1732" s="278"/>
      <c r="H1732" s="278"/>
      <c r="I1732" s="278"/>
      <c r="J1732" s="278"/>
      <c r="K1732" s="278"/>
      <c r="L1732" s="278"/>
      <c r="M1732" s="278"/>
      <c r="N1732" s="278"/>
      <c r="O1732" s="278"/>
      <c r="P1732" s="278"/>
      <c r="Q1732" s="278"/>
      <c r="R1732" s="278"/>
      <c r="S1732" s="278"/>
      <c r="T1732" s="278"/>
      <c r="U1732" s="278"/>
      <c r="V1732" s="278"/>
    </row>
    <row r="1733" spans="1:22" x14ac:dyDescent="0.15">
      <c r="A1733" s="278"/>
      <c r="B1733" s="278"/>
      <c r="C1733" s="278"/>
      <c r="D1733" s="278"/>
      <c r="E1733" s="278"/>
      <c r="F1733" s="278"/>
      <c r="G1733" s="278"/>
      <c r="H1733" s="278"/>
      <c r="I1733" s="278"/>
      <c r="J1733" s="278"/>
      <c r="K1733" s="278"/>
      <c r="L1733" s="278"/>
      <c r="M1733" s="278"/>
      <c r="N1733" s="278"/>
      <c r="O1733" s="278"/>
      <c r="P1733" s="278"/>
      <c r="Q1733" s="278"/>
      <c r="R1733" s="278"/>
      <c r="S1733" s="278"/>
      <c r="T1733" s="278"/>
      <c r="U1733" s="278"/>
      <c r="V1733" s="278"/>
    </row>
    <row r="1734" spans="1:22" x14ac:dyDescent="0.15">
      <c r="A1734" s="278"/>
      <c r="B1734" s="278"/>
      <c r="C1734" s="278"/>
      <c r="D1734" s="278"/>
      <c r="E1734" s="278"/>
      <c r="F1734" s="278"/>
      <c r="G1734" s="278"/>
      <c r="H1734" s="278"/>
      <c r="I1734" s="278"/>
      <c r="J1734" s="278"/>
      <c r="K1734" s="278"/>
      <c r="L1734" s="278"/>
      <c r="M1734" s="278"/>
      <c r="N1734" s="278"/>
      <c r="O1734" s="278"/>
      <c r="P1734" s="278"/>
      <c r="Q1734" s="278"/>
      <c r="R1734" s="278"/>
      <c r="S1734" s="278"/>
      <c r="T1734" s="278"/>
      <c r="U1734" s="278"/>
      <c r="V1734" s="278"/>
    </row>
    <row r="1735" spans="1:22" x14ac:dyDescent="0.15">
      <c r="A1735" s="278"/>
      <c r="B1735" s="278"/>
      <c r="C1735" s="278"/>
      <c r="D1735" s="278"/>
      <c r="E1735" s="278"/>
      <c r="F1735" s="278"/>
      <c r="G1735" s="278"/>
      <c r="H1735" s="278"/>
      <c r="I1735" s="278"/>
      <c r="J1735" s="278"/>
      <c r="K1735" s="278"/>
      <c r="L1735" s="278"/>
      <c r="M1735" s="278"/>
      <c r="N1735" s="278"/>
      <c r="O1735" s="278"/>
      <c r="P1735" s="278"/>
      <c r="Q1735" s="278"/>
      <c r="R1735" s="278"/>
      <c r="S1735" s="278"/>
      <c r="T1735" s="278"/>
      <c r="U1735" s="278"/>
      <c r="V1735" s="278"/>
    </row>
    <row r="1736" spans="1:22" x14ac:dyDescent="0.15">
      <c r="A1736" s="278"/>
      <c r="B1736" s="278"/>
      <c r="C1736" s="278"/>
      <c r="D1736" s="278"/>
      <c r="E1736" s="278"/>
      <c r="F1736" s="278"/>
      <c r="G1736" s="278"/>
      <c r="H1736" s="278"/>
      <c r="I1736" s="278"/>
      <c r="J1736" s="278"/>
      <c r="K1736" s="278"/>
      <c r="L1736" s="278"/>
      <c r="M1736" s="278"/>
      <c r="N1736" s="278"/>
      <c r="O1736" s="278"/>
      <c r="P1736" s="278"/>
      <c r="Q1736" s="278"/>
      <c r="R1736" s="278"/>
      <c r="S1736" s="278"/>
      <c r="T1736" s="278"/>
      <c r="U1736" s="278"/>
      <c r="V1736" s="278"/>
    </row>
    <row r="1737" spans="1:22" x14ac:dyDescent="0.15">
      <c r="A1737" s="278"/>
      <c r="B1737" s="278"/>
      <c r="C1737" s="278"/>
      <c r="D1737" s="278"/>
      <c r="E1737" s="278"/>
      <c r="F1737" s="278"/>
      <c r="G1737" s="278"/>
      <c r="H1737" s="278"/>
      <c r="I1737" s="278"/>
      <c r="J1737" s="278"/>
      <c r="K1737" s="278"/>
      <c r="L1737" s="278"/>
      <c r="M1737" s="278"/>
      <c r="N1737" s="278"/>
      <c r="O1737" s="278"/>
      <c r="P1737" s="278"/>
      <c r="Q1737" s="278"/>
      <c r="R1737" s="278"/>
      <c r="S1737" s="278"/>
      <c r="T1737" s="278"/>
      <c r="U1737" s="278"/>
      <c r="V1737" s="278"/>
    </row>
    <row r="1738" spans="1:22" x14ac:dyDescent="0.15">
      <c r="A1738" s="278"/>
      <c r="B1738" s="278"/>
      <c r="C1738" s="278"/>
      <c r="D1738" s="278"/>
      <c r="E1738" s="278"/>
      <c r="F1738" s="278"/>
      <c r="G1738" s="278"/>
      <c r="H1738" s="278"/>
      <c r="I1738" s="278"/>
      <c r="J1738" s="278"/>
      <c r="K1738" s="278"/>
      <c r="L1738" s="278"/>
      <c r="M1738" s="278"/>
      <c r="N1738" s="278"/>
      <c r="O1738" s="278"/>
      <c r="P1738" s="278"/>
      <c r="Q1738" s="278"/>
      <c r="R1738" s="278"/>
      <c r="S1738" s="278"/>
      <c r="T1738" s="278"/>
      <c r="U1738" s="278"/>
      <c r="V1738" s="278"/>
    </row>
    <row r="1739" spans="1:22" x14ac:dyDescent="0.15">
      <c r="A1739" s="278"/>
      <c r="B1739" s="278"/>
      <c r="C1739" s="278"/>
      <c r="D1739" s="278"/>
      <c r="E1739" s="278"/>
      <c r="F1739" s="278"/>
      <c r="G1739" s="278"/>
      <c r="H1739" s="278"/>
      <c r="I1739" s="278"/>
      <c r="J1739" s="278"/>
      <c r="K1739" s="278"/>
      <c r="L1739" s="278"/>
      <c r="M1739" s="278"/>
      <c r="N1739" s="278"/>
      <c r="O1739" s="278"/>
      <c r="P1739" s="278"/>
      <c r="Q1739" s="278"/>
      <c r="R1739" s="278"/>
      <c r="S1739" s="278"/>
      <c r="T1739" s="278"/>
      <c r="U1739" s="278"/>
      <c r="V1739" s="278"/>
    </row>
    <row r="1740" spans="1:22" x14ac:dyDescent="0.15">
      <c r="A1740" s="278"/>
      <c r="B1740" s="278"/>
      <c r="C1740" s="278"/>
      <c r="D1740" s="278"/>
      <c r="E1740" s="278"/>
      <c r="F1740" s="278"/>
      <c r="G1740" s="278"/>
      <c r="H1740" s="278"/>
      <c r="I1740" s="278"/>
      <c r="J1740" s="278"/>
      <c r="K1740" s="278"/>
      <c r="L1740" s="278"/>
      <c r="M1740" s="278"/>
      <c r="N1740" s="278"/>
      <c r="O1740" s="278"/>
      <c r="P1740" s="278"/>
      <c r="Q1740" s="278"/>
      <c r="R1740" s="278"/>
      <c r="S1740" s="278"/>
      <c r="T1740" s="278"/>
      <c r="U1740" s="278"/>
      <c r="V1740" s="278"/>
    </row>
    <row r="1741" spans="1:22" x14ac:dyDescent="0.15">
      <c r="A1741" s="278"/>
      <c r="B1741" s="278"/>
      <c r="C1741" s="278"/>
      <c r="D1741" s="278"/>
      <c r="E1741" s="278"/>
      <c r="F1741" s="278"/>
      <c r="G1741" s="278"/>
      <c r="H1741" s="278"/>
      <c r="I1741" s="278"/>
      <c r="J1741" s="278"/>
      <c r="K1741" s="278"/>
      <c r="L1741" s="278"/>
      <c r="M1741" s="278"/>
      <c r="N1741" s="278"/>
      <c r="O1741" s="278"/>
      <c r="P1741" s="278"/>
      <c r="Q1741" s="278"/>
      <c r="R1741" s="278"/>
      <c r="S1741" s="278"/>
      <c r="T1741" s="278"/>
      <c r="U1741" s="278"/>
      <c r="V1741" s="278"/>
    </row>
    <row r="1742" spans="1:22" x14ac:dyDescent="0.15">
      <c r="A1742" s="278"/>
      <c r="B1742" s="278"/>
      <c r="C1742" s="278"/>
      <c r="D1742" s="278"/>
      <c r="E1742" s="278"/>
      <c r="F1742" s="278"/>
      <c r="G1742" s="278"/>
      <c r="H1742" s="278"/>
      <c r="I1742" s="278"/>
      <c r="J1742" s="278"/>
      <c r="K1742" s="278"/>
      <c r="L1742" s="278"/>
      <c r="M1742" s="278"/>
      <c r="N1742" s="278"/>
      <c r="O1742" s="278"/>
      <c r="P1742" s="278"/>
      <c r="Q1742" s="278"/>
      <c r="R1742" s="278"/>
      <c r="S1742" s="278"/>
      <c r="T1742" s="278"/>
      <c r="U1742" s="278"/>
      <c r="V1742" s="278"/>
    </row>
    <row r="1743" spans="1:22" x14ac:dyDescent="0.15">
      <c r="A1743" s="278"/>
      <c r="B1743" s="278"/>
      <c r="C1743" s="278"/>
      <c r="D1743" s="278"/>
      <c r="E1743" s="278"/>
      <c r="F1743" s="278"/>
      <c r="G1743" s="278"/>
      <c r="H1743" s="278"/>
      <c r="I1743" s="278"/>
      <c r="J1743" s="278"/>
      <c r="K1743" s="278"/>
      <c r="L1743" s="278"/>
      <c r="M1743" s="278"/>
      <c r="N1743" s="278"/>
      <c r="O1743" s="278"/>
      <c r="P1743" s="278"/>
      <c r="Q1743" s="278"/>
      <c r="R1743" s="278"/>
      <c r="S1743" s="278"/>
      <c r="T1743" s="278"/>
      <c r="U1743" s="278"/>
      <c r="V1743" s="278"/>
    </row>
    <row r="1744" spans="1:22" x14ac:dyDescent="0.15">
      <c r="A1744" s="278"/>
      <c r="B1744" s="278"/>
      <c r="C1744" s="278"/>
      <c r="D1744" s="278"/>
      <c r="E1744" s="278"/>
      <c r="F1744" s="278"/>
      <c r="G1744" s="278"/>
      <c r="H1744" s="278"/>
      <c r="I1744" s="278"/>
      <c r="J1744" s="278"/>
      <c r="K1744" s="278"/>
      <c r="L1744" s="278"/>
      <c r="M1744" s="278"/>
      <c r="N1744" s="278"/>
      <c r="O1744" s="278"/>
      <c r="P1744" s="278"/>
      <c r="Q1744" s="278"/>
      <c r="R1744" s="278"/>
      <c r="S1744" s="278"/>
      <c r="T1744" s="278"/>
      <c r="U1744" s="278"/>
      <c r="V1744" s="278"/>
    </row>
    <row r="1745" spans="1:22" x14ac:dyDescent="0.15">
      <c r="A1745" s="278"/>
      <c r="B1745" s="278"/>
      <c r="C1745" s="278"/>
      <c r="D1745" s="278"/>
      <c r="E1745" s="278"/>
      <c r="F1745" s="278"/>
      <c r="G1745" s="278"/>
      <c r="H1745" s="278"/>
      <c r="I1745" s="278"/>
      <c r="J1745" s="278"/>
      <c r="K1745" s="278"/>
      <c r="L1745" s="278"/>
      <c r="M1745" s="278"/>
      <c r="N1745" s="278"/>
      <c r="O1745" s="278"/>
      <c r="P1745" s="278"/>
      <c r="Q1745" s="278"/>
      <c r="R1745" s="278"/>
      <c r="S1745" s="278"/>
      <c r="T1745" s="278"/>
      <c r="U1745" s="278"/>
      <c r="V1745" s="278"/>
    </row>
    <row r="1746" spans="1:22" x14ac:dyDescent="0.15">
      <c r="A1746" s="278"/>
      <c r="B1746" s="278"/>
      <c r="C1746" s="278"/>
      <c r="D1746" s="278"/>
      <c r="E1746" s="278"/>
      <c r="F1746" s="278"/>
      <c r="G1746" s="278"/>
      <c r="H1746" s="278"/>
      <c r="I1746" s="278"/>
      <c r="J1746" s="278"/>
      <c r="K1746" s="278"/>
      <c r="L1746" s="278"/>
      <c r="M1746" s="278"/>
      <c r="N1746" s="278"/>
      <c r="O1746" s="278"/>
      <c r="P1746" s="278"/>
      <c r="Q1746" s="278"/>
      <c r="R1746" s="278"/>
      <c r="S1746" s="278"/>
      <c r="T1746" s="278"/>
      <c r="U1746" s="278"/>
      <c r="V1746" s="278"/>
    </row>
    <row r="1747" spans="1:22" x14ac:dyDescent="0.15">
      <c r="A1747" s="278"/>
      <c r="B1747" s="278"/>
      <c r="C1747" s="278"/>
      <c r="D1747" s="278"/>
      <c r="E1747" s="278"/>
      <c r="F1747" s="278"/>
      <c r="G1747" s="278"/>
      <c r="H1747" s="278"/>
      <c r="I1747" s="278"/>
      <c r="J1747" s="278"/>
      <c r="K1747" s="278"/>
      <c r="L1747" s="278"/>
      <c r="M1747" s="278"/>
      <c r="N1747" s="278"/>
      <c r="O1747" s="278"/>
      <c r="P1747" s="278"/>
      <c r="Q1747" s="278"/>
      <c r="R1747" s="278"/>
      <c r="S1747" s="278"/>
      <c r="T1747" s="278"/>
      <c r="U1747" s="278"/>
      <c r="V1747" s="278"/>
    </row>
    <row r="1748" spans="1:22" x14ac:dyDescent="0.15">
      <c r="A1748" s="278"/>
      <c r="B1748" s="278"/>
      <c r="C1748" s="278"/>
      <c r="D1748" s="278"/>
      <c r="E1748" s="278"/>
      <c r="F1748" s="278"/>
      <c r="G1748" s="278"/>
      <c r="H1748" s="278"/>
      <c r="I1748" s="278"/>
      <c r="J1748" s="278"/>
      <c r="K1748" s="278"/>
      <c r="L1748" s="278"/>
      <c r="M1748" s="278"/>
      <c r="N1748" s="278"/>
      <c r="O1748" s="278"/>
      <c r="P1748" s="278"/>
      <c r="Q1748" s="278"/>
      <c r="R1748" s="278"/>
      <c r="S1748" s="278"/>
      <c r="T1748" s="278"/>
      <c r="U1748" s="278"/>
      <c r="V1748" s="278"/>
    </row>
    <row r="1749" spans="1:22" x14ac:dyDescent="0.15">
      <c r="A1749" s="278"/>
      <c r="B1749" s="278"/>
      <c r="C1749" s="278"/>
      <c r="D1749" s="278"/>
      <c r="E1749" s="278"/>
      <c r="F1749" s="278"/>
      <c r="G1749" s="278"/>
      <c r="H1749" s="278"/>
      <c r="I1749" s="278"/>
      <c r="J1749" s="278"/>
      <c r="K1749" s="278"/>
      <c r="L1749" s="278"/>
      <c r="M1749" s="278"/>
      <c r="N1749" s="278"/>
      <c r="O1749" s="278"/>
      <c r="P1749" s="278"/>
      <c r="Q1749" s="278"/>
      <c r="R1749" s="278"/>
      <c r="S1749" s="278"/>
      <c r="T1749" s="278"/>
      <c r="U1749" s="278"/>
      <c r="V1749" s="278"/>
    </row>
    <row r="1750" spans="1:22" x14ac:dyDescent="0.15">
      <c r="A1750" s="278"/>
      <c r="B1750" s="278"/>
      <c r="C1750" s="278"/>
      <c r="D1750" s="278"/>
      <c r="E1750" s="278"/>
      <c r="F1750" s="278"/>
      <c r="G1750" s="278"/>
      <c r="H1750" s="278"/>
      <c r="I1750" s="278"/>
      <c r="J1750" s="278"/>
      <c r="K1750" s="278"/>
      <c r="L1750" s="278"/>
      <c r="M1750" s="278"/>
      <c r="N1750" s="278"/>
      <c r="O1750" s="278"/>
      <c r="P1750" s="278"/>
      <c r="Q1750" s="278"/>
      <c r="R1750" s="278"/>
      <c r="S1750" s="278"/>
      <c r="T1750" s="278"/>
      <c r="U1750" s="278"/>
      <c r="V1750" s="278"/>
    </row>
    <row r="1751" spans="1:22" x14ac:dyDescent="0.15">
      <c r="A1751" s="278"/>
      <c r="B1751" s="278"/>
      <c r="C1751" s="278"/>
      <c r="D1751" s="278"/>
      <c r="E1751" s="278"/>
      <c r="F1751" s="278"/>
      <c r="G1751" s="278"/>
      <c r="H1751" s="278"/>
      <c r="I1751" s="278"/>
      <c r="J1751" s="278"/>
      <c r="K1751" s="278"/>
      <c r="L1751" s="278"/>
      <c r="M1751" s="278"/>
      <c r="N1751" s="278"/>
      <c r="O1751" s="278"/>
      <c r="P1751" s="278"/>
      <c r="Q1751" s="278"/>
      <c r="R1751" s="278"/>
      <c r="S1751" s="278"/>
      <c r="T1751" s="278"/>
      <c r="U1751" s="278"/>
      <c r="V1751" s="278"/>
    </row>
    <row r="1752" spans="1:22" x14ac:dyDescent="0.15">
      <c r="A1752" s="278"/>
      <c r="B1752" s="278"/>
      <c r="C1752" s="278"/>
      <c r="D1752" s="278"/>
      <c r="E1752" s="278"/>
      <c r="F1752" s="278"/>
      <c r="G1752" s="278"/>
      <c r="H1752" s="278"/>
      <c r="I1752" s="278"/>
      <c r="J1752" s="278"/>
      <c r="K1752" s="278"/>
      <c r="L1752" s="278"/>
      <c r="M1752" s="278"/>
      <c r="N1752" s="278"/>
      <c r="O1752" s="278"/>
      <c r="P1752" s="278"/>
      <c r="Q1752" s="278"/>
      <c r="R1752" s="278"/>
      <c r="S1752" s="278"/>
      <c r="T1752" s="278"/>
      <c r="U1752" s="278"/>
      <c r="V1752" s="278"/>
    </row>
    <row r="1753" spans="1:22" x14ac:dyDescent="0.15">
      <c r="A1753" s="278"/>
      <c r="B1753" s="278"/>
      <c r="C1753" s="278"/>
      <c r="D1753" s="278"/>
      <c r="E1753" s="278"/>
      <c r="F1753" s="278"/>
      <c r="G1753" s="278"/>
      <c r="H1753" s="278"/>
      <c r="I1753" s="278"/>
      <c r="J1753" s="278"/>
      <c r="K1753" s="278"/>
      <c r="L1753" s="278"/>
      <c r="M1753" s="278"/>
      <c r="N1753" s="278"/>
      <c r="O1753" s="278"/>
      <c r="P1753" s="278"/>
      <c r="Q1753" s="278"/>
      <c r="R1753" s="278"/>
      <c r="S1753" s="278"/>
      <c r="T1753" s="278"/>
      <c r="U1753" s="278"/>
      <c r="V1753" s="278"/>
    </row>
    <row r="1754" spans="1:22" x14ac:dyDescent="0.15">
      <c r="A1754" s="278"/>
      <c r="B1754" s="278"/>
      <c r="C1754" s="278"/>
      <c r="D1754" s="278"/>
      <c r="E1754" s="278"/>
      <c r="F1754" s="278"/>
      <c r="G1754" s="278"/>
      <c r="H1754" s="278"/>
      <c r="I1754" s="278"/>
      <c r="J1754" s="278"/>
      <c r="K1754" s="278"/>
      <c r="L1754" s="278"/>
      <c r="M1754" s="278"/>
      <c r="N1754" s="278"/>
      <c r="O1754" s="278"/>
      <c r="P1754" s="278"/>
      <c r="Q1754" s="278"/>
      <c r="R1754" s="278"/>
      <c r="S1754" s="278"/>
      <c r="T1754" s="278"/>
      <c r="U1754" s="278"/>
      <c r="V1754" s="278"/>
    </row>
    <row r="1755" spans="1:22" x14ac:dyDescent="0.15">
      <c r="A1755" s="278"/>
      <c r="B1755" s="278"/>
      <c r="C1755" s="278"/>
      <c r="D1755" s="278"/>
      <c r="E1755" s="278"/>
      <c r="F1755" s="278"/>
      <c r="G1755" s="278"/>
      <c r="H1755" s="278"/>
      <c r="I1755" s="278"/>
      <c r="J1755" s="278"/>
      <c r="K1755" s="278"/>
      <c r="L1755" s="278"/>
      <c r="M1755" s="278"/>
      <c r="N1755" s="278"/>
      <c r="O1755" s="278"/>
      <c r="P1755" s="278"/>
      <c r="Q1755" s="278"/>
      <c r="R1755" s="278"/>
      <c r="S1755" s="278"/>
      <c r="T1755" s="278"/>
      <c r="U1755" s="278"/>
      <c r="V1755" s="278"/>
    </row>
    <row r="1756" spans="1:22" x14ac:dyDescent="0.15">
      <c r="A1756" s="278"/>
      <c r="B1756" s="278"/>
      <c r="C1756" s="278"/>
      <c r="D1756" s="278"/>
      <c r="E1756" s="278"/>
      <c r="F1756" s="278"/>
      <c r="G1756" s="278"/>
      <c r="H1756" s="278"/>
      <c r="I1756" s="278"/>
      <c r="J1756" s="278"/>
      <c r="K1756" s="278"/>
      <c r="L1756" s="278"/>
      <c r="M1756" s="278"/>
      <c r="N1756" s="278"/>
      <c r="O1756" s="278"/>
      <c r="P1756" s="278"/>
      <c r="Q1756" s="278"/>
      <c r="R1756" s="278"/>
      <c r="S1756" s="278"/>
      <c r="T1756" s="278"/>
      <c r="U1756" s="278"/>
      <c r="V1756" s="278"/>
    </row>
    <row r="1757" spans="1:22" x14ac:dyDescent="0.15">
      <c r="A1757" s="278"/>
      <c r="B1757" s="278"/>
      <c r="C1757" s="278"/>
      <c r="D1757" s="278"/>
      <c r="E1757" s="278"/>
      <c r="F1757" s="278"/>
      <c r="G1757" s="278"/>
      <c r="H1757" s="278"/>
      <c r="I1757" s="278"/>
      <c r="J1757" s="278"/>
      <c r="K1757" s="278"/>
      <c r="L1757" s="278"/>
      <c r="M1757" s="278"/>
      <c r="N1757" s="278"/>
      <c r="O1757" s="278"/>
      <c r="P1757" s="278"/>
      <c r="Q1757" s="278"/>
      <c r="R1757" s="278"/>
      <c r="S1757" s="278"/>
      <c r="T1757" s="278"/>
      <c r="U1757" s="278"/>
      <c r="V1757" s="278"/>
    </row>
    <row r="1758" spans="1:22" x14ac:dyDescent="0.15">
      <c r="A1758" s="278"/>
      <c r="B1758" s="278"/>
      <c r="C1758" s="278"/>
      <c r="D1758" s="278"/>
      <c r="E1758" s="278"/>
      <c r="F1758" s="278"/>
      <c r="G1758" s="278"/>
      <c r="H1758" s="278"/>
      <c r="I1758" s="278"/>
      <c r="J1758" s="278"/>
      <c r="K1758" s="278"/>
      <c r="L1758" s="278"/>
      <c r="M1758" s="278"/>
      <c r="N1758" s="278"/>
      <c r="O1758" s="278"/>
      <c r="P1758" s="278"/>
      <c r="Q1758" s="278"/>
      <c r="R1758" s="278"/>
      <c r="S1758" s="278"/>
      <c r="T1758" s="278"/>
      <c r="U1758" s="278"/>
      <c r="V1758" s="278"/>
    </row>
    <row r="1759" spans="1:22" x14ac:dyDescent="0.15">
      <c r="A1759" s="278"/>
      <c r="B1759" s="278"/>
      <c r="C1759" s="278"/>
      <c r="D1759" s="278"/>
      <c r="E1759" s="278"/>
      <c r="F1759" s="278"/>
      <c r="G1759" s="278"/>
      <c r="H1759" s="278"/>
      <c r="I1759" s="278"/>
      <c r="J1759" s="278"/>
      <c r="K1759" s="278"/>
      <c r="L1759" s="278"/>
      <c r="M1759" s="278"/>
      <c r="N1759" s="278"/>
      <c r="O1759" s="278"/>
      <c r="P1759" s="278"/>
      <c r="Q1759" s="278"/>
      <c r="R1759" s="278"/>
      <c r="S1759" s="278"/>
      <c r="T1759" s="278"/>
      <c r="U1759" s="278"/>
      <c r="V1759" s="278"/>
    </row>
    <row r="1760" spans="1:22" x14ac:dyDescent="0.15">
      <c r="A1760" s="278"/>
      <c r="B1760" s="278"/>
      <c r="C1760" s="278"/>
      <c r="D1760" s="278"/>
      <c r="E1760" s="278"/>
      <c r="F1760" s="278"/>
      <c r="G1760" s="278"/>
      <c r="H1760" s="278"/>
      <c r="I1760" s="278"/>
      <c r="J1760" s="278"/>
      <c r="K1760" s="278"/>
      <c r="L1760" s="278"/>
      <c r="M1760" s="278"/>
      <c r="N1760" s="278"/>
      <c r="O1760" s="278"/>
      <c r="P1760" s="278"/>
      <c r="Q1760" s="278"/>
      <c r="R1760" s="278"/>
      <c r="S1760" s="278"/>
      <c r="T1760" s="278"/>
      <c r="U1760" s="278"/>
      <c r="V1760" s="278"/>
    </row>
    <row r="1761" spans="1:22" x14ac:dyDescent="0.15">
      <c r="A1761" s="278"/>
      <c r="B1761" s="278"/>
      <c r="C1761" s="278"/>
      <c r="D1761" s="278"/>
      <c r="E1761" s="278"/>
      <c r="F1761" s="278"/>
      <c r="G1761" s="278"/>
      <c r="H1761" s="278"/>
      <c r="I1761" s="278"/>
      <c r="J1761" s="278"/>
      <c r="K1761" s="278"/>
      <c r="L1761" s="278"/>
      <c r="M1761" s="278"/>
      <c r="N1761" s="278"/>
      <c r="O1761" s="278"/>
      <c r="P1761" s="278"/>
      <c r="Q1761" s="278"/>
      <c r="R1761" s="278"/>
      <c r="S1761" s="278"/>
      <c r="T1761" s="278"/>
      <c r="U1761" s="278"/>
      <c r="V1761" s="278"/>
    </row>
    <row r="1762" spans="1:22" x14ac:dyDescent="0.15">
      <c r="A1762" s="278"/>
      <c r="B1762" s="278"/>
      <c r="C1762" s="278"/>
      <c r="D1762" s="278"/>
      <c r="E1762" s="278"/>
      <c r="F1762" s="278"/>
      <c r="G1762" s="278"/>
      <c r="H1762" s="278"/>
      <c r="I1762" s="278"/>
      <c r="J1762" s="278"/>
      <c r="K1762" s="278"/>
      <c r="L1762" s="278"/>
      <c r="M1762" s="278"/>
      <c r="N1762" s="278"/>
      <c r="O1762" s="278"/>
      <c r="P1762" s="278"/>
      <c r="Q1762" s="278"/>
      <c r="R1762" s="278"/>
      <c r="S1762" s="278"/>
      <c r="T1762" s="278"/>
      <c r="U1762" s="278"/>
      <c r="V1762" s="278"/>
    </row>
    <row r="1763" spans="1:22" x14ac:dyDescent="0.15">
      <c r="A1763" s="278"/>
      <c r="B1763" s="278"/>
      <c r="C1763" s="278"/>
      <c r="D1763" s="278"/>
      <c r="E1763" s="278"/>
      <c r="F1763" s="278"/>
      <c r="G1763" s="278"/>
      <c r="H1763" s="278"/>
      <c r="I1763" s="278"/>
      <c r="J1763" s="278"/>
      <c r="K1763" s="278"/>
      <c r="L1763" s="278"/>
      <c r="M1763" s="278"/>
      <c r="N1763" s="278"/>
      <c r="O1763" s="278"/>
      <c r="P1763" s="278"/>
      <c r="Q1763" s="278"/>
      <c r="R1763" s="278"/>
      <c r="S1763" s="278"/>
      <c r="T1763" s="278"/>
      <c r="U1763" s="278"/>
      <c r="V1763" s="278"/>
    </row>
    <row r="1764" spans="1:22" x14ac:dyDescent="0.15">
      <c r="A1764" s="278"/>
      <c r="B1764" s="278"/>
      <c r="C1764" s="278"/>
      <c r="D1764" s="278"/>
      <c r="E1764" s="278"/>
      <c r="F1764" s="278"/>
      <c r="G1764" s="278"/>
      <c r="H1764" s="278"/>
      <c r="I1764" s="278"/>
      <c r="J1764" s="278"/>
      <c r="K1764" s="278"/>
      <c r="L1764" s="278"/>
      <c r="M1764" s="278"/>
      <c r="N1764" s="278"/>
      <c r="O1764" s="278"/>
      <c r="P1764" s="278"/>
      <c r="Q1764" s="278"/>
      <c r="R1764" s="278"/>
      <c r="S1764" s="278"/>
      <c r="T1764" s="278"/>
      <c r="U1764" s="278"/>
      <c r="V1764" s="278"/>
    </row>
    <row r="1765" spans="1:22" x14ac:dyDescent="0.15">
      <c r="A1765" s="278"/>
      <c r="B1765" s="278"/>
      <c r="C1765" s="278"/>
      <c r="D1765" s="278"/>
      <c r="E1765" s="278"/>
      <c r="F1765" s="278"/>
      <c r="G1765" s="278"/>
      <c r="H1765" s="278"/>
      <c r="I1765" s="278"/>
      <c r="J1765" s="278"/>
      <c r="K1765" s="278"/>
      <c r="L1765" s="278"/>
      <c r="M1765" s="278"/>
      <c r="N1765" s="278"/>
      <c r="O1765" s="278"/>
      <c r="P1765" s="278"/>
      <c r="Q1765" s="278"/>
      <c r="R1765" s="278"/>
      <c r="S1765" s="278"/>
      <c r="T1765" s="278"/>
      <c r="U1765" s="278"/>
      <c r="V1765" s="278"/>
    </row>
    <row r="1766" spans="1:22" x14ac:dyDescent="0.15">
      <c r="A1766" s="278"/>
      <c r="B1766" s="278"/>
      <c r="C1766" s="278"/>
      <c r="D1766" s="278"/>
      <c r="E1766" s="278"/>
      <c r="F1766" s="278"/>
      <c r="G1766" s="278"/>
      <c r="H1766" s="278"/>
      <c r="I1766" s="278"/>
      <c r="J1766" s="278"/>
      <c r="K1766" s="278"/>
      <c r="L1766" s="278"/>
      <c r="M1766" s="278"/>
      <c r="N1766" s="278"/>
      <c r="O1766" s="278"/>
      <c r="P1766" s="278"/>
      <c r="Q1766" s="278"/>
      <c r="R1766" s="278"/>
      <c r="S1766" s="278"/>
      <c r="T1766" s="278"/>
      <c r="U1766" s="278"/>
      <c r="V1766" s="278"/>
    </row>
    <row r="1767" spans="1:22" x14ac:dyDescent="0.15">
      <c r="A1767" s="278"/>
      <c r="B1767" s="278"/>
      <c r="C1767" s="278"/>
      <c r="D1767" s="278"/>
      <c r="E1767" s="278"/>
      <c r="F1767" s="278"/>
      <c r="G1767" s="278"/>
      <c r="H1767" s="278"/>
      <c r="I1767" s="278"/>
      <c r="J1767" s="278"/>
      <c r="K1767" s="278"/>
      <c r="L1767" s="278"/>
      <c r="M1767" s="278"/>
      <c r="N1767" s="278"/>
      <c r="O1767" s="278"/>
      <c r="P1767" s="278"/>
      <c r="Q1767" s="278"/>
      <c r="R1767" s="278"/>
      <c r="S1767" s="278"/>
      <c r="T1767" s="278"/>
      <c r="U1767" s="278"/>
      <c r="V1767" s="278"/>
    </row>
    <row r="1768" spans="1:22" x14ac:dyDescent="0.15">
      <c r="A1768" s="278"/>
      <c r="B1768" s="278"/>
      <c r="C1768" s="278"/>
      <c r="D1768" s="278"/>
      <c r="E1768" s="278"/>
      <c r="F1768" s="278"/>
      <c r="G1768" s="278"/>
      <c r="H1768" s="278"/>
      <c r="I1768" s="278"/>
      <c r="J1768" s="278"/>
      <c r="K1768" s="278"/>
      <c r="L1768" s="278"/>
      <c r="M1768" s="278"/>
      <c r="N1768" s="278"/>
      <c r="O1768" s="278"/>
      <c r="P1768" s="278"/>
      <c r="Q1768" s="278"/>
      <c r="R1768" s="278"/>
      <c r="S1768" s="278"/>
      <c r="T1768" s="278"/>
      <c r="U1768" s="278"/>
      <c r="V1768" s="278"/>
    </row>
    <row r="1769" spans="1:22" x14ac:dyDescent="0.15">
      <c r="A1769" s="278"/>
      <c r="B1769" s="278"/>
      <c r="C1769" s="278"/>
      <c r="D1769" s="278"/>
      <c r="E1769" s="278"/>
      <c r="F1769" s="278"/>
      <c r="G1769" s="278"/>
      <c r="H1769" s="278"/>
      <c r="I1769" s="278"/>
      <c r="J1769" s="278"/>
      <c r="K1769" s="278"/>
      <c r="L1769" s="278"/>
      <c r="M1769" s="278"/>
      <c r="N1769" s="278"/>
      <c r="O1769" s="278"/>
      <c r="P1769" s="278"/>
      <c r="Q1769" s="278"/>
      <c r="R1769" s="278"/>
      <c r="S1769" s="278"/>
      <c r="T1769" s="278"/>
      <c r="U1769" s="278"/>
      <c r="V1769" s="278"/>
    </row>
    <row r="1770" spans="1:22" x14ac:dyDescent="0.15">
      <c r="A1770" s="278"/>
      <c r="B1770" s="278"/>
      <c r="C1770" s="278"/>
      <c r="D1770" s="278"/>
      <c r="E1770" s="278"/>
      <c r="F1770" s="278"/>
      <c r="G1770" s="278"/>
      <c r="H1770" s="278"/>
      <c r="I1770" s="278"/>
      <c r="J1770" s="278"/>
      <c r="K1770" s="278"/>
      <c r="L1770" s="278"/>
      <c r="M1770" s="278"/>
      <c r="N1770" s="278"/>
      <c r="O1770" s="278"/>
      <c r="P1770" s="278"/>
      <c r="Q1770" s="278"/>
      <c r="R1770" s="278"/>
      <c r="S1770" s="278"/>
      <c r="T1770" s="278"/>
      <c r="U1770" s="278"/>
      <c r="V1770" s="278"/>
    </row>
    <row r="1771" spans="1:22" x14ac:dyDescent="0.15">
      <c r="A1771" s="278"/>
      <c r="B1771" s="278"/>
      <c r="C1771" s="278"/>
      <c r="D1771" s="278"/>
      <c r="E1771" s="278"/>
      <c r="F1771" s="278"/>
      <c r="G1771" s="278"/>
      <c r="H1771" s="278"/>
      <c r="I1771" s="278"/>
      <c r="J1771" s="278"/>
      <c r="K1771" s="278"/>
      <c r="L1771" s="278"/>
      <c r="M1771" s="278"/>
      <c r="N1771" s="278"/>
      <c r="O1771" s="278"/>
      <c r="P1771" s="278"/>
      <c r="Q1771" s="278"/>
      <c r="R1771" s="278"/>
      <c r="S1771" s="278"/>
      <c r="T1771" s="278"/>
      <c r="U1771" s="278"/>
      <c r="V1771" s="278"/>
    </row>
    <row r="1772" spans="1:22" x14ac:dyDescent="0.15">
      <c r="A1772" s="278"/>
      <c r="B1772" s="278"/>
      <c r="C1772" s="278"/>
      <c r="D1772" s="278"/>
      <c r="E1772" s="278"/>
      <c r="F1772" s="278"/>
      <c r="G1772" s="278"/>
      <c r="H1772" s="278"/>
      <c r="I1772" s="278"/>
      <c r="J1772" s="278"/>
      <c r="K1772" s="278"/>
      <c r="L1772" s="278"/>
      <c r="M1772" s="278"/>
      <c r="N1772" s="278"/>
      <c r="O1772" s="278"/>
      <c r="P1772" s="278"/>
      <c r="Q1772" s="278"/>
      <c r="R1772" s="278"/>
      <c r="S1772" s="278"/>
      <c r="T1772" s="278"/>
      <c r="U1772" s="278"/>
      <c r="V1772" s="278"/>
    </row>
    <row r="1773" spans="1:22" x14ac:dyDescent="0.15">
      <c r="A1773" s="278"/>
      <c r="B1773" s="278"/>
      <c r="C1773" s="278"/>
      <c r="D1773" s="278"/>
      <c r="E1773" s="278"/>
      <c r="F1773" s="278"/>
      <c r="G1773" s="278"/>
      <c r="H1773" s="278"/>
      <c r="I1773" s="278"/>
      <c r="J1773" s="278"/>
      <c r="K1773" s="278"/>
      <c r="L1773" s="278"/>
      <c r="M1773" s="278"/>
      <c r="N1773" s="278"/>
      <c r="O1773" s="278"/>
      <c r="P1773" s="278"/>
      <c r="Q1773" s="278"/>
      <c r="R1773" s="278"/>
      <c r="S1773" s="278"/>
      <c r="T1773" s="278"/>
      <c r="U1773" s="278"/>
      <c r="V1773" s="278"/>
    </row>
    <row r="1774" spans="1:22" x14ac:dyDescent="0.15">
      <c r="A1774" s="278"/>
      <c r="B1774" s="278"/>
      <c r="C1774" s="278"/>
      <c r="D1774" s="278"/>
      <c r="E1774" s="278"/>
      <c r="F1774" s="278"/>
      <c r="G1774" s="278"/>
      <c r="H1774" s="278"/>
      <c r="I1774" s="278"/>
      <c r="J1774" s="278"/>
      <c r="K1774" s="278"/>
      <c r="L1774" s="278"/>
      <c r="M1774" s="278"/>
      <c r="N1774" s="278"/>
      <c r="O1774" s="278"/>
      <c r="P1774" s="278"/>
      <c r="Q1774" s="278"/>
      <c r="R1774" s="278"/>
      <c r="S1774" s="278"/>
      <c r="T1774" s="278"/>
      <c r="U1774" s="278"/>
      <c r="V1774" s="278"/>
    </row>
    <row r="1775" spans="1:22" x14ac:dyDescent="0.15">
      <c r="A1775" s="278"/>
      <c r="B1775" s="278"/>
      <c r="C1775" s="278"/>
      <c r="D1775" s="278"/>
      <c r="E1775" s="278"/>
      <c r="F1775" s="278"/>
      <c r="G1775" s="278"/>
      <c r="H1775" s="278"/>
      <c r="I1775" s="278"/>
      <c r="J1775" s="278"/>
      <c r="K1775" s="278"/>
      <c r="L1775" s="278"/>
      <c r="M1775" s="278"/>
      <c r="N1775" s="278"/>
      <c r="O1775" s="278"/>
      <c r="P1775" s="278"/>
      <c r="Q1775" s="278"/>
      <c r="R1775" s="278"/>
      <c r="S1775" s="278"/>
      <c r="T1775" s="278"/>
      <c r="U1775" s="278"/>
      <c r="V1775" s="278"/>
    </row>
    <row r="1776" spans="1:22" x14ac:dyDescent="0.15">
      <c r="A1776" s="278"/>
      <c r="B1776" s="278"/>
      <c r="C1776" s="278"/>
      <c r="D1776" s="278"/>
      <c r="E1776" s="278"/>
      <c r="F1776" s="278"/>
      <c r="G1776" s="278"/>
      <c r="H1776" s="278"/>
      <c r="I1776" s="278"/>
      <c r="J1776" s="278"/>
      <c r="K1776" s="278"/>
      <c r="L1776" s="278"/>
      <c r="M1776" s="278"/>
      <c r="N1776" s="278"/>
      <c r="O1776" s="278"/>
      <c r="P1776" s="278"/>
      <c r="Q1776" s="278"/>
      <c r="R1776" s="278"/>
      <c r="S1776" s="278"/>
      <c r="T1776" s="278"/>
      <c r="U1776" s="278"/>
      <c r="V1776" s="278"/>
    </row>
    <row r="1777" spans="1:22" x14ac:dyDescent="0.15">
      <c r="A1777" s="278"/>
      <c r="B1777" s="278"/>
      <c r="C1777" s="278"/>
      <c r="D1777" s="278"/>
      <c r="E1777" s="278"/>
      <c r="F1777" s="278"/>
      <c r="G1777" s="278"/>
      <c r="H1777" s="278"/>
      <c r="I1777" s="278"/>
      <c r="J1777" s="278"/>
      <c r="K1777" s="278"/>
      <c r="L1777" s="278"/>
      <c r="M1777" s="278"/>
      <c r="N1777" s="278"/>
      <c r="O1777" s="278"/>
      <c r="P1777" s="278"/>
      <c r="Q1777" s="278"/>
      <c r="R1777" s="278"/>
      <c r="S1777" s="278"/>
      <c r="T1777" s="278"/>
      <c r="U1777" s="278"/>
      <c r="V1777" s="278"/>
    </row>
    <row r="1778" spans="1:22" x14ac:dyDescent="0.15">
      <c r="A1778" s="278"/>
      <c r="B1778" s="278"/>
      <c r="C1778" s="278"/>
      <c r="D1778" s="278"/>
      <c r="E1778" s="278"/>
      <c r="F1778" s="278"/>
      <c r="G1778" s="278"/>
      <c r="H1778" s="278"/>
      <c r="I1778" s="278"/>
      <c r="J1778" s="278"/>
      <c r="K1778" s="278"/>
      <c r="L1778" s="278"/>
      <c r="M1778" s="278"/>
      <c r="N1778" s="278"/>
      <c r="O1778" s="278"/>
      <c r="P1778" s="278"/>
      <c r="Q1778" s="278"/>
      <c r="R1778" s="278"/>
      <c r="S1778" s="278"/>
      <c r="T1778" s="278"/>
      <c r="U1778" s="278"/>
      <c r="V1778" s="278"/>
    </row>
    <row r="1779" spans="1:22" x14ac:dyDescent="0.15">
      <c r="A1779" s="278"/>
      <c r="B1779" s="278"/>
      <c r="C1779" s="278"/>
      <c r="D1779" s="278"/>
      <c r="E1779" s="278"/>
      <c r="F1779" s="278"/>
      <c r="G1779" s="278"/>
      <c r="H1779" s="278"/>
      <c r="I1779" s="278"/>
      <c r="J1779" s="278"/>
      <c r="K1779" s="278"/>
      <c r="L1779" s="278"/>
      <c r="M1779" s="278"/>
      <c r="N1779" s="278"/>
      <c r="O1779" s="278"/>
      <c r="P1779" s="278"/>
      <c r="Q1779" s="278"/>
      <c r="R1779" s="278"/>
      <c r="S1779" s="278"/>
      <c r="T1779" s="278"/>
      <c r="U1779" s="278"/>
      <c r="V1779" s="278"/>
    </row>
    <row r="1780" spans="1:22" x14ac:dyDescent="0.15">
      <c r="A1780" s="278"/>
      <c r="B1780" s="278"/>
      <c r="C1780" s="278"/>
      <c r="D1780" s="278"/>
      <c r="E1780" s="278"/>
      <c r="F1780" s="278"/>
      <c r="G1780" s="278"/>
      <c r="H1780" s="278"/>
      <c r="I1780" s="278"/>
      <c r="J1780" s="278"/>
      <c r="K1780" s="278"/>
      <c r="L1780" s="278"/>
      <c r="M1780" s="278"/>
      <c r="N1780" s="278"/>
      <c r="O1780" s="278"/>
      <c r="P1780" s="278"/>
      <c r="Q1780" s="278"/>
      <c r="R1780" s="278"/>
      <c r="S1780" s="278"/>
      <c r="T1780" s="278"/>
      <c r="U1780" s="278"/>
      <c r="V1780" s="278"/>
    </row>
    <row r="1781" spans="1:22" x14ac:dyDescent="0.15">
      <c r="A1781" s="278"/>
      <c r="B1781" s="278"/>
      <c r="C1781" s="278"/>
      <c r="D1781" s="278"/>
      <c r="E1781" s="278"/>
      <c r="F1781" s="278"/>
      <c r="G1781" s="278"/>
      <c r="H1781" s="278"/>
      <c r="I1781" s="278"/>
      <c r="J1781" s="278"/>
      <c r="K1781" s="278"/>
      <c r="L1781" s="278"/>
      <c r="M1781" s="278"/>
      <c r="N1781" s="278"/>
      <c r="O1781" s="278"/>
      <c r="P1781" s="278"/>
      <c r="Q1781" s="278"/>
      <c r="R1781" s="278"/>
      <c r="S1781" s="278"/>
      <c r="T1781" s="278"/>
      <c r="U1781" s="278"/>
      <c r="V1781" s="278"/>
    </row>
    <row r="1782" spans="1:22" x14ac:dyDescent="0.15">
      <c r="A1782" s="278"/>
      <c r="B1782" s="278"/>
      <c r="C1782" s="278"/>
      <c r="D1782" s="278"/>
      <c r="E1782" s="278"/>
      <c r="F1782" s="278"/>
      <c r="G1782" s="278"/>
      <c r="H1782" s="278"/>
      <c r="I1782" s="278"/>
      <c r="J1782" s="278"/>
      <c r="K1782" s="278"/>
      <c r="L1782" s="278"/>
      <c r="M1782" s="278"/>
      <c r="N1782" s="278"/>
      <c r="O1782" s="278"/>
      <c r="P1782" s="278"/>
      <c r="Q1782" s="278"/>
      <c r="R1782" s="278"/>
      <c r="S1782" s="278"/>
      <c r="T1782" s="278"/>
      <c r="U1782" s="278"/>
      <c r="V1782" s="278"/>
    </row>
    <row r="1783" spans="1:22" x14ac:dyDescent="0.15">
      <c r="A1783" s="278"/>
      <c r="B1783" s="278"/>
      <c r="C1783" s="278"/>
      <c r="D1783" s="278"/>
      <c r="E1783" s="278"/>
      <c r="F1783" s="278"/>
      <c r="G1783" s="278"/>
      <c r="H1783" s="278"/>
      <c r="I1783" s="278"/>
      <c r="J1783" s="278"/>
      <c r="K1783" s="278"/>
      <c r="L1783" s="278"/>
      <c r="M1783" s="278"/>
      <c r="N1783" s="278"/>
      <c r="O1783" s="278"/>
      <c r="P1783" s="278"/>
      <c r="Q1783" s="278"/>
      <c r="R1783" s="278"/>
      <c r="S1783" s="278"/>
      <c r="T1783" s="278"/>
      <c r="U1783" s="278"/>
      <c r="V1783" s="278"/>
    </row>
    <row r="1784" spans="1:22" x14ac:dyDescent="0.15">
      <c r="A1784" s="278"/>
      <c r="B1784" s="278"/>
      <c r="C1784" s="278"/>
      <c r="D1784" s="278"/>
      <c r="E1784" s="278"/>
      <c r="F1784" s="278"/>
      <c r="G1784" s="278"/>
      <c r="H1784" s="278"/>
      <c r="I1784" s="278"/>
      <c r="J1784" s="278"/>
      <c r="K1784" s="278"/>
      <c r="L1784" s="278"/>
      <c r="M1784" s="278"/>
      <c r="N1784" s="278"/>
      <c r="O1784" s="278"/>
      <c r="P1784" s="278"/>
      <c r="Q1784" s="278"/>
      <c r="R1784" s="278"/>
      <c r="S1784" s="278"/>
      <c r="T1784" s="278"/>
      <c r="U1784" s="278"/>
      <c r="V1784" s="278"/>
    </row>
    <row r="1785" spans="1:22" x14ac:dyDescent="0.15">
      <c r="A1785" s="278"/>
      <c r="B1785" s="278"/>
      <c r="C1785" s="278"/>
      <c r="D1785" s="278"/>
      <c r="E1785" s="278"/>
      <c r="F1785" s="278"/>
      <c r="G1785" s="278"/>
      <c r="H1785" s="278"/>
      <c r="I1785" s="278"/>
      <c r="J1785" s="278"/>
      <c r="K1785" s="278"/>
      <c r="L1785" s="278"/>
      <c r="M1785" s="278"/>
      <c r="N1785" s="278"/>
      <c r="O1785" s="278"/>
      <c r="P1785" s="278"/>
      <c r="Q1785" s="278"/>
      <c r="R1785" s="278"/>
      <c r="S1785" s="278"/>
      <c r="T1785" s="278"/>
      <c r="U1785" s="278"/>
      <c r="V1785" s="278"/>
    </row>
    <row r="1786" spans="1:22" x14ac:dyDescent="0.15">
      <c r="A1786" s="278"/>
      <c r="B1786" s="278"/>
      <c r="C1786" s="278"/>
      <c r="D1786" s="278"/>
      <c r="E1786" s="278"/>
      <c r="F1786" s="278"/>
      <c r="G1786" s="278"/>
      <c r="H1786" s="278"/>
      <c r="I1786" s="278"/>
      <c r="J1786" s="278"/>
      <c r="K1786" s="278"/>
      <c r="L1786" s="278"/>
      <c r="M1786" s="278"/>
      <c r="N1786" s="278"/>
      <c r="O1786" s="278"/>
      <c r="P1786" s="278"/>
      <c r="Q1786" s="278"/>
      <c r="R1786" s="278"/>
      <c r="S1786" s="278"/>
      <c r="T1786" s="278"/>
      <c r="U1786" s="278"/>
      <c r="V1786" s="278"/>
    </row>
    <row r="1787" spans="1:22" x14ac:dyDescent="0.15">
      <c r="A1787" s="278"/>
      <c r="B1787" s="278"/>
      <c r="C1787" s="278"/>
      <c r="D1787" s="278"/>
      <c r="E1787" s="278"/>
      <c r="F1787" s="278"/>
      <c r="G1787" s="278"/>
      <c r="H1787" s="278"/>
      <c r="I1787" s="278"/>
      <c r="J1787" s="278"/>
      <c r="K1787" s="278"/>
      <c r="L1787" s="278"/>
      <c r="M1787" s="278"/>
      <c r="N1787" s="278"/>
      <c r="O1787" s="278"/>
      <c r="P1787" s="278"/>
      <c r="Q1787" s="278"/>
      <c r="R1787" s="278"/>
      <c r="S1787" s="278"/>
      <c r="T1787" s="278"/>
      <c r="U1787" s="278"/>
      <c r="V1787" s="278"/>
    </row>
    <row r="1788" spans="1:22" x14ac:dyDescent="0.15">
      <c r="A1788" s="278"/>
      <c r="B1788" s="278"/>
      <c r="C1788" s="278"/>
      <c r="D1788" s="278"/>
      <c r="E1788" s="278"/>
      <c r="F1788" s="278"/>
      <c r="G1788" s="278"/>
      <c r="H1788" s="278"/>
      <c r="I1788" s="278"/>
      <c r="J1788" s="278"/>
      <c r="K1788" s="278"/>
      <c r="L1788" s="278"/>
      <c r="M1788" s="278"/>
      <c r="N1788" s="278"/>
      <c r="O1788" s="278"/>
      <c r="P1788" s="278"/>
      <c r="Q1788" s="278"/>
      <c r="R1788" s="278"/>
      <c r="S1788" s="278"/>
      <c r="T1788" s="278"/>
      <c r="U1788" s="278"/>
      <c r="V1788" s="278"/>
    </row>
    <row r="1789" spans="1:22" x14ac:dyDescent="0.15">
      <c r="A1789" s="278"/>
      <c r="B1789" s="278"/>
      <c r="C1789" s="278"/>
      <c r="D1789" s="278"/>
      <c r="E1789" s="278"/>
      <c r="F1789" s="278"/>
      <c r="G1789" s="278"/>
      <c r="H1789" s="278"/>
      <c r="I1789" s="278"/>
      <c r="J1789" s="278"/>
      <c r="K1789" s="278"/>
      <c r="L1789" s="278"/>
      <c r="M1789" s="278"/>
      <c r="N1789" s="278"/>
      <c r="O1789" s="278"/>
      <c r="P1789" s="278"/>
      <c r="Q1789" s="278"/>
      <c r="R1789" s="278"/>
      <c r="S1789" s="278"/>
      <c r="T1789" s="278"/>
      <c r="U1789" s="278"/>
      <c r="V1789" s="278"/>
    </row>
    <row r="1790" spans="1:22" x14ac:dyDescent="0.15">
      <c r="A1790" s="278"/>
      <c r="B1790" s="278"/>
      <c r="C1790" s="278"/>
      <c r="D1790" s="278"/>
      <c r="E1790" s="278"/>
      <c r="F1790" s="278"/>
      <c r="G1790" s="278"/>
      <c r="H1790" s="278"/>
      <c r="I1790" s="278"/>
      <c r="J1790" s="278"/>
      <c r="K1790" s="278"/>
      <c r="L1790" s="278"/>
      <c r="M1790" s="278"/>
      <c r="N1790" s="278"/>
      <c r="O1790" s="278"/>
      <c r="P1790" s="278"/>
      <c r="Q1790" s="278"/>
      <c r="R1790" s="278"/>
      <c r="S1790" s="278"/>
      <c r="T1790" s="278"/>
      <c r="U1790" s="278"/>
      <c r="V1790" s="278"/>
    </row>
    <row r="1791" spans="1:22" x14ac:dyDescent="0.15">
      <c r="A1791" s="278"/>
      <c r="B1791" s="278"/>
      <c r="C1791" s="278"/>
      <c r="D1791" s="278"/>
      <c r="E1791" s="278"/>
      <c r="F1791" s="278"/>
      <c r="G1791" s="278"/>
      <c r="H1791" s="278"/>
      <c r="I1791" s="278"/>
      <c r="J1791" s="278"/>
      <c r="K1791" s="278"/>
      <c r="L1791" s="278"/>
      <c r="M1791" s="278"/>
      <c r="N1791" s="278"/>
      <c r="O1791" s="278"/>
      <c r="P1791" s="278"/>
      <c r="Q1791" s="278"/>
      <c r="R1791" s="278"/>
      <c r="S1791" s="278"/>
      <c r="T1791" s="278"/>
      <c r="U1791" s="278"/>
      <c r="V1791" s="278"/>
    </row>
    <row r="1792" spans="1:22" x14ac:dyDescent="0.15">
      <c r="A1792" s="278"/>
      <c r="B1792" s="278"/>
      <c r="C1792" s="278"/>
      <c r="D1792" s="278"/>
      <c r="E1792" s="278"/>
      <c r="F1792" s="278"/>
      <c r="G1792" s="278"/>
      <c r="H1792" s="278"/>
      <c r="I1792" s="278"/>
      <c r="J1792" s="278"/>
      <c r="K1792" s="278"/>
      <c r="L1792" s="278"/>
      <c r="M1792" s="278"/>
      <c r="N1792" s="278"/>
      <c r="O1792" s="278"/>
      <c r="P1792" s="278"/>
      <c r="Q1792" s="278"/>
      <c r="R1792" s="278"/>
      <c r="S1792" s="278"/>
      <c r="T1792" s="278"/>
      <c r="U1792" s="278"/>
      <c r="V1792" s="278"/>
    </row>
    <row r="1793" spans="6:20" x14ac:dyDescent="0.15">
      <c r="F1793"/>
      <c r="G1793"/>
      <c r="H1793"/>
      <c r="I1793"/>
      <c r="L1793"/>
      <c r="M1793"/>
      <c r="P1793"/>
      <c r="Q1793"/>
      <c r="T1793"/>
    </row>
    <row r="1794" spans="6:20" x14ac:dyDescent="0.15">
      <c r="F1794"/>
      <c r="G1794"/>
      <c r="H1794"/>
      <c r="I1794"/>
      <c r="L1794"/>
      <c r="M1794"/>
      <c r="P1794"/>
      <c r="Q1794"/>
      <c r="T1794"/>
    </row>
    <row r="1795" spans="6:20" x14ac:dyDescent="0.15">
      <c r="F1795"/>
      <c r="G1795"/>
      <c r="H1795"/>
      <c r="I1795"/>
      <c r="L1795"/>
      <c r="M1795"/>
      <c r="P1795"/>
      <c r="Q1795"/>
      <c r="T1795"/>
    </row>
    <row r="1796" spans="6:20" x14ac:dyDescent="0.15">
      <c r="F1796"/>
      <c r="G1796"/>
      <c r="H1796"/>
      <c r="I1796"/>
      <c r="L1796"/>
      <c r="M1796"/>
      <c r="P1796"/>
      <c r="Q1796"/>
      <c r="T1796"/>
    </row>
    <row r="1797" spans="6:20" x14ac:dyDescent="0.15">
      <c r="F1797"/>
      <c r="G1797"/>
      <c r="H1797"/>
      <c r="I1797"/>
      <c r="L1797"/>
      <c r="M1797"/>
      <c r="P1797"/>
      <c r="Q1797"/>
      <c r="T1797"/>
    </row>
    <row r="1798" spans="6:20" x14ac:dyDescent="0.15">
      <c r="F1798"/>
      <c r="G1798"/>
      <c r="H1798"/>
      <c r="I1798"/>
      <c r="L1798"/>
      <c r="M1798"/>
      <c r="P1798"/>
      <c r="Q1798"/>
      <c r="T1798"/>
    </row>
    <row r="1799" spans="6:20" x14ac:dyDescent="0.15">
      <c r="F1799"/>
      <c r="G1799"/>
      <c r="H1799"/>
      <c r="I1799"/>
      <c r="L1799"/>
      <c r="M1799"/>
      <c r="P1799"/>
      <c r="Q1799"/>
      <c r="T1799"/>
    </row>
    <row r="1800" spans="6:20" x14ac:dyDescent="0.15">
      <c r="F1800"/>
      <c r="G1800"/>
      <c r="H1800"/>
      <c r="I1800"/>
      <c r="L1800"/>
      <c r="M1800"/>
      <c r="P1800"/>
      <c r="Q1800"/>
      <c r="T1800"/>
    </row>
    <row r="1801" spans="6:20" x14ac:dyDescent="0.15">
      <c r="F1801"/>
      <c r="G1801"/>
      <c r="H1801"/>
      <c r="I1801"/>
      <c r="L1801"/>
      <c r="M1801"/>
      <c r="P1801"/>
      <c r="Q1801"/>
      <c r="T1801"/>
    </row>
    <row r="1802" spans="6:20" x14ac:dyDescent="0.15">
      <c r="F1802"/>
      <c r="G1802"/>
      <c r="H1802"/>
      <c r="I1802"/>
      <c r="L1802"/>
      <c r="M1802"/>
      <c r="P1802"/>
      <c r="Q1802"/>
      <c r="T1802"/>
    </row>
    <row r="1803" spans="6:20" x14ac:dyDescent="0.15">
      <c r="F1803"/>
      <c r="G1803"/>
      <c r="H1803"/>
      <c r="I1803"/>
      <c r="L1803"/>
      <c r="M1803"/>
      <c r="P1803"/>
      <c r="Q1803"/>
      <c r="T1803"/>
    </row>
    <row r="1804" spans="6:20" x14ac:dyDescent="0.15">
      <c r="F1804"/>
      <c r="G1804"/>
      <c r="H1804"/>
      <c r="I1804"/>
      <c r="L1804"/>
      <c r="M1804"/>
      <c r="P1804"/>
      <c r="Q1804"/>
      <c r="T1804"/>
    </row>
    <row r="1805" spans="6:20" x14ac:dyDescent="0.15">
      <c r="F1805"/>
      <c r="G1805"/>
      <c r="H1805"/>
      <c r="I1805"/>
      <c r="L1805"/>
      <c r="M1805"/>
      <c r="P1805"/>
      <c r="Q1805"/>
      <c r="T1805"/>
    </row>
    <row r="1806" spans="6:20" x14ac:dyDescent="0.15">
      <c r="F1806"/>
      <c r="G1806"/>
      <c r="H1806"/>
      <c r="I1806"/>
      <c r="L1806"/>
      <c r="M1806"/>
      <c r="P1806"/>
      <c r="Q1806"/>
      <c r="T1806"/>
    </row>
    <row r="1807" spans="6:20" x14ac:dyDescent="0.15">
      <c r="F1807"/>
      <c r="G1807"/>
      <c r="H1807"/>
      <c r="I1807"/>
      <c r="L1807"/>
      <c r="M1807"/>
      <c r="P1807"/>
      <c r="Q1807"/>
      <c r="T1807"/>
    </row>
    <row r="1808" spans="6:20" x14ac:dyDescent="0.15">
      <c r="F1808"/>
      <c r="G1808"/>
      <c r="H1808"/>
      <c r="I1808"/>
      <c r="L1808"/>
      <c r="M1808"/>
      <c r="P1808"/>
      <c r="Q1808"/>
      <c r="T1808"/>
    </row>
    <row r="1809" spans="6:20" x14ac:dyDescent="0.15">
      <c r="F1809"/>
      <c r="G1809"/>
      <c r="H1809"/>
      <c r="I1809"/>
      <c r="L1809"/>
      <c r="M1809"/>
      <c r="P1809"/>
      <c r="Q1809"/>
      <c r="T1809"/>
    </row>
    <row r="1810" spans="6:20" x14ac:dyDescent="0.15">
      <c r="F1810"/>
      <c r="G1810"/>
      <c r="H1810"/>
      <c r="I1810"/>
      <c r="L1810"/>
      <c r="M1810"/>
      <c r="P1810"/>
      <c r="Q1810"/>
      <c r="T1810"/>
    </row>
    <row r="1811" spans="6:20" x14ac:dyDescent="0.15">
      <c r="F1811"/>
      <c r="G1811"/>
      <c r="H1811"/>
      <c r="I1811"/>
      <c r="L1811"/>
      <c r="M1811"/>
      <c r="P1811"/>
      <c r="Q1811"/>
      <c r="T1811"/>
    </row>
    <row r="1812" spans="6:20" x14ac:dyDescent="0.15">
      <c r="F1812"/>
      <c r="G1812"/>
      <c r="H1812"/>
      <c r="I1812"/>
      <c r="L1812"/>
      <c r="M1812"/>
      <c r="P1812"/>
      <c r="Q1812"/>
      <c r="T1812"/>
    </row>
    <row r="1813" spans="6:20" x14ac:dyDescent="0.15">
      <c r="F1813"/>
      <c r="G1813"/>
      <c r="H1813"/>
      <c r="I1813"/>
      <c r="L1813"/>
      <c r="M1813"/>
      <c r="P1813"/>
      <c r="Q1813"/>
      <c r="T1813"/>
    </row>
    <row r="1814" spans="6:20" x14ac:dyDescent="0.15">
      <c r="F1814"/>
      <c r="G1814"/>
      <c r="H1814"/>
      <c r="I1814"/>
      <c r="L1814"/>
      <c r="M1814"/>
      <c r="P1814"/>
      <c r="Q1814"/>
      <c r="T1814"/>
    </row>
    <row r="1815" spans="6:20" x14ac:dyDescent="0.15">
      <c r="F1815"/>
      <c r="G1815"/>
      <c r="H1815"/>
      <c r="I1815"/>
      <c r="L1815"/>
      <c r="M1815"/>
      <c r="P1815"/>
      <c r="Q1815"/>
      <c r="T1815"/>
    </row>
    <row r="1816" spans="6:20" x14ac:dyDescent="0.15">
      <c r="F1816"/>
      <c r="G1816"/>
      <c r="H1816"/>
      <c r="I1816"/>
      <c r="L1816"/>
      <c r="M1816"/>
      <c r="P1816"/>
      <c r="Q1816"/>
      <c r="T1816"/>
    </row>
    <row r="1817" spans="6:20" x14ac:dyDescent="0.15">
      <c r="F1817"/>
      <c r="G1817"/>
      <c r="H1817"/>
      <c r="I1817"/>
      <c r="L1817"/>
      <c r="M1817"/>
      <c r="P1817"/>
      <c r="Q1817"/>
      <c r="T1817"/>
    </row>
    <row r="1818" spans="6:20" x14ac:dyDescent="0.15">
      <c r="F1818"/>
      <c r="G1818"/>
      <c r="H1818"/>
      <c r="I1818"/>
      <c r="L1818"/>
      <c r="M1818"/>
      <c r="P1818"/>
      <c r="Q1818"/>
      <c r="T1818"/>
    </row>
    <row r="1819" spans="6:20" x14ac:dyDescent="0.15">
      <c r="F1819"/>
      <c r="G1819"/>
      <c r="H1819"/>
      <c r="I1819"/>
      <c r="L1819"/>
      <c r="M1819"/>
      <c r="P1819"/>
      <c r="Q1819"/>
      <c r="T1819"/>
    </row>
    <row r="1820" spans="6:20" x14ac:dyDescent="0.15">
      <c r="F1820"/>
      <c r="G1820"/>
      <c r="H1820"/>
      <c r="I1820"/>
      <c r="L1820"/>
      <c r="M1820"/>
      <c r="P1820"/>
      <c r="Q1820"/>
      <c r="T1820"/>
    </row>
    <row r="1821" spans="6:20" x14ac:dyDescent="0.15">
      <c r="F1821"/>
      <c r="G1821"/>
      <c r="H1821"/>
      <c r="I1821"/>
      <c r="L1821"/>
      <c r="M1821"/>
      <c r="P1821"/>
      <c r="Q1821"/>
      <c r="T1821"/>
    </row>
    <row r="1822" spans="6:20" x14ac:dyDescent="0.15">
      <c r="F1822"/>
      <c r="G1822"/>
      <c r="H1822"/>
      <c r="I1822"/>
      <c r="L1822"/>
      <c r="M1822"/>
      <c r="P1822"/>
      <c r="Q1822"/>
      <c r="T1822"/>
    </row>
    <row r="1823" spans="6:20" x14ac:dyDescent="0.15">
      <c r="F1823"/>
      <c r="G1823"/>
      <c r="H1823"/>
      <c r="I1823"/>
      <c r="L1823"/>
      <c r="M1823"/>
      <c r="P1823"/>
      <c r="Q1823"/>
      <c r="T1823"/>
    </row>
    <row r="1824" spans="6:20" x14ac:dyDescent="0.15">
      <c r="F1824"/>
      <c r="G1824"/>
      <c r="H1824"/>
      <c r="I1824"/>
      <c r="L1824"/>
      <c r="M1824"/>
      <c r="P1824"/>
      <c r="Q1824"/>
      <c r="T1824"/>
    </row>
    <row r="1825" spans="6:20" x14ac:dyDescent="0.15">
      <c r="F1825"/>
      <c r="G1825"/>
      <c r="H1825"/>
      <c r="I1825"/>
      <c r="L1825"/>
      <c r="M1825"/>
      <c r="P1825"/>
      <c r="Q1825"/>
      <c r="T1825"/>
    </row>
    <row r="1826" spans="6:20" x14ac:dyDescent="0.15">
      <c r="F1826"/>
      <c r="G1826"/>
      <c r="H1826"/>
      <c r="I1826"/>
      <c r="L1826"/>
      <c r="M1826"/>
      <c r="P1826"/>
      <c r="Q1826"/>
      <c r="T1826"/>
    </row>
    <row r="1827" spans="6:20" x14ac:dyDescent="0.15">
      <c r="F1827"/>
      <c r="G1827"/>
      <c r="H1827"/>
      <c r="I1827"/>
      <c r="L1827"/>
      <c r="M1827"/>
      <c r="P1827"/>
      <c r="Q1827"/>
      <c r="T1827"/>
    </row>
    <row r="1828" spans="6:20" x14ac:dyDescent="0.15">
      <c r="F1828"/>
      <c r="G1828"/>
      <c r="H1828"/>
      <c r="I1828"/>
      <c r="L1828"/>
      <c r="M1828"/>
      <c r="P1828"/>
      <c r="Q1828"/>
      <c r="T1828"/>
    </row>
    <row r="1829" spans="6:20" x14ac:dyDescent="0.15">
      <c r="F1829"/>
      <c r="G1829"/>
      <c r="H1829"/>
      <c r="I1829"/>
      <c r="L1829"/>
      <c r="M1829"/>
      <c r="P1829"/>
      <c r="Q1829"/>
      <c r="T1829"/>
    </row>
    <row r="1830" spans="6:20" x14ac:dyDescent="0.15">
      <c r="F1830"/>
      <c r="G1830"/>
      <c r="H1830"/>
      <c r="I1830"/>
      <c r="L1830"/>
      <c r="M1830"/>
      <c r="P1830"/>
      <c r="Q1830"/>
      <c r="T1830"/>
    </row>
    <row r="1831" spans="6:20" x14ac:dyDescent="0.15">
      <c r="F1831"/>
      <c r="G1831"/>
      <c r="H1831"/>
      <c r="I1831"/>
      <c r="L1831"/>
      <c r="M1831"/>
      <c r="P1831"/>
      <c r="Q1831"/>
      <c r="T1831"/>
    </row>
    <row r="1832" spans="6:20" x14ac:dyDescent="0.15">
      <c r="F1832"/>
      <c r="G1832"/>
      <c r="H1832"/>
      <c r="I1832"/>
      <c r="L1832"/>
      <c r="M1832"/>
      <c r="P1832"/>
      <c r="Q1832"/>
      <c r="T1832"/>
    </row>
    <row r="1833" spans="6:20" x14ac:dyDescent="0.15">
      <c r="F1833"/>
      <c r="G1833"/>
      <c r="H1833"/>
      <c r="I1833"/>
      <c r="L1833"/>
      <c r="M1833"/>
      <c r="P1833"/>
      <c r="Q1833"/>
      <c r="T1833"/>
    </row>
    <row r="1834" spans="6:20" x14ac:dyDescent="0.15">
      <c r="F1834"/>
      <c r="G1834"/>
      <c r="H1834"/>
      <c r="I1834"/>
      <c r="L1834"/>
      <c r="M1834"/>
      <c r="P1834"/>
      <c r="Q1834"/>
      <c r="T1834"/>
    </row>
  </sheetData>
  <autoFilter ref="A1:V1819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3">
    <tabColor rgb="FFE27070"/>
  </sheetPr>
  <dimension ref="A1:U180"/>
  <sheetViews>
    <sheetView zoomScale="70" zoomScaleNormal="70" workbookViewId="0">
      <pane ySplit="1" topLeftCell="A58" activePane="bottomLeft" state="frozen"/>
      <selection activeCell="B20" sqref="B20"/>
      <selection pane="bottomLeft" activeCell="A181" sqref="A181:XFD1048576"/>
    </sheetView>
  </sheetViews>
  <sheetFormatPr baseColWidth="10" defaultColWidth="8.83203125" defaultRowHeight="14" x14ac:dyDescent="0.15"/>
  <cols>
    <col min="1" max="1" width="31.83203125" bestFit="1" customWidth="1"/>
    <col min="2" max="2" width="53.33203125" customWidth="1"/>
    <col min="3" max="3" width="21" customWidth="1"/>
    <col min="4" max="4" width="15.5" bestFit="1" customWidth="1"/>
    <col min="5" max="5" width="12.5" customWidth="1"/>
    <col min="6" max="6" width="17.5" style="280" bestFit="1" customWidth="1"/>
    <col min="7" max="7" width="13.5" bestFit="1" customWidth="1"/>
    <col min="8" max="8" width="18.5" bestFit="1" customWidth="1"/>
    <col min="9" max="9" width="15.5" bestFit="1" customWidth="1"/>
    <col min="10" max="10" width="18.5" bestFit="1" customWidth="1"/>
    <col min="11" max="12" width="11" customWidth="1"/>
    <col min="13" max="13" width="14.5" style="279" customWidth="1"/>
    <col min="15" max="15" width="31.5" style="1" bestFit="1" customWidth="1"/>
    <col min="16" max="16" width="26.83203125" style="1" customWidth="1"/>
    <col min="17" max="17" width="15.5" style="1" customWidth="1"/>
    <col min="18" max="18" width="19.5" style="1" customWidth="1"/>
    <col min="19" max="19" width="13.83203125" style="1" bestFit="1" customWidth="1"/>
    <col min="20" max="20" width="15.83203125" customWidth="1"/>
    <col min="21" max="21" width="12.5" customWidth="1"/>
  </cols>
  <sheetData>
    <row r="1" spans="1:21" ht="45" customHeight="1" x14ac:dyDescent="0.2">
      <c r="A1" s="266" t="s">
        <v>432</v>
      </c>
      <c r="B1" s="266" t="s">
        <v>188</v>
      </c>
      <c r="C1" s="266" t="s">
        <v>189</v>
      </c>
      <c r="D1" s="266" t="s">
        <v>190</v>
      </c>
      <c r="E1" s="266" t="s">
        <v>191</v>
      </c>
      <c r="F1" s="266" t="s">
        <v>192</v>
      </c>
      <c r="G1" s="266" t="s">
        <v>193</v>
      </c>
      <c r="H1" s="266" t="s">
        <v>194</v>
      </c>
      <c r="I1" s="266" t="s">
        <v>195</v>
      </c>
      <c r="J1" s="266" t="s">
        <v>196</v>
      </c>
      <c r="K1" s="266" t="s">
        <v>197</v>
      </c>
      <c r="L1" s="266" t="s">
        <v>198</v>
      </c>
      <c r="M1" s="266" t="s">
        <v>199</v>
      </c>
      <c r="N1" s="30"/>
      <c r="O1" s="38" t="s">
        <v>200</v>
      </c>
      <c r="P1" s="67" t="s">
        <v>201</v>
      </c>
      <c r="Q1" s="68" t="s">
        <v>202</v>
      </c>
      <c r="R1" s="68" t="s">
        <v>203</v>
      </c>
      <c r="S1" s="69" t="s">
        <v>204</v>
      </c>
      <c r="T1" s="69" t="s">
        <v>205</v>
      </c>
      <c r="U1" s="234" t="s">
        <v>206</v>
      </c>
    </row>
    <row r="2" spans="1:21" ht="16" x14ac:dyDescent="0.2">
      <c r="A2" s="278"/>
      <c r="B2" s="278"/>
      <c r="C2" s="278"/>
      <c r="D2" s="278"/>
      <c r="E2" s="278"/>
      <c r="G2" s="278"/>
      <c r="H2" s="278"/>
      <c r="I2" s="278"/>
      <c r="J2" s="278"/>
      <c r="K2" s="278"/>
      <c r="L2" s="278"/>
      <c r="O2" s="38"/>
      <c r="P2" s="38"/>
      <c r="Q2" s="273" t="str">
        <f>IFERROR(SUM((SUMIFS('capacity data'!$G:$G,'capacity data'!$E:$E,"PO",'capacity data'!$B:$B,P2))-SUMIFS('capacity data'!$H:$H,'capacity data'!$E:$E,"PO",'capacity data'!$B:$B,P2))/SUMIFS('capacity data'!$G:$G,'capacity data'!$E:$E,"PO",'capacity data'!$B:$B,P2),"")</f>
        <v/>
      </c>
      <c r="R2" s="273" t="str">
        <f>IFERROR(SUM((SUMIFS('capacity data'!$G:$G,'capacity data'!$E:$E,"PSO",'capacity data'!$B:$B,P2))-SUMIFS('capacity data'!$H:$H,'capacity data'!$E:$E,"PSO",'capacity data'!$B:$B,P2))/SUMIFS('capacity data'!$G:$G,'capacity data'!$E:$E,"PSO",'capacity data'!$B:$B,P2),"")</f>
        <v/>
      </c>
      <c r="S2" s="35" t="str">
        <f>IFERROR((Q2-R2),"")</f>
        <v/>
      </c>
      <c r="T2" s="274" t="str">
        <f>IFERROR(SUMIFS('capacity data'!$L:$L,'capacity data'!$B:$B,P2,'capacity data'!$E:$E,"PSO")/SUMIFS('capacity data'!$G:$G,'capacity data'!$E:$E,"PSO",'capacity data'!$B:$B,P2),"")</f>
        <v/>
      </c>
      <c r="U2" s="274" t="str">
        <f>IFERROR(SUMIFS('capacity data'!$L:$L,'capacity data'!$B:$B,P2,'capacity data'!$E:$E,"TPO")/SUMIFS('capacity data'!$G:$G,'capacity data'!$E:$E,"TPO",'capacity data'!$B:$B,P2),"")</f>
        <v/>
      </c>
    </row>
    <row r="3" spans="1:21" ht="16" x14ac:dyDescent="0.2">
      <c r="A3" s="278"/>
      <c r="B3" s="278"/>
      <c r="C3" s="278"/>
      <c r="D3" s="278"/>
      <c r="E3" s="278"/>
      <c r="G3" s="278"/>
      <c r="H3" s="278"/>
      <c r="I3" s="278"/>
      <c r="J3" s="278"/>
      <c r="K3" s="278"/>
      <c r="L3" s="278"/>
      <c r="O3" s="38" t="s">
        <v>4</v>
      </c>
      <c r="P3" s="6" t="s">
        <v>770</v>
      </c>
      <c r="Q3" s="273" t="str">
        <f>IFERROR(SUM((SUMIFS('capacity data'!$G:$G,'capacity data'!$E:$E,"PO",'capacity data'!$B:$B,P3))-SUMIFS('capacity data'!$H:$H,'capacity data'!$E:$E,"PO",'capacity data'!$B:$B,P3))/SUMIFS('capacity data'!$G:$G,'capacity data'!$E:$E,"PO",'capacity data'!$B:$B,P3),"")</f>
        <v/>
      </c>
      <c r="R3" s="273" t="str">
        <f>IFERROR(SUM((SUMIFS('capacity data'!$G:$G,'capacity data'!$E:$E,"PSO",'capacity data'!$B:$B,P3))-SUMIFS('capacity data'!$H:$H,'capacity data'!$E:$E,"PSO",'capacity data'!$B:$B,P3))/SUMIFS('capacity data'!$G:$G,'capacity data'!$E:$E,"PSO",'capacity data'!$B:$B,P3),"")</f>
        <v/>
      </c>
      <c r="S3" s="35" t="str">
        <f>IFERROR((Q3-R3),"")</f>
        <v/>
      </c>
      <c r="T3" s="274" t="str">
        <f>IFERROR(SUMIFS('capacity data'!$L:$L,'capacity data'!$B:$B,P3,'capacity data'!$E:$E,"PSO")/SUMIFS('capacity data'!$G:$G,'capacity data'!$E:$E,"PSO",'capacity data'!$B:$B,P3),"")</f>
        <v/>
      </c>
      <c r="U3" s="274" t="str">
        <f>IFERROR(SUMIFS('capacity data'!$L:$L,'capacity data'!$B:$B,P3,'capacity data'!$E:$E,"TPO")/SUMIFS('capacity data'!$G:$G,'capacity data'!$E:$E,"TPO",'capacity data'!$B:$B,P3),"")</f>
        <v/>
      </c>
    </row>
    <row r="4" spans="1:21" ht="16" x14ac:dyDescent="0.2">
      <c r="A4" s="278"/>
      <c r="B4" s="278"/>
      <c r="C4" s="278"/>
      <c r="D4" s="278"/>
      <c r="E4" s="278"/>
      <c r="G4" s="278"/>
      <c r="H4" s="278"/>
      <c r="I4" s="278"/>
      <c r="J4" s="278"/>
      <c r="K4" s="278"/>
      <c r="L4" s="278"/>
      <c r="O4" s="38" t="s">
        <v>4</v>
      </c>
      <c r="P4" s="6" t="s">
        <v>789</v>
      </c>
      <c r="Q4" s="273" t="str">
        <f>IFERROR(SUM((SUMIFS('capacity data'!$G:$G,'capacity data'!$E:$E,"PO",'capacity data'!$B:$B,P4))-SUMIFS('capacity data'!$H:$H,'capacity data'!$E:$E,"PO",'capacity data'!$B:$B,P4))/SUMIFS('capacity data'!$G:$G,'capacity data'!$E:$E,"PO",'capacity data'!$B:$B,P4),"")</f>
        <v/>
      </c>
      <c r="R4" s="273" t="str">
        <f>IFERROR(SUM((SUMIFS('capacity data'!$G:$G,'capacity data'!$E:$E,"PSO",'capacity data'!$B:$B,P4))-SUMIFS('capacity data'!$H:$H,'capacity data'!$E:$E,"PSO",'capacity data'!$B:$B,P4))/SUMIFS('capacity data'!$G:$G,'capacity data'!$E:$E,"PSO",'capacity data'!$B:$B,P4),"")</f>
        <v/>
      </c>
      <c r="S4" s="35" t="str">
        <f>IFERROR((Q4-R4),"")</f>
        <v/>
      </c>
      <c r="T4" s="274" t="str">
        <f>IFERROR(SUMIFS('capacity data'!$L:$L,'capacity data'!$B:$B,P4,'capacity data'!$E:$E,"PSO")/SUMIFS('capacity data'!$G:$G,'capacity data'!$E:$E,"PSO",'capacity data'!$B:$B,P4),"")</f>
        <v/>
      </c>
      <c r="U4" s="274" t="str">
        <f>IFERROR(SUMIFS('capacity data'!$L:$L,'capacity data'!$B:$B,P4,'capacity data'!$E:$E,"TPO")/SUMIFS('capacity data'!$G:$G,'capacity data'!$E:$E,"TPO",'capacity data'!$B:$B,P4),"")</f>
        <v/>
      </c>
    </row>
    <row r="5" spans="1:21" ht="16" x14ac:dyDescent="0.2">
      <c r="A5" s="278"/>
      <c r="B5" s="278"/>
      <c r="C5" s="278"/>
      <c r="D5" s="278"/>
      <c r="E5" s="278"/>
      <c r="G5" s="278"/>
      <c r="H5" s="278"/>
      <c r="I5" s="278"/>
      <c r="J5" s="278"/>
      <c r="K5" s="278"/>
      <c r="L5" s="278"/>
      <c r="O5" s="38" t="s">
        <v>4</v>
      </c>
      <c r="P5" s="6" t="s">
        <v>37</v>
      </c>
      <c r="Q5" s="273" t="str">
        <f>IFERROR(SUM((SUMIFS('capacity data'!$G:$G,'capacity data'!$E:$E,"PO",'capacity data'!$B:$B,P5))-SUMIFS('capacity data'!$H:$H,'capacity data'!$E:$E,"PO",'capacity data'!$B:$B,P5))/SUMIFS('capacity data'!$G:$G,'capacity data'!$E:$E,"PO",'capacity data'!$B:$B,P5),"")</f>
        <v/>
      </c>
      <c r="R5" s="273" t="str">
        <f>IFERROR(SUM((SUMIFS('capacity data'!$G:$G,'capacity data'!$E:$E,"PSO",'capacity data'!$B:$B,P5))-SUMIFS('capacity data'!$H:$H,'capacity data'!$E:$E,"PSO",'capacity data'!$B:$B,P5))/SUMIFS('capacity data'!$G:$G,'capacity data'!$E:$E,"PSO",'capacity data'!$B:$B,P5),"")</f>
        <v/>
      </c>
      <c r="S5" s="35" t="str">
        <f t="shared" ref="S5:S68" si="0">IFERROR((Q5-R5),"")</f>
        <v/>
      </c>
      <c r="T5" s="274" t="str">
        <f>IFERROR(SUMIFS('capacity data'!$L:$L,'capacity data'!$B:$B,P5,'capacity data'!$E:$E,"PSO")/SUMIFS('capacity data'!$G:$G,'capacity data'!$E:$E,"PSO",'capacity data'!$B:$B,P5),"")</f>
        <v/>
      </c>
      <c r="U5" s="274" t="str">
        <f>IFERROR(SUMIFS('capacity data'!$L:$L,'capacity data'!$B:$B,P5,'capacity data'!$E:$E,"TPO")/SUMIFS('capacity data'!$G:$G,'capacity data'!$E:$E,"TPO",'capacity data'!$B:$B,P5),"")</f>
        <v/>
      </c>
    </row>
    <row r="6" spans="1:21" ht="16" x14ac:dyDescent="0.2">
      <c r="A6" s="278"/>
      <c r="B6" s="278"/>
      <c r="C6" s="278"/>
      <c r="D6" s="278"/>
      <c r="E6" s="278"/>
      <c r="G6" s="278"/>
      <c r="H6" s="278"/>
      <c r="I6" s="278"/>
      <c r="J6" s="278"/>
      <c r="K6" s="278"/>
      <c r="L6" s="278"/>
      <c r="O6" s="38" t="s">
        <v>4</v>
      </c>
      <c r="P6" s="6" t="s">
        <v>814</v>
      </c>
      <c r="Q6" s="273" t="str">
        <f>IFERROR(SUM((SUMIFS('capacity data'!$G:$G,'capacity data'!$E:$E,"PO",'capacity data'!$B:$B,P6))-SUMIFS('capacity data'!$H:$H,'capacity data'!$E:$E,"PO",'capacity data'!$B:$B,P6))/SUMIFS('capacity data'!$G:$G,'capacity data'!$E:$E,"PO",'capacity data'!$B:$B,P6),"")</f>
        <v/>
      </c>
      <c r="R6" s="273" t="str">
        <f>IFERROR(SUM((SUMIFS('capacity data'!$G:$G,'capacity data'!$E:$E,"PSO",'capacity data'!$B:$B,P6))-SUMIFS('capacity data'!$H:$H,'capacity data'!$E:$E,"PSO",'capacity data'!$B:$B,P6))/SUMIFS('capacity data'!$G:$G,'capacity data'!$E:$E,"PSO",'capacity data'!$B:$B,P6),"")</f>
        <v/>
      </c>
      <c r="S6" s="35" t="str">
        <f t="shared" si="0"/>
        <v/>
      </c>
      <c r="T6" s="274" t="str">
        <f>IFERROR(SUMIFS('capacity data'!$L:$L,'capacity data'!$B:$B,P6,'capacity data'!$E:$E,"PSO")/SUMIFS('capacity data'!$G:$G,'capacity data'!$E:$E,"PSO",'capacity data'!$B:$B,P6),"")</f>
        <v/>
      </c>
      <c r="U6" s="274" t="str">
        <f>IFERROR(SUMIFS('capacity data'!$L:$L,'capacity data'!$B:$B,P6,'capacity data'!$E:$E,"TPO")/SUMIFS('capacity data'!$G:$G,'capacity data'!$E:$E,"TPO",'capacity data'!$B:$B,P6),"")</f>
        <v/>
      </c>
    </row>
    <row r="7" spans="1:21" ht="16" x14ac:dyDescent="0.2">
      <c r="A7" s="278"/>
      <c r="B7" s="278"/>
      <c r="C7" s="278"/>
      <c r="D7" s="278"/>
      <c r="E7" s="278"/>
      <c r="G7" s="278"/>
      <c r="H7" s="278"/>
      <c r="I7" s="278"/>
      <c r="J7" s="278"/>
      <c r="K7" s="278"/>
      <c r="L7" s="278"/>
      <c r="O7" s="38" t="s">
        <v>4</v>
      </c>
      <c r="P7" s="6" t="s">
        <v>57</v>
      </c>
      <c r="Q7" s="273" t="str">
        <f>IFERROR(SUM((SUMIFS('capacity data'!$G:$G,'capacity data'!$E:$E,"PO",'capacity data'!$B:$B,P7))-SUMIFS('capacity data'!$H:$H,'capacity data'!$E:$E,"PO",'capacity data'!$B:$B,P7))/SUMIFS('capacity data'!$G:$G,'capacity data'!$E:$E,"PO",'capacity data'!$B:$B,P7),"")</f>
        <v/>
      </c>
      <c r="R7" s="273" t="str">
        <f>IFERROR(SUM((SUMIFS('capacity data'!$G:$G,'capacity data'!$E:$E,"PSO",'capacity data'!$B:$B,P7))-SUMIFS('capacity data'!$H:$H,'capacity data'!$E:$E,"PSO",'capacity data'!$B:$B,P7))/SUMIFS('capacity data'!$G:$G,'capacity data'!$E:$E,"PSO",'capacity data'!$B:$B,P7),"")</f>
        <v/>
      </c>
      <c r="S7" s="35" t="str">
        <f t="shared" si="0"/>
        <v/>
      </c>
      <c r="T7" s="274" t="str">
        <f>IFERROR(SUMIFS('capacity data'!$L:$L,'capacity data'!$B:$B,P7,'capacity data'!$E:$E,"PSO")/SUMIFS('capacity data'!$G:$G,'capacity data'!$E:$E,"PSO",'capacity data'!$B:$B,P7),"")</f>
        <v/>
      </c>
      <c r="U7" s="274" t="str">
        <f>IFERROR(SUMIFS('capacity data'!$L:$L,'capacity data'!$B:$B,P7,'capacity data'!$E:$E,"TPO")/SUMIFS('capacity data'!$G:$G,'capacity data'!$E:$E,"TPO",'capacity data'!$B:$B,P7),"")</f>
        <v/>
      </c>
    </row>
    <row r="8" spans="1:21" ht="16" x14ac:dyDescent="0.2">
      <c r="A8" s="278"/>
      <c r="B8" s="278"/>
      <c r="C8" s="278"/>
      <c r="D8" s="278"/>
      <c r="E8" s="278"/>
      <c r="G8" s="278"/>
      <c r="H8" s="278"/>
      <c r="I8" s="278"/>
      <c r="J8" s="278"/>
      <c r="K8" s="278"/>
      <c r="L8" s="278"/>
      <c r="O8" s="38" t="s">
        <v>4</v>
      </c>
      <c r="P8" s="6" t="s">
        <v>837</v>
      </c>
      <c r="Q8" s="273" t="str">
        <f>IFERROR(SUM((SUMIFS('capacity data'!$G:$G,'capacity data'!$E:$E,"PO",'capacity data'!$B:$B,P8))-SUMIFS('capacity data'!$H:$H,'capacity data'!$E:$E,"PO",'capacity data'!$B:$B,P8))/SUMIFS('capacity data'!$G:$G,'capacity data'!$E:$E,"PO",'capacity data'!$B:$B,P8),"")</f>
        <v/>
      </c>
      <c r="R8" s="273" t="str">
        <f>IFERROR(SUM((SUMIFS('capacity data'!$G:$G,'capacity data'!$E:$E,"PSO",'capacity data'!$B:$B,P8))-SUMIFS('capacity data'!$H:$H,'capacity data'!$E:$E,"PSO",'capacity data'!$B:$B,P8))/SUMIFS('capacity data'!$G:$G,'capacity data'!$E:$E,"PSO",'capacity data'!$B:$B,P8),"")</f>
        <v/>
      </c>
      <c r="S8" s="35" t="str">
        <f t="shared" si="0"/>
        <v/>
      </c>
      <c r="T8" s="274" t="str">
        <f>IFERROR(SUMIFS('capacity data'!$L:$L,'capacity data'!$B:$B,P8,'capacity data'!$E:$E,"PSO")/SUMIFS('capacity data'!$G:$G,'capacity data'!$E:$E,"PSO",'capacity data'!$B:$B,P8),"")</f>
        <v/>
      </c>
      <c r="U8" s="274" t="str">
        <f>IFERROR(SUMIFS('capacity data'!$L:$L,'capacity data'!$B:$B,P8,'capacity data'!$E:$E,"TPO")/SUMIFS('capacity data'!$G:$G,'capacity data'!$E:$E,"TPO",'capacity data'!$B:$B,P8),"")</f>
        <v/>
      </c>
    </row>
    <row r="9" spans="1:21" ht="16" x14ac:dyDescent="0.2">
      <c r="A9" s="278"/>
      <c r="B9" s="278"/>
      <c r="C9" s="278"/>
      <c r="D9" s="278"/>
      <c r="E9" s="278"/>
      <c r="G9" s="278"/>
      <c r="H9" s="278"/>
      <c r="I9" s="278"/>
      <c r="J9" s="278"/>
      <c r="K9" s="278"/>
      <c r="L9" s="278"/>
      <c r="O9" s="38" t="s">
        <v>1014</v>
      </c>
      <c r="P9" s="6" t="s">
        <v>1084</v>
      </c>
      <c r="Q9" s="273" t="str">
        <f>IFERROR(SUM((SUMIFS('capacity data'!$G:$G,'capacity data'!$E:$E,"PO",'capacity data'!$B:$B,P9))-SUMIFS('capacity data'!$H:$H,'capacity data'!$E:$E,"PO",'capacity data'!$B:$B,P9))/SUMIFS('capacity data'!$G:$G,'capacity data'!$E:$E,"PO",'capacity data'!$B:$B,P9),"")</f>
        <v/>
      </c>
      <c r="R9" s="273" t="str">
        <f>IFERROR(SUM((SUMIFS('capacity data'!$G:$G,'capacity data'!$E:$E,"PSO",'capacity data'!$B:$B,P9))-SUMIFS('capacity data'!$H:$H,'capacity data'!$E:$E,"PSO",'capacity data'!$B:$B,P9))/SUMIFS('capacity data'!$G:$G,'capacity data'!$E:$E,"PSO",'capacity data'!$B:$B,P9),"")</f>
        <v/>
      </c>
      <c r="S9" s="35" t="str">
        <f t="shared" si="0"/>
        <v/>
      </c>
      <c r="T9" s="274" t="str">
        <f>IFERROR(SUMIFS('capacity data'!$L:$L,'capacity data'!$B:$B,P9,'capacity data'!$E:$E,"PSO")/SUMIFS('capacity data'!$G:$G,'capacity data'!$E:$E,"PSO",'capacity data'!$B:$B,P9),"")</f>
        <v/>
      </c>
      <c r="U9" s="274" t="str">
        <f>IFERROR(SUMIFS('capacity data'!$L:$L,'capacity data'!$B:$B,P9,'capacity data'!$E:$E,"TPO")/SUMIFS('capacity data'!$G:$G,'capacity data'!$E:$E,"TPO",'capacity data'!$B:$B,P9),"")</f>
        <v/>
      </c>
    </row>
    <row r="10" spans="1:21" ht="16" x14ac:dyDescent="0.2">
      <c r="A10" s="278"/>
      <c r="B10" s="278"/>
      <c r="C10" s="278"/>
      <c r="D10" s="278"/>
      <c r="E10" s="278"/>
      <c r="G10" s="278"/>
      <c r="H10" s="278"/>
      <c r="I10" s="278"/>
      <c r="J10" s="278"/>
      <c r="K10" s="278"/>
      <c r="L10" s="278"/>
      <c r="O10" s="38" t="s">
        <v>1014</v>
      </c>
      <c r="P10" s="6" t="s">
        <v>771</v>
      </c>
      <c r="Q10" s="273" t="str">
        <f>IFERROR(SUM((SUMIFS('capacity data'!$G:$G,'capacity data'!$E:$E,"PO",'capacity data'!$B:$B,P10))-SUMIFS('capacity data'!$H:$H,'capacity data'!$E:$E,"PO",'capacity data'!$B:$B,P10))/SUMIFS('capacity data'!$G:$G,'capacity data'!$E:$E,"PO",'capacity data'!$B:$B,P10),"")</f>
        <v/>
      </c>
      <c r="R10" s="273" t="str">
        <f>IFERROR(SUM((SUMIFS('capacity data'!$G:$G,'capacity data'!$E:$E,"PSO",'capacity data'!$B:$B,P10))-SUMIFS('capacity data'!$H:$H,'capacity data'!$E:$E,"PSO",'capacity data'!$B:$B,P10))/SUMIFS('capacity data'!$G:$G,'capacity data'!$E:$E,"PSO",'capacity data'!$B:$B,P10),"")</f>
        <v/>
      </c>
      <c r="S10" s="35" t="str">
        <f t="shared" si="0"/>
        <v/>
      </c>
      <c r="T10" s="274" t="str">
        <f>IFERROR(SUMIFS('capacity data'!$L:$L,'capacity data'!$B:$B,P10,'capacity data'!$E:$E,"PSO")/SUMIFS('capacity data'!$G:$G,'capacity data'!$E:$E,"PSO",'capacity data'!$B:$B,P10),"")</f>
        <v/>
      </c>
      <c r="U10" s="274" t="str">
        <f>IFERROR(SUMIFS('capacity data'!$L:$L,'capacity data'!$B:$B,P10,'capacity data'!$E:$E,"TPO")/SUMIFS('capacity data'!$G:$G,'capacity data'!$E:$E,"TPO",'capacity data'!$B:$B,P10),"")</f>
        <v/>
      </c>
    </row>
    <row r="11" spans="1:21" ht="16" x14ac:dyDescent="0.2">
      <c r="A11" s="278"/>
      <c r="B11" s="278"/>
      <c r="C11" s="278"/>
      <c r="D11" s="278"/>
      <c r="E11" s="278"/>
      <c r="G11" s="278"/>
      <c r="H11" s="278"/>
      <c r="I11" s="278"/>
      <c r="J11" s="278"/>
      <c r="K11" s="278"/>
      <c r="L11" s="278"/>
      <c r="O11" s="38" t="s">
        <v>1014</v>
      </c>
      <c r="P11" s="6" t="s">
        <v>18</v>
      </c>
      <c r="Q11" s="273" t="str">
        <f>IFERROR(SUM((SUMIFS('capacity data'!$G:$G,'capacity data'!$E:$E,"PO",'capacity data'!$B:$B,P11))-SUMIFS('capacity data'!$H:$H,'capacity data'!$E:$E,"PO",'capacity data'!$B:$B,P11))/SUMIFS('capacity data'!$G:$G,'capacity data'!$E:$E,"PO",'capacity data'!$B:$B,P11),"")</f>
        <v/>
      </c>
      <c r="R11" s="273" t="str">
        <f>IFERROR(SUM((SUMIFS('capacity data'!$G:$G,'capacity data'!$E:$E,"PSO",'capacity data'!$B:$B,P11))-SUMIFS('capacity data'!$H:$H,'capacity data'!$E:$E,"PSO",'capacity data'!$B:$B,P11))/SUMIFS('capacity data'!$G:$G,'capacity data'!$E:$E,"PSO",'capacity data'!$B:$B,P11),"")</f>
        <v/>
      </c>
      <c r="S11" s="35" t="str">
        <f t="shared" si="0"/>
        <v/>
      </c>
      <c r="T11" s="274" t="str">
        <f>IFERROR(SUMIFS('capacity data'!$L:$L,'capacity data'!$B:$B,P11,'capacity data'!$E:$E,"PSO")/SUMIFS('capacity data'!$G:$G,'capacity data'!$E:$E,"PSO",'capacity data'!$B:$B,P11),"")</f>
        <v/>
      </c>
      <c r="U11" s="274" t="str">
        <f>IFERROR(SUMIFS('capacity data'!$L:$L,'capacity data'!$B:$B,P11,'capacity data'!$E:$E,"TPO")/SUMIFS('capacity data'!$G:$G,'capacity data'!$E:$E,"TPO",'capacity data'!$B:$B,P11),"")</f>
        <v/>
      </c>
    </row>
    <row r="12" spans="1:21" ht="16" x14ac:dyDescent="0.2">
      <c r="A12" s="278"/>
      <c r="B12" s="278"/>
      <c r="C12" s="278"/>
      <c r="D12" s="278"/>
      <c r="E12" s="278"/>
      <c r="G12" s="278"/>
      <c r="H12" s="278"/>
      <c r="I12" s="278"/>
      <c r="J12" s="278"/>
      <c r="K12" s="278"/>
      <c r="L12" s="278"/>
      <c r="O12" s="38" t="s">
        <v>1014</v>
      </c>
      <c r="P12" s="6" t="s">
        <v>1016</v>
      </c>
      <c r="Q12" s="273" t="str">
        <f>IFERROR(SUM((SUMIFS('capacity data'!$G:$G,'capacity data'!$E:$E,"PO",'capacity data'!$B:$B,P12))-SUMIFS('capacity data'!$H:$H,'capacity data'!$E:$E,"PO",'capacity data'!$B:$B,P12))/SUMIFS('capacity data'!$G:$G,'capacity data'!$E:$E,"PO",'capacity data'!$B:$B,P12),"")</f>
        <v/>
      </c>
      <c r="R12" s="273" t="str">
        <f>IFERROR(SUM((SUMIFS('capacity data'!$G:$G,'capacity data'!$E:$E,"PSO",'capacity data'!$B:$B,P12))-SUMIFS('capacity data'!$H:$H,'capacity data'!$E:$E,"PSO",'capacity data'!$B:$B,P12))/SUMIFS('capacity data'!$G:$G,'capacity data'!$E:$E,"PSO",'capacity data'!$B:$B,P12),"")</f>
        <v/>
      </c>
      <c r="S12" s="35" t="str">
        <f t="shared" si="0"/>
        <v/>
      </c>
      <c r="T12" s="274" t="str">
        <f>IFERROR(SUMIFS('capacity data'!$L:$L,'capacity data'!$B:$B,P12,'capacity data'!$E:$E,"PSO")/SUMIFS('capacity data'!$G:$G,'capacity data'!$E:$E,"PSO",'capacity data'!$B:$B,P12),"")</f>
        <v/>
      </c>
      <c r="U12" s="274" t="str">
        <f>IFERROR(SUMIFS('capacity data'!$L:$L,'capacity data'!$B:$B,P12,'capacity data'!$E:$E,"TPO")/SUMIFS('capacity data'!$G:$G,'capacity data'!$E:$E,"TPO",'capacity data'!$B:$B,P12),"")</f>
        <v/>
      </c>
    </row>
    <row r="13" spans="1:21" ht="16" x14ac:dyDescent="0.2">
      <c r="A13" s="278"/>
      <c r="B13" s="278"/>
      <c r="C13" s="278"/>
      <c r="D13" s="278"/>
      <c r="E13" s="278"/>
      <c r="G13" s="278"/>
      <c r="H13" s="278"/>
      <c r="I13" s="278"/>
      <c r="J13" s="278"/>
      <c r="K13" s="278"/>
      <c r="L13" s="278"/>
      <c r="O13" s="38" t="s">
        <v>1014</v>
      </c>
      <c r="P13" s="6" t="s">
        <v>815</v>
      </c>
      <c r="Q13" s="273" t="str">
        <f>IFERROR(SUM((SUMIFS('capacity data'!$G:$G,'capacity data'!$E:$E,"PO",'capacity data'!$B:$B,P13))-SUMIFS('capacity data'!$H:$H,'capacity data'!$E:$E,"PO",'capacity data'!$B:$B,P13))/SUMIFS('capacity data'!$G:$G,'capacity data'!$E:$E,"PO",'capacity data'!$B:$B,P13),"")</f>
        <v/>
      </c>
      <c r="R13" s="273" t="str">
        <f>IFERROR(SUM((SUMIFS('capacity data'!$G:$G,'capacity data'!$E:$E,"PSO",'capacity data'!$B:$B,P13))-SUMIFS('capacity data'!$H:$H,'capacity data'!$E:$E,"PSO",'capacity data'!$B:$B,P13))/SUMIFS('capacity data'!$G:$G,'capacity data'!$E:$E,"PSO",'capacity data'!$B:$B,P13),"")</f>
        <v/>
      </c>
      <c r="S13" s="35" t="str">
        <f t="shared" si="0"/>
        <v/>
      </c>
      <c r="T13" s="274" t="str">
        <f>IFERROR(SUMIFS('capacity data'!$L:$L,'capacity data'!$B:$B,P13,'capacity data'!$E:$E,"PSO")/SUMIFS('capacity data'!$G:$G,'capacity data'!$E:$E,"PSO",'capacity data'!$B:$B,P13),"")</f>
        <v/>
      </c>
      <c r="U13" s="274" t="str">
        <f>IFERROR(SUMIFS('capacity data'!$L:$L,'capacity data'!$B:$B,P13,'capacity data'!$E:$E,"TPO")/SUMIFS('capacity data'!$G:$G,'capacity data'!$E:$E,"TPO",'capacity data'!$B:$B,P13),"")</f>
        <v/>
      </c>
    </row>
    <row r="14" spans="1:21" ht="16" x14ac:dyDescent="0.2">
      <c r="A14" s="278"/>
      <c r="B14" s="278"/>
      <c r="C14" s="278"/>
      <c r="D14" s="278"/>
      <c r="E14" s="278"/>
      <c r="G14" s="278"/>
      <c r="H14" s="278"/>
      <c r="I14" s="278"/>
      <c r="J14" s="278"/>
      <c r="K14" s="278"/>
      <c r="L14" s="278"/>
      <c r="O14" s="38" t="s">
        <v>1014</v>
      </c>
      <c r="P14" s="6" t="s">
        <v>828</v>
      </c>
      <c r="Q14" s="273" t="str">
        <f>IFERROR(SUM((SUMIFS('capacity data'!$G:$G,'capacity data'!$E:$E,"PO",'capacity data'!$B:$B,P14))-SUMIFS('capacity data'!$H:$H,'capacity data'!$E:$E,"PO",'capacity data'!$B:$B,P14))/SUMIFS('capacity data'!$G:$G,'capacity data'!$E:$E,"PO",'capacity data'!$B:$B,P14),"")</f>
        <v/>
      </c>
      <c r="R14" s="273" t="str">
        <f>IFERROR(SUM((SUMIFS('capacity data'!$G:$G,'capacity data'!$E:$E,"PSO",'capacity data'!$B:$B,P14))-SUMIFS('capacity data'!$H:$H,'capacity data'!$E:$E,"PSO",'capacity data'!$B:$B,P14))/SUMIFS('capacity data'!$G:$G,'capacity data'!$E:$E,"PSO",'capacity data'!$B:$B,P14),"")</f>
        <v/>
      </c>
      <c r="S14" s="35" t="str">
        <f t="shared" si="0"/>
        <v/>
      </c>
      <c r="T14" s="274" t="str">
        <f>IFERROR(SUMIFS('capacity data'!$L:$L,'capacity data'!$B:$B,P14,'capacity data'!$E:$E,"PSO")/SUMIFS('capacity data'!$G:$G,'capacity data'!$E:$E,"PSO",'capacity data'!$B:$B,P14),"")</f>
        <v/>
      </c>
      <c r="U14" s="274" t="str">
        <f>IFERROR(SUMIFS('capacity data'!$L:$L,'capacity data'!$B:$B,P14,'capacity data'!$E:$E,"TPO")/SUMIFS('capacity data'!$G:$G,'capacity data'!$E:$E,"TPO",'capacity data'!$B:$B,P14),"")</f>
        <v/>
      </c>
    </row>
    <row r="15" spans="1:21" ht="16" x14ac:dyDescent="0.2">
      <c r="A15" s="278"/>
      <c r="B15" s="278"/>
      <c r="C15" s="278"/>
      <c r="D15" s="278"/>
      <c r="E15" s="278"/>
      <c r="G15" s="278"/>
      <c r="H15" s="278"/>
      <c r="I15" s="278"/>
      <c r="J15" s="278"/>
      <c r="K15" s="278"/>
      <c r="L15" s="278"/>
      <c r="O15" s="38" t="s">
        <v>1014</v>
      </c>
      <c r="P15" s="6" t="s">
        <v>1085</v>
      </c>
      <c r="Q15" s="273" t="str">
        <f>IFERROR(SUM((SUMIFS('capacity data'!$G:$G,'capacity data'!$E:$E,"PO",'capacity data'!$B:$B,P15))-SUMIFS('capacity data'!$H:$H,'capacity data'!$E:$E,"PO",'capacity data'!$B:$B,P15))/SUMIFS('capacity data'!$G:$G,'capacity data'!$E:$E,"PO",'capacity data'!$B:$B,P15),"")</f>
        <v/>
      </c>
      <c r="R15" s="273" t="str">
        <f>IFERROR(SUM((SUMIFS('capacity data'!$G:$G,'capacity data'!$E:$E,"PSO",'capacity data'!$B:$B,P15))-SUMIFS('capacity data'!$H:$H,'capacity data'!$E:$E,"PSO",'capacity data'!$B:$B,P15))/SUMIFS('capacity data'!$G:$G,'capacity data'!$E:$E,"PSO",'capacity data'!$B:$B,P15),"")</f>
        <v/>
      </c>
      <c r="S15" s="35" t="str">
        <f t="shared" si="0"/>
        <v/>
      </c>
      <c r="T15" s="274" t="str">
        <f>IFERROR(SUMIFS('capacity data'!$L:$L,'capacity data'!$B:$B,P15,'capacity data'!$E:$E,"PSO")/SUMIFS('capacity data'!$G:$G,'capacity data'!$E:$E,"PSO",'capacity data'!$B:$B,P15),"")</f>
        <v/>
      </c>
      <c r="U15" s="274" t="str">
        <f>IFERROR(SUMIFS('capacity data'!$L:$L,'capacity data'!$B:$B,P15,'capacity data'!$E:$E,"TPO")/SUMIFS('capacity data'!$G:$G,'capacity data'!$E:$E,"TPO",'capacity data'!$B:$B,P15),"")</f>
        <v/>
      </c>
    </row>
    <row r="16" spans="1:21" ht="16" x14ac:dyDescent="0.2">
      <c r="A16" s="278"/>
      <c r="B16" s="278"/>
      <c r="C16" s="278"/>
      <c r="D16" s="278"/>
      <c r="E16" s="278"/>
      <c r="G16" s="278"/>
      <c r="H16" s="278"/>
      <c r="I16" s="278"/>
      <c r="J16" s="278"/>
      <c r="K16" s="278"/>
      <c r="L16" s="278"/>
      <c r="O16" s="38" t="s">
        <v>1014</v>
      </c>
      <c r="P16" s="6" t="s">
        <v>838</v>
      </c>
      <c r="Q16" s="273" t="str">
        <f>IFERROR(SUM((SUMIFS('capacity data'!$G:$G,'capacity data'!$E:$E,"PO",'capacity data'!$B:$B,P16))-SUMIFS('capacity data'!$H:$H,'capacity data'!$E:$E,"PO",'capacity data'!$B:$B,P16))/SUMIFS('capacity data'!$G:$G,'capacity data'!$E:$E,"PO",'capacity data'!$B:$B,P16),"")</f>
        <v/>
      </c>
      <c r="R16" s="273" t="str">
        <f>IFERROR(SUM((SUMIFS('capacity data'!$G:$G,'capacity data'!$E:$E,"PSO",'capacity data'!$B:$B,P16))-SUMIFS('capacity data'!$H:$H,'capacity data'!$E:$E,"PSO",'capacity data'!$B:$B,P16))/SUMIFS('capacity data'!$G:$G,'capacity data'!$E:$E,"PSO",'capacity data'!$B:$B,P16),"")</f>
        <v/>
      </c>
      <c r="S16" s="35" t="str">
        <f t="shared" si="0"/>
        <v/>
      </c>
      <c r="T16" s="274" t="str">
        <f>IFERROR(SUMIFS('capacity data'!$L:$L,'capacity data'!$B:$B,P16,'capacity data'!$E:$E,"PSO")/SUMIFS('capacity data'!$G:$G,'capacity data'!$E:$E,"PSO",'capacity data'!$B:$B,P16),"")</f>
        <v/>
      </c>
      <c r="U16" s="274" t="str">
        <f>IFERROR(SUMIFS('capacity data'!$L:$L,'capacity data'!$B:$B,P16,'capacity data'!$E:$E,"TPO")/SUMIFS('capacity data'!$G:$G,'capacity data'!$E:$E,"TPO",'capacity data'!$B:$B,P16),"")</f>
        <v/>
      </c>
    </row>
    <row r="17" spans="1:21" ht="16" x14ac:dyDescent="0.2">
      <c r="A17" s="278"/>
      <c r="B17" s="278"/>
      <c r="C17" s="278"/>
      <c r="D17" s="278"/>
      <c r="E17" s="278"/>
      <c r="G17" s="278"/>
      <c r="H17" s="278"/>
      <c r="I17" s="278"/>
      <c r="J17" s="278"/>
      <c r="K17" s="278"/>
      <c r="L17" s="278"/>
      <c r="O17" s="38" t="s">
        <v>1014</v>
      </c>
      <c r="P17" s="6" t="s">
        <v>1015</v>
      </c>
      <c r="Q17" s="273" t="str">
        <f>IFERROR(SUM((SUMIFS('capacity data'!$G:$G,'capacity data'!$E:$E,"PO",'capacity data'!$B:$B,P17))-SUMIFS('capacity data'!$H:$H,'capacity data'!$E:$E,"PO",'capacity data'!$B:$B,P17))/SUMIFS('capacity data'!$G:$G,'capacity data'!$E:$E,"PO",'capacity data'!$B:$B,P17),"")</f>
        <v/>
      </c>
      <c r="R17" s="273" t="str">
        <f>IFERROR(SUM((SUMIFS('capacity data'!$G:$G,'capacity data'!$E:$E,"PSO",'capacity data'!$B:$B,P17))-SUMIFS('capacity data'!$H:$H,'capacity data'!$E:$E,"PSO",'capacity data'!$B:$B,P17))/SUMIFS('capacity data'!$G:$G,'capacity data'!$E:$E,"PSO",'capacity data'!$B:$B,P17),"")</f>
        <v/>
      </c>
      <c r="S17" s="35" t="str">
        <f t="shared" si="0"/>
        <v/>
      </c>
      <c r="T17" s="274" t="str">
        <f>IFERROR(SUMIFS('capacity data'!$L:$L,'capacity data'!$B:$B,P17,'capacity data'!$E:$E,"PSO")/SUMIFS('capacity data'!$G:$G,'capacity data'!$E:$E,"PSO",'capacity data'!$B:$B,P17),"")</f>
        <v/>
      </c>
      <c r="U17" s="274" t="str">
        <f>IFERROR(SUMIFS('capacity data'!$L:$L,'capacity data'!$B:$B,P17,'capacity data'!$E:$E,"TPO")/SUMIFS('capacity data'!$G:$G,'capacity data'!$E:$E,"TPO",'capacity data'!$B:$B,P17),"")</f>
        <v/>
      </c>
    </row>
    <row r="18" spans="1:21" ht="16" x14ac:dyDescent="0.2">
      <c r="A18" s="278"/>
      <c r="B18" s="278"/>
      <c r="C18" s="278"/>
      <c r="D18" s="278"/>
      <c r="E18" s="278"/>
      <c r="G18" s="278"/>
      <c r="H18" s="278"/>
      <c r="I18" s="278"/>
      <c r="J18" s="278"/>
      <c r="K18" s="278"/>
      <c r="L18" s="278"/>
      <c r="O18" s="38" t="s">
        <v>1014</v>
      </c>
      <c r="P18" s="6" t="s">
        <v>849</v>
      </c>
      <c r="Q18" s="273" t="str">
        <f>IFERROR(SUM((SUMIFS('capacity data'!$G:$G,'capacity data'!$E:$E,"PO",'capacity data'!$B:$B,P18))-SUMIFS('capacity data'!$H:$H,'capacity data'!$E:$E,"PO",'capacity data'!$B:$B,P18))/SUMIFS('capacity data'!$G:$G,'capacity data'!$E:$E,"PO",'capacity data'!$B:$B,P18),"")</f>
        <v/>
      </c>
      <c r="R18" s="273" t="str">
        <f>IFERROR(SUM((SUMIFS('capacity data'!$G:$G,'capacity data'!$E:$E,"PSO",'capacity data'!$B:$B,P18))-SUMIFS('capacity data'!$H:$H,'capacity data'!$E:$E,"PSO",'capacity data'!$B:$B,P18))/SUMIFS('capacity data'!$G:$G,'capacity data'!$E:$E,"PSO",'capacity data'!$B:$B,P18),"")</f>
        <v/>
      </c>
      <c r="S18" s="35" t="str">
        <f t="shared" si="0"/>
        <v/>
      </c>
      <c r="T18" s="274" t="str">
        <f>IFERROR(SUMIFS('capacity data'!$L:$L,'capacity data'!$B:$B,P18,'capacity data'!$E:$E,"PSO")/SUMIFS('capacity data'!$G:$G,'capacity data'!$E:$E,"PSO",'capacity data'!$B:$B,P18),"")</f>
        <v/>
      </c>
      <c r="U18" s="274" t="str">
        <f>IFERROR(SUMIFS('capacity data'!$L:$L,'capacity data'!$B:$B,P18,'capacity data'!$E:$E,"TPO")/SUMIFS('capacity data'!$G:$G,'capacity data'!$E:$E,"TPO",'capacity data'!$B:$B,P18),"")</f>
        <v/>
      </c>
    </row>
    <row r="19" spans="1:21" ht="16" x14ac:dyDescent="0.2">
      <c r="A19" s="278"/>
      <c r="B19" s="278"/>
      <c r="C19" s="278"/>
      <c r="D19" s="278"/>
      <c r="E19" s="278"/>
      <c r="G19" s="278"/>
      <c r="H19" s="278"/>
      <c r="I19" s="278"/>
      <c r="J19" s="278"/>
      <c r="K19" s="278"/>
      <c r="L19" s="278"/>
      <c r="O19" s="38" t="s">
        <v>1014</v>
      </c>
      <c r="P19" s="6" t="s">
        <v>860</v>
      </c>
      <c r="Q19" s="273" t="str">
        <f>IFERROR(SUM((SUMIFS('capacity data'!$G:$G,'capacity data'!$E:$E,"PO",'capacity data'!$B:$B,P19))-SUMIFS('capacity data'!$H:$H,'capacity data'!$E:$E,"PO",'capacity data'!$B:$B,P19))/SUMIFS('capacity data'!$G:$G,'capacity data'!$E:$E,"PO",'capacity data'!$B:$B,P19),"")</f>
        <v/>
      </c>
      <c r="R19" s="273" t="str">
        <f>IFERROR(SUM((SUMIFS('capacity data'!$G:$G,'capacity data'!$E:$E,"PSO",'capacity data'!$B:$B,P19))-SUMIFS('capacity data'!$H:$H,'capacity data'!$E:$E,"PSO",'capacity data'!$B:$B,P19))/SUMIFS('capacity data'!$G:$G,'capacity data'!$E:$E,"PSO",'capacity data'!$B:$B,P19),"")</f>
        <v/>
      </c>
      <c r="S19" s="35" t="str">
        <f t="shared" si="0"/>
        <v/>
      </c>
      <c r="T19" s="274" t="str">
        <f>IFERROR(SUMIFS('capacity data'!$L:$L,'capacity data'!$B:$B,P19,'capacity data'!$E:$E,"PSO")/SUMIFS('capacity data'!$G:$G,'capacity data'!$E:$E,"PSO",'capacity data'!$B:$B,P19),"")</f>
        <v/>
      </c>
      <c r="U19" s="274" t="str">
        <f>IFERROR(SUMIFS('capacity data'!$L:$L,'capacity data'!$B:$B,P19,'capacity data'!$E:$E,"TPO")/SUMIFS('capacity data'!$G:$G,'capacity data'!$E:$E,"TPO",'capacity data'!$B:$B,P19),"")</f>
        <v/>
      </c>
    </row>
    <row r="20" spans="1:21" ht="16" x14ac:dyDescent="0.2">
      <c r="A20" s="278"/>
      <c r="B20" s="278"/>
      <c r="C20" s="278"/>
      <c r="D20" s="278"/>
      <c r="E20" s="278"/>
      <c r="G20" s="278"/>
      <c r="H20" s="278"/>
      <c r="I20" s="278"/>
      <c r="J20" s="278"/>
      <c r="K20" s="278"/>
      <c r="L20" s="278"/>
      <c r="O20" s="38" t="s">
        <v>1014</v>
      </c>
      <c r="P20" s="6" t="s">
        <v>871</v>
      </c>
      <c r="Q20" s="273" t="str">
        <f>IFERROR(SUM((SUMIFS('capacity data'!$G:$G,'capacity data'!$E:$E,"PO",'capacity data'!$B:$B,P20))-SUMIFS('capacity data'!$H:$H,'capacity data'!$E:$E,"PO",'capacity data'!$B:$B,P20))/SUMIFS('capacity data'!$G:$G,'capacity data'!$E:$E,"PO",'capacity data'!$B:$B,P20),"")</f>
        <v/>
      </c>
      <c r="R20" s="273" t="str">
        <f>IFERROR(SUM((SUMIFS('capacity data'!$G:$G,'capacity data'!$E:$E,"PSO",'capacity data'!$B:$B,P20))-SUMIFS('capacity data'!$H:$H,'capacity data'!$E:$E,"PSO",'capacity data'!$B:$B,P20))/SUMIFS('capacity data'!$G:$G,'capacity data'!$E:$E,"PSO",'capacity data'!$B:$B,P20),"")</f>
        <v/>
      </c>
      <c r="S20" s="35" t="str">
        <f t="shared" si="0"/>
        <v/>
      </c>
      <c r="T20" s="274" t="str">
        <f>IFERROR(SUMIFS('capacity data'!$L:$L,'capacity data'!$B:$B,P20,'capacity data'!$E:$E,"PSO")/SUMIFS('capacity data'!$G:$G,'capacity data'!$E:$E,"PSO",'capacity data'!$B:$B,P20),"")</f>
        <v/>
      </c>
      <c r="U20" s="274" t="str">
        <f>IFERROR(SUMIFS('capacity data'!$L:$L,'capacity data'!$B:$B,P20,'capacity data'!$E:$E,"TPO")/SUMIFS('capacity data'!$G:$G,'capacity data'!$E:$E,"TPO",'capacity data'!$B:$B,P20),"")</f>
        <v/>
      </c>
    </row>
    <row r="21" spans="1:21" ht="16" x14ac:dyDescent="0.2">
      <c r="A21" s="278"/>
      <c r="B21" s="278"/>
      <c r="C21" s="278"/>
      <c r="D21" s="278"/>
      <c r="E21" s="278"/>
      <c r="G21" s="278"/>
      <c r="H21" s="278"/>
      <c r="I21" s="278"/>
      <c r="J21" s="278"/>
      <c r="K21" s="278"/>
      <c r="L21" s="278"/>
      <c r="O21" s="38" t="s">
        <v>1014</v>
      </c>
      <c r="P21" s="6" t="s">
        <v>77</v>
      </c>
      <c r="Q21" s="273" t="str">
        <f>IFERROR(SUM((SUMIFS('capacity data'!$G:$G,'capacity data'!$E:$E,"PO",'capacity data'!$B:$B,P21))-SUMIFS('capacity data'!$H:$H,'capacity data'!$E:$E,"PO",'capacity data'!$B:$B,P21))/SUMIFS('capacity data'!$G:$G,'capacity data'!$E:$E,"PO",'capacity data'!$B:$B,P21),"")</f>
        <v/>
      </c>
      <c r="R21" s="273" t="str">
        <f>IFERROR(SUM((SUMIFS('capacity data'!$G:$G,'capacity data'!$E:$E,"PSO",'capacity data'!$B:$B,P21))-SUMIFS('capacity data'!$H:$H,'capacity data'!$E:$E,"PSO",'capacity data'!$B:$B,P21))/SUMIFS('capacity data'!$G:$G,'capacity data'!$E:$E,"PSO",'capacity data'!$B:$B,P21),"")</f>
        <v/>
      </c>
      <c r="S21" s="35" t="str">
        <f t="shared" si="0"/>
        <v/>
      </c>
      <c r="T21" s="274" t="str">
        <f>IFERROR(SUMIFS('capacity data'!$L:$L,'capacity data'!$B:$B,P21,'capacity data'!$E:$E,"PSO")/SUMIFS('capacity data'!$G:$G,'capacity data'!$E:$E,"PSO",'capacity data'!$B:$B,P21),"")</f>
        <v/>
      </c>
      <c r="U21" s="274" t="str">
        <f>IFERROR(SUMIFS('capacity data'!$L:$L,'capacity data'!$B:$B,P21,'capacity data'!$E:$E,"TPO")/SUMIFS('capacity data'!$G:$G,'capacity data'!$E:$E,"TPO",'capacity data'!$B:$B,P21),"")</f>
        <v/>
      </c>
    </row>
    <row r="22" spans="1:21" ht="16" x14ac:dyDescent="0.2">
      <c r="A22" s="278"/>
      <c r="B22" s="278"/>
      <c r="C22" s="278"/>
      <c r="D22" s="278"/>
      <c r="E22" s="278"/>
      <c r="G22" s="278"/>
      <c r="H22" s="278"/>
      <c r="I22" s="278"/>
      <c r="J22" s="278"/>
      <c r="K22" s="278"/>
      <c r="L22" s="278"/>
      <c r="O22" s="38" t="s">
        <v>1014</v>
      </c>
      <c r="P22" s="6" t="s">
        <v>754</v>
      </c>
      <c r="Q22" s="273" t="str">
        <f>IFERROR(SUM((SUMIFS('capacity data'!$G:$G,'capacity data'!$E:$E,"PO",'capacity data'!$B:$B,P22))-SUMIFS('capacity data'!$H:$H,'capacity data'!$E:$E,"PO",'capacity data'!$B:$B,P22))/SUMIFS('capacity data'!$G:$G,'capacity data'!$E:$E,"PO",'capacity data'!$B:$B,P22),"")</f>
        <v/>
      </c>
      <c r="R22" s="273" t="str">
        <f>IFERROR(SUM((SUMIFS('capacity data'!$G:$G,'capacity data'!$E:$E,"PSO",'capacity data'!$B:$B,P22))-SUMIFS('capacity data'!$H:$H,'capacity data'!$E:$E,"PSO",'capacity data'!$B:$B,P22))/SUMIFS('capacity data'!$G:$G,'capacity data'!$E:$E,"PSO",'capacity data'!$B:$B,P22),"")</f>
        <v/>
      </c>
      <c r="S22" s="35" t="str">
        <f t="shared" si="0"/>
        <v/>
      </c>
      <c r="T22" s="274" t="str">
        <f>IFERROR(SUMIFS('capacity data'!$L:$L,'capacity data'!$B:$B,P22,'capacity data'!$E:$E,"PSO")/SUMIFS('capacity data'!$G:$G,'capacity data'!$E:$E,"PSO",'capacity data'!$B:$B,P22),"")</f>
        <v/>
      </c>
      <c r="U22" s="274" t="str">
        <f>IFERROR(SUMIFS('capacity data'!$L:$L,'capacity data'!$B:$B,P22,'capacity data'!$E:$E,"TPO")/SUMIFS('capacity data'!$G:$G,'capacity data'!$E:$E,"TPO",'capacity data'!$B:$B,P22),"")</f>
        <v/>
      </c>
    </row>
    <row r="23" spans="1:21" ht="16" x14ac:dyDescent="0.2">
      <c r="A23" s="278"/>
      <c r="B23" s="278"/>
      <c r="C23" s="278"/>
      <c r="D23" s="278"/>
      <c r="E23" s="278"/>
      <c r="G23" s="278"/>
      <c r="H23" s="278"/>
      <c r="I23" s="278"/>
      <c r="J23" s="278"/>
      <c r="K23" s="278"/>
      <c r="L23" s="278"/>
      <c r="O23" s="38" t="s">
        <v>1014</v>
      </c>
      <c r="P23" s="6" t="s">
        <v>1017</v>
      </c>
      <c r="Q23" s="273" t="str">
        <f>IFERROR(SUM((SUMIFS('capacity data'!$G:$G,'capacity data'!$E:$E,"PO",'capacity data'!$B:$B,P23))-SUMIFS('capacity data'!$H:$H,'capacity data'!$E:$E,"PO",'capacity data'!$B:$B,P23))/SUMIFS('capacity data'!$G:$G,'capacity data'!$E:$E,"PO",'capacity data'!$B:$B,P23),"")</f>
        <v/>
      </c>
      <c r="R23" s="273" t="str">
        <f>IFERROR(SUM((SUMIFS('capacity data'!$G:$G,'capacity data'!$E:$E,"PSO",'capacity data'!$B:$B,P23))-SUMIFS('capacity data'!$H:$H,'capacity data'!$E:$E,"PSO",'capacity data'!$B:$B,P23))/SUMIFS('capacity data'!$G:$G,'capacity data'!$E:$E,"PSO",'capacity data'!$B:$B,P23),"")</f>
        <v/>
      </c>
      <c r="S23" s="35" t="str">
        <f t="shared" si="0"/>
        <v/>
      </c>
      <c r="T23" s="274" t="str">
        <f>IFERROR(SUMIFS('capacity data'!$L:$L,'capacity data'!$B:$B,P23,'capacity data'!$E:$E,"PSO")/SUMIFS('capacity data'!$G:$G,'capacity data'!$E:$E,"PSO",'capacity data'!$B:$B,P23),"")</f>
        <v/>
      </c>
      <c r="U23" s="274" t="str">
        <f>IFERROR(SUMIFS('capacity data'!$L:$L,'capacity data'!$B:$B,P23,'capacity data'!$E:$E,"TPO")/SUMIFS('capacity data'!$G:$G,'capacity data'!$E:$E,"TPO",'capacity data'!$B:$B,P23),"")</f>
        <v/>
      </c>
    </row>
    <row r="24" spans="1:21" ht="16" x14ac:dyDescent="0.2">
      <c r="A24" s="278"/>
      <c r="B24" s="278"/>
      <c r="C24" s="278"/>
      <c r="D24" s="278"/>
      <c r="E24" s="278"/>
      <c r="G24" s="278"/>
      <c r="H24" s="278"/>
      <c r="I24" s="278"/>
      <c r="J24" s="278"/>
      <c r="K24" s="278"/>
      <c r="L24" s="278"/>
      <c r="O24" s="38" t="s">
        <v>5</v>
      </c>
      <c r="P24" s="6" t="s">
        <v>772</v>
      </c>
      <c r="Q24" s="273" t="str">
        <f>IFERROR(SUM((SUMIFS('capacity data'!$G:$G,'capacity data'!$E:$E,"PO",'capacity data'!$B:$B,P24))-SUMIFS('capacity data'!$H:$H,'capacity data'!$E:$E,"PO",'capacity data'!$B:$B,P24))/SUMIFS('capacity data'!$G:$G,'capacity data'!$E:$E,"PO",'capacity data'!$B:$B,P24),"")</f>
        <v/>
      </c>
      <c r="R24" s="273" t="str">
        <f>IFERROR(SUM((SUMIFS('capacity data'!$G:$G,'capacity data'!$E:$E,"PSO",'capacity data'!$B:$B,P24))-SUMIFS('capacity data'!$H:$H,'capacity data'!$E:$E,"PSO",'capacity data'!$B:$B,P24))/SUMIFS('capacity data'!$G:$G,'capacity data'!$E:$E,"PSO",'capacity data'!$B:$B,P24),"")</f>
        <v/>
      </c>
      <c r="S24" s="35" t="str">
        <f t="shared" si="0"/>
        <v/>
      </c>
      <c r="T24" s="274" t="str">
        <f>IFERROR(SUMIFS('capacity data'!$L:$L,'capacity data'!$B:$B,P24,'capacity data'!$E:$E,"PSO")/SUMIFS('capacity data'!$G:$G,'capacity data'!$E:$E,"PSO",'capacity data'!$B:$B,P24),"")</f>
        <v/>
      </c>
      <c r="U24" s="274" t="str">
        <f>IFERROR(SUMIFS('capacity data'!$L:$L,'capacity data'!$B:$B,P24,'capacity data'!$E:$E,"TPO")/SUMIFS('capacity data'!$G:$G,'capacity data'!$E:$E,"TPO",'capacity data'!$B:$B,P24),"")</f>
        <v/>
      </c>
    </row>
    <row r="25" spans="1:21" ht="16" x14ac:dyDescent="0.2">
      <c r="A25" s="278"/>
      <c r="B25" s="278"/>
      <c r="C25" s="278"/>
      <c r="D25" s="278"/>
      <c r="E25" s="278"/>
      <c r="G25" s="278"/>
      <c r="H25" s="278"/>
      <c r="I25" s="278"/>
      <c r="J25" s="278"/>
      <c r="K25" s="278"/>
      <c r="L25" s="278"/>
      <c r="O25" s="38" t="s">
        <v>5</v>
      </c>
      <c r="P25" s="6" t="s">
        <v>19</v>
      </c>
      <c r="Q25" s="273" t="str">
        <f>IFERROR(SUM((SUMIFS('capacity data'!$G:$G,'capacity data'!$E:$E,"PO",'capacity data'!$B:$B,P25))-SUMIFS('capacity data'!$H:$H,'capacity data'!$E:$E,"PO",'capacity data'!$B:$B,P25))/SUMIFS('capacity data'!$G:$G,'capacity data'!$E:$E,"PO",'capacity data'!$B:$B,P25),"")</f>
        <v/>
      </c>
      <c r="R25" s="273" t="str">
        <f>IFERROR(SUM((SUMIFS('capacity data'!$G:$G,'capacity data'!$E:$E,"PSO",'capacity data'!$B:$B,P25))-SUMIFS('capacity data'!$H:$H,'capacity data'!$E:$E,"PSO",'capacity data'!$B:$B,P25))/SUMIFS('capacity data'!$G:$G,'capacity data'!$E:$E,"PSO",'capacity data'!$B:$B,P25),"")</f>
        <v/>
      </c>
      <c r="S25" s="35" t="str">
        <f t="shared" si="0"/>
        <v/>
      </c>
      <c r="T25" s="274" t="str">
        <f>IFERROR(SUMIFS('capacity data'!$L:$L,'capacity data'!$B:$B,P25,'capacity data'!$E:$E,"PSO")/SUMIFS('capacity data'!$G:$G,'capacity data'!$E:$E,"PSO",'capacity data'!$B:$B,P25),"")</f>
        <v/>
      </c>
      <c r="U25" s="274" t="str">
        <f>IFERROR(SUMIFS('capacity data'!$L:$L,'capacity data'!$B:$B,P25,'capacity data'!$E:$E,"TPO")/SUMIFS('capacity data'!$G:$G,'capacity data'!$E:$E,"TPO",'capacity data'!$B:$B,P25),"")</f>
        <v/>
      </c>
    </row>
    <row r="26" spans="1:21" ht="16" x14ac:dyDescent="0.2">
      <c r="A26" s="278"/>
      <c r="B26" s="278"/>
      <c r="C26" s="278"/>
      <c r="D26" s="278"/>
      <c r="E26" s="278"/>
      <c r="G26" s="278"/>
      <c r="H26" s="278"/>
      <c r="I26" s="278"/>
      <c r="J26" s="278"/>
      <c r="K26" s="278"/>
      <c r="L26" s="278"/>
      <c r="O26" s="38" t="s">
        <v>5</v>
      </c>
      <c r="P26" s="6" t="s">
        <v>803</v>
      </c>
      <c r="Q26" s="273" t="str">
        <f>IFERROR(SUM((SUMIFS('capacity data'!$G:$G,'capacity data'!$E:$E,"PO",'capacity data'!$B:$B,P26))-SUMIFS('capacity data'!$H:$H,'capacity data'!$E:$E,"PO",'capacity data'!$B:$B,P26))/SUMIFS('capacity data'!$G:$G,'capacity data'!$E:$E,"PO",'capacity data'!$B:$B,P26),"")</f>
        <v/>
      </c>
      <c r="R26" s="273" t="str">
        <f>IFERROR(SUM((SUMIFS('capacity data'!$G:$G,'capacity data'!$E:$E,"PSO",'capacity data'!$B:$B,P26))-SUMIFS('capacity data'!$H:$H,'capacity data'!$E:$E,"PSO",'capacity data'!$B:$B,P26))/SUMIFS('capacity data'!$G:$G,'capacity data'!$E:$E,"PSO",'capacity data'!$B:$B,P26),"")</f>
        <v/>
      </c>
      <c r="S26" s="35" t="str">
        <f t="shared" si="0"/>
        <v/>
      </c>
      <c r="T26" s="274" t="str">
        <f>IFERROR(SUMIFS('capacity data'!$L:$L,'capacity data'!$B:$B,P26,'capacity data'!$E:$E,"PSO")/SUMIFS('capacity data'!$G:$G,'capacity data'!$E:$E,"PSO",'capacity data'!$B:$B,P26),"")</f>
        <v/>
      </c>
      <c r="U26" s="274" t="str">
        <f>IFERROR(SUMIFS('capacity data'!$L:$L,'capacity data'!$B:$B,P26,'capacity data'!$E:$E,"TPO")/SUMIFS('capacity data'!$G:$G,'capacity data'!$E:$E,"TPO",'capacity data'!$B:$B,P26),"")</f>
        <v/>
      </c>
    </row>
    <row r="27" spans="1:21" ht="16" x14ac:dyDescent="0.2">
      <c r="A27" s="278"/>
      <c r="B27" s="278"/>
      <c r="C27" s="278"/>
      <c r="D27" s="278"/>
      <c r="E27" s="278"/>
      <c r="G27" s="278"/>
      <c r="H27" s="278"/>
      <c r="I27" s="278"/>
      <c r="J27" s="278"/>
      <c r="K27" s="278"/>
      <c r="L27" s="278"/>
      <c r="O27" s="38" t="s">
        <v>5</v>
      </c>
      <c r="P27" s="6" t="s">
        <v>816</v>
      </c>
      <c r="Q27" s="273" t="str">
        <f>IFERROR(SUM((SUMIFS('capacity data'!$G:$G,'capacity data'!$E:$E,"PO",'capacity data'!$B:$B,P27))-SUMIFS('capacity data'!$H:$H,'capacity data'!$E:$E,"PO",'capacity data'!$B:$B,P27))/SUMIFS('capacity data'!$G:$G,'capacity data'!$E:$E,"PO",'capacity data'!$B:$B,P27),"")</f>
        <v/>
      </c>
      <c r="R27" s="273" t="str">
        <f>IFERROR(SUM((SUMIFS('capacity data'!$G:$G,'capacity data'!$E:$E,"PSO",'capacity data'!$B:$B,P27))-SUMIFS('capacity data'!$H:$H,'capacity data'!$E:$E,"PSO",'capacity data'!$B:$B,P27))/SUMIFS('capacity data'!$G:$G,'capacity data'!$E:$E,"PSO",'capacity data'!$B:$B,P27),"")</f>
        <v/>
      </c>
      <c r="S27" s="35" t="str">
        <f t="shared" si="0"/>
        <v/>
      </c>
      <c r="T27" s="274" t="str">
        <f>IFERROR(SUMIFS('capacity data'!$L:$L,'capacity data'!$B:$B,P27,'capacity data'!$E:$E,"PSO")/SUMIFS('capacity data'!$G:$G,'capacity data'!$E:$E,"PSO",'capacity data'!$B:$B,P27),"")</f>
        <v/>
      </c>
      <c r="U27" s="274" t="str">
        <f>IFERROR(SUMIFS('capacity data'!$L:$L,'capacity data'!$B:$B,P27,'capacity data'!$E:$E,"TPO")/SUMIFS('capacity data'!$G:$G,'capacity data'!$E:$E,"TPO",'capacity data'!$B:$B,P27),"")</f>
        <v/>
      </c>
    </row>
    <row r="28" spans="1:21" ht="16" x14ac:dyDescent="0.2">
      <c r="A28" s="278"/>
      <c r="B28" s="278"/>
      <c r="C28" s="278"/>
      <c r="D28" s="278"/>
      <c r="E28" s="278"/>
      <c r="G28" s="278"/>
      <c r="H28" s="278"/>
      <c r="I28" s="278"/>
      <c r="J28" s="278"/>
      <c r="K28" s="278"/>
      <c r="L28" s="278"/>
      <c r="O28" s="38" t="s">
        <v>5</v>
      </c>
      <c r="P28" s="6" t="s">
        <v>47</v>
      </c>
      <c r="Q28" s="273" t="str">
        <f>IFERROR(SUM((SUMIFS('capacity data'!$G:$G,'capacity data'!$E:$E,"PO",'capacity data'!$B:$B,P28))-SUMIFS('capacity data'!$H:$H,'capacity data'!$E:$E,"PO",'capacity data'!$B:$B,P28))/SUMIFS('capacity data'!$G:$G,'capacity data'!$E:$E,"PO",'capacity data'!$B:$B,P28),"")</f>
        <v/>
      </c>
      <c r="R28" s="273" t="str">
        <f>IFERROR(SUM((SUMIFS('capacity data'!$G:$G,'capacity data'!$E:$E,"PSO",'capacity data'!$B:$B,P28))-SUMIFS('capacity data'!$H:$H,'capacity data'!$E:$E,"PSO",'capacity data'!$B:$B,P28))/SUMIFS('capacity data'!$G:$G,'capacity data'!$E:$E,"PSO",'capacity data'!$B:$B,P28),"")</f>
        <v/>
      </c>
      <c r="S28" s="35" t="str">
        <f t="shared" si="0"/>
        <v/>
      </c>
      <c r="T28" s="274" t="str">
        <f>IFERROR(SUMIFS('capacity data'!$L:$L,'capacity data'!$B:$B,P28,'capacity data'!$E:$E,"PSO")/SUMIFS('capacity data'!$G:$G,'capacity data'!$E:$E,"PSO",'capacity data'!$B:$B,P28),"")</f>
        <v/>
      </c>
      <c r="U28" s="274" t="str">
        <f>IFERROR(SUMIFS('capacity data'!$L:$L,'capacity data'!$B:$B,P28,'capacity data'!$E:$E,"TPO")/SUMIFS('capacity data'!$G:$G,'capacity data'!$E:$E,"TPO",'capacity data'!$B:$B,P28),"")</f>
        <v/>
      </c>
    </row>
    <row r="29" spans="1:21" ht="16" x14ac:dyDescent="0.2">
      <c r="A29" s="278"/>
      <c r="B29" s="278"/>
      <c r="C29" s="278"/>
      <c r="D29" s="278"/>
      <c r="E29" s="278"/>
      <c r="G29" s="278"/>
      <c r="H29" s="278"/>
      <c r="I29" s="278"/>
      <c r="J29" s="278"/>
      <c r="K29" s="278"/>
      <c r="L29" s="278"/>
      <c r="O29" s="38" t="s">
        <v>5</v>
      </c>
      <c r="P29" s="6" t="s">
        <v>839</v>
      </c>
      <c r="Q29" s="273" t="str">
        <f>IFERROR(SUM((SUMIFS('capacity data'!$G:$G,'capacity data'!$E:$E,"PO",'capacity data'!$B:$B,P29))-SUMIFS('capacity data'!$H:$H,'capacity data'!$E:$E,"PO",'capacity data'!$B:$B,P29))/SUMIFS('capacity data'!$G:$G,'capacity data'!$E:$E,"PO",'capacity data'!$B:$B,P29),"")</f>
        <v/>
      </c>
      <c r="R29" s="273" t="str">
        <f>IFERROR(SUM((SUMIFS('capacity data'!$G:$G,'capacity data'!$E:$E,"PSO",'capacity data'!$B:$B,P29))-SUMIFS('capacity data'!$H:$H,'capacity data'!$E:$E,"PSO",'capacity data'!$B:$B,P29))/SUMIFS('capacity data'!$G:$G,'capacity data'!$E:$E,"PSO",'capacity data'!$B:$B,P29),"")</f>
        <v/>
      </c>
      <c r="S29" s="35" t="str">
        <f t="shared" si="0"/>
        <v/>
      </c>
      <c r="T29" s="274" t="str">
        <f>IFERROR(SUMIFS('capacity data'!$L:$L,'capacity data'!$B:$B,P29,'capacity data'!$E:$E,"PSO")/SUMIFS('capacity data'!$G:$G,'capacity data'!$E:$E,"PSO",'capacity data'!$B:$B,P29),"")</f>
        <v/>
      </c>
      <c r="U29" s="274" t="str">
        <f>IFERROR(SUMIFS('capacity data'!$L:$L,'capacity data'!$B:$B,P29,'capacity data'!$E:$E,"TPO")/SUMIFS('capacity data'!$G:$G,'capacity data'!$E:$E,"TPO",'capacity data'!$B:$B,P29),"")</f>
        <v/>
      </c>
    </row>
    <row r="30" spans="1:21" ht="16" x14ac:dyDescent="0.2">
      <c r="A30" s="278"/>
      <c r="B30" s="278"/>
      <c r="C30" s="278"/>
      <c r="D30" s="278"/>
      <c r="E30" s="278"/>
      <c r="G30" s="278"/>
      <c r="H30" s="278"/>
      <c r="I30" s="278"/>
      <c r="J30" s="278"/>
      <c r="K30" s="278"/>
      <c r="L30" s="278"/>
      <c r="O30" s="38" t="s">
        <v>5</v>
      </c>
      <c r="P30" s="6" t="s">
        <v>71</v>
      </c>
      <c r="Q30" s="273" t="str">
        <f>IFERROR(SUM((SUMIFS('capacity data'!$G:$G,'capacity data'!$E:$E,"PO",'capacity data'!$B:$B,P30))-SUMIFS('capacity data'!$H:$H,'capacity data'!$E:$E,"PO",'capacity data'!$B:$B,P30))/SUMIFS('capacity data'!$G:$G,'capacity data'!$E:$E,"PO",'capacity data'!$B:$B,P30),"")</f>
        <v/>
      </c>
      <c r="R30" s="273" t="str">
        <f>IFERROR(SUM((SUMIFS('capacity data'!$G:$G,'capacity data'!$E:$E,"PSO",'capacity data'!$B:$B,P30))-SUMIFS('capacity data'!$H:$H,'capacity data'!$E:$E,"PSO",'capacity data'!$B:$B,P30))/SUMIFS('capacity data'!$G:$G,'capacity data'!$E:$E,"PSO",'capacity data'!$B:$B,P30),"")</f>
        <v/>
      </c>
      <c r="S30" s="35" t="str">
        <f t="shared" si="0"/>
        <v/>
      </c>
      <c r="T30" s="274" t="str">
        <f>IFERROR(SUMIFS('capacity data'!$L:$L,'capacity data'!$B:$B,P30,'capacity data'!$E:$E,"PSO")/SUMIFS('capacity data'!$G:$G,'capacity data'!$E:$E,"PSO",'capacity data'!$B:$B,P30),"")</f>
        <v/>
      </c>
      <c r="U30" s="274" t="str">
        <f>IFERROR(SUMIFS('capacity data'!$L:$L,'capacity data'!$B:$B,P30,'capacity data'!$E:$E,"TPO")/SUMIFS('capacity data'!$G:$G,'capacity data'!$E:$E,"TPO",'capacity data'!$B:$B,P30),"")</f>
        <v/>
      </c>
    </row>
    <row r="31" spans="1:21" ht="16" x14ac:dyDescent="0.2">
      <c r="A31" s="278"/>
      <c r="B31" s="278"/>
      <c r="C31" s="278"/>
      <c r="D31" s="278"/>
      <c r="E31" s="278"/>
      <c r="G31" s="278"/>
      <c r="H31" s="278"/>
      <c r="I31" s="278"/>
      <c r="J31" s="278"/>
      <c r="K31" s="278"/>
      <c r="L31" s="278"/>
      <c r="O31" s="38" t="s">
        <v>5</v>
      </c>
      <c r="P31" s="6" t="s">
        <v>861</v>
      </c>
      <c r="Q31" s="273" t="str">
        <f>IFERROR(SUM((SUMIFS('capacity data'!$G:$G,'capacity data'!$E:$E,"PO",'capacity data'!$B:$B,P31))-SUMIFS('capacity data'!$H:$H,'capacity data'!$E:$E,"PO",'capacity data'!$B:$B,P31))/SUMIFS('capacity data'!$G:$G,'capacity data'!$E:$E,"PO",'capacity data'!$B:$B,P31),"")</f>
        <v/>
      </c>
      <c r="R31" s="273" t="str">
        <f>IFERROR(SUM((SUMIFS('capacity data'!$G:$G,'capacity data'!$E:$E,"PSO",'capacity data'!$B:$B,P31))-SUMIFS('capacity data'!$H:$H,'capacity data'!$E:$E,"PSO",'capacity data'!$B:$B,P31))/SUMIFS('capacity data'!$G:$G,'capacity data'!$E:$E,"PSO",'capacity data'!$B:$B,P31),"")</f>
        <v/>
      </c>
      <c r="S31" s="35" t="str">
        <f t="shared" si="0"/>
        <v/>
      </c>
      <c r="T31" s="274" t="str">
        <f>IFERROR(SUMIFS('capacity data'!$L:$L,'capacity data'!$B:$B,P31,'capacity data'!$E:$E,"PSO")/SUMIFS('capacity data'!$G:$G,'capacity data'!$E:$E,"PSO",'capacity data'!$B:$B,P31),"")</f>
        <v/>
      </c>
      <c r="U31" s="274" t="str">
        <f>IFERROR(SUMIFS('capacity data'!$L:$L,'capacity data'!$B:$B,P31,'capacity data'!$E:$E,"TPO")/SUMIFS('capacity data'!$G:$G,'capacity data'!$E:$E,"TPO",'capacity data'!$B:$B,P31),"")</f>
        <v/>
      </c>
    </row>
    <row r="32" spans="1:21" ht="16" x14ac:dyDescent="0.2">
      <c r="A32" s="278"/>
      <c r="B32" s="278"/>
      <c r="C32" s="278"/>
      <c r="D32" s="278"/>
      <c r="E32" s="278"/>
      <c r="G32" s="278"/>
      <c r="H32" s="278"/>
      <c r="I32" s="278"/>
      <c r="J32" s="278"/>
      <c r="K32" s="278"/>
      <c r="L32" s="278"/>
      <c r="O32" s="38" t="s">
        <v>5</v>
      </c>
      <c r="P32" s="6" t="s">
        <v>872</v>
      </c>
      <c r="Q32" s="273" t="str">
        <f>IFERROR(SUM((SUMIFS('capacity data'!$G:$G,'capacity data'!$E:$E,"PO",'capacity data'!$B:$B,P32))-SUMIFS('capacity data'!$H:$H,'capacity data'!$E:$E,"PO",'capacity data'!$B:$B,P32))/SUMIFS('capacity data'!$G:$G,'capacity data'!$E:$E,"PO",'capacity data'!$B:$B,P32),"")</f>
        <v/>
      </c>
      <c r="R32" s="273" t="str">
        <f>IFERROR(SUM((SUMIFS('capacity data'!$G:$G,'capacity data'!$E:$E,"PSO",'capacity data'!$B:$B,P32))-SUMIFS('capacity data'!$H:$H,'capacity data'!$E:$E,"PSO",'capacity data'!$B:$B,P32))/SUMIFS('capacity data'!$G:$G,'capacity data'!$E:$E,"PSO",'capacity data'!$B:$B,P32),"")</f>
        <v/>
      </c>
      <c r="S32" s="35" t="str">
        <f t="shared" si="0"/>
        <v/>
      </c>
      <c r="T32" s="274" t="str">
        <f>IFERROR(SUMIFS('capacity data'!$L:$L,'capacity data'!$B:$B,P32,'capacity data'!$E:$E,"PSO")/SUMIFS('capacity data'!$G:$G,'capacity data'!$E:$E,"PSO",'capacity data'!$B:$B,P32),"")</f>
        <v/>
      </c>
      <c r="U32" s="274" t="str">
        <f>IFERROR(SUMIFS('capacity data'!$L:$L,'capacity data'!$B:$B,P32,'capacity data'!$E:$E,"TPO")/SUMIFS('capacity data'!$G:$G,'capacity data'!$E:$E,"TPO",'capacity data'!$B:$B,P32),"")</f>
        <v/>
      </c>
    </row>
    <row r="33" spans="1:21" ht="16" x14ac:dyDescent="0.2">
      <c r="A33" s="278"/>
      <c r="B33" s="278"/>
      <c r="C33" s="278"/>
      <c r="D33" s="278"/>
      <c r="E33" s="278"/>
      <c r="G33" s="278"/>
      <c r="H33" s="278"/>
      <c r="I33" s="278"/>
      <c r="J33" s="278"/>
      <c r="K33" s="278"/>
      <c r="L33" s="278"/>
      <c r="O33" s="38" t="s">
        <v>6</v>
      </c>
      <c r="P33" s="6" t="s">
        <v>10</v>
      </c>
      <c r="Q33" s="273" t="str">
        <f>IFERROR(SUM((SUMIFS('capacity data'!$G:$G,'capacity data'!$E:$E,"PO",'capacity data'!$B:$B,P33))-SUMIFS('capacity data'!$H:$H,'capacity data'!$E:$E,"PO",'capacity data'!$B:$B,P33))/SUMIFS('capacity data'!$G:$G,'capacity data'!$E:$E,"PO",'capacity data'!$B:$B,P33),"")</f>
        <v/>
      </c>
      <c r="R33" s="273" t="str">
        <f>IFERROR(SUM((SUMIFS('capacity data'!$G:$G,'capacity data'!$E:$E,"PSO",'capacity data'!$B:$B,P33))-SUMIFS('capacity data'!$H:$H,'capacity data'!$E:$E,"PSO",'capacity data'!$B:$B,P33))/SUMIFS('capacity data'!$G:$G,'capacity data'!$E:$E,"PSO",'capacity data'!$B:$B,P33),"")</f>
        <v/>
      </c>
      <c r="S33" s="35" t="str">
        <f t="shared" si="0"/>
        <v/>
      </c>
      <c r="T33" s="274" t="str">
        <f>IFERROR(SUMIFS('capacity data'!$L:$L,'capacity data'!$B:$B,P33,'capacity data'!$E:$E,"PSO")/SUMIFS('capacity data'!$G:$G,'capacity data'!$E:$E,"PSO",'capacity data'!$B:$B,P33),"")</f>
        <v/>
      </c>
      <c r="U33" s="274" t="str">
        <f>IFERROR(SUMIFS('capacity data'!$L:$L,'capacity data'!$B:$B,P33,'capacity data'!$E:$E,"TPO")/SUMIFS('capacity data'!$G:$G,'capacity data'!$E:$E,"TPO",'capacity data'!$B:$B,P33),"")</f>
        <v/>
      </c>
    </row>
    <row r="34" spans="1:21" ht="16" x14ac:dyDescent="0.2">
      <c r="A34" s="278"/>
      <c r="B34" s="278"/>
      <c r="C34" s="278"/>
      <c r="D34" s="278"/>
      <c r="E34" s="278"/>
      <c r="G34" s="278"/>
      <c r="H34" s="278"/>
      <c r="I34" s="278"/>
      <c r="J34" s="278"/>
      <c r="K34" s="278"/>
      <c r="L34" s="278"/>
      <c r="O34" s="38" t="s">
        <v>6</v>
      </c>
      <c r="P34" s="6" t="s">
        <v>20</v>
      </c>
      <c r="Q34" s="273" t="str">
        <f>IFERROR(SUM((SUMIFS('capacity data'!$G:$G,'capacity data'!$E:$E,"PO",'capacity data'!$B:$B,P34))-SUMIFS('capacity data'!$H:$H,'capacity data'!$E:$E,"PO",'capacity data'!$B:$B,P34))/SUMIFS('capacity data'!$G:$G,'capacity data'!$E:$E,"PO",'capacity data'!$B:$B,P34),"")</f>
        <v/>
      </c>
      <c r="R34" s="273" t="str">
        <f>IFERROR(SUM((SUMIFS('capacity data'!$G:$G,'capacity data'!$E:$E,"PSO",'capacity data'!$B:$B,P34))-SUMIFS('capacity data'!$H:$H,'capacity data'!$E:$E,"PSO",'capacity data'!$B:$B,P34))/SUMIFS('capacity data'!$G:$G,'capacity data'!$E:$E,"PSO",'capacity data'!$B:$B,P34),"")</f>
        <v/>
      </c>
      <c r="S34" s="35" t="str">
        <f t="shared" si="0"/>
        <v/>
      </c>
      <c r="T34" s="274" t="str">
        <f>IFERROR(SUMIFS('capacity data'!$L:$L,'capacity data'!$B:$B,P34,'capacity data'!$E:$E,"PSO")/SUMIFS('capacity data'!$G:$G,'capacity data'!$E:$E,"PSO",'capacity data'!$B:$B,P34),"")</f>
        <v/>
      </c>
      <c r="U34" s="274" t="str">
        <f>IFERROR(SUMIFS('capacity data'!$L:$L,'capacity data'!$B:$B,P34,'capacity data'!$E:$E,"TPO")/SUMIFS('capacity data'!$G:$G,'capacity data'!$E:$E,"TPO",'capacity data'!$B:$B,P34),"")</f>
        <v/>
      </c>
    </row>
    <row r="35" spans="1:21" ht="16" x14ac:dyDescent="0.2">
      <c r="A35" s="278"/>
      <c r="B35" s="278"/>
      <c r="C35" s="278"/>
      <c r="D35" s="278"/>
      <c r="E35" s="278"/>
      <c r="G35" s="278"/>
      <c r="H35" s="278"/>
      <c r="I35" s="278"/>
      <c r="J35" s="278"/>
      <c r="K35" s="278"/>
      <c r="L35" s="278"/>
      <c r="O35" s="38" t="s">
        <v>6</v>
      </c>
      <c r="P35" s="6" t="s">
        <v>804</v>
      </c>
      <c r="Q35" s="273" t="str">
        <f>IFERROR(SUM((SUMIFS('capacity data'!$G:$G,'capacity data'!$E:$E,"PO",'capacity data'!$B:$B,P35))-SUMIFS('capacity data'!$H:$H,'capacity data'!$E:$E,"PO",'capacity data'!$B:$B,P35))/SUMIFS('capacity data'!$G:$G,'capacity data'!$E:$E,"PO",'capacity data'!$B:$B,P35),"")</f>
        <v/>
      </c>
      <c r="R35" s="273" t="str">
        <f>IFERROR(SUM((SUMIFS('capacity data'!$G:$G,'capacity data'!$E:$E,"PSO",'capacity data'!$B:$B,P35))-SUMIFS('capacity data'!$H:$H,'capacity data'!$E:$E,"PSO",'capacity data'!$B:$B,P35))/SUMIFS('capacity data'!$G:$G,'capacity data'!$E:$E,"PSO",'capacity data'!$B:$B,P35),"")</f>
        <v/>
      </c>
      <c r="S35" s="35" t="str">
        <f t="shared" si="0"/>
        <v/>
      </c>
      <c r="T35" s="274" t="str">
        <f>IFERROR(SUMIFS('capacity data'!$L:$L,'capacity data'!$B:$B,P35,'capacity data'!$E:$E,"PSO")/SUMIFS('capacity data'!$G:$G,'capacity data'!$E:$E,"PSO",'capacity data'!$B:$B,P35),"")</f>
        <v/>
      </c>
      <c r="U35" s="274" t="str">
        <f>IFERROR(SUMIFS('capacity data'!$L:$L,'capacity data'!$B:$B,P35,'capacity data'!$E:$E,"TPO")/SUMIFS('capacity data'!$G:$G,'capacity data'!$E:$E,"TPO",'capacity data'!$B:$B,P35),"")</f>
        <v/>
      </c>
    </row>
    <row r="36" spans="1:21" ht="16" x14ac:dyDescent="0.2">
      <c r="A36" s="278"/>
      <c r="B36" s="278"/>
      <c r="C36" s="278"/>
      <c r="D36" s="278"/>
      <c r="E36" s="278"/>
      <c r="G36" s="278"/>
      <c r="H36" s="278"/>
      <c r="I36" s="278"/>
      <c r="J36" s="278"/>
      <c r="K36" s="278"/>
      <c r="L36" s="278"/>
      <c r="O36" s="38" t="s">
        <v>6</v>
      </c>
      <c r="P36" s="6" t="s">
        <v>755</v>
      </c>
      <c r="Q36" s="273" t="str">
        <f>IFERROR(SUM((SUMIFS('capacity data'!$G:$G,'capacity data'!$E:$E,"PO",'capacity data'!$B:$B,P36))-SUMIFS('capacity data'!$H:$H,'capacity data'!$E:$E,"PO",'capacity data'!$B:$B,P36))/SUMIFS('capacity data'!$G:$G,'capacity data'!$E:$E,"PO",'capacity data'!$B:$B,P36),"")</f>
        <v/>
      </c>
      <c r="R36" s="273" t="str">
        <f>IFERROR(SUM((SUMIFS('capacity data'!$G:$G,'capacity data'!$E:$E,"PSO",'capacity data'!$B:$B,P36))-SUMIFS('capacity data'!$H:$H,'capacity data'!$E:$E,"PSO",'capacity data'!$B:$B,P36))/SUMIFS('capacity data'!$G:$G,'capacity data'!$E:$E,"PSO",'capacity data'!$B:$B,P36),"")</f>
        <v/>
      </c>
      <c r="S36" s="35" t="str">
        <f t="shared" si="0"/>
        <v/>
      </c>
      <c r="T36" s="274" t="str">
        <f>IFERROR(SUMIFS('capacity data'!$L:$L,'capacity data'!$B:$B,P36,'capacity data'!$E:$E,"PSO")/SUMIFS('capacity data'!$G:$G,'capacity data'!$E:$E,"PSO",'capacity data'!$B:$B,P36),"")</f>
        <v/>
      </c>
      <c r="U36" s="274" t="str">
        <f>IFERROR(SUMIFS('capacity data'!$L:$L,'capacity data'!$B:$B,P36,'capacity data'!$E:$E,"TPO")/SUMIFS('capacity data'!$G:$G,'capacity data'!$E:$E,"TPO",'capacity data'!$B:$B,P36),"")</f>
        <v/>
      </c>
    </row>
    <row r="37" spans="1:21" ht="16" x14ac:dyDescent="0.2">
      <c r="A37" s="278"/>
      <c r="B37" s="278"/>
      <c r="C37" s="278"/>
      <c r="D37" s="278"/>
      <c r="E37" s="278"/>
      <c r="G37" s="278"/>
      <c r="H37" s="278"/>
      <c r="I37" s="278"/>
      <c r="J37" s="278"/>
      <c r="K37" s="278"/>
      <c r="L37" s="278"/>
      <c r="O37" s="38" t="s">
        <v>6</v>
      </c>
      <c r="P37" s="6" t="s">
        <v>38</v>
      </c>
      <c r="Q37" s="273" t="str">
        <f>IFERROR(SUM((SUMIFS('capacity data'!$G:$G,'capacity data'!$E:$E,"PO",'capacity data'!$B:$B,P37))-SUMIFS('capacity data'!$H:$H,'capacity data'!$E:$E,"PO",'capacity data'!$B:$B,P37))/SUMIFS('capacity data'!$G:$G,'capacity data'!$E:$E,"PO",'capacity data'!$B:$B,P37),"")</f>
        <v/>
      </c>
      <c r="R37" s="273" t="str">
        <f>IFERROR(SUM((SUMIFS('capacity data'!$G:$G,'capacity data'!$E:$E,"PSO",'capacity data'!$B:$B,P37))-SUMIFS('capacity data'!$H:$H,'capacity data'!$E:$E,"PSO",'capacity data'!$B:$B,P37))/SUMIFS('capacity data'!$G:$G,'capacity data'!$E:$E,"PSO",'capacity data'!$B:$B,P37),"")</f>
        <v/>
      </c>
      <c r="S37" s="35" t="str">
        <f t="shared" si="0"/>
        <v/>
      </c>
      <c r="T37" s="274" t="str">
        <f>IFERROR(SUMIFS('capacity data'!$L:$L,'capacity data'!$B:$B,P37,'capacity data'!$E:$E,"PSO")/SUMIFS('capacity data'!$G:$G,'capacity data'!$E:$E,"PSO",'capacity data'!$B:$B,P37),"")</f>
        <v/>
      </c>
      <c r="U37" s="274" t="str">
        <f>IFERROR(SUMIFS('capacity data'!$L:$L,'capacity data'!$B:$B,P37,'capacity data'!$E:$E,"TPO")/SUMIFS('capacity data'!$G:$G,'capacity data'!$E:$E,"TPO",'capacity data'!$B:$B,P37),"")</f>
        <v/>
      </c>
    </row>
    <row r="38" spans="1:21" ht="16" x14ac:dyDescent="0.2">
      <c r="A38" s="278"/>
      <c r="B38" s="278"/>
      <c r="C38" s="278"/>
      <c r="D38" s="278"/>
      <c r="E38" s="278"/>
      <c r="G38" s="278"/>
      <c r="H38" s="278"/>
      <c r="I38" s="278"/>
      <c r="J38" s="278"/>
      <c r="K38" s="278"/>
      <c r="L38" s="278"/>
      <c r="O38" s="38" t="s">
        <v>6</v>
      </c>
      <c r="P38" s="6" t="s">
        <v>48</v>
      </c>
      <c r="Q38" s="273" t="str">
        <f>IFERROR(SUM((SUMIFS('capacity data'!$G:$G,'capacity data'!$E:$E,"PO",'capacity data'!$B:$B,P38))-SUMIFS('capacity data'!$H:$H,'capacity data'!$E:$E,"PO",'capacity data'!$B:$B,P38))/SUMIFS('capacity data'!$G:$G,'capacity data'!$E:$E,"PO",'capacity data'!$B:$B,P38),"")</f>
        <v/>
      </c>
      <c r="R38" s="273" t="str">
        <f>IFERROR(SUM((SUMIFS('capacity data'!$G:$G,'capacity data'!$E:$E,"PSO",'capacity data'!$B:$B,P38))-SUMIFS('capacity data'!$H:$H,'capacity data'!$E:$E,"PSO",'capacity data'!$B:$B,P38))/SUMIFS('capacity data'!$G:$G,'capacity data'!$E:$E,"PSO",'capacity data'!$B:$B,P38),"")</f>
        <v/>
      </c>
      <c r="S38" s="35" t="str">
        <f t="shared" si="0"/>
        <v/>
      </c>
      <c r="T38" s="274" t="str">
        <f>IFERROR(SUMIFS('capacity data'!$L:$L,'capacity data'!$B:$B,P38,'capacity data'!$E:$E,"PSO")/SUMIFS('capacity data'!$G:$G,'capacity data'!$E:$E,"PSO",'capacity data'!$B:$B,P38),"")</f>
        <v/>
      </c>
      <c r="U38" s="274" t="str">
        <f>IFERROR(SUMIFS('capacity data'!$L:$L,'capacity data'!$B:$B,P38,'capacity data'!$E:$E,"TPO")/SUMIFS('capacity data'!$G:$G,'capacity data'!$E:$E,"TPO",'capacity data'!$B:$B,P38),"")</f>
        <v/>
      </c>
    </row>
    <row r="39" spans="1:21" ht="16" x14ac:dyDescent="0.2">
      <c r="A39" s="278"/>
      <c r="B39" s="278"/>
      <c r="C39" s="278"/>
      <c r="D39" s="278"/>
      <c r="E39" s="278"/>
      <c r="G39" s="278"/>
      <c r="H39" s="278"/>
      <c r="I39" s="278"/>
      <c r="J39" s="278"/>
      <c r="K39" s="278"/>
      <c r="L39" s="278"/>
      <c r="O39" s="38" t="s">
        <v>376</v>
      </c>
      <c r="P39" s="6" t="s">
        <v>1323</v>
      </c>
      <c r="Q39" s="273" t="str">
        <f>IFERROR(SUM((SUMIFS('capacity data'!$G:$G,'capacity data'!$E:$E,"PO",'capacity data'!$B:$B,P39))-SUMIFS('capacity data'!$H:$H,'capacity data'!$E:$E,"PO",'capacity data'!$B:$B,P39))/SUMIFS('capacity data'!$G:$G,'capacity data'!$E:$E,"PO",'capacity data'!$B:$B,P39),"")</f>
        <v/>
      </c>
      <c r="R39" s="273" t="str">
        <f>IFERROR(SUM((SUMIFS('capacity data'!$G:$G,'capacity data'!$E:$E,"PSO",'capacity data'!$B:$B,P39))-SUMIFS('capacity data'!$H:$H,'capacity data'!$E:$E,"PSO",'capacity data'!$B:$B,P39))/SUMIFS('capacity data'!$G:$G,'capacity data'!$E:$E,"PSO",'capacity data'!$B:$B,P39),"")</f>
        <v/>
      </c>
      <c r="S39" s="35" t="str">
        <f t="shared" si="0"/>
        <v/>
      </c>
      <c r="T39" s="274" t="str">
        <f>IFERROR(SUMIFS('capacity data'!$L:$L,'capacity data'!$B:$B,P39,'capacity data'!$E:$E,"PSO")/SUMIFS('capacity data'!$G:$G,'capacity data'!$E:$E,"PSO",'capacity data'!$B:$B,P39),"")</f>
        <v/>
      </c>
      <c r="U39" s="274" t="str">
        <f>IFERROR(SUMIFS('capacity data'!$L:$L,'capacity data'!$B:$B,P39,'capacity data'!$E:$E,"TPO")/SUMIFS('capacity data'!$G:$G,'capacity data'!$E:$E,"TPO",'capacity data'!$B:$B,P39),"")</f>
        <v/>
      </c>
    </row>
    <row r="40" spans="1:21" ht="16" x14ac:dyDescent="0.2">
      <c r="A40" s="278"/>
      <c r="B40" s="278"/>
      <c r="C40" s="278"/>
      <c r="D40" s="278"/>
      <c r="E40" s="278"/>
      <c r="G40" s="278"/>
      <c r="H40" s="278"/>
      <c r="I40" s="278"/>
      <c r="J40" s="278"/>
      <c r="K40" s="278"/>
      <c r="L40" s="278"/>
      <c r="O40" s="38" t="s">
        <v>376</v>
      </c>
      <c r="P40" s="6" t="s">
        <v>1322</v>
      </c>
      <c r="Q40" s="273" t="str">
        <f>IFERROR(SUM((SUMIFS('capacity data'!$G:$G,'capacity data'!$E:$E,"PO",'capacity data'!$B:$B,P40))-SUMIFS('capacity data'!$H:$H,'capacity data'!$E:$E,"PO",'capacity data'!$B:$B,P40))/SUMIFS('capacity data'!$G:$G,'capacity data'!$E:$E,"PO",'capacity data'!$B:$B,P40),"")</f>
        <v/>
      </c>
      <c r="R40" s="273" t="str">
        <f>IFERROR(SUM((SUMIFS('capacity data'!$G:$G,'capacity data'!$E:$E,"PSO",'capacity data'!$B:$B,P40))-SUMIFS('capacity data'!$H:$H,'capacity data'!$E:$E,"PSO",'capacity data'!$B:$B,P40))/SUMIFS('capacity data'!$G:$G,'capacity data'!$E:$E,"PSO",'capacity data'!$B:$B,P40),"")</f>
        <v/>
      </c>
      <c r="S40" s="35" t="str">
        <f t="shared" si="0"/>
        <v/>
      </c>
      <c r="T40" s="274" t="str">
        <f>IFERROR(SUMIFS('capacity data'!$L:$L,'capacity data'!$B:$B,P40,'capacity data'!$E:$E,"PSO")/SUMIFS('capacity data'!$G:$G,'capacity data'!$E:$E,"PSO",'capacity data'!$B:$B,P40),"")</f>
        <v/>
      </c>
      <c r="U40" s="274" t="str">
        <f>IFERROR(SUMIFS('capacity data'!$L:$L,'capacity data'!$B:$B,P40,'capacity data'!$E:$E,"TPO")/SUMIFS('capacity data'!$G:$G,'capacity data'!$E:$E,"TPO",'capacity data'!$B:$B,P40),"")</f>
        <v/>
      </c>
    </row>
    <row r="41" spans="1:21" ht="16" x14ac:dyDescent="0.2">
      <c r="A41" s="278"/>
      <c r="B41" s="278"/>
      <c r="C41" s="278"/>
      <c r="D41" s="278"/>
      <c r="E41" s="278"/>
      <c r="G41" s="278"/>
      <c r="H41" s="278"/>
      <c r="I41" s="278"/>
      <c r="J41" s="278"/>
      <c r="K41" s="278"/>
      <c r="L41" s="278"/>
      <c r="O41" s="38" t="s">
        <v>376</v>
      </c>
      <c r="P41" s="6" t="s">
        <v>11</v>
      </c>
      <c r="Q41" s="273" t="str">
        <f>IFERROR(SUM((SUMIFS('capacity data'!$G:$G,'capacity data'!$E:$E,"PO",'capacity data'!$B:$B,P41))-SUMIFS('capacity data'!$H:$H,'capacity data'!$E:$E,"PO",'capacity data'!$B:$B,P41))/SUMIFS('capacity data'!$G:$G,'capacity data'!$E:$E,"PO",'capacity data'!$B:$B,P41),"")</f>
        <v/>
      </c>
      <c r="R41" s="273" t="str">
        <f>IFERROR(SUM((SUMIFS('capacity data'!$G:$G,'capacity data'!$E:$E,"PSO",'capacity data'!$B:$B,P41))-SUMIFS('capacity data'!$H:$H,'capacity data'!$E:$E,"PSO",'capacity data'!$B:$B,P41))/SUMIFS('capacity data'!$G:$G,'capacity data'!$E:$E,"PSO",'capacity data'!$B:$B,P41),"")</f>
        <v/>
      </c>
      <c r="S41" s="35" t="str">
        <f t="shared" si="0"/>
        <v/>
      </c>
      <c r="T41" s="274" t="str">
        <f>IFERROR(SUMIFS('capacity data'!$L:$L,'capacity data'!$B:$B,P41,'capacity data'!$E:$E,"PSO")/SUMIFS('capacity data'!$G:$G,'capacity data'!$E:$E,"PSO",'capacity data'!$B:$B,P41),"")</f>
        <v/>
      </c>
      <c r="U41" s="274" t="str">
        <f>IFERROR(SUMIFS('capacity data'!$L:$L,'capacity data'!$B:$B,P41,'capacity data'!$E:$E,"TPO")/SUMIFS('capacity data'!$G:$G,'capacity data'!$E:$E,"TPO",'capacity data'!$B:$B,P41),"")</f>
        <v/>
      </c>
    </row>
    <row r="42" spans="1:21" ht="16" x14ac:dyDescent="0.2">
      <c r="A42" s="278"/>
      <c r="B42" s="278"/>
      <c r="C42" s="278"/>
      <c r="D42" s="278"/>
      <c r="E42" s="278"/>
      <c r="G42" s="278"/>
      <c r="H42" s="278"/>
      <c r="I42" s="278"/>
      <c r="J42" s="278"/>
      <c r="K42" s="278"/>
      <c r="L42" s="278"/>
      <c r="O42" s="38" t="s">
        <v>376</v>
      </c>
      <c r="P42" s="6" t="s">
        <v>790</v>
      </c>
      <c r="Q42" s="273" t="str">
        <f>IFERROR(SUM((SUMIFS('capacity data'!$G:$G,'capacity data'!$E:$E,"PO",'capacity data'!$B:$B,P42))-SUMIFS('capacity data'!$H:$H,'capacity data'!$E:$E,"PO",'capacity data'!$B:$B,P42))/SUMIFS('capacity data'!$G:$G,'capacity data'!$E:$E,"PO",'capacity data'!$B:$B,P42),"")</f>
        <v/>
      </c>
      <c r="R42" s="273" t="str">
        <f>IFERROR(SUM((SUMIFS('capacity data'!$G:$G,'capacity data'!$E:$E,"PSO",'capacity data'!$B:$B,P42))-SUMIFS('capacity data'!$H:$H,'capacity data'!$E:$E,"PSO",'capacity data'!$B:$B,P42))/SUMIFS('capacity data'!$G:$G,'capacity data'!$E:$E,"PSO",'capacity data'!$B:$B,P42),"")</f>
        <v/>
      </c>
      <c r="S42" s="35" t="str">
        <f t="shared" si="0"/>
        <v/>
      </c>
      <c r="T42" s="274" t="str">
        <f>IFERROR(SUMIFS('capacity data'!$L:$L,'capacity data'!$B:$B,P42,'capacity data'!$E:$E,"PSO")/SUMIFS('capacity data'!$G:$G,'capacity data'!$E:$E,"PSO",'capacity data'!$B:$B,P42),"")</f>
        <v/>
      </c>
      <c r="U42" s="274" t="str">
        <f>IFERROR(SUMIFS('capacity data'!$L:$L,'capacity data'!$B:$B,P42,'capacity data'!$E:$E,"TPO")/SUMIFS('capacity data'!$G:$G,'capacity data'!$E:$E,"TPO",'capacity data'!$B:$B,P42),"")</f>
        <v/>
      </c>
    </row>
    <row r="43" spans="1:21" ht="16" x14ac:dyDescent="0.2">
      <c r="A43" s="278"/>
      <c r="B43" s="278"/>
      <c r="C43" s="278"/>
      <c r="D43" s="278"/>
      <c r="E43" s="278"/>
      <c r="G43" s="278"/>
      <c r="H43" s="278"/>
      <c r="I43" s="278"/>
      <c r="J43" s="278"/>
      <c r="K43" s="278"/>
      <c r="L43" s="278"/>
      <c r="O43" s="38" t="s">
        <v>376</v>
      </c>
      <c r="P43" s="6" t="s">
        <v>28</v>
      </c>
      <c r="Q43" s="273" t="str">
        <f>IFERROR(SUM((SUMIFS('capacity data'!$G:$G,'capacity data'!$E:$E,"PO",'capacity data'!$B:$B,P43))-SUMIFS('capacity data'!$H:$H,'capacity data'!$E:$E,"PO",'capacity data'!$B:$B,P43))/SUMIFS('capacity data'!$G:$G,'capacity data'!$E:$E,"PO",'capacity data'!$B:$B,P43),"")</f>
        <v/>
      </c>
      <c r="R43" s="273" t="str">
        <f>IFERROR(SUM((SUMIFS('capacity data'!$G:$G,'capacity data'!$E:$E,"PSO",'capacity data'!$B:$B,P43))-SUMIFS('capacity data'!$H:$H,'capacity data'!$E:$E,"PSO",'capacity data'!$B:$B,P43))/SUMIFS('capacity data'!$G:$G,'capacity data'!$E:$E,"PSO",'capacity data'!$B:$B,P43),"")</f>
        <v/>
      </c>
      <c r="S43" s="35" t="str">
        <f t="shared" si="0"/>
        <v/>
      </c>
      <c r="T43" s="274" t="str">
        <f>IFERROR(SUMIFS('capacity data'!$L:$L,'capacity data'!$B:$B,P43,'capacity data'!$E:$E,"PSO")/SUMIFS('capacity data'!$G:$G,'capacity data'!$E:$E,"PSO",'capacity data'!$B:$B,P43),"")</f>
        <v/>
      </c>
      <c r="U43" s="274" t="str">
        <f>IFERROR(SUMIFS('capacity data'!$L:$L,'capacity data'!$B:$B,P43,'capacity data'!$E:$E,"TPO")/SUMIFS('capacity data'!$G:$G,'capacity data'!$E:$E,"TPO",'capacity data'!$B:$B,P43),"")</f>
        <v/>
      </c>
    </row>
    <row r="44" spans="1:21" ht="16" x14ac:dyDescent="0.2">
      <c r="A44" s="278"/>
      <c r="B44" s="278"/>
      <c r="C44" s="278"/>
      <c r="D44" s="278"/>
      <c r="E44" s="278"/>
      <c r="G44" s="278"/>
      <c r="H44" s="278"/>
      <c r="I44" s="278"/>
      <c r="J44" s="278"/>
      <c r="K44" s="278"/>
      <c r="L44" s="278"/>
      <c r="O44" s="38" t="s">
        <v>376</v>
      </c>
      <c r="P44" s="6" t="s">
        <v>1325</v>
      </c>
      <c r="Q44" s="273" t="str">
        <f>IFERROR(SUM((SUMIFS('capacity data'!$G:$G,'capacity data'!$E:$E,"PO",'capacity data'!$B:$B,P44))-SUMIFS('capacity data'!$H:$H,'capacity data'!$E:$E,"PO",'capacity data'!$B:$B,P44))/SUMIFS('capacity data'!$G:$G,'capacity data'!$E:$E,"PO",'capacity data'!$B:$B,P44),"")</f>
        <v/>
      </c>
      <c r="R44" s="273" t="str">
        <f>IFERROR(SUM((SUMIFS('capacity data'!$G:$G,'capacity data'!$E:$E,"PSO",'capacity data'!$B:$B,P44))-SUMIFS('capacity data'!$H:$H,'capacity data'!$E:$E,"PSO",'capacity data'!$B:$B,P44))/SUMIFS('capacity data'!$G:$G,'capacity data'!$E:$E,"PSO",'capacity data'!$B:$B,P44),"")</f>
        <v/>
      </c>
      <c r="S44" s="35" t="str">
        <f t="shared" si="0"/>
        <v/>
      </c>
      <c r="T44" s="274" t="str">
        <f>IFERROR(SUMIFS('capacity data'!$L:$L,'capacity data'!$B:$B,P44,'capacity data'!$E:$E,"PSO")/SUMIFS('capacity data'!$G:$G,'capacity data'!$E:$E,"PSO",'capacity data'!$B:$B,P44),"")</f>
        <v/>
      </c>
      <c r="U44" s="274" t="str">
        <f>IFERROR(SUMIFS('capacity data'!$L:$L,'capacity data'!$B:$B,P44,'capacity data'!$E:$E,"TPO")/SUMIFS('capacity data'!$G:$G,'capacity data'!$E:$E,"TPO",'capacity data'!$B:$B,P44),"")</f>
        <v/>
      </c>
    </row>
    <row r="45" spans="1:21" ht="16" x14ac:dyDescent="0.2">
      <c r="A45" s="278"/>
      <c r="B45" s="278"/>
      <c r="C45" s="278"/>
      <c r="D45" s="278"/>
      <c r="E45" s="278"/>
      <c r="G45" s="278"/>
      <c r="H45" s="278"/>
      <c r="I45" s="278"/>
      <c r="J45" s="278"/>
      <c r="K45" s="278"/>
      <c r="L45" s="278"/>
      <c r="O45" s="38" t="s">
        <v>376</v>
      </c>
      <c r="P45" s="6" t="s">
        <v>1324</v>
      </c>
      <c r="Q45" s="273" t="str">
        <f>IFERROR(SUM((SUMIFS('capacity data'!$G:$G,'capacity data'!$E:$E,"PO",'capacity data'!$B:$B,P45))-SUMIFS('capacity data'!$H:$H,'capacity data'!$E:$E,"PO",'capacity data'!$B:$B,P45))/SUMIFS('capacity data'!$G:$G,'capacity data'!$E:$E,"PO",'capacity data'!$B:$B,P45),"")</f>
        <v/>
      </c>
      <c r="R45" s="273" t="str">
        <f>IFERROR(SUM((SUMIFS('capacity data'!$G:$G,'capacity data'!$E:$E,"PSO",'capacity data'!$B:$B,P45))-SUMIFS('capacity data'!$H:$H,'capacity data'!$E:$E,"PSO",'capacity data'!$B:$B,P45))/SUMIFS('capacity data'!$G:$G,'capacity data'!$E:$E,"PSO",'capacity data'!$B:$B,P45),"")</f>
        <v/>
      </c>
      <c r="S45" s="35" t="str">
        <f t="shared" si="0"/>
        <v/>
      </c>
      <c r="T45" s="274" t="str">
        <f>IFERROR(SUMIFS('capacity data'!$L:$L,'capacity data'!$B:$B,P45,'capacity data'!$E:$E,"PSO")/SUMIFS('capacity data'!$G:$G,'capacity data'!$E:$E,"PSO",'capacity data'!$B:$B,P45),"")</f>
        <v/>
      </c>
      <c r="U45" s="274" t="str">
        <f>IFERROR(SUMIFS('capacity data'!$L:$L,'capacity data'!$B:$B,P45,'capacity data'!$E:$E,"TPO")/SUMIFS('capacity data'!$G:$G,'capacity data'!$E:$E,"TPO",'capacity data'!$B:$B,P45),"")</f>
        <v/>
      </c>
    </row>
    <row r="46" spans="1:21" ht="16" x14ac:dyDescent="0.2">
      <c r="A46" s="278"/>
      <c r="B46" s="278"/>
      <c r="C46" s="278"/>
      <c r="D46" s="278"/>
      <c r="E46" s="278"/>
      <c r="G46" s="278"/>
      <c r="H46" s="278"/>
      <c r="I46" s="278"/>
      <c r="J46" s="278"/>
      <c r="K46" s="278"/>
      <c r="L46" s="278"/>
      <c r="O46" s="38" t="s">
        <v>376</v>
      </c>
      <c r="P46" s="6" t="s">
        <v>817</v>
      </c>
      <c r="Q46" s="273" t="str">
        <f>IFERROR(SUM((SUMIFS('capacity data'!$G:$G,'capacity data'!$E:$E,"PO",'capacity data'!$B:$B,P46))-SUMIFS('capacity data'!$H:$H,'capacity data'!$E:$E,"PO",'capacity data'!$B:$B,P46))/SUMIFS('capacity data'!$G:$G,'capacity data'!$E:$E,"PO",'capacity data'!$B:$B,P46),"")</f>
        <v/>
      </c>
      <c r="R46" s="273" t="str">
        <f>IFERROR(SUM((SUMIFS('capacity data'!$G:$G,'capacity data'!$E:$E,"PSO",'capacity data'!$B:$B,P46))-SUMIFS('capacity data'!$H:$H,'capacity data'!$E:$E,"PSO",'capacity data'!$B:$B,P46))/SUMIFS('capacity data'!$G:$G,'capacity data'!$E:$E,"PSO",'capacity data'!$B:$B,P46),"")</f>
        <v/>
      </c>
      <c r="S46" s="35" t="str">
        <f t="shared" si="0"/>
        <v/>
      </c>
      <c r="T46" s="274" t="str">
        <f>IFERROR(SUMIFS('capacity data'!$L:$L,'capacity data'!$B:$B,P46,'capacity data'!$E:$E,"PSO")/SUMIFS('capacity data'!$G:$G,'capacity data'!$E:$E,"PSO",'capacity data'!$B:$B,P46),"")</f>
        <v/>
      </c>
      <c r="U46" s="274" t="str">
        <f>IFERROR(SUMIFS('capacity data'!$L:$L,'capacity data'!$B:$B,P46,'capacity data'!$E:$E,"TPO")/SUMIFS('capacity data'!$G:$G,'capacity data'!$E:$E,"TPO",'capacity data'!$B:$B,P46),"")</f>
        <v/>
      </c>
    </row>
    <row r="47" spans="1:21" ht="16" x14ac:dyDescent="0.2">
      <c r="A47" s="278"/>
      <c r="B47" s="278"/>
      <c r="C47" s="278"/>
      <c r="D47" s="278"/>
      <c r="E47" s="278"/>
      <c r="G47" s="278"/>
      <c r="H47" s="278"/>
      <c r="I47" s="278"/>
      <c r="J47" s="278"/>
      <c r="K47" s="278"/>
      <c r="L47" s="278"/>
      <c r="O47" s="38" t="s">
        <v>376</v>
      </c>
      <c r="P47" s="6" t="s">
        <v>49</v>
      </c>
      <c r="Q47" s="273" t="str">
        <f>IFERROR(SUM((SUMIFS('capacity data'!$G:$G,'capacity data'!$E:$E,"PO",'capacity data'!$B:$B,P47))-SUMIFS('capacity data'!$H:$H,'capacity data'!$E:$E,"PO",'capacity data'!$B:$B,P47))/SUMIFS('capacity data'!$G:$G,'capacity data'!$E:$E,"PO",'capacity data'!$B:$B,P47),"")</f>
        <v/>
      </c>
      <c r="R47" s="273" t="str">
        <f>IFERROR(SUM((SUMIFS('capacity data'!$G:$G,'capacity data'!$E:$E,"PSO",'capacity data'!$B:$B,P47))-SUMIFS('capacity data'!$H:$H,'capacity data'!$E:$E,"PSO",'capacity data'!$B:$B,P47))/SUMIFS('capacity data'!$G:$G,'capacity data'!$E:$E,"PSO",'capacity data'!$B:$B,P47),"")</f>
        <v/>
      </c>
      <c r="S47" s="35" t="str">
        <f t="shared" si="0"/>
        <v/>
      </c>
      <c r="T47" s="274" t="str">
        <f>IFERROR(SUMIFS('capacity data'!$L:$L,'capacity data'!$B:$B,P47,'capacity data'!$E:$E,"PSO")/SUMIFS('capacity data'!$G:$G,'capacity data'!$E:$E,"PSO",'capacity data'!$B:$B,P47),"")</f>
        <v/>
      </c>
      <c r="U47" s="274" t="str">
        <f>IFERROR(SUMIFS('capacity data'!$L:$L,'capacity data'!$B:$B,P47,'capacity data'!$E:$E,"TPO")/SUMIFS('capacity data'!$G:$G,'capacity data'!$E:$E,"TPO",'capacity data'!$B:$B,P47),"")</f>
        <v/>
      </c>
    </row>
    <row r="48" spans="1:21" ht="16" x14ac:dyDescent="0.2">
      <c r="A48" s="278"/>
      <c r="B48" s="278"/>
      <c r="C48" s="278"/>
      <c r="D48" s="278"/>
      <c r="E48" s="278"/>
      <c r="G48" s="278"/>
      <c r="H48" s="278"/>
      <c r="I48" s="278"/>
      <c r="J48" s="278"/>
      <c r="K48" s="278"/>
      <c r="L48" s="278"/>
      <c r="O48" s="38" t="s">
        <v>376</v>
      </c>
      <c r="P48" s="6" t="s">
        <v>60</v>
      </c>
      <c r="Q48" s="273" t="str">
        <f>IFERROR(SUM((SUMIFS('capacity data'!$G:$G,'capacity data'!$E:$E,"PO",'capacity data'!$B:$B,P48))-SUMIFS('capacity data'!$H:$H,'capacity data'!$E:$E,"PO",'capacity data'!$B:$B,P48))/SUMIFS('capacity data'!$G:$G,'capacity data'!$E:$E,"PO",'capacity data'!$B:$B,P48),"")</f>
        <v/>
      </c>
      <c r="R48" s="273" t="str">
        <f>IFERROR(SUM((SUMIFS('capacity data'!$G:$G,'capacity data'!$E:$E,"PSO",'capacity data'!$B:$B,P48))-SUMIFS('capacity data'!$H:$H,'capacity data'!$E:$E,"PSO",'capacity data'!$B:$B,P48))/SUMIFS('capacity data'!$G:$G,'capacity data'!$E:$E,"PSO",'capacity data'!$B:$B,P48),"")</f>
        <v/>
      </c>
      <c r="S48" s="35" t="str">
        <f t="shared" si="0"/>
        <v/>
      </c>
      <c r="T48" s="274" t="str">
        <f>IFERROR(SUMIFS('capacity data'!$L:$L,'capacity data'!$B:$B,P48,'capacity data'!$E:$E,"PSO")/SUMIFS('capacity data'!$G:$G,'capacity data'!$E:$E,"PSO",'capacity data'!$B:$B,P48),"")</f>
        <v/>
      </c>
      <c r="U48" s="274" t="str">
        <f>IFERROR(SUMIFS('capacity data'!$L:$L,'capacity data'!$B:$B,P48,'capacity data'!$E:$E,"TPO")/SUMIFS('capacity data'!$G:$G,'capacity data'!$E:$E,"TPO",'capacity data'!$B:$B,P48),"")</f>
        <v/>
      </c>
    </row>
    <row r="49" spans="1:21" ht="16" x14ac:dyDescent="0.2">
      <c r="A49" s="278"/>
      <c r="B49" s="278"/>
      <c r="C49" s="278"/>
      <c r="D49" s="278"/>
      <c r="E49" s="278"/>
      <c r="G49" s="278"/>
      <c r="H49" s="278"/>
      <c r="I49" s="278"/>
      <c r="J49" s="278"/>
      <c r="K49" s="278"/>
      <c r="L49" s="278"/>
      <c r="O49" s="38" t="s">
        <v>376</v>
      </c>
      <c r="P49" s="6" t="s">
        <v>72</v>
      </c>
      <c r="Q49" s="273" t="str">
        <f>IFERROR(SUM((SUMIFS('capacity data'!$G:$G,'capacity data'!$E:$E,"PO",'capacity data'!$B:$B,P49))-SUMIFS('capacity data'!$H:$H,'capacity data'!$E:$E,"PO",'capacity data'!$B:$B,P49))/SUMIFS('capacity data'!$G:$G,'capacity data'!$E:$E,"PO",'capacity data'!$B:$B,P49),"")</f>
        <v/>
      </c>
      <c r="R49" s="273" t="str">
        <f>IFERROR(SUM((SUMIFS('capacity data'!$G:$G,'capacity data'!$E:$E,"PSO",'capacity data'!$B:$B,P49))-SUMIFS('capacity data'!$H:$H,'capacity data'!$E:$E,"PSO",'capacity data'!$B:$B,P49))/SUMIFS('capacity data'!$G:$G,'capacity data'!$E:$E,"PSO",'capacity data'!$B:$B,P49),"")</f>
        <v/>
      </c>
      <c r="S49" s="35" t="str">
        <f t="shared" si="0"/>
        <v/>
      </c>
      <c r="T49" s="274" t="str">
        <f>IFERROR(SUMIFS('capacity data'!$L:$L,'capacity data'!$B:$B,P49,'capacity data'!$E:$E,"PSO")/SUMIFS('capacity data'!$G:$G,'capacity data'!$E:$E,"PSO",'capacity data'!$B:$B,P49),"")</f>
        <v/>
      </c>
      <c r="U49" s="274" t="str">
        <f>IFERROR(SUMIFS('capacity data'!$L:$L,'capacity data'!$B:$B,P49,'capacity data'!$E:$E,"TPO")/SUMIFS('capacity data'!$G:$G,'capacity data'!$E:$E,"TPO",'capacity data'!$B:$B,P49),"")</f>
        <v/>
      </c>
    </row>
    <row r="50" spans="1:21" ht="16" x14ac:dyDescent="0.2">
      <c r="A50" s="278"/>
      <c r="B50" s="278"/>
      <c r="C50" s="278"/>
      <c r="D50" s="278"/>
      <c r="E50" s="278"/>
      <c r="G50" s="278"/>
      <c r="H50" s="278"/>
      <c r="I50" s="278"/>
      <c r="J50" s="278"/>
      <c r="K50" s="278"/>
      <c r="L50" s="278"/>
      <c r="O50" s="38" t="s">
        <v>376</v>
      </c>
      <c r="P50" s="6" t="s">
        <v>78</v>
      </c>
      <c r="Q50" s="273" t="str">
        <f>IFERROR(SUM((SUMIFS('capacity data'!$G:$G,'capacity data'!$E:$E,"PO",'capacity data'!$B:$B,P50))-SUMIFS('capacity data'!$H:$H,'capacity data'!$E:$E,"PO",'capacity data'!$B:$B,P50))/SUMIFS('capacity data'!$G:$G,'capacity data'!$E:$E,"PO",'capacity data'!$B:$B,P50),"")</f>
        <v/>
      </c>
      <c r="R50" s="273" t="str">
        <f>IFERROR(SUM((SUMIFS('capacity data'!$G:$G,'capacity data'!$E:$E,"PSO",'capacity data'!$B:$B,P50))-SUMIFS('capacity data'!$H:$H,'capacity data'!$E:$E,"PSO",'capacity data'!$B:$B,P50))/SUMIFS('capacity data'!$G:$G,'capacity data'!$E:$E,"PSO",'capacity data'!$B:$B,P50),"")</f>
        <v/>
      </c>
      <c r="S50" s="35" t="str">
        <f t="shared" si="0"/>
        <v/>
      </c>
      <c r="T50" s="274" t="str">
        <f>IFERROR(SUMIFS('capacity data'!$L:$L,'capacity data'!$B:$B,P50,'capacity data'!$E:$E,"PSO")/SUMIFS('capacity data'!$G:$G,'capacity data'!$E:$E,"PSO",'capacity data'!$B:$B,P50),"")</f>
        <v/>
      </c>
      <c r="U50" s="274" t="str">
        <f>IFERROR(SUMIFS('capacity data'!$L:$L,'capacity data'!$B:$B,P50,'capacity data'!$E:$E,"TPO")/SUMIFS('capacity data'!$G:$G,'capacity data'!$E:$E,"TPO",'capacity data'!$B:$B,P50),"")</f>
        <v/>
      </c>
    </row>
    <row r="51" spans="1:21" ht="16" x14ac:dyDescent="0.2">
      <c r="A51" s="278"/>
      <c r="B51" s="278"/>
      <c r="C51" s="278"/>
      <c r="D51" s="278"/>
      <c r="E51" s="278"/>
      <c r="G51" s="278"/>
      <c r="H51" s="278"/>
      <c r="I51" s="278"/>
      <c r="J51" s="278"/>
      <c r="K51" s="278"/>
      <c r="L51" s="278"/>
      <c r="O51" s="38" t="s">
        <v>376</v>
      </c>
      <c r="P51" s="6" t="s">
        <v>84</v>
      </c>
      <c r="Q51" s="273" t="str">
        <f>IFERROR(SUM((SUMIFS('capacity data'!$G:$G,'capacity data'!$E:$E,"PO",'capacity data'!$B:$B,P51))-SUMIFS('capacity data'!$H:$H,'capacity data'!$E:$E,"PO",'capacity data'!$B:$B,P51))/SUMIFS('capacity data'!$G:$G,'capacity data'!$E:$E,"PO",'capacity data'!$B:$B,P51),"")</f>
        <v/>
      </c>
      <c r="R51" s="273" t="str">
        <f>IFERROR(SUM((SUMIFS('capacity data'!$G:$G,'capacity data'!$E:$E,"PSO",'capacity data'!$B:$B,P51))-SUMIFS('capacity data'!$H:$H,'capacity data'!$E:$E,"PSO",'capacity data'!$B:$B,P51))/SUMIFS('capacity data'!$G:$G,'capacity data'!$E:$E,"PSO",'capacity data'!$B:$B,P51),"")</f>
        <v/>
      </c>
      <c r="S51" s="35" t="str">
        <f t="shared" si="0"/>
        <v/>
      </c>
      <c r="T51" s="274" t="str">
        <f>IFERROR(SUMIFS('capacity data'!$L:$L,'capacity data'!$B:$B,P51,'capacity data'!$E:$E,"PSO")/SUMIFS('capacity data'!$G:$G,'capacity data'!$E:$E,"PSO",'capacity data'!$B:$B,P51),"")</f>
        <v/>
      </c>
      <c r="U51" s="274" t="str">
        <f>IFERROR(SUMIFS('capacity data'!$L:$L,'capacity data'!$B:$B,P51,'capacity data'!$E:$E,"TPO")/SUMIFS('capacity data'!$G:$G,'capacity data'!$E:$E,"TPO",'capacity data'!$B:$B,P51),"")</f>
        <v/>
      </c>
    </row>
    <row r="52" spans="1:21" ht="16" x14ac:dyDescent="0.2">
      <c r="A52" s="278"/>
      <c r="B52" s="278"/>
      <c r="C52" s="278"/>
      <c r="D52" s="278"/>
      <c r="E52" s="278"/>
      <c r="G52" s="278"/>
      <c r="H52" s="278"/>
      <c r="I52" s="278"/>
      <c r="J52" s="278"/>
      <c r="K52" s="278"/>
      <c r="L52" s="278"/>
      <c r="O52" s="38" t="s">
        <v>376</v>
      </c>
      <c r="P52" s="6" t="s">
        <v>89</v>
      </c>
      <c r="Q52" s="273" t="str">
        <f>IFERROR(SUM((SUMIFS('capacity data'!$G:$G,'capacity data'!$E:$E,"PO",'capacity data'!$B:$B,P52))-SUMIFS('capacity data'!$H:$H,'capacity data'!$E:$E,"PO",'capacity data'!$B:$B,P52))/SUMIFS('capacity data'!$G:$G,'capacity data'!$E:$E,"PO",'capacity data'!$B:$B,P52),"")</f>
        <v/>
      </c>
      <c r="R52" s="273" t="str">
        <f>IFERROR(SUM((SUMIFS('capacity data'!$G:$G,'capacity data'!$E:$E,"PSO",'capacity data'!$B:$B,P52))-SUMIFS('capacity data'!$H:$H,'capacity data'!$E:$E,"PSO",'capacity data'!$B:$B,P52))/SUMIFS('capacity data'!$G:$G,'capacity data'!$E:$E,"PSO",'capacity data'!$B:$B,P52),"")</f>
        <v/>
      </c>
      <c r="S52" s="35" t="str">
        <f t="shared" si="0"/>
        <v/>
      </c>
      <c r="T52" s="274" t="str">
        <f>IFERROR(SUMIFS('capacity data'!$L:$L,'capacity data'!$B:$B,P52,'capacity data'!$E:$E,"PSO")/SUMIFS('capacity data'!$G:$G,'capacity data'!$E:$E,"PSO",'capacity data'!$B:$B,P52),"")</f>
        <v/>
      </c>
      <c r="U52" s="274" t="str">
        <f>IFERROR(SUMIFS('capacity data'!$L:$L,'capacity data'!$B:$B,P52,'capacity data'!$E:$E,"TPO")/SUMIFS('capacity data'!$G:$G,'capacity data'!$E:$E,"TPO",'capacity data'!$B:$B,P52),"")</f>
        <v/>
      </c>
    </row>
    <row r="53" spans="1:21" ht="16" x14ac:dyDescent="0.2">
      <c r="A53" s="278"/>
      <c r="B53" s="278"/>
      <c r="C53" s="278"/>
      <c r="D53" s="278"/>
      <c r="E53" s="278"/>
      <c r="G53" s="278"/>
      <c r="H53" s="278"/>
      <c r="I53" s="278"/>
      <c r="J53" s="278"/>
      <c r="K53" s="278"/>
      <c r="L53" s="278"/>
      <c r="O53" s="38" t="s">
        <v>376</v>
      </c>
      <c r="P53" s="6" t="s">
        <v>889</v>
      </c>
      <c r="Q53" s="273" t="str">
        <f>IFERROR(SUM((SUMIFS('capacity data'!$G:$G,'capacity data'!$E:$E,"PO",'capacity data'!$B:$B,P53))-SUMIFS('capacity data'!$H:$H,'capacity data'!$E:$E,"PO",'capacity data'!$B:$B,P53))/SUMIFS('capacity data'!$G:$G,'capacity data'!$E:$E,"PO",'capacity data'!$B:$B,P53),"")</f>
        <v/>
      </c>
      <c r="R53" s="273" t="str">
        <f>IFERROR(SUM((SUMIFS('capacity data'!$G:$G,'capacity data'!$E:$E,"PSO",'capacity data'!$B:$B,P53))-SUMIFS('capacity data'!$H:$H,'capacity data'!$E:$E,"PSO",'capacity data'!$B:$B,P53))/SUMIFS('capacity data'!$G:$G,'capacity data'!$E:$E,"PSO",'capacity data'!$B:$B,P53),"")</f>
        <v/>
      </c>
      <c r="S53" s="35" t="str">
        <f t="shared" si="0"/>
        <v/>
      </c>
      <c r="T53" s="274" t="str">
        <f>IFERROR(SUMIFS('capacity data'!$L:$L,'capacity data'!$B:$B,P53,'capacity data'!$E:$E,"PSO")/SUMIFS('capacity data'!$G:$G,'capacity data'!$E:$E,"PSO",'capacity data'!$B:$B,P53),"")</f>
        <v/>
      </c>
      <c r="U53" s="274" t="str">
        <f>IFERROR(SUMIFS('capacity data'!$L:$L,'capacity data'!$B:$B,P53,'capacity data'!$E:$E,"TPO")/SUMIFS('capacity data'!$G:$G,'capacity data'!$E:$E,"TPO",'capacity data'!$B:$B,P53),"")</f>
        <v/>
      </c>
    </row>
    <row r="54" spans="1:21" ht="16" x14ac:dyDescent="0.2">
      <c r="A54" s="278"/>
      <c r="B54" s="278"/>
      <c r="C54" s="278"/>
      <c r="D54" s="278"/>
      <c r="E54" s="278"/>
      <c r="G54" s="278"/>
      <c r="H54" s="278"/>
      <c r="I54" s="278"/>
      <c r="J54" s="278"/>
      <c r="K54" s="278"/>
      <c r="L54" s="278"/>
      <c r="O54" s="38" t="s">
        <v>376</v>
      </c>
      <c r="P54" s="6" t="s">
        <v>1317</v>
      </c>
      <c r="Q54" s="273" t="str">
        <f>IFERROR(SUM((SUMIFS('capacity data'!$G:$G,'capacity data'!$E:$E,"PO",'capacity data'!$B:$B,P54))-SUMIFS('capacity data'!$H:$H,'capacity data'!$E:$E,"PO",'capacity data'!$B:$B,P54))/SUMIFS('capacity data'!$G:$G,'capacity data'!$E:$E,"PO",'capacity data'!$B:$B,P54),"")</f>
        <v/>
      </c>
      <c r="R54" s="273" t="str">
        <f>IFERROR(SUM((SUMIFS('capacity data'!$G:$G,'capacity data'!$E:$E,"PSO",'capacity data'!$B:$B,P54))-SUMIFS('capacity data'!$H:$H,'capacity data'!$E:$E,"PSO",'capacity data'!$B:$B,P54))/SUMIFS('capacity data'!$G:$G,'capacity data'!$E:$E,"PSO",'capacity data'!$B:$B,P54),"")</f>
        <v/>
      </c>
      <c r="S54" s="35" t="str">
        <f t="shared" si="0"/>
        <v/>
      </c>
      <c r="T54" s="274" t="str">
        <f>IFERROR(SUMIFS('capacity data'!$L:$L,'capacity data'!$B:$B,P54,'capacity data'!$E:$E,"PSO")/SUMIFS('capacity data'!$G:$G,'capacity data'!$E:$E,"PSO",'capacity data'!$B:$B,P54),"")</f>
        <v/>
      </c>
      <c r="U54" s="274" t="str">
        <f>IFERROR(SUMIFS('capacity data'!$L:$L,'capacity data'!$B:$B,P54,'capacity data'!$E:$E,"TPO")/SUMIFS('capacity data'!$G:$G,'capacity data'!$E:$E,"TPO",'capacity data'!$B:$B,P54),"")</f>
        <v/>
      </c>
    </row>
    <row r="55" spans="1:21" ht="16" x14ac:dyDescent="0.2">
      <c r="A55" s="278"/>
      <c r="B55" s="278"/>
      <c r="C55" s="278"/>
      <c r="D55" s="278"/>
      <c r="E55" s="278"/>
      <c r="G55" s="278"/>
      <c r="H55" s="278"/>
      <c r="I55" s="278"/>
      <c r="J55" s="278"/>
      <c r="K55" s="278"/>
      <c r="L55" s="278"/>
      <c r="O55" s="38" t="s">
        <v>376</v>
      </c>
      <c r="P55" s="6" t="s">
        <v>101</v>
      </c>
      <c r="Q55" s="273" t="str">
        <f>IFERROR(SUM((SUMIFS('capacity data'!$G:$G,'capacity data'!$E:$E,"PO",'capacity data'!$B:$B,P55))-SUMIFS('capacity data'!$H:$H,'capacity data'!$E:$E,"PO",'capacity data'!$B:$B,P55))/SUMIFS('capacity data'!$G:$G,'capacity data'!$E:$E,"PO",'capacity data'!$B:$B,P55),"")</f>
        <v/>
      </c>
      <c r="R55" s="273" t="str">
        <f>IFERROR(SUM((SUMIFS('capacity data'!$G:$G,'capacity data'!$E:$E,"PSO",'capacity data'!$B:$B,P55))-SUMIFS('capacity data'!$H:$H,'capacity data'!$E:$E,"PSO",'capacity data'!$B:$B,P55))/SUMIFS('capacity data'!$G:$G,'capacity data'!$E:$E,"PSO",'capacity data'!$B:$B,P55),"")</f>
        <v/>
      </c>
      <c r="S55" s="35" t="str">
        <f t="shared" si="0"/>
        <v/>
      </c>
      <c r="T55" s="274" t="str">
        <f>IFERROR(SUMIFS('capacity data'!$L:$L,'capacity data'!$B:$B,P55,'capacity data'!$E:$E,"PSO")/SUMIFS('capacity data'!$G:$G,'capacity data'!$E:$E,"PSO",'capacity data'!$B:$B,P55),"")</f>
        <v/>
      </c>
      <c r="U55" s="274" t="str">
        <f>IFERROR(SUMIFS('capacity data'!$L:$L,'capacity data'!$B:$B,P55,'capacity data'!$E:$E,"TPO")/SUMIFS('capacity data'!$G:$G,'capacity data'!$E:$E,"TPO",'capacity data'!$B:$B,P55),"")</f>
        <v/>
      </c>
    </row>
    <row r="56" spans="1:21" ht="16" x14ac:dyDescent="0.2">
      <c r="A56" s="278"/>
      <c r="B56" s="278"/>
      <c r="C56" s="278"/>
      <c r="D56" s="278"/>
      <c r="E56" s="278"/>
      <c r="G56" s="278"/>
      <c r="H56" s="278"/>
      <c r="I56" s="278"/>
      <c r="J56" s="278"/>
      <c r="K56" s="278"/>
      <c r="L56" s="278"/>
      <c r="O56" s="38" t="s">
        <v>376</v>
      </c>
      <c r="P56" s="6" t="s">
        <v>905</v>
      </c>
      <c r="Q56" s="273" t="str">
        <f>IFERROR(SUM((SUMIFS('capacity data'!$G:$G,'capacity data'!$E:$E,"PO",'capacity data'!$B:$B,P56))-SUMIFS('capacity data'!$H:$H,'capacity data'!$E:$E,"PO",'capacity data'!$B:$B,P56))/SUMIFS('capacity data'!$G:$G,'capacity data'!$E:$E,"PO",'capacity data'!$B:$B,P56),"")</f>
        <v/>
      </c>
      <c r="R56" s="273" t="str">
        <f>IFERROR(SUM((SUMIFS('capacity data'!$G:$G,'capacity data'!$E:$E,"PSO",'capacity data'!$B:$B,P56))-SUMIFS('capacity data'!$H:$H,'capacity data'!$E:$E,"PSO",'capacity data'!$B:$B,P56))/SUMIFS('capacity data'!$G:$G,'capacity data'!$E:$E,"PSO",'capacity data'!$B:$B,P56),"")</f>
        <v/>
      </c>
      <c r="S56" s="35" t="str">
        <f t="shared" si="0"/>
        <v/>
      </c>
      <c r="T56" s="274" t="str">
        <f>IFERROR(SUMIFS('capacity data'!$L:$L,'capacity data'!$B:$B,P56,'capacity data'!$E:$E,"PSO")/SUMIFS('capacity data'!$G:$G,'capacity data'!$E:$E,"PSO",'capacity data'!$B:$B,P56),"")</f>
        <v/>
      </c>
      <c r="U56" s="274" t="str">
        <f>IFERROR(SUMIFS('capacity data'!$L:$L,'capacity data'!$B:$B,P56,'capacity data'!$E:$E,"TPO")/SUMIFS('capacity data'!$G:$G,'capacity data'!$E:$E,"TPO",'capacity data'!$B:$B,P56),"")</f>
        <v/>
      </c>
    </row>
    <row r="57" spans="1:21" ht="16" x14ac:dyDescent="0.2">
      <c r="A57" s="278"/>
      <c r="B57" s="278"/>
      <c r="C57" s="278"/>
      <c r="D57" s="278"/>
      <c r="E57" s="278"/>
      <c r="G57" s="278"/>
      <c r="H57" s="278"/>
      <c r="I57" s="278"/>
      <c r="J57" s="278"/>
      <c r="K57" s="278"/>
      <c r="L57" s="278"/>
      <c r="O57" s="38" t="s">
        <v>376</v>
      </c>
      <c r="P57" s="6" t="s">
        <v>111</v>
      </c>
      <c r="Q57" s="273" t="str">
        <f>IFERROR(SUM((SUMIFS('capacity data'!$G:$G,'capacity data'!$E:$E,"PO",'capacity data'!$B:$B,P57))-SUMIFS('capacity data'!$H:$H,'capacity data'!$E:$E,"PO",'capacity data'!$B:$B,P57))/SUMIFS('capacity data'!$G:$G,'capacity data'!$E:$E,"PO",'capacity data'!$B:$B,P57),"")</f>
        <v/>
      </c>
      <c r="R57" s="273" t="str">
        <f>IFERROR(SUM((SUMIFS('capacity data'!$G:$G,'capacity data'!$E:$E,"PSO",'capacity data'!$B:$B,P57))-SUMIFS('capacity data'!$H:$H,'capacity data'!$E:$E,"PSO",'capacity data'!$B:$B,P57))/SUMIFS('capacity data'!$G:$G,'capacity data'!$E:$E,"PSO",'capacity data'!$B:$B,P57),"")</f>
        <v/>
      </c>
      <c r="S57" s="35" t="str">
        <f t="shared" si="0"/>
        <v/>
      </c>
      <c r="T57" s="274" t="str">
        <f>IFERROR(SUMIFS('capacity data'!$L:$L,'capacity data'!$B:$B,P57,'capacity data'!$E:$E,"PSO")/SUMIFS('capacity data'!$G:$G,'capacity data'!$E:$E,"PSO",'capacity data'!$B:$B,P57),"")</f>
        <v/>
      </c>
      <c r="U57" s="274" t="str">
        <f>IFERROR(SUMIFS('capacity data'!$L:$L,'capacity data'!$B:$B,P57,'capacity data'!$E:$E,"TPO")/SUMIFS('capacity data'!$G:$G,'capacity data'!$E:$E,"TPO",'capacity data'!$B:$B,P57),"")</f>
        <v/>
      </c>
    </row>
    <row r="58" spans="1:21" ht="16" x14ac:dyDescent="0.2">
      <c r="A58" s="278"/>
      <c r="B58" s="278"/>
      <c r="C58" s="278"/>
      <c r="D58" s="278"/>
      <c r="E58" s="278"/>
      <c r="G58" s="278"/>
      <c r="H58" s="278"/>
      <c r="I58" s="278"/>
      <c r="J58" s="278"/>
      <c r="K58" s="278"/>
      <c r="L58" s="278"/>
      <c r="O58" s="38" t="s">
        <v>376</v>
      </c>
      <c r="P58" s="6" t="s">
        <v>919</v>
      </c>
      <c r="Q58" s="273" t="str">
        <f>IFERROR(SUM((SUMIFS('capacity data'!$G:$G,'capacity data'!$E:$E,"PO",'capacity data'!$B:$B,P58))-SUMIFS('capacity data'!$H:$H,'capacity data'!$E:$E,"PO",'capacity data'!$B:$B,P58))/SUMIFS('capacity data'!$G:$G,'capacity data'!$E:$E,"PO",'capacity data'!$B:$B,P58),"")</f>
        <v/>
      </c>
      <c r="R58" s="273" t="str">
        <f>IFERROR(SUM((SUMIFS('capacity data'!$G:$G,'capacity data'!$E:$E,"PSO",'capacity data'!$B:$B,P58))-SUMIFS('capacity data'!$H:$H,'capacity data'!$E:$E,"PSO",'capacity data'!$B:$B,P58))/SUMIFS('capacity data'!$G:$G,'capacity data'!$E:$E,"PSO",'capacity data'!$B:$B,P58),"")</f>
        <v/>
      </c>
      <c r="S58" s="35" t="str">
        <f t="shared" si="0"/>
        <v/>
      </c>
      <c r="T58" s="274" t="str">
        <f>IFERROR(SUMIFS('capacity data'!$L:$L,'capacity data'!$B:$B,P58,'capacity data'!$E:$E,"PSO")/SUMIFS('capacity data'!$G:$G,'capacity data'!$E:$E,"PSO",'capacity data'!$B:$B,P58),"")</f>
        <v/>
      </c>
      <c r="U58" s="274" t="str">
        <f>IFERROR(SUMIFS('capacity data'!$L:$L,'capacity data'!$B:$B,P58,'capacity data'!$E:$E,"TPO")/SUMIFS('capacity data'!$G:$G,'capacity data'!$E:$E,"TPO",'capacity data'!$B:$B,P58),"")</f>
        <v/>
      </c>
    </row>
    <row r="59" spans="1:21" ht="16" x14ac:dyDescent="0.2">
      <c r="A59" s="278"/>
      <c r="B59" s="278"/>
      <c r="C59" s="278"/>
      <c r="D59" s="278"/>
      <c r="E59" s="278"/>
      <c r="G59" s="278"/>
      <c r="H59" s="278"/>
      <c r="I59" s="278"/>
      <c r="J59" s="278"/>
      <c r="K59" s="278"/>
      <c r="L59" s="278"/>
      <c r="O59" s="38" t="s">
        <v>376</v>
      </c>
      <c r="P59" s="6" t="s">
        <v>925</v>
      </c>
      <c r="Q59" s="273" t="str">
        <f>IFERROR(SUM((SUMIFS('capacity data'!$G:$G,'capacity data'!$E:$E,"PO",'capacity data'!$B:$B,P59))-SUMIFS('capacity data'!$H:$H,'capacity data'!$E:$E,"PO",'capacity data'!$B:$B,P59))/SUMIFS('capacity data'!$G:$G,'capacity data'!$E:$E,"PO",'capacity data'!$B:$B,P59),"")</f>
        <v/>
      </c>
      <c r="R59" s="273" t="str">
        <f>IFERROR(SUM((SUMIFS('capacity data'!$G:$G,'capacity data'!$E:$E,"PSO",'capacity data'!$B:$B,P59))-SUMIFS('capacity data'!$H:$H,'capacity data'!$E:$E,"PSO",'capacity data'!$B:$B,P59))/SUMIFS('capacity data'!$G:$G,'capacity data'!$E:$E,"PSO",'capacity data'!$B:$B,P59),"")</f>
        <v/>
      </c>
      <c r="S59" s="35" t="str">
        <f t="shared" si="0"/>
        <v/>
      </c>
      <c r="T59" s="274" t="str">
        <f>IFERROR(SUMIFS('capacity data'!$L:$L,'capacity data'!$B:$B,P59,'capacity data'!$E:$E,"PSO")/SUMIFS('capacity data'!$G:$G,'capacity data'!$E:$E,"PSO",'capacity data'!$B:$B,P59),"")</f>
        <v/>
      </c>
      <c r="U59" s="274" t="str">
        <f>IFERROR(SUMIFS('capacity data'!$L:$L,'capacity data'!$B:$B,P59,'capacity data'!$E:$E,"TPO")/SUMIFS('capacity data'!$G:$G,'capacity data'!$E:$E,"TPO",'capacity data'!$B:$B,P59),"")</f>
        <v/>
      </c>
    </row>
    <row r="60" spans="1:21" ht="16" x14ac:dyDescent="0.2">
      <c r="A60" s="278"/>
      <c r="B60" s="278"/>
      <c r="C60" s="278"/>
      <c r="D60" s="278"/>
      <c r="E60" s="278"/>
      <c r="G60" s="278"/>
      <c r="H60" s="278"/>
      <c r="I60" s="278"/>
      <c r="J60" s="278"/>
      <c r="K60" s="278"/>
      <c r="L60" s="278"/>
      <c r="O60" s="38" t="s">
        <v>376</v>
      </c>
      <c r="P60" s="6" t="s">
        <v>495</v>
      </c>
      <c r="Q60" s="273" t="str">
        <f>IFERROR(SUM((SUMIFS('capacity data'!$G:$G,'capacity data'!$E:$E,"PO",'capacity data'!$B:$B,P60))-SUMIFS('capacity data'!$H:$H,'capacity data'!$E:$E,"PO",'capacity data'!$B:$B,P60))/SUMIFS('capacity data'!$G:$G,'capacity data'!$E:$E,"PO",'capacity data'!$B:$B,P60),"")</f>
        <v/>
      </c>
      <c r="R60" s="273" t="str">
        <f>IFERROR(SUM((SUMIFS('capacity data'!$G:$G,'capacity data'!$E:$E,"PSO",'capacity data'!$B:$B,P60))-SUMIFS('capacity data'!$H:$H,'capacity data'!$E:$E,"PSO",'capacity data'!$B:$B,P60))/SUMIFS('capacity data'!$G:$G,'capacity data'!$E:$E,"PSO",'capacity data'!$B:$B,P60),"")</f>
        <v/>
      </c>
      <c r="S60" s="35" t="str">
        <f t="shared" si="0"/>
        <v/>
      </c>
      <c r="T60" s="274" t="str">
        <f>IFERROR(SUMIFS('capacity data'!$L:$L,'capacity data'!$B:$B,P60,'capacity data'!$E:$E,"PSO")/SUMIFS('capacity data'!$G:$G,'capacity data'!$E:$E,"PSO",'capacity data'!$B:$B,P60),"")</f>
        <v/>
      </c>
      <c r="U60" s="274" t="str">
        <f>IFERROR(SUMIFS('capacity data'!$L:$L,'capacity data'!$B:$B,P60,'capacity data'!$E:$E,"TPO")/SUMIFS('capacity data'!$G:$G,'capacity data'!$E:$E,"TPO",'capacity data'!$B:$B,P60),"")</f>
        <v/>
      </c>
    </row>
    <row r="61" spans="1:21" ht="16" x14ac:dyDescent="0.2">
      <c r="A61" s="278"/>
      <c r="B61" s="278"/>
      <c r="C61" s="278"/>
      <c r="D61" s="278"/>
      <c r="E61" s="278"/>
      <c r="G61" s="278"/>
      <c r="H61" s="278"/>
      <c r="I61" s="278"/>
      <c r="J61" s="278"/>
      <c r="K61" s="278"/>
      <c r="L61" s="278"/>
      <c r="O61" s="38" t="s">
        <v>376</v>
      </c>
      <c r="P61" s="6" t="s">
        <v>125</v>
      </c>
      <c r="Q61" s="273" t="str">
        <f>IFERROR(SUM((SUMIFS('capacity data'!$G:$G,'capacity data'!$E:$E,"PO",'capacity data'!$B:$B,P61))-SUMIFS('capacity data'!$H:$H,'capacity data'!$E:$E,"PO",'capacity data'!$B:$B,P61))/SUMIFS('capacity data'!$G:$G,'capacity data'!$E:$E,"PO",'capacity data'!$B:$B,P61),"")</f>
        <v/>
      </c>
      <c r="R61" s="273" t="str">
        <f>IFERROR(SUM((SUMIFS('capacity data'!$G:$G,'capacity data'!$E:$E,"PSO",'capacity data'!$B:$B,P61))-SUMIFS('capacity data'!$H:$H,'capacity data'!$E:$E,"PSO",'capacity data'!$B:$B,P61))/SUMIFS('capacity data'!$G:$G,'capacity data'!$E:$E,"PSO",'capacity data'!$B:$B,P61),"")</f>
        <v/>
      </c>
      <c r="S61" s="35" t="str">
        <f t="shared" si="0"/>
        <v/>
      </c>
      <c r="T61" s="274" t="str">
        <f>IFERROR(SUMIFS('capacity data'!$L:$L,'capacity data'!$B:$B,P61,'capacity data'!$E:$E,"PSO")/SUMIFS('capacity data'!$G:$G,'capacity data'!$E:$E,"PSO",'capacity data'!$B:$B,P61),"")</f>
        <v/>
      </c>
      <c r="U61" s="274" t="str">
        <f>IFERROR(SUMIFS('capacity data'!$L:$L,'capacity data'!$B:$B,P61,'capacity data'!$E:$E,"TPO")/SUMIFS('capacity data'!$G:$G,'capacity data'!$E:$E,"TPO",'capacity data'!$B:$B,P61),"")</f>
        <v/>
      </c>
    </row>
    <row r="62" spans="1:21" ht="16" x14ac:dyDescent="0.2">
      <c r="A62" s="278"/>
      <c r="B62" s="278"/>
      <c r="C62" s="278"/>
      <c r="D62" s="278"/>
      <c r="E62" s="278"/>
      <c r="G62" s="278"/>
      <c r="H62" s="278"/>
      <c r="I62" s="278"/>
      <c r="J62" s="278"/>
      <c r="K62" s="278"/>
      <c r="L62" s="278"/>
      <c r="O62" s="38" t="s">
        <v>376</v>
      </c>
      <c r="P62" s="6" t="s">
        <v>947</v>
      </c>
      <c r="Q62" s="273" t="str">
        <f>IFERROR(SUM((SUMIFS('capacity data'!$G:$G,'capacity data'!$E:$E,"PO",'capacity data'!$B:$B,P62))-SUMIFS('capacity data'!$H:$H,'capacity data'!$E:$E,"PO",'capacity data'!$B:$B,P62))/SUMIFS('capacity data'!$G:$G,'capacity data'!$E:$E,"PO",'capacity data'!$B:$B,P62),"")</f>
        <v/>
      </c>
      <c r="R62" s="273" t="str">
        <f>IFERROR(SUM((SUMIFS('capacity data'!$G:$G,'capacity data'!$E:$E,"PSO",'capacity data'!$B:$B,P62))-SUMIFS('capacity data'!$H:$H,'capacity data'!$E:$E,"PSO",'capacity data'!$B:$B,P62))/SUMIFS('capacity data'!$G:$G,'capacity data'!$E:$E,"PSO",'capacity data'!$B:$B,P62),"")</f>
        <v/>
      </c>
      <c r="S62" s="35" t="str">
        <f t="shared" si="0"/>
        <v/>
      </c>
      <c r="T62" s="274" t="str">
        <f>IFERROR(SUMIFS('capacity data'!$L:$L,'capacity data'!$B:$B,P62,'capacity data'!$E:$E,"PSO")/SUMIFS('capacity data'!$G:$G,'capacity data'!$E:$E,"PSO",'capacity data'!$B:$B,P62),"")</f>
        <v/>
      </c>
      <c r="U62" s="274" t="str">
        <f>IFERROR(SUMIFS('capacity data'!$L:$L,'capacity data'!$B:$B,P62,'capacity data'!$E:$E,"TPO")/SUMIFS('capacity data'!$G:$G,'capacity data'!$E:$E,"TPO",'capacity data'!$B:$B,P62),"")</f>
        <v/>
      </c>
    </row>
    <row r="63" spans="1:21" ht="16" x14ac:dyDescent="0.2">
      <c r="A63" s="278"/>
      <c r="B63" s="278"/>
      <c r="C63" s="278"/>
      <c r="D63" s="278"/>
      <c r="E63" s="278"/>
      <c r="G63" s="278"/>
      <c r="H63" s="278"/>
      <c r="I63" s="278"/>
      <c r="J63" s="278"/>
      <c r="K63" s="278"/>
      <c r="L63" s="278"/>
      <c r="O63" s="38" t="s">
        <v>376</v>
      </c>
      <c r="P63" s="6" t="s">
        <v>130</v>
      </c>
      <c r="Q63" s="273" t="str">
        <f>IFERROR(SUM((SUMIFS('capacity data'!$G:$G,'capacity data'!$E:$E,"PO",'capacity data'!$B:$B,P63))-SUMIFS('capacity data'!$H:$H,'capacity data'!$E:$E,"PO",'capacity data'!$B:$B,P63))/SUMIFS('capacity data'!$G:$G,'capacity data'!$E:$E,"PO",'capacity data'!$B:$B,P63),"")</f>
        <v/>
      </c>
      <c r="R63" s="273" t="str">
        <f>IFERROR(SUM((SUMIFS('capacity data'!$G:$G,'capacity data'!$E:$E,"PSO",'capacity data'!$B:$B,P63))-SUMIFS('capacity data'!$H:$H,'capacity data'!$E:$E,"PSO",'capacity data'!$B:$B,P63))/SUMIFS('capacity data'!$G:$G,'capacity data'!$E:$E,"PSO",'capacity data'!$B:$B,P63),"")</f>
        <v/>
      </c>
      <c r="S63" s="35" t="str">
        <f t="shared" si="0"/>
        <v/>
      </c>
      <c r="T63" s="274" t="str">
        <f>IFERROR(SUMIFS('capacity data'!$L:$L,'capacity data'!$B:$B,P63,'capacity data'!$E:$E,"PSO")/SUMIFS('capacity data'!$G:$G,'capacity data'!$E:$E,"PSO",'capacity data'!$B:$B,P63),"")</f>
        <v/>
      </c>
      <c r="U63" s="274" t="str">
        <f>IFERROR(SUMIFS('capacity data'!$L:$L,'capacity data'!$B:$B,P63,'capacity data'!$E:$E,"TPO")/SUMIFS('capacity data'!$G:$G,'capacity data'!$E:$E,"TPO",'capacity data'!$B:$B,P63),"")</f>
        <v/>
      </c>
    </row>
    <row r="64" spans="1:21" ht="16" x14ac:dyDescent="0.2">
      <c r="A64" s="278"/>
      <c r="B64" s="278"/>
      <c r="C64" s="278"/>
      <c r="D64" s="278"/>
      <c r="E64" s="278"/>
      <c r="G64" s="278"/>
      <c r="H64" s="278"/>
      <c r="I64" s="278"/>
      <c r="J64" s="278"/>
      <c r="K64" s="278"/>
      <c r="L64" s="278"/>
      <c r="O64" s="38" t="s">
        <v>376</v>
      </c>
      <c r="P64" s="6" t="s">
        <v>1326</v>
      </c>
      <c r="Q64" s="273" t="str">
        <f>IFERROR(SUM((SUMIFS('capacity data'!$G:$G,'capacity data'!$E:$E,"PO",'capacity data'!$B:$B,P64))-SUMIFS('capacity data'!$H:$H,'capacity data'!$E:$E,"PO",'capacity data'!$B:$B,P64))/SUMIFS('capacity data'!$G:$G,'capacity data'!$E:$E,"PO",'capacity data'!$B:$B,P64),"")</f>
        <v/>
      </c>
      <c r="R64" s="273" t="str">
        <f>IFERROR(SUM((SUMIFS('capacity data'!$G:$G,'capacity data'!$E:$E,"PSO",'capacity data'!$B:$B,P64))-SUMIFS('capacity data'!$H:$H,'capacity data'!$E:$E,"PSO",'capacity data'!$B:$B,P64))/SUMIFS('capacity data'!$G:$G,'capacity data'!$E:$E,"PSO",'capacity data'!$B:$B,P64),"")</f>
        <v/>
      </c>
      <c r="S64" s="35" t="str">
        <f t="shared" si="0"/>
        <v/>
      </c>
      <c r="T64" s="274" t="str">
        <f>IFERROR(SUMIFS('capacity data'!$L:$L,'capacity data'!$B:$B,P64,'capacity data'!$E:$E,"PSO")/SUMIFS('capacity data'!$G:$G,'capacity data'!$E:$E,"PSO",'capacity data'!$B:$B,P64),"")</f>
        <v/>
      </c>
      <c r="U64" s="274" t="str">
        <f>IFERROR(SUMIFS('capacity data'!$L:$L,'capacity data'!$B:$B,P64,'capacity data'!$E:$E,"TPO")/SUMIFS('capacity data'!$G:$G,'capacity data'!$E:$E,"TPO",'capacity data'!$B:$B,P64),"")</f>
        <v/>
      </c>
    </row>
    <row r="65" spans="1:21" ht="16" x14ac:dyDescent="0.2">
      <c r="A65" s="278"/>
      <c r="B65" s="278"/>
      <c r="C65" s="278"/>
      <c r="D65" s="278"/>
      <c r="E65" s="278"/>
      <c r="G65" s="278"/>
      <c r="H65" s="278"/>
      <c r="I65" s="278"/>
      <c r="J65" s="278"/>
      <c r="K65" s="278"/>
      <c r="L65" s="278"/>
      <c r="O65" s="38" t="s">
        <v>376</v>
      </c>
      <c r="P65" s="6" t="s">
        <v>132</v>
      </c>
      <c r="Q65" s="273" t="str">
        <f>IFERROR(SUM((SUMIFS('capacity data'!$G:$G,'capacity data'!$E:$E,"PO",'capacity data'!$B:$B,P65))-SUMIFS('capacity data'!$H:$H,'capacity data'!$E:$E,"PO",'capacity data'!$B:$B,P65))/SUMIFS('capacity data'!$G:$G,'capacity data'!$E:$E,"PO",'capacity data'!$B:$B,P65),"")</f>
        <v/>
      </c>
      <c r="R65" s="273" t="str">
        <f>IFERROR(SUM((SUMIFS('capacity data'!$G:$G,'capacity data'!$E:$E,"PSO",'capacity data'!$B:$B,P65))-SUMIFS('capacity data'!$H:$H,'capacity data'!$E:$E,"PSO",'capacity data'!$B:$B,P65))/SUMIFS('capacity data'!$G:$G,'capacity data'!$E:$E,"PSO",'capacity data'!$B:$B,P65),"")</f>
        <v/>
      </c>
      <c r="S65" s="35" t="str">
        <f t="shared" si="0"/>
        <v/>
      </c>
      <c r="T65" s="274" t="str">
        <f>IFERROR(SUMIFS('capacity data'!$L:$L,'capacity data'!$B:$B,P65,'capacity data'!$E:$E,"PSO")/SUMIFS('capacity data'!$G:$G,'capacity data'!$E:$E,"PSO",'capacity data'!$B:$B,P65),"")</f>
        <v/>
      </c>
      <c r="U65" s="274" t="str">
        <f>IFERROR(SUMIFS('capacity data'!$L:$L,'capacity data'!$B:$B,P65,'capacity data'!$E:$E,"TPO")/SUMIFS('capacity data'!$G:$G,'capacity data'!$E:$E,"TPO",'capacity data'!$B:$B,P65),"")</f>
        <v/>
      </c>
    </row>
    <row r="66" spans="1:21" ht="16" x14ac:dyDescent="0.2">
      <c r="A66" s="278"/>
      <c r="B66" s="278"/>
      <c r="C66" s="278"/>
      <c r="D66" s="278"/>
      <c r="E66" s="278"/>
      <c r="G66" s="278"/>
      <c r="H66" s="278"/>
      <c r="I66" s="278"/>
      <c r="J66" s="278"/>
      <c r="K66" s="278"/>
      <c r="L66" s="278"/>
      <c r="O66" s="38" t="s">
        <v>1130</v>
      </c>
      <c r="P66" s="6" t="s">
        <v>12</v>
      </c>
      <c r="Q66" s="273" t="str">
        <f>IFERROR(SUM((SUMIFS('capacity data'!$G:$G,'capacity data'!$E:$E,"PO",'capacity data'!$B:$B,P66))-SUMIFS('capacity data'!$H:$H,'capacity data'!$E:$E,"PO",'capacity data'!$B:$B,P66))/SUMIFS('capacity data'!$G:$G,'capacity data'!$E:$E,"PO",'capacity data'!$B:$B,P66),"")</f>
        <v/>
      </c>
      <c r="R66" s="273" t="str">
        <f>IFERROR(SUM((SUMIFS('capacity data'!$G:$G,'capacity data'!$E:$E,"PSO",'capacity data'!$B:$B,P66))-SUMIFS('capacity data'!$H:$H,'capacity data'!$E:$E,"PSO",'capacity data'!$B:$B,P66))/SUMIFS('capacity data'!$G:$G,'capacity data'!$E:$E,"PSO",'capacity data'!$B:$B,P66),"")</f>
        <v/>
      </c>
      <c r="S66" s="35" t="str">
        <f t="shared" si="0"/>
        <v/>
      </c>
      <c r="T66" s="274" t="str">
        <f>IFERROR(SUMIFS('capacity data'!$L:$L,'capacity data'!$B:$B,P66,'capacity data'!$E:$E,"PSO")/SUMIFS('capacity data'!$G:$G,'capacity data'!$E:$E,"PSO",'capacity data'!$B:$B,P66),"")</f>
        <v/>
      </c>
      <c r="U66" s="274" t="str">
        <f>IFERROR(SUMIFS('capacity data'!$L:$L,'capacity data'!$B:$B,P66,'capacity data'!$E:$E,"TPO")/SUMIFS('capacity data'!$G:$G,'capacity data'!$E:$E,"TPO",'capacity data'!$B:$B,P66),"")</f>
        <v/>
      </c>
    </row>
    <row r="67" spans="1:21" ht="16" x14ac:dyDescent="0.2">
      <c r="A67" s="278"/>
      <c r="B67" s="278"/>
      <c r="C67" s="278"/>
      <c r="D67" s="278"/>
      <c r="E67" s="278"/>
      <c r="G67" s="278"/>
      <c r="H67" s="278"/>
      <c r="I67" s="278"/>
      <c r="J67" s="278"/>
      <c r="K67" s="278"/>
      <c r="L67" s="278"/>
      <c r="O67" s="38" t="s">
        <v>1130</v>
      </c>
      <c r="P67" s="6" t="s">
        <v>791</v>
      </c>
      <c r="Q67" s="273" t="str">
        <f>IFERROR(SUM((SUMIFS('capacity data'!$G:$G,'capacity data'!$E:$E,"PO",'capacity data'!$B:$B,P67))-SUMIFS('capacity data'!$H:$H,'capacity data'!$E:$E,"PO",'capacity data'!$B:$B,P67))/SUMIFS('capacity data'!$G:$G,'capacity data'!$E:$E,"PO",'capacity data'!$B:$B,P67),"")</f>
        <v/>
      </c>
      <c r="R67" s="273" t="str">
        <f>IFERROR(SUM((SUMIFS('capacity data'!$G:$G,'capacity data'!$E:$E,"PSO",'capacity data'!$B:$B,P67))-SUMIFS('capacity data'!$H:$H,'capacity data'!$E:$E,"PSO",'capacity data'!$B:$B,P67))/SUMIFS('capacity data'!$G:$G,'capacity data'!$E:$E,"PSO",'capacity data'!$B:$B,P67),"")</f>
        <v/>
      </c>
      <c r="S67" s="35" t="str">
        <f t="shared" si="0"/>
        <v/>
      </c>
      <c r="T67" s="274" t="str">
        <f>IFERROR(SUMIFS('capacity data'!$L:$L,'capacity data'!$B:$B,P67,'capacity data'!$E:$E,"PSO")/SUMIFS('capacity data'!$G:$G,'capacity data'!$E:$E,"PSO",'capacity data'!$B:$B,P67),"")</f>
        <v/>
      </c>
      <c r="U67" s="274" t="str">
        <f>IFERROR(SUMIFS('capacity data'!$L:$L,'capacity data'!$B:$B,P67,'capacity data'!$E:$E,"TPO")/SUMIFS('capacity data'!$G:$G,'capacity data'!$E:$E,"TPO",'capacity data'!$B:$B,P67),"")</f>
        <v/>
      </c>
    </row>
    <row r="68" spans="1:21" ht="16" x14ac:dyDescent="0.2">
      <c r="A68" s="278"/>
      <c r="B68" s="278"/>
      <c r="C68" s="278"/>
      <c r="D68" s="278"/>
      <c r="E68" s="278"/>
      <c r="G68" s="278"/>
      <c r="H68" s="278"/>
      <c r="I68" s="278"/>
      <c r="J68" s="278"/>
      <c r="K68" s="278"/>
      <c r="L68" s="278"/>
      <c r="O68" s="38" t="s">
        <v>1130</v>
      </c>
      <c r="P68" s="6" t="s">
        <v>22</v>
      </c>
      <c r="Q68" s="273" t="str">
        <f>IFERROR(SUM((SUMIFS('capacity data'!$G:$G,'capacity data'!$E:$E,"PO",'capacity data'!$B:$B,P68))-SUMIFS('capacity data'!$H:$H,'capacity data'!$E:$E,"PO",'capacity data'!$B:$B,P68))/SUMIFS('capacity data'!$G:$G,'capacity data'!$E:$E,"PO",'capacity data'!$B:$B,P68),"")</f>
        <v/>
      </c>
      <c r="R68" s="273" t="str">
        <f>IFERROR(SUM((SUMIFS('capacity data'!$G:$G,'capacity data'!$E:$E,"PSO",'capacity data'!$B:$B,P68))-SUMIFS('capacity data'!$H:$H,'capacity data'!$E:$E,"PSO",'capacity data'!$B:$B,P68))/SUMIFS('capacity data'!$G:$G,'capacity data'!$E:$E,"PSO",'capacity data'!$B:$B,P68),"")</f>
        <v/>
      </c>
      <c r="S68" s="35" t="str">
        <f t="shared" si="0"/>
        <v/>
      </c>
      <c r="T68" s="274" t="str">
        <f>IFERROR(SUMIFS('capacity data'!$L:$L,'capacity data'!$B:$B,P68,'capacity data'!$E:$E,"PSO")/SUMIFS('capacity data'!$G:$G,'capacity data'!$E:$E,"PSO",'capacity data'!$B:$B,P68),"")</f>
        <v/>
      </c>
      <c r="U68" s="274" t="str">
        <f>IFERROR(SUMIFS('capacity data'!$L:$L,'capacity data'!$B:$B,P68,'capacity data'!$E:$E,"TPO")/SUMIFS('capacity data'!$G:$G,'capacity data'!$E:$E,"TPO",'capacity data'!$B:$B,P68),"")</f>
        <v/>
      </c>
    </row>
    <row r="69" spans="1:21" ht="16" x14ac:dyDescent="0.2">
      <c r="A69" s="278"/>
      <c r="B69" s="278"/>
      <c r="C69" s="278"/>
      <c r="D69" s="278"/>
      <c r="E69" s="278"/>
      <c r="G69" s="278"/>
      <c r="H69" s="278"/>
      <c r="I69" s="278"/>
      <c r="J69" s="278"/>
      <c r="K69" s="278"/>
      <c r="L69" s="278"/>
      <c r="O69" s="38" t="s">
        <v>1130</v>
      </c>
      <c r="P69" s="6" t="s">
        <v>1131</v>
      </c>
      <c r="Q69" s="273" t="str">
        <f>IFERROR(SUM((SUMIFS('capacity data'!$G:$G,'capacity data'!$E:$E,"PO",'capacity data'!$B:$B,P69))-SUMIFS('capacity data'!$H:$H,'capacity data'!$E:$E,"PO",'capacity data'!$B:$B,P69))/SUMIFS('capacity data'!$G:$G,'capacity data'!$E:$E,"PO",'capacity data'!$B:$B,P69),"")</f>
        <v/>
      </c>
      <c r="R69" s="273" t="str">
        <f>IFERROR(SUM((SUMIFS('capacity data'!$G:$G,'capacity data'!$E:$E,"PSO",'capacity data'!$B:$B,P69))-SUMIFS('capacity data'!$H:$H,'capacity data'!$E:$E,"PSO",'capacity data'!$B:$B,P69))/SUMIFS('capacity data'!$G:$G,'capacity data'!$E:$E,"PSO",'capacity data'!$B:$B,P69),"")</f>
        <v/>
      </c>
      <c r="S69" s="35" t="str">
        <f t="shared" ref="S69:S124" si="1">IFERROR((Q69-R69),"")</f>
        <v/>
      </c>
      <c r="T69" s="274" t="str">
        <f>IFERROR(SUMIFS('capacity data'!$L:$L,'capacity data'!$B:$B,P69,'capacity data'!$E:$E,"PSO")/SUMIFS('capacity data'!$G:$G,'capacity data'!$E:$E,"PSO",'capacity data'!$B:$B,P69),"")</f>
        <v/>
      </c>
      <c r="U69" s="274" t="str">
        <f>IFERROR(SUMIFS('capacity data'!$L:$L,'capacity data'!$B:$B,P69,'capacity data'!$E:$E,"TPO")/SUMIFS('capacity data'!$G:$G,'capacity data'!$E:$E,"TPO",'capacity data'!$B:$B,P69),"")</f>
        <v/>
      </c>
    </row>
    <row r="70" spans="1:21" ht="16" x14ac:dyDescent="0.2">
      <c r="A70" s="278"/>
      <c r="B70" s="278"/>
      <c r="C70" s="278"/>
      <c r="D70" s="278"/>
      <c r="E70" s="278"/>
      <c r="G70" s="278"/>
      <c r="H70" s="278"/>
      <c r="I70" s="278"/>
      <c r="J70" s="278"/>
      <c r="K70" s="278"/>
      <c r="L70" s="278"/>
      <c r="O70" s="38" t="s">
        <v>1130</v>
      </c>
      <c r="P70" s="6" t="s">
        <v>818</v>
      </c>
      <c r="Q70" s="273" t="str">
        <f>IFERROR(SUM((SUMIFS('capacity data'!$G:$G,'capacity data'!$E:$E,"PO",'capacity data'!$B:$B,P70))-SUMIFS('capacity data'!$H:$H,'capacity data'!$E:$E,"PO",'capacity data'!$B:$B,P70))/SUMIFS('capacity data'!$G:$G,'capacity data'!$E:$E,"PO",'capacity data'!$B:$B,P70),"")</f>
        <v/>
      </c>
      <c r="R70" s="273" t="str">
        <f>IFERROR(SUM((SUMIFS('capacity data'!$G:$G,'capacity data'!$E:$E,"PSO",'capacity data'!$B:$B,P70))-SUMIFS('capacity data'!$H:$H,'capacity data'!$E:$E,"PSO",'capacity data'!$B:$B,P70))/SUMIFS('capacity data'!$G:$G,'capacity data'!$E:$E,"PSO",'capacity data'!$B:$B,P70),"")</f>
        <v/>
      </c>
      <c r="S70" s="35" t="str">
        <f t="shared" si="1"/>
        <v/>
      </c>
      <c r="T70" s="274" t="str">
        <f>IFERROR(SUMIFS('capacity data'!$L:$L,'capacity data'!$B:$B,P70,'capacity data'!$E:$E,"PSO")/SUMIFS('capacity data'!$G:$G,'capacity data'!$E:$E,"PSO",'capacity data'!$B:$B,P70),"")</f>
        <v/>
      </c>
      <c r="U70" s="274" t="str">
        <f>IFERROR(SUMIFS('capacity data'!$L:$L,'capacity data'!$B:$B,P70,'capacity data'!$E:$E,"TPO")/SUMIFS('capacity data'!$G:$G,'capacity data'!$E:$E,"TPO",'capacity data'!$B:$B,P70),"")</f>
        <v/>
      </c>
    </row>
    <row r="71" spans="1:21" ht="16" x14ac:dyDescent="0.2">
      <c r="A71" s="278"/>
      <c r="B71" s="278"/>
      <c r="C71" s="278"/>
      <c r="D71" s="278"/>
      <c r="E71" s="278"/>
      <c r="G71" s="278"/>
      <c r="H71" s="278"/>
      <c r="I71" s="278"/>
      <c r="J71" s="278"/>
      <c r="K71" s="278"/>
      <c r="L71" s="278"/>
      <c r="O71" s="38" t="s">
        <v>1130</v>
      </c>
      <c r="P71" s="6" t="s">
        <v>39</v>
      </c>
      <c r="Q71" s="273" t="str">
        <f>IFERROR(SUM((SUMIFS('capacity data'!$G:$G,'capacity data'!$E:$E,"PO",'capacity data'!$B:$B,P71))-SUMIFS('capacity data'!$H:$H,'capacity data'!$E:$E,"PO",'capacity data'!$B:$B,P71))/SUMIFS('capacity data'!$G:$G,'capacity data'!$E:$E,"PO",'capacity data'!$B:$B,P71),"")</f>
        <v/>
      </c>
      <c r="R71" s="273" t="str">
        <f>IFERROR(SUM((SUMIFS('capacity data'!$G:$G,'capacity data'!$E:$E,"PSO",'capacity data'!$B:$B,P71))-SUMIFS('capacity data'!$H:$H,'capacity data'!$E:$E,"PSO",'capacity data'!$B:$B,P71))/SUMIFS('capacity data'!$G:$G,'capacity data'!$E:$E,"PSO",'capacity data'!$B:$B,P71),"")</f>
        <v/>
      </c>
      <c r="S71" s="35" t="str">
        <f t="shared" si="1"/>
        <v/>
      </c>
      <c r="T71" s="274" t="str">
        <f>IFERROR(SUMIFS('capacity data'!$L:$L,'capacity data'!$B:$B,P71,'capacity data'!$E:$E,"PSO")/SUMIFS('capacity data'!$G:$G,'capacity data'!$E:$E,"PSO",'capacity data'!$B:$B,P71),"")</f>
        <v/>
      </c>
      <c r="U71" s="274" t="str">
        <f>IFERROR(SUMIFS('capacity data'!$L:$L,'capacity data'!$B:$B,P71,'capacity data'!$E:$E,"TPO")/SUMIFS('capacity data'!$G:$G,'capacity data'!$E:$E,"TPO",'capacity data'!$B:$B,P71),"")</f>
        <v/>
      </c>
    </row>
    <row r="72" spans="1:21" ht="16" x14ac:dyDescent="0.2">
      <c r="A72" s="278"/>
      <c r="B72" s="278"/>
      <c r="C72" s="278"/>
      <c r="D72" s="278"/>
      <c r="E72" s="278"/>
      <c r="G72" s="278"/>
      <c r="H72" s="278"/>
      <c r="I72" s="278"/>
      <c r="J72" s="278"/>
      <c r="K72" s="278"/>
      <c r="L72" s="278"/>
      <c r="O72" s="38" t="s">
        <v>1130</v>
      </c>
      <c r="P72" s="6" t="s">
        <v>50</v>
      </c>
      <c r="Q72" s="273" t="str">
        <f>IFERROR(SUM((SUMIFS('capacity data'!$G:$G,'capacity data'!$E:$E,"PO",'capacity data'!$B:$B,P72))-SUMIFS('capacity data'!$H:$H,'capacity data'!$E:$E,"PO",'capacity data'!$B:$B,P72))/SUMIFS('capacity data'!$G:$G,'capacity data'!$E:$E,"PO",'capacity data'!$B:$B,P72),"")</f>
        <v/>
      </c>
      <c r="R72" s="273" t="str">
        <f>IFERROR(SUM((SUMIFS('capacity data'!$G:$G,'capacity data'!$E:$E,"PSO",'capacity data'!$B:$B,P72))-SUMIFS('capacity data'!$H:$H,'capacity data'!$E:$E,"PSO",'capacity data'!$B:$B,P72))/SUMIFS('capacity data'!$G:$G,'capacity data'!$E:$E,"PSO",'capacity data'!$B:$B,P72),"")</f>
        <v/>
      </c>
      <c r="S72" s="35" t="str">
        <f t="shared" si="1"/>
        <v/>
      </c>
      <c r="T72" s="274" t="str">
        <f>IFERROR(SUMIFS('capacity data'!$L:$L,'capacity data'!$B:$B,P72,'capacity data'!$E:$E,"PSO")/SUMIFS('capacity data'!$G:$G,'capacity data'!$E:$E,"PSO",'capacity data'!$B:$B,P72),"")</f>
        <v/>
      </c>
      <c r="U72" s="274" t="str">
        <f>IFERROR(SUMIFS('capacity data'!$L:$L,'capacity data'!$B:$B,P72,'capacity data'!$E:$E,"TPO")/SUMIFS('capacity data'!$G:$G,'capacity data'!$E:$E,"TPO",'capacity data'!$B:$B,P72),"")</f>
        <v/>
      </c>
    </row>
    <row r="73" spans="1:21" ht="16" x14ac:dyDescent="0.2">
      <c r="A73" s="278"/>
      <c r="B73" s="278"/>
      <c r="C73" s="278"/>
      <c r="D73" s="278"/>
      <c r="E73" s="278"/>
      <c r="G73" s="278"/>
      <c r="H73" s="278"/>
      <c r="I73" s="278"/>
      <c r="J73" s="278"/>
      <c r="K73" s="278"/>
      <c r="L73" s="278"/>
      <c r="O73" s="38" t="s">
        <v>1130</v>
      </c>
      <c r="P73" s="6" t="s">
        <v>61</v>
      </c>
      <c r="Q73" s="273" t="str">
        <f>IFERROR(SUM((SUMIFS('capacity data'!$G:$G,'capacity data'!$E:$E,"PO",'capacity data'!$B:$B,P73))-SUMIFS('capacity data'!$H:$H,'capacity data'!$E:$E,"PO",'capacity data'!$B:$B,P73))/SUMIFS('capacity data'!$G:$G,'capacity data'!$E:$E,"PO",'capacity data'!$B:$B,P73),"")</f>
        <v/>
      </c>
      <c r="R73" s="273" t="str">
        <f>IFERROR(SUM((SUMIFS('capacity data'!$G:$G,'capacity data'!$E:$E,"PSO",'capacity data'!$B:$B,P73))-SUMIFS('capacity data'!$H:$H,'capacity data'!$E:$E,"PSO",'capacity data'!$B:$B,P73))/SUMIFS('capacity data'!$G:$G,'capacity data'!$E:$E,"PSO",'capacity data'!$B:$B,P73),"")</f>
        <v/>
      </c>
      <c r="S73" s="35" t="str">
        <f t="shared" si="1"/>
        <v/>
      </c>
      <c r="T73" s="274" t="str">
        <f>IFERROR(SUMIFS('capacity data'!$L:$L,'capacity data'!$B:$B,P73,'capacity data'!$E:$E,"PSO")/SUMIFS('capacity data'!$G:$G,'capacity data'!$E:$E,"PSO",'capacity data'!$B:$B,P73),"")</f>
        <v/>
      </c>
      <c r="U73" s="274" t="str">
        <f>IFERROR(SUMIFS('capacity data'!$L:$L,'capacity data'!$B:$B,P73,'capacity data'!$E:$E,"TPO")/SUMIFS('capacity data'!$G:$G,'capacity data'!$E:$E,"TPO",'capacity data'!$B:$B,P73),"")</f>
        <v/>
      </c>
    </row>
    <row r="74" spans="1:21" ht="16" x14ac:dyDescent="0.2">
      <c r="A74" s="278"/>
      <c r="B74" s="278"/>
      <c r="C74" s="278"/>
      <c r="D74" s="278"/>
      <c r="E74" s="278"/>
      <c r="G74" s="278"/>
      <c r="H74" s="278"/>
      <c r="I74" s="278"/>
      <c r="J74" s="278"/>
      <c r="K74" s="278"/>
      <c r="L74" s="278"/>
      <c r="O74" s="38" t="s">
        <v>1130</v>
      </c>
      <c r="P74" s="6" t="s">
        <v>862</v>
      </c>
      <c r="Q74" s="273" t="str">
        <f>IFERROR(SUM((SUMIFS('capacity data'!$G:$G,'capacity data'!$E:$E,"PO",'capacity data'!$B:$B,P74))-SUMIFS('capacity data'!$H:$H,'capacity data'!$E:$E,"PO",'capacity data'!$B:$B,P74))/SUMIFS('capacity data'!$G:$G,'capacity data'!$E:$E,"PO",'capacity data'!$B:$B,P74),"")</f>
        <v/>
      </c>
      <c r="R74" s="273" t="str">
        <f>IFERROR(SUM((SUMIFS('capacity data'!$G:$G,'capacity data'!$E:$E,"PSO",'capacity data'!$B:$B,P74))-SUMIFS('capacity data'!$H:$H,'capacity data'!$E:$E,"PSO",'capacity data'!$B:$B,P74))/SUMIFS('capacity data'!$G:$G,'capacity data'!$E:$E,"PSO",'capacity data'!$B:$B,P74),"")</f>
        <v/>
      </c>
      <c r="S74" s="35" t="str">
        <f t="shared" si="1"/>
        <v/>
      </c>
      <c r="T74" s="274" t="str">
        <f>IFERROR(SUMIFS('capacity data'!$L:$L,'capacity data'!$B:$B,P74,'capacity data'!$E:$E,"PSO")/SUMIFS('capacity data'!$G:$G,'capacity data'!$E:$E,"PSO",'capacity data'!$B:$B,P74),"")</f>
        <v/>
      </c>
      <c r="U74" s="274" t="str">
        <f>IFERROR(SUMIFS('capacity data'!$L:$L,'capacity data'!$B:$B,P74,'capacity data'!$E:$E,"TPO")/SUMIFS('capacity data'!$G:$G,'capacity data'!$E:$E,"TPO",'capacity data'!$B:$B,P74),"")</f>
        <v/>
      </c>
    </row>
    <row r="75" spans="1:21" ht="16" x14ac:dyDescent="0.2">
      <c r="A75" s="278"/>
      <c r="B75" s="278"/>
      <c r="C75" s="278"/>
      <c r="D75" s="278"/>
      <c r="E75" s="278"/>
      <c r="G75" s="278"/>
      <c r="H75" s="278"/>
      <c r="I75" s="278"/>
      <c r="J75" s="278"/>
      <c r="K75" s="278"/>
      <c r="L75" s="278"/>
      <c r="O75" s="38" t="s">
        <v>1130</v>
      </c>
      <c r="P75" s="6" t="s">
        <v>751</v>
      </c>
      <c r="Q75" s="273" t="str">
        <f>IFERROR(SUM((SUMIFS('capacity data'!$G:$G,'capacity data'!$E:$E,"PO",'capacity data'!$B:$B,P75))-SUMIFS('capacity data'!$H:$H,'capacity data'!$E:$E,"PO",'capacity data'!$B:$B,P75))/SUMIFS('capacity data'!$G:$G,'capacity data'!$E:$E,"PO",'capacity data'!$B:$B,P75),"")</f>
        <v/>
      </c>
      <c r="R75" s="273" t="str">
        <f>IFERROR(SUM((SUMIFS('capacity data'!$G:$G,'capacity data'!$E:$E,"PSO",'capacity data'!$B:$B,P75))-SUMIFS('capacity data'!$H:$H,'capacity data'!$E:$E,"PSO",'capacity data'!$B:$B,P75))/SUMIFS('capacity data'!$G:$G,'capacity data'!$E:$E,"PSO",'capacity data'!$B:$B,P75),"")</f>
        <v/>
      </c>
      <c r="S75" s="35" t="str">
        <f t="shared" si="1"/>
        <v/>
      </c>
      <c r="T75" s="274" t="str">
        <f>IFERROR(SUMIFS('capacity data'!$L:$L,'capacity data'!$B:$B,P75,'capacity data'!$E:$E,"PSO")/SUMIFS('capacity data'!$G:$G,'capacity data'!$E:$E,"PSO",'capacity data'!$B:$B,P75),"")</f>
        <v/>
      </c>
      <c r="U75" s="274" t="str">
        <f>IFERROR(SUMIFS('capacity data'!$L:$L,'capacity data'!$B:$B,P75,'capacity data'!$E:$E,"TPO")/SUMIFS('capacity data'!$G:$G,'capacity data'!$E:$E,"TPO",'capacity data'!$B:$B,P75),"")</f>
        <v/>
      </c>
    </row>
    <row r="76" spans="1:21" ht="16" x14ac:dyDescent="0.2">
      <c r="A76" s="278"/>
      <c r="B76" s="278"/>
      <c r="C76" s="278"/>
      <c r="D76" s="278"/>
      <c r="E76" s="278"/>
      <c r="G76" s="278"/>
      <c r="H76" s="278"/>
      <c r="I76" s="278"/>
      <c r="J76" s="278"/>
      <c r="K76" s="278"/>
      <c r="L76" s="278"/>
      <c r="O76" s="38" t="s">
        <v>1130</v>
      </c>
      <c r="P76" s="6" t="s">
        <v>1114</v>
      </c>
      <c r="Q76" s="273" t="str">
        <f>IFERROR(SUM((SUMIFS('capacity data'!$G:$G,'capacity data'!$E:$E,"PO",'capacity data'!$B:$B,P76))-SUMIFS('capacity data'!$H:$H,'capacity data'!$E:$E,"PO",'capacity data'!$B:$B,P76))/SUMIFS('capacity data'!$G:$G,'capacity data'!$E:$E,"PO",'capacity data'!$B:$B,P76),"")</f>
        <v/>
      </c>
      <c r="R76" s="273" t="str">
        <f>IFERROR(SUM((SUMIFS('capacity data'!$G:$G,'capacity data'!$E:$E,"PSO",'capacity data'!$B:$B,P76))-SUMIFS('capacity data'!$H:$H,'capacity data'!$E:$E,"PSO",'capacity data'!$B:$B,P76))/SUMIFS('capacity data'!$G:$G,'capacity data'!$E:$E,"PSO",'capacity data'!$B:$B,P76),"")</f>
        <v/>
      </c>
      <c r="S76" s="35" t="str">
        <f t="shared" si="1"/>
        <v/>
      </c>
      <c r="T76" s="274" t="str">
        <f>IFERROR(SUMIFS('capacity data'!$L:$L,'capacity data'!$B:$B,P76,'capacity data'!$E:$E,"PSO")/SUMIFS('capacity data'!$G:$G,'capacity data'!$E:$E,"PSO",'capacity data'!$B:$B,P76),"")</f>
        <v/>
      </c>
      <c r="U76" s="274" t="str">
        <f>IFERROR(SUMIFS('capacity data'!$L:$L,'capacity data'!$B:$B,P76,'capacity data'!$E:$E,"TPO")/SUMIFS('capacity data'!$G:$G,'capacity data'!$E:$E,"TPO",'capacity data'!$B:$B,P76),"")</f>
        <v/>
      </c>
    </row>
    <row r="77" spans="1:21" ht="16" x14ac:dyDescent="0.2">
      <c r="A77" s="278"/>
      <c r="B77" s="278"/>
      <c r="C77" s="278"/>
      <c r="D77" s="278"/>
      <c r="E77" s="278"/>
      <c r="G77" s="278"/>
      <c r="H77" s="278"/>
      <c r="I77" s="278"/>
      <c r="J77" s="278"/>
      <c r="K77" s="278"/>
      <c r="L77" s="278"/>
      <c r="O77" s="38" t="s">
        <v>7</v>
      </c>
      <c r="P77" s="6" t="s">
        <v>773</v>
      </c>
      <c r="Q77" s="273" t="str">
        <f>IFERROR(SUM((SUMIFS('capacity data'!$G:$G,'capacity data'!$E:$E,"PO",'capacity data'!$B:$B,P77))-SUMIFS('capacity data'!$H:$H,'capacity data'!$E:$E,"PO",'capacity data'!$B:$B,P77))/SUMIFS('capacity data'!$G:$G,'capacity data'!$E:$E,"PO",'capacity data'!$B:$B,P77),"")</f>
        <v/>
      </c>
      <c r="R77" s="273" t="str">
        <f>IFERROR(SUM((SUMIFS('capacity data'!$G:$G,'capacity data'!$E:$E,"PSO",'capacity data'!$B:$B,P77))-SUMIFS('capacity data'!$H:$H,'capacity data'!$E:$E,"PSO",'capacity data'!$B:$B,P77))/SUMIFS('capacity data'!$G:$G,'capacity data'!$E:$E,"PSO",'capacity data'!$B:$B,P77),"")</f>
        <v/>
      </c>
      <c r="S77" s="35" t="str">
        <f t="shared" si="1"/>
        <v/>
      </c>
      <c r="T77" s="274" t="str">
        <f>IFERROR(SUMIFS('capacity data'!$L:$L,'capacity data'!$B:$B,P77,'capacity data'!$E:$E,"PSO")/SUMIFS('capacity data'!$G:$G,'capacity data'!$E:$E,"PSO",'capacity data'!$B:$B,P77),"")</f>
        <v/>
      </c>
      <c r="U77" s="274" t="str">
        <f>IFERROR(SUMIFS('capacity data'!$L:$L,'capacity data'!$B:$B,P77,'capacity data'!$E:$E,"TPO")/SUMIFS('capacity data'!$G:$G,'capacity data'!$E:$E,"TPO",'capacity data'!$B:$B,P77),"")</f>
        <v/>
      </c>
    </row>
    <row r="78" spans="1:21" ht="16" x14ac:dyDescent="0.2">
      <c r="A78" s="278"/>
      <c r="B78" s="278"/>
      <c r="C78" s="278"/>
      <c r="D78" s="278"/>
      <c r="E78" s="278"/>
      <c r="G78" s="278"/>
      <c r="H78" s="278"/>
      <c r="I78" s="278"/>
      <c r="J78" s="278"/>
      <c r="K78" s="278"/>
      <c r="L78" s="278"/>
      <c r="O78" s="38" t="s">
        <v>7</v>
      </c>
      <c r="P78" s="6" t="s">
        <v>23</v>
      </c>
      <c r="Q78" s="273" t="str">
        <f>IFERROR(SUM((SUMIFS('capacity data'!$G:$G,'capacity data'!$E:$E,"PO",'capacity data'!$B:$B,P78))-SUMIFS('capacity data'!$H:$H,'capacity data'!$E:$E,"PO",'capacity data'!$B:$B,P78))/SUMIFS('capacity data'!$G:$G,'capacity data'!$E:$E,"PO",'capacity data'!$B:$B,P78),"")</f>
        <v/>
      </c>
      <c r="R78" s="273" t="str">
        <f>IFERROR(SUM((SUMIFS('capacity data'!$G:$G,'capacity data'!$E:$E,"PSO",'capacity data'!$B:$B,P78))-SUMIFS('capacity data'!$H:$H,'capacity data'!$E:$E,"PSO",'capacity data'!$B:$B,P78))/SUMIFS('capacity data'!$G:$G,'capacity data'!$E:$E,"PSO",'capacity data'!$B:$B,P78),"")</f>
        <v/>
      </c>
      <c r="S78" s="35" t="str">
        <f t="shared" si="1"/>
        <v/>
      </c>
      <c r="T78" s="274" t="str">
        <f>IFERROR(SUMIFS('capacity data'!$L:$L,'capacity data'!$B:$B,P78,'capacity data'!$E:$E,"PSO")/SUMIFS('capacity data'!$G:$G,'capacity data'!$E:$E,"PSO",'capacity data'!$B:$B,P78),"")</f>
        <v/>
      </c>
      <c r="U78" s="274" t="str">
        <f>IFERROR(SUMIFS('capacity data'!$L:$L,'capacity data'!$B:$B,P78,'capacity data'!$E:$E,"TPO")/SUMIFS('capacity data'!$G:$G,'capacity data'!$E:$E,"TPO",'capacity data'!$B:$B,P78),"")</f>
        <v/>
      </c>
    </row>
    <row r="79" spans="1:21" ht="16" x14ac:dyDescent="0.2">
      <c r="A79" s="278"/>
      <c r="B79" s="278"/>
      <c r="C79" s="278"/>
      <c r="D79" s="278"/>
      <c r="E79" s="278"/>
      <c r="G79" s="278"/>
      <c r="H79" s="278"/>
      <c r="I79" s="278"/>
      <c r="J79" s="278"/>
      <c r="K79" s="278"/>
      <c r="L79" s="278"/>
      <c r="O79" s="38" t="s">
        <v>7</v>
      </c>
      <c r="P79" s="6" t="s">
        <v>29</v>
      </c>
      <c r="Q79" s="273" t="str">
        <f>IFERROR(SUM((SUMIFS('capacity data'!$G:$G,'capacity data'!$E:$E,"PO",'capacity data'!$B:$B,P79))-SUMIFS('capacity data'!$H:$H,'capacity data'!$E:$E,"PO",'capacity data'!$B:$B,P79))/SUMIFS('capacity data'!$G:$G,'capacity data'!$E:$E,"PO",'capacity data'!$B:$B,P79),"")</f>
        <v/>
      </c>
      <c r="R79" s="273" t="str">
        <f>IFERROR(SUM((SUMIFS('capacity data'!$G:$G,'capacity data'!$E:$E,"PSO",'capacity data'!$B:$B,P79))-SUMIFS('capacity data'!$H:$H,'capacity data'!$E:$E,"PSO",'capacity data'!$B:$B,P79))/SUMIFS('capacity data'!$G:$G,'capacity data'!$E:$E,"PSO",'capacity data'!$B:$B,P79),"")</f>
        <v/>
      </c>
      <c r="S79" s="35" t="str">
        <f t="shared" si="1"/>
        <v/>
      </c>
      <c r="T79" s="274" t="str">
        <f>IFERROR(SUMIFS('capacity data'!$L:$L,'capacity data'!$B:$B,P79,'capacity data'!$E:$E,"PSO")/SUMIFS('capacity data'!$G:$G,'capacity data'!$E:$E,"PSO",'capacity data'!$B:$B,P79),"")</f>
        <v/>
      </c>
      <c r="U79" s="274" t="str">
        <f>IFERROR(SUMIFS('capacity data'!$L:$L,'capacity data'!$B:$B,P79,'capacity data'!$E:$E,"TPO")/SUMIFS('capacity data'!$G:$G,'capacity data'!$E:$E,"TPO",'capacity data'!$B:$B,P79),"")</f>
        <v/>
      </c>
    </row>
    <row r="80" spans="1:21" ht="16" x14ac:dyDescent="0.2">
      <c r="A80" s="278"/>
      <c r="B80" s="278"/>
      <c r="C80" s="278"/>
      <c r="D80" s="278"/>
      <c r="E80" s="278"/>
      <c r="G80" s="278"/>
      <c r="H80" s="278"/>
      <c r="I80" s="278"/>
      <c r="J80" s="278"/>
      <c r="K80" s="278"/>
      <c r="L80" s="278"/>
      <c r="O80" s="38" t="s">
        <v>7</v>
      </c>
      <c r="P80" s="6" t="s">
        <v>40</v>
      </c>
      <c r="Q80" s="273" t="str">
        <f>IFERROR(SUM((SUMIFS('capacity data'!$G:$G,'capacity data'!$E:$E,"PO",'capacity data'!$B:$B,P80))-SUMIFS('capacity data'!$H:$H,'capacity data'!$E:$E,"PO",'capacity data'!$B:$B,P80))/SUMIFS('capacity data'!$G:$G,'capacity data'!$E:$E,"PO",'capacity data'!$B:$B,P80),"")</f>
        <v/>
      </c>
      <c r="R80" s="273" t="str">
        <f>IFERROR(SUM((SUMIFS('capacity data'!$G:$G,'capacity data'!$E:$E,"PSO",'capacity data'!$B:$B,P80))-SUMIFS('capacity data'!$H:$H,'capacity data'!$E:$E,"PSO",'capacity data'!$B:$B,P80))/SUMIFS('capacity data'!$G:$G,'capacity data'!$E:$E,"PSO",'capacity data'!$B:$B,P80),"")</f>
        <v/>
      </c>
      <c r="S80" s="35" t="str">
        <f t="shared" si="1"/>
        <v/>
      </c>
      <c r="T80" s="274" t="str">
        <f>IFERROR(SUMIFS('capacity data'!$L:$L,'capacity data'!$B:$B,P80,'capacity data'!$E:$E,"PSO")/SUMIFS('capacity data'!$G:$G,'capacity data'!$E:$E,"PSO",'capacity data'!$B:$B,P80),"")</f>
        <v/>
      </c>
      <c r="U80" s="274" t="str">
        <f>IFERROR(SUMIFS('capacity data'!$L:$L,'capacity data'!$B:$B,P80,'capacity data'!$E:$E,"TPO")/SUMIFS('capacity data'!$G:$G,'capacity data'!$E:$E,"TPO",'capacity data'!$B:$B,P80),"")</f>
        <v/>
      </c>
    </row>
    <row r="81" spans="1:21" ht="16" x14ac:dyDescent="0.2">
      <c r="A81" s="278"/>
      <c r="B81" s="278"/>
      <c r="C81" s="278"/>
      <c r="D81" s="278"/>
      <c r="E81" s="278"/>
      <c r="G81" s="278"/>
      <c r="H81" s="278"/>
      <c r="I81" s="278"/>
      <c r="J81" s="278"/>
      <c r="K81" s="278"/>
      <c r="L81" s="278"/>
      <c r="O81" s="38" t="s">
        <v>7</v>
      </c>
      <c r="P81" s="6" t="s">
        <v>829</v>
      </c>
      <c r="Q81" s="273" t="str">
        <f>IFERROR(SUM((SUMIFS('capacity data'!$G:$G,'capacity data'!$E:$E,"PO",'capacity data'!$B:$B,P81))-SUMIFS('capacity data'!$H:$H,'capacity data'!$E:$E,"PO",'capacity data'!$B:$B,P81))/SUMIFS('capacity data'!$G:$G,'capacity data'!$E:$E,"PO",'capacity data'!$B:$B,P81),"")</f>
        <v/>
      </c>
      <c r="R81" s="273" t="str">
        <f>IFERROR(SUM((SUMIFS('capacity data'!$G:$G,'capacity data'!$E:$E,"PSO",'capacity data'!$B:$B,P81))-SUMIFS('capacity data'!$H:$H,'capacity data'!$E:$E,"PSO",'capacity data'!$B:$B,P81))/SUMIFS('capacity data'!$G:$G,'capacity data'!$E:$E,"PSO",'capacity data'!$B:$B,P81),"")</f>
        <v/>
      </c>
      <c r="S81" s="35" t="str">
        <f t="shared" si="1"/>
        <v/>
      </c>
      <c r="T81" s="274" t="str">
        <f>IFERROR(SUMIFS('capacity data'!$L:$L,'capacity data'!$B:$B,P81,'capacity data'!$E:$E,"PSO")/SUMIFS('capacity data'!$G:$G,'capacity data'!$E:$E,"PSO",'capacity data'!$B:$B,P81),"")</f>
        <v/>
      </c>
      <c r="U81" s="274" t="str">
        <f>IFERROR(SUMIFS('capacity data'!$L:$L,'capacity data'!$B:$B,P81,'capacity data'!$E:$E,"TPO")/SUMIFS('capacity data'!$G:$G,'capacity data'!$E:$E,"TPO",'capacity data'!$B:$B,P81),"")</f>
        <v/>
      </c>
    </row>
    <row r="82" spans="1:21" ht="16" x14ac:dyDescent="0.2">
      <c r="A82" s="278"/>
      <c r="B82" s="278"/>
      <c r="C82" s="278"/>
      <c r="D82" s="278"/>
      <c r="E82" s="278"/>
      <c r="G82" s="278"/>
      <c r="H82" s="278"/>
      <c r="I82" s="278"/>
      <c r="J82" s="278"/>
      <c r="K82" s="278"/>
      <c r="L82" s="278"/>
      <c r="O82" s="38" t="s">
        <v>7</v>
      </c>
      <c r="P82" s="6" t="s">
        <v>62</v>
      </c>
      <c r="Q82" s="273" t="str">
        <f>IFERROR(SUM((SUMIFS('capacity data'!$G:$G,'capacity data'!$E:$E,"PO",'capacity data'!$B:$B,P82))-SUMIFS('capacity data'!$H:$H,'capacity data'!$E:$E,"PO",'capacity data'!$B:$B,P82))/SUMIFS('capacity data'!$G:$G,'capacity data'!$E:$E,"PO",'capacity data'!$B:$B,P82),"")</f>
        <v/>
      </c>
      <c r="R82" s="273" t="str">
        <f>IFERROR(SUM((SUMIFS('capacity data'!$G:$G,'capacity data'!$E:$E,"PSO",'capacity data'!$B:$B,P82))-SUMIFS('capacity data'!$H:$H,'capacity data'!$E:$E,"PSO",'capacity data'!$B:$B,P82))/SUMIFS('capacity data'!$G:$G,'capacity data'!$E:$E,"PSO",'capacity data'!$B:$B,P82),"")</f>
        <v/>
      </c>
      <c r="S82" s="35" t="str">
        <f t="shared" si="1"/>
        <v/>
      </c>
      <c r="T82" s="274" t="str">
        <f>IFERROR(SUMIFS('capacity data'!$L:$L,'capacity data'!$B:$B,P82,'capacity data'!$E:$E,"PSO")/SUMIFS('capacity data'!$G:$G,'capacity data'!$E:$E,"PSO",'capacity data'!$B:$B,P82),"")</f>
        <v/>
      </c>
      <c r="U82" s="274" t="str">
        <f>IFERROR(SUMIFS('capacity data'!$L:$L,'capacity data'!$B:$B,P82,'capacity data'!$E:$E,"TPO")/SUMIFS('capacity data'!$G:$G,'capacity data'!$E:$E,"TPO",'capacity data'!$B:$B,P82),"")</f>
        <v/>
      </c>
    </row>
    <row r="83" spans="1:21" ht="16" x14ac:dyDescent="0.2">
      <c r="A83" s="278"/>
      <c r="B83" s="278"/>
      <c r="C83" s="278"/>
      <c r="D83" s="278"/>
      <c r="E83" s="278"/>
      <c r="G83" s="278"/>
      <c r="H83" s="278"/>
      <c r="I83" s="278"/>
      <c r="J83" s="278"/>
      <c r="K83" s="278"/>
      <c r="L83" s="278"/>
      <c r="O83" s="38" t="s">
        <v>7</v>
      </c>
      <c r="P83" s="6" t="s">
        <v>66</v>
      </c>
      <c r="Q83" s="273" t="str">
        <f>IFERROR(SUM((SUMIFS('capacity data'!$G:$G,'capacity data'!$E:$E,"PO",'capacity data'!$B:$B,P83))-SUMIFS('capacity data'!$H:$H,'capacity data'!$E:$E,"PO",'capacity data'!$B:$B,P83))/SUMIFS('capacity data'!$G:$G,'capacity data'!$E:$E,"PO",'capacity data'!$B:$B,P83),"")</f>
        <v/>
      </c>
      <c r="R83" s="273" t="str">
        <f>IFERROR(SUM((SUMIFS('capacity data'!$G:$G,'capacity data'!$E:$E,"PSO",'capacity data'!$B:$B,P83))-SUMIFS('capacity data'!$H:$H,'capacity data'!$E:$E,"PSO",'capacity data'!$B:$B,P83))/SUMIFS('capacity data'!$G:$G,'capacity data'!$E:$E,"PSO",'capacity data'!$B:$B,P83),"")</f>
        <v/>
      </c>
      <c r="S83" s="35" t="str">
        <f t="shared" si="1"/>
        <v/>
      </c>
      <c r="T83" s="274" t="str">
        <f>IFERROR(SUMIFS('capacity data'!$L:$L,'capacity data'!$B:$B,P83,'capacity data'!$E:$E,"PSO")/SUMIFS('capacity data'!$G:$G,'capacity data'!$E:$E,"PSO",'capacity data'!$B:$B,P83),"")</f>
        <v/>
      </c>
      <c r="U83" s="274" t="str">
        <f>IFERROR(SUMIFS('capacity data'!$L:$L,'capacity data'!$B:$B,P83,'capacity data'!$E:$E,"TPO")/SUMIFS('capacity data'!$G:$G,'capacity data'!$E:$E,"TPO",'capacity data'!$B:$B,P83),"")</f>
        <v/>
      </c>
    </row>
    <row r="84" spans="1:21" ht="16" x14ac:dyDescent="0.2">
      <c r="A84" s="278"/>
      <c r="B84" s="278"/>
      <c r="C84" s="278"/>
      <c r="D84" s="278"/>
      <c r="E84" s="278"/>
      <c r="G84" s="278"/>
      <c r="H84" s="278"/>
      <c r="I84" s="278"/>
      <c r="J84" s="278"/>
      <c r="K84" s="278"/>
      <c r="L84" s="278"/>
      <c r="O84" s="38" t="s">
        <v>7</v>
      </c>
      <c r="P84" s="6" t="s">
        <v>73</v>
      </c>
      <c r="Q84" s="273" t="str">
        <f>IFERROR(SUM((SUMIFS('capacity data'!$G:$G,'capacity data'!$E:$E,"PO",'capacity data'!$B:$B,P84))-SUMIFS('capacity data'!$H:$H,'capacity data'!$E:$E,"PO",'capacity data'!$B:$B,P84))/SUMIFS('capacity data'!$G:$G,'capacity data'!$E:$E,"PO",'capacity data'!$B:$B,P84),"")</f>
        <v/>
      </c>
      <c r="R84" s="273" t="str">
        <f>IFERROR(SUM((SUMIFS('capacity data'!$G:$G,'capacity data'!$E:$E,"PSO",'capacity data'!$B:$B,P84))-SUMIFS('capacity data'!$H:$H,'capacity data'!$E:$E,"PSO",'capacity data'!$B:$B,P84))/SUMIFS('capacity data'!$G:$G,'capacity data'!$E:$E,"PSO",'capacity data'!$B:$B,P84),"")</f>
        <v/>
      </c>
      <c r="S84" s="35" t="str">
        <f t="shared" si="1"/>
        <v/>
      </c>
      <c r="T84" s="274" t="str">
        <f>IFERROR(SUMIFS('capacity data'!$L:$L,'capacity data'!$B:$B,P84,'capacity data'!$E:$E,"PSO")/SUMIFS('capacity data'!$G:$G,'capacity data'!$E:$E,"PSO",'capacity data'!$B:$B,P84),"")</f>
        <v/>
      </c>
      <c r="U84" s="274" t="str">
        <f>IFERROR(SUMIFS('capacity data'!$L:$L,'capacity data'!$B:$B,P84,'capacity data'!$E:$E,"TPO")/SUMIFS('capacity data'!$G:$G,'capacity data'!$E:$E,"TPO",'capacity data'!$B:$B,P84),"")</f>
        <v/>
      </c>
    </row>
    <row r="85" spans="1:21" ht="16" x14ac:dyDescent="0.2">
      <c r="A85" s="278"/>
      <c r="B85" s="278"/>
      <c r="C85" s="278"/>
      <c r="D85" s="278"/>
      <c r="E85" s="278"/>
      <c r="G85" s="278"/>
      <c r="H85" s="278"/>
      <c r="I85" s="278"/>
      <c r="J85" s="278"/>
      <c r="K85" s="278"/>
      <c r="L85" s="278"/>
      <c r="O85" s="38" t="s">
        <v>7</v>
      </c>
      <c r="P85" s="6" t="s">
        <v>873</v>
      </c>
      <c r="Q85" s="273" t="str">
        <f>IFERROR(SUM((SUMIFS('capacity data'!$G:$G,'capacity data'!$E:$E,"PO",'capacity data'!$B:$B,P85))-SUMIFS('capacity data'!$H:$H,'capacity data'!$E:$E,"PO",'capacity data'!$B:$B,P85))/SUMIFS('capacity data'!$G:$G,'capacity data'!$E:$E,"PO",'capacity data'!$B:$B,P85),"")</f>
        <v/>
      </c>
      <c r="R85" s="273" t="str">
        <f>IFERROR(SUM((SUMIFS('capacity data'!$G:$G,'capacity data'!$E:$E,"PSO",'capacity data'!$B:$B,P85))-SUMIFS('capacity data'!$H:$H,'capacity data'!$E:$E,"PSO",'capacity data'!$B:$B,P85))/SUMIFS('capacity data'!$G:$G,'capacity data'!$E:$E,"PSO",'capacity data'!$B:$B,P85),"")</f>
        <v/>
      </c>
      <c r="S85" s="35" t="str">
        <f t="shared" si="1"/>
        <v/>
      </c>
      <c r="T85" s="274" t="str">
        <f>IFERROR(SUMIFS('capacity data'!$L:$L,'capacity data'!$B:$B,P85,'capacity data'!$E:$E,"PSO")/SUMIFS('capacity data'!$G:$G,'capacity data'!$E:$E,"PSO",'capacity data'!$B:$B,P85),"")</f>
        <v/>
      </c>
      <c r="U85" s="274" t="str">
        <f>IFERROR(SUMIFS('capacity data'!$L:$L,'capacity data'!$B:$B,P85,'capacity data'!$E:$E,"TPO")/SUMIFS('capacity data'!$G:$G,'capacity data'!$E:$E,"TPO",'capacity data'!$B:$B,P85),"")</f>
        <v/>
      </c>
    </row>
    <row r="86" spans="1:21" ht="16" x14ac:dyDescent="0.2">
      <c r="A86" s="278"/>
      <c r="B86" s="278"/>
      <c r="C86" s="278"/>
      <c r="D86" s="278"/>
      <c r="E86" s="278"/>
      <c r="G86" s="278"/>
      <c r="H86" s="278"/>
      <c r="I86" s="278"/>
      <c r="J86" s="278"/>
      <c r="K86" s="278"/>
      <c r="L86" s="278"/>
      <c r="O86" s="38" t="s">
        <v>7</v>
      </c>
      <c r="P86" s="6" t="s">
        <v>882</v>
      </c>
      <c r="Q86" s="273" t="str">
        <f>IFERROR(SUM((SUMIFS('capacity data'!$G:$G,'capacity data'!$E:$E,"PO",'capacity data'!$B:$B,P86))-SUMIFS('capacity data'!$H:$H,'capacity data'!$E:$E,"PO",'capacity data'!$B:$B,P86))/SUMIFS('capacity data'!$G:$G,'capacity data'!$E:$E,"PO",'capacity data'!$B:$B,P86),"")</f>
        <v/>
      </c>
      <c r="R86" s="273" t="str">
        <f>IFERROR(SUM((SUMIFS('capacity data'!$G:$G,'capacity data'!$E:$E,"PSO",'capacity data'!$B:$B,P86))-SUMIFS('capacity data'!$H:$H,'capacity data'!$E:$E,"PSO",'capacity data'!$B:$B,P86))/SUMIFS('capacity data'!$G:$G,'capacity data'!$E:$E,"PSO",'capacity data'!$B:$B,P86),"")</f>
        <v/>
      </c>
      <c r="S86" s="35" t="str">
        <f t="shared" si="1"/>
        <v/>
      </c>
      <c r="T86" s="274" t="str">
        <f>IFERROR(SUMIFS('capacity data'!$L:$L,'capacity data'!$B:$B,P86,'capacity data'!$E:$E,"PSO")/SUMIFS('capacity data'!$G:$G,'capacity data'!$E:$E,"PSO",'capacity data'!$B:$B,P86),"")</f>
        <v/>
      </c>
      <c r="U86" s="274" t="str">
        <f>IFERROR(SUMIFS('capacity data'!$L:$L,'capacity data'!$B:$B,P86,'capacity data'!$E:$E,"TPO")/SUMIFS('capacity data'!$G:$G,'capacity data'!$E:$E,"TPO",'capacity data'!$B:$B,P86),"")</f>
        <v/>
      </c>
    </row>
    <row r="87" spans="1:21" ht="16" x14ac:dyDescent="0.2">
      <c r="A87" s="278"/>
      <c r="B87" s="278"/>
      <c r="C87" s="278"/>
      <c r="D87" s="278"/>
      <c r="E87" s="278"/>
      <c r="G87" s="278"/>
      <c r="H87" s="278"/>
      <c r="I87" s="278"/>
      <c r="J87" s="278"/>
      <c r="K87" s="278"/>
      <c r="L87" s="278"/>
      <c r="O87" s="38" t="s">
        <v>7</v>
      </c>
      <c r="P87" s="6" t="s">
        <v>890</v>
      </c>
      <c r="Q87" s="273" t="str">
        <f>IFERROR(SUM((SUMIFS('capacity data'!$G:$G,'capacity data'!$E:$E,"PO",'capacity data'!$B:$B,P87))-SUMIFS('capacity data'!$H:$H,'capacity data'!$E:$E,"PO",'capacity data'!$B:$B,P87))/SUMIFS('capacity data'!$G:$G,'capacity data'!$E:$E,"PO",'capacity data'!$B:$B,P87),"")</f>
        <v/>
      </c>
      <c r="R87" s="273" t="str">
        <f>IFERROR(SUM((SUMIFS('capacity data'!$G:$G,'capacity data'!$E:$E,"PSO",'capacity data'!$B:$B,P87))-SUMIFS('capacity data'!$H:$H,'capacity data'!$E:$E,"PSO",'capacity data'!$B:$B,P87))/SUMIFS('capacity data'!$G:$G,'capacity data'!$E:$E,"PSO",'capacity data'!$B:$B,P87),"")</f>
        <v/>
      </c>
      <c r="S87" s="35" t="str">
        <f t="shared" si="1"/>
        <v/>
      </c>
      <c r="T87" s="274" t="str">
        <f>IFERROR(SUMIFS('capacity data'!$L:$L,'capacity data'!$B:$B,P87,'capacity data'!$E:$E,"PSO")/SUMIFS('capacity data'!$G:$G,'capacity data'!$E:$E,"PSO",'capacity data'!$B:$B,P87),"")</f>
        <v/>
      </c>
      <c r="U87" s="274" t="str">
        <f>IFERROR(SUMIFS('capacity data'!$L:$L,'capacity data'!$B:$B,P87,'capacity data'!$E:$E,"TPO")/SUMIFS('capacity data'!$G:$G,'capacity data'!$E:$E,"TPO",'capacity data'!$B:$B,P87),"")</f>
        <v/>
      </c>
    </row>
    <row r="88" spans="1:21" ht="16" x14ac:dyDescent="0.2">
      <c r="A88" s="278"/>
      <c r="B88" s="278"/>
      <c r="C88" s="278"/>
      <c r="D88" s="278"/>
      <c r="E88" s="278"/>
      <c r="G88" s="278"/>
      <c r="H88" s="278"/>
      <c r="I88" s="278"/>
      <c r="J88" s="278"/>
      <c r="K88" s="278"/>
      <c r="L88" s="278"/>
      <c r="O88" s="38" t="s">
        <v>7</v>
      </c>
      <c r="P88" s="6" t="s">
        <v>96</v>
      </c>
      <c r="Q88" s="273" t="str">
        <f>IFERROR(SUM((SUMIFS('capacity data'!$G:$G,'capacity data'!$E:$E,"PO",'capacity data'!$B:$B,P88))-SUMIFS('capacity data'!$H:$H,'capacity data'!$E:$E,"PO",'capacity data'!$B:$B,P88))/SUMIFS('capacity data'!$G:$G,'capacity data'!$E:$E,"PO",'capacity data'!$B:$B,P88),"")</f>
        <v/>
      </c>
      <c r="R88" s="273" t="str">
        <f>IFERROR(SUM((SUMIFS('capacity data'!$G:$G,'capacity data'!$E:$E,"PSO",'capacity data'!$B:$B,P88))-SUMIFS('capacity data'!$H:$H,'capacity data'!$E:$E,"PSO",'capacity data'!$B:$B,P88))/SUMIFS('capacity data'!$G:$G,'capacity data'!$E:$E,"PSO",'capacity data'!$B:$B,P88),"")</f>
        <v/>
      </c>
      <c r="S88" s="35" t="str">
        <f t="shared" si="1"/>
        <v/>
      </c>
      <c r="T88" s="274" t="str">
        <f>IFERROR(SUMIFS('capacity data'!$L:$L,'capacity data'!$B:$B,P88,'capacity data'!$E:$E,"PSO")/SUMIFS('capacity data'!$G:$G,'capacity data'!$E:$E,"PSO",'capacity data'!$B:$B,P88),"")</f>
        <v/>
      </c>
      <c r="U88" s="274" t="str">
        <f>IFERROR(SUMIFS('capacity data'!$L:$L,'capacity data'!$B:$B,P88,'capacity data'!$E:$E,"TPO")/SUMIFS('capacity data'!$G:$G,'capacity data'!$E:$E,"TPO",'capacity data'!$B:$B,P88),"")</f>
        <v/>
      </c>
    </row>
    <row r="89" spans="1:21" ht="16" x14ac:dyDescent="0.2">
      <c r="A89" s="278"/>
      <c r="B89" s="278"/>
      <c r="C89" s="278"/>
      <c r="D89" s="278"/>
      <c r="E89" s="278"/>
      <c r="G89" s="278"/>
      <c r="H89" s="278"/>
      <c r="I89" s="278"/>
      <c r="J89" s="278"/>
      <c r="K89" s="278"/>
      <c r="L89" s="278"/>
      <c r="O89" s="38" t="s">
        <v>7</v>
      </c>
      <c r="P89" s="6" t="s">
        <v>102</v>
      </c>
      <c r="Q89" s="273" t="str">
        <f>IFERROR(SUM((SUMIFS('capacity data'!$G:$G,'capacity data'!$E:$E,"PO",'capacity data'!$B:$B,P89))-SUMIFS('capacity data'!$H:$H,'capacity data'!$E:$E,"PO",'capacity data'!$B:$B,P89))/SUMIFS('capacity data'!$G:$G,'capacity data'!$E:$E,"PO",'capacity data'!$B:$B,P89),"")</f>
        <v/>
      </c>
      <c r="R89" s="273" t="str">
        <f>IFERROR(SUM((SUMIFS('capacity data'!$G:$G,'capacity data'!$E:$E,"PSO",'capacity data'!$B:$B,P89))-SUMIFS('capacity data'!$H:$H,'capacity data'!$E:$E,"PSO",'capacity data'!$B:$B,P89))/SUMIFS('capacity data'!$G:$G,'capacity data'!$E:$E,"PSO",'capacity data'!$B:$B,P89),"")</f>
        <v/>
      </c>
      <c r="S89" s="35" t="str">
        <f t="shared" si="1"/>
        <v/>
      </c>
      <c r="T89" s="274" t="str">
        <f>IFERROR(SUMIFS('capacity data'!$L:$L,'capacity data'!$B:$B,P89,'capacity data'!$E:$E,"PSO")/SUMIFS('capacity data'!$G:$G,'capacity data'!$E:$E,"PSO",'capacity data'!$B:$B,P89),"")</f>
        <v/>
      </c>
      <c r="U89" s="274" t="str">
        <f>IFERROR(SUMIFS('capacity data'!$L:$L,'capacity data'!$B:$B,P89,'capacity data'!$E:$E,"TPO")/SUMIFS('capacity data'!$G:$G,'capacity data'!$E:$E,"TPO",'capacity data'!$B:$B,P89),"")</f>
        <v/>
      </c>
    </row>
    <row r="90" spans="1:21" ht="16" x14ac:dyDescent="0.2">
      <c r="A90" s="278"/>
      <c r="B90" s="278"/>
      <c r="C90" s="278"/>
      <c r="D90" s="278"/>
      <c r="E90" s="278"/>
      <c r="G90" s="278"/>
      <c r="H90" s="278"/>
      <c r="I90" s="278"/>
      <c r="J90" s="278"/>
      <c r="K90" s="278"/>
      <c r="L90" s="278"/>
      <c r="O90" s="38" t="s">
        <v>7</v>
      </c>
      <c r="P90" s="6" t="s">
        <v>914</v>
      </c>
      <c r="Q90" s="273" t="str">
        <f>IFERROR(SUM((SUMIFS('capacity data'!$G:$G,'capacity data'!$E:$E,"PO",'capacity data'!$B:$B,P90))-SUMIFS('capacity data'!$H:$H,'capacity data'!$E:$E,"PO",'capacity data'!$B:$B,P90))/SUMIFS('capacity data'!$G:$G,'capacity data'!$E:$E,"PO",'capacity data'!$B:$B,P90),"")</f>
        <v/>
      </c>
      <c r="R90" s="273" t="str">
        <f>IFERROR(SUM((SUMIFS('capacity data'!$G:$G,'capacity data'!$E:$E,"PSO",'capacity data'!$B:$B,P90))-SUMIFS('capacity data'!$H:$H,'capacity data'!$E:$E,"PSO",'capacity data'!$B:$B,P90))/SUMIFS('capacity data'!$G:$G,'capacity data'!$E:$E,"PSO",'capacity data'!$B:$B,P90),"")</f>
        <v/>
      </c>
      <c r="S90" s="35" t="str">
        <f t="shared" si="1"/>
        <v/>
      </c>
      <c r="T90" s="274" t="str">
        <f>IFERROR(SUMIFS('capacity data'!$L:$L,'capacity data'!$B:$B,P90,'capacity data'!$E:$E,"PSO")/SUMIFS('capacity data'!$G:$G,'capacity data'!$E:$E,"PSO",'capacity data'!$B:$B,P90),"")</f>
        <v/>
      </c>
      <c r="U90" s="274" t="str">
        <f>IFERROR(SUMIFS('capacity data'!$L:$L,'capacity data'!$B:$B,P90,'capacity data'!$E:$E,"TPO")/SUMIFS('capacity data'!$G:$G,'capacity data'!$E:$E,"TPO",'capacity data'!$B:$B,P90),"")</f>
        <v/>
      </c>
    </row>
    <row r="91" spans="1:21" ht="16" x14ac:dyDescent="0.2">
      <c r="A91" s="278"/>
      <c r="B91" s="278"/>
      <c r="C91" s="278"/>
      <c r="D91" s="278"/>
      <c r="E91" s="278"/>
      <c r="G91" s="278"/>
      <c r="H91" s="278"/>
      <c r="I91" s="278"/>
      <c r="J91" s="278"/>
      <c r="K91" s="278"/>
      <c r="L91" s="278"/>
      <c r="O91" s="38" t="s">
        <v>1132</v>
      </c>
      <c r="P91" s="6" t="s">
        <v>1133</v>
      </c>
      <c r="Q91" s="273" t="str">
        <f>IFERROR(SUM((SUMIFS('capacity data'!$G:$G,'capacity data'!$E:$E,"PO",'capacity data'!$B:$B,P91))-SUMIFS('capacity data'!$H:$H,'capacity data'!$E:$E,"PO",'capacity data'!$B:$B,P91))/SUMIFS('capacity data'!$G:$G,'capacity data'!$E:$E,"PO",'capacity data'!$B:$B,P91),"")</f>
        <v/>
      </c>
      <c r="R91" s="273" t="str">
        <f>IFERROR(SUM((SUMIFS('capacity data'!$G:$G,'capacity data'!$E:$E,"PSO",'capacity data'!$B:$B,P91))-SUMIFS('capacity data'!$H:$H,'capacity data'!$E:$E,"PSO",'capacity data'!$B:$B,P91))/SUMIFS('capacity data'!$G:$G,'capacity data'!$E:$E,"PSO",'capacity data'!$B:$B,P91),"")</f>
        <v/>
      </c>
      <c r="S91" s="35" t="str">
        <f t="shared" si="1"/>
        <v/>
      </c>
      <c r="T91" s="274" t="str">
        <f>IFERROR(SUMIFS('capacity data'!$L:$L,'capacity data'!$B:$B,P91,'capacity data'!$E:$E,"PSO")/SUMIFS('capacity data'!$G:$G,'capacity data'!$E:$E,"PSO",'capacity data'!$B:$B,P91),"")</f>
        <v/>
      </c>
      <c r="U91" s="274" t="str">
        <f>IFERROR(SUMIFS('capacity data'!$L:$L,'capacity data'!$B:$B,P91,'capacity data'!$E:$E,"TPO")/SUMIFS('capacity data'!$G:$G,'capacity data'!$E:$E,"TPO",'capacity data'!$B:$B,P91),"")</f>
        <v/>
      </c>
    </row>
    <row r="92" spans="1:21" ht="16" x14ac:dyDescent="0.2">
      <c r="A92" s="278"/>
      <c r="B92" s="278"/>
      <c r="C92" s="278"/>
      <c r="D92" s="278"/>
      <c r="E92" s="278"/>
      <c r="G92" s="278"/>
      <c r="H92" s="278"/>
      <c r="I92" s="278"/>
      <c r="J92" s="278"/>
      <c r="K92" s="278"/>
      <c r="L92" s="278"/>
      <c r="O92" s="38" t="s">
        <v>1132</v>
      </c>
      <c r="P92" s="6" t="s">
        <v>774</v>
      </c>
      <c r="Q92" s="273" t="str">
        <f>IFERROR(SUM((SUMIFS('capacity data'!$G:$G,'capacity data'!$E:$E,"PO",'capacity data'!$B:$B,P92))-SUMIFS('capacity data'!$H:$H,'capacity data'!$E:$E,"PO",'capacity data'!$B:$B,P92))/SUMIFS('capacity data'!$G:$G,'capacity data'!$E:$E,"PO",'capacity data'!$B:$B,P92),"")</f>
        <v/>
      </c>
      <c r="R92" s="273" t="str">
        <f>IFERROR(SUM((SUMIFS('capacity data'!$G:$G,'capacity data'!$E:$E,"PSO",'capacity data'!$B:$B,P92))-SUMIFS('capacity data'!$H:$H,'capacity data'!$E:$E,"PSO",'capacity data'!$B:$B,P92))/SUMIFS('capacity data'!$G:$G,'capacity data'!$E:$E,"PSO",'capacity data'!$B:$B,P92),"")</f>
        <v/>
      </c>
      <c r="S92" s="35" t="str">
        <f t="shared" si="1"/>
        <v/>
      </c>
      <c r="T92" s="274" t="str">
        <f>IFERROR(SUMIFS('capacity data'!$L:$L,'capacity data'!$B:$B,P92,'capacity data'!$E:$E,"PSO")/SUMIFS('capacity data'!$G:$G,'capacity data'!$E:$E,"PSO",'capacity data'!$B:$B,P92),"")</f>
        <v/>
      </c>
      <c r="U92" s="274" t="str">
        <f>IFERROR(SUMIFS('capacity data'!$L:$L,'capacity data'!$B:$B,P92,'capacity data'!$E:$E,"TPO")/SUMIFS('capacity data'!$G:$G,'capacity data'!$E:$E,"TPO",'capacity data'!$B:$B,P92),"")</f>
        <v/>
      </c>
    </row>
    <row r="93" spans="1:21" ht="16" x14ac:dyDescent="0.2">
      <c r="A93" s="278"/>
      <c r="B93" s="278"/>
      <c r="C93" s="278"/>
      <c r="D93" s="278"/>
      <c r="E93" s="278"/>
      <c r="G93" s="278"/>
      <c r="H93" s="278"/>
      <c r="I93" s="278"/>
      <c r="J93" s="278"/>
      <c r="K93" s="278"/>
      <c r="L93" s="278"/>
      <c r="O93" s="38" t="s">
        <v>1132</v>
      </c>
      <c r="P93" s="6" t="s">
        <v>1134</v>
      </c>
      <c r="Q93" s="273" t="str">
        <f>IFERROR(SUM((SUMIFS('capacity data'!$G:$G,'capacity data'!$E:$E,"PO",'capacity data'!$B:$B,P93))-SUMIFS('capacity data'!$H:$H,'capacity data'!$E:$E,"PO",'capacity data'!$B:$B,P93))/SUMIFS('capacity data'!$G:$G,'capacity data'!$E:$E,"PO",'capacity data'!$B:$B,P93),"")</f>
        <v/>
      </c>
      <c r="R93" s="273" t="str">
        <f>IFERROR(SUM((SUMIFS('capacity data'!$G:$G,'capacity data'!$E:$E,"PSO",'capacity data'!$B:$B,P93))-SUMIFS('capacity data'!$H:$H,'capacity data'!$E:$E,"PSO",'capacity data'!$B:$B,P93))/SUMIFS('capacity data'!$G:$G,'capacity data'!$E:$E,"PSO",'capacity data'!$B:$B,P93),"")</f>
        <v/>
      </c>
      <c r="S93" s="35" t="str">
        <f t="shared" si="1"/>
        <v/>
      </c>
      <c r="T93" s="274" t="str">
        <f>IFERROR(SUMIFS('capacity data'!$L:$L,'capacity data'!$B:$B,P93,'capacity data'!$E:$E,"PSO")/SUMIFS('capacity data'!$G:$G,'capacity data'!$E:$E,"PSO",'capacity data'!$B:$B,P93),"")</f>
        <v/>
      </c>
      <c r="U93" s="274" t="str">
        <f>IFERROR(SUMIFS('capacity data'!$L:$L,'capacity data'!$B:$B,P93,'capacity data'!$E:$E,"TPO")/SUMIFS('capacity data'!$G:$G,'capacity data'!$E:$E,"TPO",'capacity data'!$B:$B,P93),"")</f>
        <v/>
      </c>
    </row>
    <row r="94" spans="1:21" ht="16" x14ac:dyDescent="0.2">
      <c r="A94" s="278"/>
      <c r="B94" s="278"/>
      <c r="C94" s="278"/>
      <c r="D94" s="278"/>
      <c r="E94" s="278"/>
      <c r="G94" s="278"/>
      <c r="H94" s="278"/>
      <c r="I94" s="278"/>
      <c r="J94" s="278"/>
      <c r="K94" s="278"/>
      <c r="L94" s="278"/>
      <c r="O94" s="38" t="s">
        <v>1132</v>
      </c>
      <c r="P94" s="6" t="s">
        <v>792</v>
      </c>
      <c r="Q94" s="273" t="str">
        <f>IFERROR(SUM((SUMIFS('capacity data'!$G:$G,'capacity data'!$E:$E,"PO",'capacity data'!$B:$B,P94))-SUMIFS('capacity data'!$H:$H,'capacity data'!$E:$E,"PO",'capacity data'!$B:$B,P94))/SUMIFS('capacity data'!$G:$G,'capacity data'!$E:$E,"PO",'capacity data'!$B:$B,P94),"")</f>
        <v/>
      </c>
      <c r="R94" s="273" t="str">
        <f>IFERROR(SUM((SUMIFS('capacity data'!$G:$G,'capacity data'!$E:$E,"PSO",'capacity data'!$B:$B,P94))-SUMIFS('capacity data'!$H:$H,'capacity data'!$E:$E,"PSO",'capacity data'!$B:$B,P94))/SUMIFS('capacity data'!$G:$G,'capacity data'!$E:$E,"PSO",'capacity data'!$B:$B,P94),"")</f>
        <v/>
      </c>
      <c r="S94" s="35" t="str">
        <f t="shared" si="1"/>
        <v/>
      </c>
      <c r="T94" s="274" t="str">
        <f>IFERROR(SUMIFS('capacity data'!$L:$L,'capacity data'!$B:$B,P94,'capacity data'!$E:$E,"PSO")/SUMIFS('capacity data'!$G:$G,'capacity data'!$E:$E,"PSO",'capacity data'!$B:$B,P94),"")</f>
        <v/>
      </c>
      <c r="U94" s="274" t="str">
        <f>IFERROR(SUMIFS('capacity data'!$L:$L,'capacity data'!$B:$B,P94,'capacity data'!$E:$E,"TPO")/SUMIFS('capacity data'!$G:$G,'capacity data'!$E:$E,"TPO",'capacity data'!$B:$B,P94),"")</f>
        <v/>
      </c>
    </row>
    <row r="95" spans="1:21" ht="16" x14ac:dyDescent="0.2">
      <c r="A95" s="278"/>
      <c r="B95" s="278"/>
      <c r="C95" s="278"/>
      <c r="D95" s="278"/>
      <c r="E95" s="278"/>
      <c r="G95" s="278"/>
      <c r="H95" s="278"/>
      <c r="I95" s="278"/>
      <c r="J95" s="278"/>
      <c r="K95" s="278"/>
      <c r="L95" s="278"/>
      <c r="O95" s="38" t="s">
        <v>1132</v>
      </c>
      <c r="P95" s="6" t="s">
        <v>30</v>
      </c>
      <c r="Q95" s="273" t="str">
        <f>IFERROR(SUM((SUMIFS('capacity data'!$G:$G,'capacity data'!$E:$E,"PO",'capacity data'!$B:$B,P95))-SUMIFS('capacity data'!$H:$H,'capacity data'!$E:$E,"PO",'capacity data'!$B:$B,P95))/SUMIFS('capacity data'!$G:$G,'capacity data'!$E:$E,"PO",'capacity data'!$B:$B,P95),"")</f>
        <v/>
      </c>
      <c r="R95" s="273" t="str">
        <f>IFERROR(SUM((SUMIFS('capacity data'!$G:$G,'capacity data'!$E:$E,"PSO",'capacity data'!$B:$B,P95))-SUMIFS('capacity data'!$H:$H,'capacity data'!$E:$E,"PSO",'capacity data'!$B:$B,P95))/SUMIFS('capacity data'!$G:$G,'capacity data'!$E:$E,"PSO",'capacity data'!$B:$B,P95),"")</f>
        <v/>
      </c>
      <c r="S95" s="35" t="str">
        <f t="shared" si="1"/>
        <v/>
      </c>
      <c r="T95" s="274" t="str">
        <f>IFERROR(SUMIFS('capacity data'!$L:$L,'capacity data'!$B:$B,P95,'capacity data'!$E:$E,"PSO")/SUMIFS('capacity data'!$G:$G,'capacity data'!$E:$E,"PSO",'capacity data'!$B:$B,P95),"")</f>
        <v/>
      </c>
      <c r="U95" s="274" t="str">
        <f>IFERROR(SUMIFS('capacity data'!$L:$L,'capacity data'!$B:$B,P95,'capacity data'!$E:$E,"TPO")/SUMIFS('capacity data'!$G:$G,'capacity data'!$E:$E,"TPO",'capacity data'!$B:$B,P95),"")</f>
        <v/>
      </c>
    </row>
    <row r="96" spans="1:21" ht="16" x14ac:dyDescent="0.2">
      <c r="A96" s="278"/>
      <c r="B96" s="278"/>
      <c r="C96" s="278"/>
      <c r="D96" s="278"/>
      <c r="E96" s="278"/>
      <c r="G96" s="278"/>
      <c r="H96" s="278"/>
      <c r="I96" s="278"/>
      <c r="J96" s="278"/>
      <c r="K96" s="278"/>
      <c r="L96" s="278"/>
      <c r="O96" s="38" t="s">
        <v>1132</v>
      </c>
      <c r="P96" s="6" t="s">
        <v>819</v>
      </c>
      <c r="Q96" s="273" t="str">
        <f>IFERROR(SUM((SUMIFS('capacity data'!$G:$G,'capacity data'!$E:$E,"PO",'capacity data'!$B:$B,P96))-SUMIFS('capacity data'!$H:$H,'capacity data'!$E:$E,"PO",'capacity data'!$B:$B,P96))/SUMIFS('capacity data'!$G:$G,'capacity data'!$E:$E,"PO",'capacity data'!$B:$B,P96),"")</f>
        <v/>
      </c>
      <c r="R96" s="273" t="str">
        <f>IFERROR(SUM((SUMIFS('capacity data'!$G:$G,'capacity data'!$E:$E,"PSO",'capacity data'!$B:$B,P96))-SUMIFS('capacity data'!$H:$H,'capacity data'!$E:$E,"PSO",'capacity data'!$B:$B,P96))/SUMIFS('capacity data'!$G:$G,'capacity data'!$E:$E,"PSO",'capacity data'!$B:$B,P96),"")</f>
        <v/>
      </c>
      <c r="S96" s="35" t="str">
        <f t="shared" si="1"/>
        <v/>
      </c>
      <c r="T96" s="274" t="str">
        <f>IFERROR(SUMIFS('capacity data'!$L:$L,'capacity data'!$B:$B,P96,'capacity data'!$E:$E,"PSO")/SUMIFS('capacity data'!$G:$G,'capacity data'!$E:$E,"PSO",'capacity data'!$B:$B,P96),"")</f>
        <v/>
      </c>
      <c r="U96" s="274" t="str">
        <f>IFERROR(SUMIFS('capacity data'!$L:$L,'capacity data'!$B:$B,P96,'capacity data'!$E:$E,"TPO")/SUMIFS('capacity data'!$G:$G,'capacity data'!$E:$E,"TPO",'capacity data'!$B:$B,P96),"")</f>
        <v/>
      </c>
    </row>
    <row r="97" spans="1:21" ht="16" x14ac:dyDescent="0.2">
      <c r="A97" s="278"/>
      <c r="B97" s="278"/>
      <c r="C97" s="278"/>
      <c r="D97" s="278"/>
      <c r="E97" s="278"/>
      <c r="G97" s="278"/>
      <c r="H97" s="278"/>
      <c r="I97" s="278"/>
      <c r="J97" s="278"/>
      <c r="K97" s="278"/>
      <c r="L97" s="278"/>
      <c r="O97" s="38" t="s">
        <v>1132</v>
      </c>
      <c r="P97" s="6" t="s">
        <v>67</v>
      </c>
      <c r="Q97" s="273" t="str">
        <f>IFERROR(SUM((SUMIFS('capacity data'!$G:$G,'capacity data'!$E:$E,"PO",'capacity data'!$B:$B,P97))-SUMIFS('capacity data'!$H:$H,'capacity data'!$E:$E,"PO",'capacity data'!$B:$B,P97))/SUMIFS('capacity data'!$G:$G,'capacity data'!$E:$E,"PO",'capacity data'!$B:$B,P97),"")</f>
        <v/>
      </c>
      <c r="R97" s="273" t="str">
        <f>IFERROR(SUM((SUMIFS('capacity data'!$G:$G,'capacity data'!$E:$E,"PSO",'capacity data'!$B:$B,P97))-SUMIFS('capacity data'!$H:$H,'capacity data'!$E:$E,"PSO",'capacity data'!$B:$B,P97))/SUMIFS('capacity data'!$G:$G,'capacity data'!$E:$E,"PSO",'capacity data'!$B:$B,P97),"")</f>
        <v/>
      </c>
      <c r="S97" s="35" t="str">
        <f t="shared" si="1"/>
        <v/>
      </c>
      <c r="T97" s="274" t="str">
        <f>IFERROR(SUMIFS('capacity data'!$L:$L,'capacity data'!$B:$B,P97,'capacity data'!$E:$E,"PSO")/SUMIFS('capacity data'!$G:$G,'capacity data'!$E:$E,"PSO",'capacity data'!$B:$B,P97),"")</f>
        <v/>
      </c>
      <c r="U97" s="274" t="str">
        <f>IFERROR(SUMIFS('capacity data'!$L:$L,'capacity data'!$B:$B,P97,'capacity data'!$E:$E,"TPO")/SUMIFS('capacity data'!$G:$G,'capacity data'!$E:$E,"TPO",'capacity data'!$B:$B,P97),"")</f>
        <v/>
      </c>
    </row>
    <row r="98" spans="1:21" ht="16" x14ac:dyDescent="0.2">
      <c r="A98" s="278"/>
      <c r="B98" s="278"/>
      <c r="C98" s="278"/>
      <c r="D98" s="278"/>
      <c r="E98" s="278"/>
      <c r="G98" s="278"/>
      <c r="H98" s="278"/>
      <c r="I98" s="278"/>
      <c r="J98" s="278"/>
      <c r="K98" s="278"/>
      <c r="L98" s="278"/>
      <c r="O98" s="38" t="s">
        <v>1132</v>
      </c>
      <c r="P98" s="6" t="s">
        <v>1129</v>
      </c>
      <c r="Q98" s="273" t="str">
        <f>IFERROR(SUM((SUMIFS('capacity data'!$G:$G,'capacity data'!$E:$E,"PO",'capacity data'!$B:$B,P98))-SUMIFS('capacity data'!$H:$H,'capacity data'!$E:$E,"PO",'capacity data'!$B:$B,P98))/SUMIFS('capacity data'!$G:$G,'capacity data'!$E:$E,"PO",'capacity data'!$B:$B,P98),"")</f>
        <v/>
      </c>
      <c r="R98" s="273" t="str">
        <f>IFERROR(SUM((SUMIFS('capacity data'!$G:$G,'capacity data'!$E:$E,"PSO",'capacity data'!$B:$B,P98))-SUMIFS('capacity data'!$H:$H,'capacity data'!$E:$E,"PSO",'capacity data'!$B:$B,P98))/SUMIFS('capacity data'!$G:$G,'capacity data'!$E:$E,"PSO",'capacity data'!$B:$B,P98),"")</f>
        <v/>
      </c>
      <c r="S98" s="35" t="str">
        <f t="shared" si="1"/>
        <v/>
      </c>
      <c r="T98" s="274" t="str">
        <f>IFERROR(SUMIFS('capacity data'!$L:$L,'capacity data'!$B:$B,P98,'capacity data'!$E:$E,"PSO")/SUMIFS('capacity data'!$G:$G,'capacity data'!$E:$E,"PSO",'capacity data'!$B:$B,P98),"")</f>
        <v/>
      </c>
      <c r="U98" s="274" t="str">
        <f>IFERROR(SUMIFS('capacity data'!$L:$L,'capacity data'!$B:$B,P98,'capacity data'!$E:$E,"TPO")/SUMIFS('capacity data'!$G:$G,'capacity data'!$E:$E,"TPO",'capacity data'!$B:$B,P98),"")</f>
        <v/>
      </c>
    </row>
    <row r="99" spans="1:21" ht="16" x14ac:dyDescent="0.2">
      <c r="A99" s="278"/>
      <c r="B99" s="278"/>
      <c r="C99" s="278"/>
      <c r="D99" s="278"/>
      <c r="E99" s="278"/>
      <c r="G99" s="278"/>
      <c r="H99" s="278"/>
      <c r="I99" s="278"/>
      <c r="J99" s="278"/>
      <c r="K99" s="278"/>
      <c r="L99" s="278"/>
      <c r="O99" s="38" t="s">
        <v>1132</v>
      </c>
      <c r="P99" s="6" t="s">
        <v>756</v>
      </c>
      <c r="Q99" s="273" t="str">
        <f>IFERROR(SUM((SUMIFS('capacity data'!$G:$G,'capacity data'!$E:$E,"PO",'capacity data'!$B:$B,P99))-SUMIFS('capacity data'!$H:$H,'capacity data'!$E:$E,"PO",'capacity data'!$B:$B,P99))/SUMIFS('capacity data'!$G:$G,'capacity data'!$E:$E,"PO",'capacity data'!$B:$B,P99),"")</f>
        <v/>
      </c>
      <c r="R99" s="273" t="str">
        <f>IFERROR(SUM((SUMIFS('capacity data'!$G:$G,'capacity data'!$E:$E,"PSO",'capacity data'!$B:$B,P99))-SUMIFS('capacity data'!$H:$H,'capacity data'!$E:$E,"PSO",'capacity data'!$B:$B,P99))/SUMIFS('capacity data'!$G:$G,'capacity data'!$E:$E,"PSO",'capacity data'!$B:$B,P99),"")</f>
        <v/>
      </c>
      <c r="S99" s="35" t="str">
        <f t="shared" si="1"/>
        <v/>
      </c>
      <c r="T99" s="274" t="str">
        <f>IFERROR(SUMIFS('capacity data'!$L:$L,'capacity data'!$B:$B,P99,'capacity data'!$E:$E,"PSO")/SUMIFS('capacity data'!$G:$G,'capacity data'!$E:$E,"PSO",'capacity data'!$B:$B,P99),"")</f>
        <v/>
      </c>
      <c r="U99" s="274" t="str">
        <f>IFERROR(SUMIFS('capacity data'!$L:$L,'capacity data'!$B:$B,P99,'capacity data'!$E:$E,"TPO")/SUMIFS('capacity data'!$G:$G,'capacity data'!$E:$E,"TPO",'capacity data'!$B:$B,P99),"")</f>
        <v/>
      </c>
    </row>
    <row r="100" spans="1:21" ht="16" x14ac:dyDescent="0.2">
      <c r="A100" s="278"/>
      <c r="B100" s="278"/>
      <c r="C100" s="278"/>
      <c r="D100" s="278"/>
      <c r="E100" s="278"/>
      <c r="G100" s="278"/>
      <c r="H100" s="278"/>
      <c r="I100" s="278"/>
      <c r="J100" s="278"/>
      <c r="K100" s="278"/>
      <c r="L100" s="278"/>
      <c r="O100" s="38" t="s">
        <v>1132</v>
      </c>
      <c r="P100" s="6" t="s">
        <v>59</v>
      </c>
      <c r="Q100" s="273" t="str">
        <f>IFERROR(SUM((SUMIFS('capacity data'!$G:$G,'capacity data'!$E:$E,"PO",'capacity data'!$B:$B,P100))-SUMIFS('capacity data'!$H:$H,'capacity data'!$E:$E,"PO",'capacity data'!$B:$B,P100))/SUMIFS('capacity data'!$G:$G,'capacity data'!$E:$E,"PO",'capacity data'!$B:$B,P100),"")</f>
        <v/>
      </c>
      <c r="R100" s="273" t="str">
        <f>IFERROR(SUM((SUMIFS('capacity data'!$G:$G,'capacity data'!$E:$E,"PSO",'capacity data'!$B:$B,P100))-SUMIFS('capacity data'!$H:$H,'capacity data'!$E:$E,"PSO",'capacity data'!$B:$B,P100))/SUMIFS('capacity data'!$G:$G,'capacity data'!$E:$E,"PSO",'capacity data'!$B:$B,P100),"")</f>
        <v/>
      </c>
      <c r="S100" s="35" t="str">
        <f t="shared" si="1"/>
        <v/>
      </c>
      <c r="T100" s="274" t="str">
        <f>IFERROR(SUMIFS('capacity data'!$L:$L,'capacity data'!$B:$B,P100,'capacity data'!$E:$E,"PSO")/SUMIFS('capacity data'!$G:$G,'capacity data'!$E:$E,"PSO",'capacity data'!$B:$B,P100),"")</f>
        <v/>
      </c>
      <c r="U100" s="274" t="str">
        <f>IFERROR(SUMIFS('capacity data'!$L:$L,'capacity data'!$B:$B,P100,'capacity data'!$E:$E,"TPO")/SUMIFS('capacity data'!$G:$G,'capacity data'!$E:$E,"TPO",'capacity data'!$B:$B,P100),"")</f>
        <v/>
      </c>
    </row>
    <row r="101" spans="1:21" ht="16" x14ac:dyDescent="0.2">
      <c r="A101" s="278"/>
      <c r="B101" s="278"/>
      <c r="C101" s="278"/>
      <c r="D101" s="278"/>
      <c r="E101" s="278"/>
      <c r="G101" s="278"/>
      <c r="H101" s="278"/>
      <c r="I101" s="278"/>
      <c r="J101" s="278"/>
      <c r="K101" s="278"/>
      <c r="L101" s="278"/>
      <c r="O101" s="38" t="s">
        <v>1132</v>
      </c>
      <c r="P101" s="6" t="s">
        <v>757</v>
      </c>
      <c r="Q101" s="273" t="str">
        <f>IFERROR(SUM((SUMIFS('capacity data'!$G:$G,'capacity data'!$E:$E,"PO",'capacity data'!$B:$B,P101))-SUMIFS('capacity data'!$H:$H,'capacity data'!$E:$E,"PO",'capacity data'!$B:$B,P101))/SUMIFS('capacity data'!$G:$G,'capacity data'!$E:$E,"PO",'capacity data'!$B:$B,P101),"")</f>
        <v/>
      </c>
      <c r="R101" s="273" t="str">
        <f>IFERROR(SUM((SUMIFS('capacity data'!$G:$G,'capacity data'!$E:$E,"PSO",'capacity data'!$B:$B,P101))-SUMIFS('capacity data'!$H:$H,'capacity data'!$E:$E,"PSO",'capacity data'!$B:$B,P101))/SUMIFS('capacity data'!$G:$G,'capacity data'!$E:$E,"PSO",'capacity data'!$B:$B,P101),"")</f>
        <v/>
      </c>
      <c r="S101" s="35" t="str">
        <f t="shared" si="1"/>
        <v/>
      </c>
      <c r="T101" s="274" t="str">
        <f>IFERROR(SUMIFS('capacity data'!$L:$L,'capacity data'!$B:$B,P101,'capacity data'!$E:$E,"PSO")/SUMIFS('capacity data'!$G:$G,'capacity data'!$E:$E,"PSO",'capacity data'!$B:$B,P101),"")</f>
        <v/>
      </c>
      <c r="U101" s="274" t="str">
        <f>IFERROR(SUMIFS('capacity data'!$L:$L,'capacity data'!$B:$B,P101,'capacity data'!$E:$E,"TPO")/SUMIFS('capacity data'!$G:$G,'capacity data'!$E:$E,"TPO",'capacity data'!$B:$B,P101),"")</f>
        <v/>
      </c>
    </row>
    <row r="102" spans="1:21" ht="16" x14ac:dyDescent="0.2">
      <c r="A102" s="278"/>
      <c r="B102" s="278"/>
      <c r="C102" s="278"/>
      <c r="D102" s="278"/>
      <c r="E102" s="278"/>
      <c r="G102" s="278"/>
      <c r="H102" s="278"/>
      <c r="I102" s="278"/>
      <c r="J102" s="278"/>
      <c r="K102" s="278"/>
      <c r="L102" s="278"/>
      <c r="O102" s="38" t="s">
        <v>1132</v>
      </c>
      <c r="P102" s="6" t="s">
        <v>1128</v>
      </c>
      <c r="Q102" s="273" t="str">
        <f>IFERROR(SUM((SUMIFS('capacity data'!$G:$G,'capacity data'!$E:$E,"PO",'capacity data'!$B:$B,P102))-SUMIFS('capacity data'!$H:$H,'capacity data'!$E:$E,"PO",'capacity data'!$B:$B,P102))/SUMIFS('capacity data'!$G:$G,'capacity data'!$E:$E,"PO",'capacity data'!$B:$B,P102),"")</f>
        <v/>
      </c>
      <c r="R102" s="273" t="str">
        <f>IFERROR(SUM((SUMIFS('capacity data'!$G:$G,'capacity data'!$E:$E,"PSO",'capacity data'!$B:$B,P102))-SUMIFS('capacity data'!$H:$H,'capacity data'!$E:$E,"PSO",'capacity data'!$B:$B,P102))/SUMIFS('capacity data'!$G:$G,'capacity data'!$E:$E,"PSO",'capacity data'!$B:$B,P102),"")</f>
        <v/>
      </c>
      <c r="S102" s="35" t="str">
        <f t="shared" si="1"/>
        <v/>
      </c>
      <c r="T102" s="274" t="str">
        <f>IFERROR(SUMIFS('capacity data'!$L:$L,'capacity data'!$B:$B,P102,'capacity data'!$E:$E,"PSO")/SUMIFS('capacity data'!$G:$G,'capacity data'!$E:$E,"PSO",'capacity data'!$B:$B,P102),"")</f>
        <v/>
      </c>
      <c r="U102" s="274" t="str">
        <f>IFERROR(SUMIFS('capacity data'!$L:$L,'capacity data'!$B:$B,P102,'capacity data'!$E:$E,"TPO")/SUMIFS('capacity data'!$G:$G,'capacity data'!$E:$E,"TPO",'capacity data'!$B:$B,P102),"")</f>
        <v/>
      </c>
    </row>
    <row r="103" spans="1:21" ht="16" x14ac:dyDescent="0.2">
      <c r="A103" s="278"/>
      <c r="B103" s="278"/>
      <c r="C103" s="278"/>
      <c r="D103" s="278"/>
      <c r="E103" s="278"/>
      <c r="G103" s="278"/>
      <c r="H103" s="278"/>
      <c r="I103" s="278"/>
      <c r="J103" s="278"/>
      <c r="K103" s="278"/>
      <c r="L103" s="278"/>
      <c r="O103" s="38" t="s">
        <v>1132</v>
      </c>
      <c r="P103" s="6" t="s">
        <v>74</v>
      </c>
      <c r="Q103" s="273" t="str">
        <f>IFERROR(SUM((SUMIFS('capacity data'!$G:$G,'capacity data'!$E:$E,"PO",'capacity data'!$B:$B,P103))-SUMIFS('capacity data'!$H:$H,'capacity data'!$E:$E,"PO",'capacity data'!$B:$B,P103))/SUMIFS('capacity data'!$G:$G,'capacity data'!$E:$E,"PO",'capacity data'!$B:$B,P103),"")</f>
        <v/>
      </c>
      <c r="R103" s="273" t="str">
        <f>IFERROR(SUM((SUMIFS('capacity data'!$G:$G,'capacity data'!$E:$E,"PSO",'capacity data'!$B:$B,P103))-SUMIFS('capacity data'!$H:$H,'capacity data'!$E:$E,"PSO",'capacity data'!$B:$B,P103))/SUMIFS('capacity data'!$G:$G,'capacity data'!$E:$E,"PSO",'capacity data'!$B:$B,P103),"")</f>
        <v/>
      </c>
      <c r="S103" s="35" t="str">
        <f t="shared" si="1"/>
        <v/>
      </c>
      <c r="T103" s="274" t="str">
        <f>IFERROR(SUMIFS('capacity data'!$L:$L,'capacity data'!$B:$B,P103,'capacity data'!$E:$E,"PSO")/SUMIFS('capacity data'!$G:$G,'capacity data'!$E:$E,"PSO",'capacity data'!$B:$B,P103),"")</f>
        <v/>
      </c>
      <c r="U103" s="274" t="str">
        <f>IFERROR(SUMIFS('capacity data'!$L:$L,'capacity data'!$B:$B,P103,'capacity data'!$E:$E,"TPO")/SUMIFS('capacity data'!$G:$G,'capacity data'!$E:$E,"TPO",'capacity data'!$B:$B,P103),"")</f>
        <v/>
      </c>
    </row>
    <row r="104" spans="1:21" ht="16" x14ac:dyDescent="0.2">
      <c r="A104" s="278"/>
      <c r="B104" s="278"/>
      <c r="C104" s="278"/>
      <c r="D104" s="278"/>
      <c r="E104" s="278"/>
      <c r="G104" s="278"/>
      <c r="H104" s="278"/>
      <c r="I104" s="278"/>
      <c r="J104" s="278"/>
      <c r="K104" s="278"/>
      <c r="L104" s="278"/>
      <c r="O104" s="38" t="s">
        <v>1217</v>
      </c>
      <c r="P104" s="6" t="s">
        <v>1219</v>
      </c>
      <c r="Q104" s="273" t="str">
        <f>IFERROR(SUM((SUMIFS('capacity data'!$G:$G,'capacity data'!$E:$E,"PO",'capacity data'!$B:$B,P104))-SUMIFS('capacity data'!$H:$H,'capacity data'!$E:$E,"PO",'capacity data'!$B:$B,P104))/SUMIFS('capacity data'!$G:$G,'capacity data'!$E:$E,"PO",'capacity data'!$B:$B,P104),"")</f>
        <v/>
      </c>
      <c r="R104" s="273" t="str">
        <f>IFERROR(SUM((SUMIFS('capacity data'!$G:$G,'capacity data'!$E:$E,"PSO",'capacity data'!$B:$B,P104))-SUMIFS('capacity data'!$H:$H,'capacity data'!$E:$E,"PSO",'capacity data'!$B:$B,P104))/SUMIFS('capacity data'!$G:$G,'capacity data'!$E:$E,"PSO",'capacity data'!$B:$B,P104),"")</f>
        <v/>
      </c>
      <c r="S104" s="35" t="str">
        <f t="shared" si="1"/>
        <v/>
      </c>
      <c r="T104" s="274" t="str">
        <f>IFERROR(SUMIFS('capacity data'!$L:$L,'capacity data'!$B:$B,P104,'capacity data'!$E:$E,"PSO")/SUMIFS('capacity data'!$G:$G,'capacity data'!$E:$E,"PSO",'capacity data'!$B:$B,P104),"")</f>
        <v/>
      </c>
      <c r="U104" s="274" t="str">
        <f>IFERROR(SUMIFS('capacity data'!$L:$L,'capacity data'!$B:$B,P104,'capacity data'!$E:$E,"TPO")/SUMIFS('capacity data'!$G:$G,'capacity data'!$E:$E,"TPO",'capacity data'!$B:$B,P104),"")</f>
        <v/>
      </c>
    </row>
    <row r="105" spans="1:21" ht="16" x14ac:dyDescent="0.2">
      <c r="A105" s="278"/>
      <c r="B105" s="278"/>
      <c r="C105" s="278"/>
      <c r="D105" s="278"/>
      <c r="E105" s="278"/>
      <c r="G105" s="278"/>
      <c r="H105" s="278"/>
      <c r="I105" s="278"/>
      <c r="J105" s="278"/>
      <c r="K105" s="278"/>
      <c r="L105" s="278"/>
      <c r="O105" s="38" t="s">
        <v>1217</v>
      </c>
      <c r="P105" s="6" t="s">
        <v>1218</v>
      </c>
      <c r="Q105" s="273" t="str">
        <f>IFERROR(SUM((SUMIFS('capacity data'!$G:$G,'capacity data'!$E:$E,"PO",'capacity data'!$B:$B,P105))-SUMIFS('capacity data'!$H:$H,'capacity data'!$E:$E,"PO",'capacity data'!$B:$B,P105))/SUMIFS('capacity data'!$G:$G,'capacity data'!$E:$E,"PO",'capacity data'!$B:$B,P105),"")</f>
        <v/>
      </c>
      <c r="R105" s="273" t="str">
        <f>IFERROR(SUM((SUMIFS('capacity data'!$G:$G,'capacity data'!$E:$E,"PSO",'capacity data'!$B:$B,P105))-SUMIFS('capacity data'!$H:$H,'capacity data'!$E:$E,"PSO",'capacity data'!$B:$B,P105))/SUMIFS('capacity data'!$G:$G,'capacity data'!$E:$E,"PSO",'capacity data'!$B:$B,P105),"")</f>
        <v/>
      </c>
      <c r="S105" s="35" t="str">
        <f t="shared" si="1"/>
        <v/>
      </c>
      <c r="T105" s="274" t="str">
        <f>IFERROR(SUMIFS('capacity data'!$L:$L,'capacity data'!$B:$B,P105,'capacity data'!$E:$E,"PSO")/SUMIFS('capacity data'!$G:$G,'capacity data'!$E:$E,"PSO",'capacity data'!$B:$B,P105),"")</f>
        <v/>
      </c>
      <c r="U105" s="274" t="str">
        <f>IFERROR(SUMIFS('capacity data'!$L:$L,'capacity data'!$B:$B,P105,'capacity data'!$E:$E,"TPO")/SUMIFS('capacity data'!$G:$G,'capacity data'!$E:$E,"TPO",'capacity data'!$B:$B,P105),"")</f>
        <v/>
      </c>
    </row>
    <row r="106" spans="1:21" ht="16" x14ac:dyDescent="0.2">
      <c r="A106" s="278"/>
      <c r="B106" s="278"/>
      <c r="C106" s="278"/>
      <c r="D106" s="278"/>
      <c r="E106" s="278"/>
      <c r="G106" s="278"/>
      <c r="H106" s="278"/>
      <c r="I106" s="278"/>
      <c r="J106" s="278"/>
      <c r="K106" s="278"/>
      <c r="L106" s="278"/>
      <c r="O106" s="38" t="s">
        <v>1217</v>
      </c>
      <c r="P106" s="6" t="s">
        <v>775</v>
      </c>
      <c r="Q106" s="273" t="str">
        <f>IFERROR(SUM((SUMIFS('capacity data'!$G:$G,'capacity data'!$E:$E,"PO",'capacity data'!$B:$B,P106))-SUMIFS('capacity data'!$H:$H,'capacity data'!$E:$E,"PO",'capacity data'!$B:$B,P106))/SUMIFS('capacity data'!$G:$G,'capacity data'!$E:$E,"PO",'capacity data'!$B:$B,P106),"")</f>
        <v/>
      </c>
      <c r="R106" s="273" t="str">
        <f>IFERROR(SUM((SUMIFS('capacity data'!$G:$G,'capacity data'!$E:$E,"PSO",'capacity data'!$B:$B,P106))-SUMIFS('capacity data'!$H:$H,'capacity data'!$E:$E,"PSO",'capacity data'!$B:$B,P106))/SUMIFS('capacity data'!$G:$G,'capacity data'!$E:$E,"PSO",'capacity data'!$B:$B,P106),"")</f>
        <v/>
      </c>
      <c r="S106" s="35" t="str">
        <f t="shared" si="1"/>
        <v/>
      </c>
      <c r="T106" s="274" t="str">
        <f>IFERROR(SUMIFS('capacity data'!$L:$L,'capacity data'!$B:$B,P106,'capacity data'!$E:$E,"PSO")/SUMIFS('capacity data'!$G:$G,'capacity data'!$E:$E,"PSO",'capacity data'!$B:$B,P106),"")</f>
        <v/>
      </c>
      <c r="U106" s="274" t="str">
        <f>IFERROR(SUMIFS('capacity data'!$L:$L,'capacity data'!$B:$B,P106,'capacity data'!$E:$E,"TPO")/SUMIFS('capacity data'!$G:$G,'capacity data'!$E:$E,"TPO",'capacity data'!$B:$B,P106),"")</f>
        <v/>
      </c>
    </row>
    <row r="107" spans="1:21" ht="16" x14ac:dyDescent="0.2">
      <c r="A107" s="278"/>
      <c r="B107" s="278"/>
      <c r="C107" s="278"/>
      <c r="D107" s="278"/>
      <c r="E107" s="278"/>
      <c r="G107" s="278"/>
      <c r="H107" s="278"/>
      <c r="I107" s="278"/>
      <c r="J107" s="278"/>
      <c r="K107" s="278"/>
      <c r="L107" s="278"/>
      <c r="O107" s="38" t="s">
        <v>1217</v>
      </c>
      <c r="P107" s="6" t="s">
        <v>793</v>
      </c>
      <c r="Q107" s="273" t="str">
        <f>IFERROR(SUM((SUMIFS('capacity data'!$G:$G,'capacity data'!$E:$E,"PO",'capacity data'!$B:$B,P107))-SUMIFS('capacity data'!$H:$H,'capacity data'!$E:$E,"PO",'capacity data'!$B:$B,P107))/SUMIFS('capacity data'!$G:$G,'capacity data'!$E:$E,"PO",'capacity data'!$B:$B,P107),"")</f>
        <v/>
      </c>
      <c r="R107" s="273" t="str">
        <f>IFERROR(SUM((SUMIFS('capacity data'!$G:$G,'capacity data'!$E:$E,"PSO",'capacity data'!$B:$B,P107))-SUMIFS('capacity data'!$H:$H,'capacity data'!$E:$E,"PSO",'capacity data'!$B:$B,P107))/SUMIFS('capacity data'!$G:$G,'capacity data'!$E:$E,"PSO",'capacity data'!$B:$B,P107),"")</f>
        <v/>
      </c>
      <c r="S107" s="35" t="str">
        <f t="shared" si="1"/>
        <v/>
      </c>
      <c r="T107" s="274" t="str">
        <f>IFERROR(SUMIFS('capacity data'!$L:$L,'capacity data'!$B:$B,P107,'capacity data'!$E:$E,"PSO")/SUMIFS('capacity data'!$G:$G,'capacity data'!$E:$E,"PSO",'capacity data'!$B:$B,P107),"")</f>
        <v/>
      </c>
      <c r="U107" s="274" t="str">
        <f>IFERROR(SUMIFS('capacity data'!$L:$L,'capacity data'!$B:$B,P107,'capacity data'!$E:$E,"TPO")/SUMIFS('capacity data'!$G:$G,'capacity data'!$E:$E,"TPO",'capacity data'!$B:$B,P107),"")</f>
        <v/>
      </c>
    </row>
    <row r="108" spans="1:21" ht="16" x14ac:dyDescent="0.2">
      <c r="A108" s="278"/>
      <c r="B108" s="278"/>
      <c r="C108" s="278"/>
      <c r="D108" s="278"/>
      <c r="E108" s="278"/>
      <c r="G108" s="278"/>
      <c r="H108" s="278"/>
      <c r="I108" s="278"/>
      <c r="J108" s="278"/>
      <c r="K108" s="278"/>
      <c r="L108" s="278"/>
      <c r="O108" s="38" t="s">
        <v>1217</v>
      </c>
      <c r="P108" s="6" t="s">
        <v>31</v>
      </c>
      <c r="Q108" s="273" t="str">
        <f>IFERROR(SUM((SUMIFS('capacity data'!$G:$G,'capacity data'!$E:$E,"PO",'capacity data'!$B:$B,P108))-SUMIFS('capacity data'!$H:$H,'capacity data'!$E:$E,"PO",'capacity data'!$B:$B,P108))/SUMIFS('capacity data'!$G:$G,'capacity data'!$E:$E,"PO",'capacity data'!$B:$B,P108),"")</f>
        <v/>
      </c>
      <c r="R108" s="273" t="str">
        <f>IFERROR(SUM((SUMIFS('capacity data'!$G:$G,'capacity data'!$E:$E,"PSO",'capacity data'!$B:$B,P108))-SUMIFS('capacity data'!$H:$H,'capacity data'!$E:$E,"PSO",'capacity data'!$B:$B,P108))/SUMIFS('capacity data'!$G:$G,'capacity data'!$E:$E,"PSO",'capacity data'!$B:$B,P108),"")</f>
        <v/>
      </c>
      <c r="S108" s="35" t="str">
        <f t="shared" si="1"/>
        <v/>
      </c>
      <c r="T108" s="274" t="str">
        <f>IFERROR(SUMIFS('capacity data'!$L:$L,'capacity data'!$B:$B,P108,'capacity data'!$E:$E,"PSO")/SUMIFS('capacity data'!$G:$G,'capacity data'!$E:$E,"PSO",'capacity data'!$B:$B,P108),"")</f>
        <v/>
      </c>
      <c r="U108" s="274" t="str">
        <f>IFERROR(SUMIFS('capacity data'!$L:$L,'capacity data'!$B:$B,P108,'capacity data'!$E:$E,"TPO")/SUMIFS('capacity data'!$G:$G,'capacity data'!$E:$E,"TPO",'capacity data'!$B:$B,P108),"")</f>
        <v/>
      </c>
    </row>
    <row r="109" spans="1:21" ht="16" x14ac:dyDescent="0.2">
      <c r="A109" s="278"/>
      <c r="B109" s="278"/>
      <c r="C109" s="278"/>
      <c r="D109" s="278"/>
      <c r="E109" s="278"/>
      <c r="G109" s="278"/>
      <c r="H109" s="278"/>
      <c r="I109" s="278"/>
      <c r="J109" s="278"/>
      <c r="K109" s="278"/>
      <c r="L109" s="278"/>
      <c r="O109" s="38" t="s">
        <v>1217</v>
      </c>
      <c r="P109" s="6" t="s">
        <v>820</v>
      </c>
      <c r="Q109" s="273" t="str">
        <f>IFERROR(SUM((SUMIFS('capacity data'!$G:$G,'capacity data'!$E:$E,"PO",'capacity data'!$B:$B,P109))-SUMIFS('capacity data'!$H:$H,'capacity data'!$E:$E,"PO",'capacity data'!$B:$B,P109))/SUMIFS('capacity data'!$G:$G,'capacity data'!$E:$E,"PO",'capacity data'!$B:$B,P109),"")</f>
        <v/>
      </c>
      <c r="R109" s="273" t="str">
        <f>IFERROR(SUM((SUMIFS('capacity data'!$G:$G,'capacity data'!$E:$E,"PSO",'capacity data'!$B:$B,P109))-SUMIFS('capacity data'!$H:$H,'capacity data'!$E:$E,"PSO",'capacity data'!$B:$B,P109))/SUMIFS('capacity data'!$G:$G,'capacity data'!$E:$E,"PSO",'capacity data'!$B:$B,P109),"")</f>
        <v/>
      </c>
      <c r="S109" s="35" t="str">
        <f t="shared" si="1"/>
        <v/>
      </c>
      <c r="T109" s="274" t="str">
        <f>IFERROR(SUMIFS('capacity data'!$L:$L,'capacity data'!$B:$B,P109,'capacity data'!$E:$E,"PSO")/SUMIFS('capacity data'!$G:$G,'capacity data'!$E:$E,"PSO",'capacity data'!$B:$B,P109),"")</f>
        <v/>
      </c>
      <c r="U109" s="274" t="str">
        <f>IFERROR(SUMIFS('capacity data'!$L:$L,'capacity data'!$B:$B,P109,'capacity data'!$E:$E,"TPO")/SUMIFS('capacity data'!$G:$G,'capacity data'!$E:$E,"TPO",'capacity data'!$B:$B,P109),"")</f>
        <v/>
      </c>
    </row>
    <row r="110" spans="1:21" ht="16" x14ac:dyDescent="0.2">
      <c r="A110" s="278"/>
      <c r="B110" s="278"/>
      <c r="C110" s="278"/>
      <c r="D110" s="278"/>
      <c r="E110" s="278"/>
      <c r="G110" s="278"/>
      <c r="H110" s="278"/>
      <c r="I110" s="278"/>
      <c r="J110" s="278"/>
      <c r="K110" s="278"/>
      <c r="L110" s="278"/>
      <c r="O110" s="38" t="s">
        <v>1217</v>
      </c>
      <c r="P110" s="6" t="s">
        <v>830</v>
      </c>
      <c r="Q110" s="273" t="str">
        <f>IFERROR(SUM((SUMIFS('capacity data'!$G:$G,'capacity data'!$E:$E,"PO",'capacity data'!$B:$B,P110))-SUMIFS('capacity data'!$H:$H,'capacity data'!$E:$E,"PO",'capacity data'!$B:$B,P110))/SUMIFS('capacity data'!$G:$G,'capacity data'!$E:$E,"PO",'capacity data'!$B:$B,P110),"")</f>
        <v/>
      </c>
      <c r="R110" s="273" t="str">
        <f>IFERROR(SUM((SUMIFS('capacity data'!$G:$G,'capacity data'!$E:$E,"PSO",'capacity data'!$B:$B,P110))-SUMIFS('capacity data'!$H:$H,'capacity data'!$E:$E,"PSO",'capacity data'!$B:$B,P110))/SUMIFS('capacity data'!$G:$G,'capacity data'!$E:$E,"PSO",'capacity data'!$B:$B,P110),"")</f>
        <v/>
      </c>
      <c r="S110" s="35" t="str">
        <f t="shared" si="1"/>
        <v/>
      </c>
      <c r="T110" s="274" t="str">
        <f>IFERROR(SUMIFS('capacity data'!$L:$L,'capacity data'!$B:$B,P110,'capacity data'!$E:$E,"PSO")/SUMIFS('capacity data'!$G:$G,'capacity data'!$E:$E,"PSO",'capacity data'!$B:$B,P110),"")</f>
        <v/>
      </c>
      <c r="U110" s="274" t="str">
        <f>IFERROR(SUMIFS('capacity data'!$L:$L,'capacity data'!$B:$B,P110,'capacity data'!$E:$E,"TPO")/SUMIFS('capacity data'!$G:$G,'capacity data'!$E:$E,"TPO",'capacity data'!$B:$B,P110),"")</f>
        <v/>
      </c>
    </row>
    <row r="111" spans="1:21" ht="16" x14ac:dyDescent="0.2">
      <c r="A111" s="278"/>
      <c r="B111" s="278"/>
      <c r="C111" s="278"/>
      <c r="D111" s="278"/>
      <c r="E111" s="278"/>
      <c r="G111" s="278"/>
      <c r="H111" s="278"/>
      <c r="I111" s="278"/>
      <c r="J111" s="278"/>
      <c r="K111" s="278"/>
      <c r="L111" s="278"/>
      <c r="O111" s="38" t="s">
        <v>1217</v>
      </c>
      <c r="P111" s="6" t="s">
        <v>840</v>
      </c>
      <c r="Q111" s="273" t="str">
        <f>IFERROR(SUM((SUMIFS('capacity data'!$G:$G,'capacity data'!$E:$E,"PO",'capacity data'!$B:$B,P111))-SUMIFS('capacity data'!$H:$H,'capacity data'!$E:$E,"PO",'capacity data'!$B:$B,P111))/SUMIFS('capacity data'!$G:$G,'capacity data'!$E:$E,"PO",'capacity data'!$B:$B,P111),"")</f>
        <v/>
      </c>
      <c r="R111" s="273" t="str">
        <f>IFERROR(SUM((SUMIFS('capacity data'!$G:$G,'capacity data'!$E:$E,"PSO",'capacity data'!$B:$B,P111))-SUMIFS('capacity data'!$H:$H,'capacity data'!$E:$E,"PSO",'capacity data'!$B:$B,P111))/SUMIFS('capacity data'!$G:$G,'capacity data'!$E:$E,"PSO",'capacity data'!$B:$B,P111),"")</f>
        <v/>
      </c>
      <c r="S111" s="35" t="str">
        <f t="shared" si="1"/>
        <v/>
      </c>
      <c r="T111" s="274" t="str">
        <f>IFERROR(SUMIFS('capacity data'!$L:$L,'capacity data'!$B:$B,P111,'capacity data'!$E:$E,"PSO")/SUMIFS('capacity data'!$G:$G,'capacity data'!$E:$E,"PSO",'capacity data'!$B:$B,P111),"")</f>
        <v/>
      </c>
      <c r="U111" s="274" t="str">
        <f>IFERROR(SUMIFS('capacity data'!$L:$L,'capacity data'!$B:$B,P111,'capacity data'!$E:$E,"TPO")/SUMIFS('capacity data'!$G:$G,'capacity data'!$E:$E,"TPO",'capacity data'!$B:$B,P111),"")</f>
        <v/>
      </c>
    </row>
    <row r="112" spans="1:21" ht="16" x14ac:dyDescent="0.2">
      <c r="A112" s="278"/>
      <c r="B112" s="278"/>
      <c r="C112" s="278"/>
      <c r="D112" s="278"/>
      <c r="E112" s="278"/>
      <c r="G112" s="278"/>
      <c r="H112" s="278"/>
      <c r="I112" s="278"/>
      <c r="J112" s="278"/>
      <c r="K112" s="278"/>
      <c r="L112" s="278"/>
      <c r="O112" s="38" t="s">
        <v>1217</v>
      </c>
      <c r="P112" s="6" t="s">
        <v>850</v>
      </c>
      <c r="Q112" s="273" t="str">
        <f>IFERROR(SUM((SUMIFS('capacity data'!$G:$G,'capacity data'!$E:$E,"PO",'capacity data'!$B:$B,P112))-SUMIFS('capacity data'!$H:$H,'capacity data'!$E:$E,"PO",'capacity data'!$B:$B,P112))/SUMIFS('capacity data'!$G:$G,'capacity data'!$E:$E,"PO",'capacity data'!$B:$B,P112),"")</f>
        <v/>
      </c>
      <c r="R112" s="273" t="str">
        <f>IFERROR(SUM((SUMIFS('capacity data'!$G:$G,'capacity data'!$E:$E,"PSO",'capacity data'!$B:$B,P112))-SUMIFS('capacity data'!$H:$H,'capacity data'!$E:$E,"PSO",'capacity data'!$B:$B,P112))/SUMIFS('capacity data'!$G:$G,'capacity data'!$E:$E,"PSO",'capacity data'!$B:$B,P112),"")</f>
        <v/>
      </c>
      <c r="S112" s="35" t="str">
        <f t="shared" si="1"/>
        <v/>
      </c>
      <c r="T112" s="274" t="str">
        <f>IFERROR(SUMIFS('capacity data'!$L:$L,'capacity data'!$B:$B,P112,'capacity data'!$E:$E,"PSO")/SUMIFS('capacity data'!$G:$G,'capacity data'!$E:$E,"PSO",'capacity data'!$B:$B,P112),"")</f>
        <v/>
      </c>
      <c r="U112" s="274" t="str">
        <f>IFERROR(SUMIFS('capacity data'!$L:$L,'capacity data'!$B:$B,P112,'capacity data'!$E:$E,"TPO")/SUMIFS('capacity data'!$G:$G,'capacity data'!$E:$E,"TPO",'capacity data'!$B:$B,P112),"")</f>
        <v/>
      </c>
    </row>
    <row r="113" spans="1:21" ht="16" x14ac:dyDescent="0.2">
      <c r="A113" s="278"/>
      <c r="B113" s="278"/>
      <c r="C113" s="278"/>
      <c r="D113" s="278"/>
      <c r="E113" s="278"/>
      <c r="G113" s="278"/>
      <c r="H113" s="278"/>
      <c r="I113" s="278"/>
      <c r="J113" s="278"/>
      <c r="K113" s="278"/>
      <c r="L113" s="278"/>
      <c r="O113" s="38" t="s">
        <v>1217</v>
      </c>
      <c r="P113" s="6" t="s">
        <v>874</v>
      </c>
      <c r="Q113" s="273" t="str">
        <f>IFERROR(SUM((SUMIFS('capacity data'!$G:$G,'capacity data'!$E:$E,"PO",'capacity data'!$B:$B,P113))-SUMIFS('capacity data'!$H:$H,'capacity data'!$E:$E,"PO",'capacity data'!$B:$B,P113))/SUMIFS('capacity data'!$G:$G,'capacity data'!$E:$E,"PO",'capacity data'!$B:$B,P113),"")</f>
        <v/>
      </c>
      <c r="R113" s="273" t="str">
        <f>IFERROR(SUM((SUMIFS('capacity data'!$G:$G,'capacity data'!$E:$E,"PSO",'capacity data'!$B:$B,P113))-SUMIFS('capacity data'!$H:$H,'capacity data'!$E:$E,"PSO",'capacity data'!$B:$B,P113))/SUMIFS('capacity data'!$G:$G,'capacity data'!$E:$E,"PSO",'capacity data'!$B:$B,P113),"")</f>
        <v/>
      </c>
      <c r="S113" s="35" t="str">
        <f t="shared" si="1"/>
        <v/>
      </c>
      <c r="T113" s="274" t="str">
        <f>IFERROR(SUMIFS('capacity data'!$L:$L,'capacity data'!$B:$B,P113,'capacity data'!$E:$E,"PSO")/SUMIFS('capacity data'!$G:$G,'capacity data'!$E:$E,"PSO",'capacity data'!$B:$B,P113),"")</f>
        <v/>
      </c>
      <c r="U113" s="274" t="str">
        <f>IFERROR(SUMIFS('capacity data'!$L:$L,'capacity data'!$B:$B,P113,'capacity data'!$E:$E,"TPO")/SUMIFS('capacity data'!$G:$G,'capacity data'!$E:$E,"TPO",'capacity data'!$B:$B,P113),"")</f>
        <v/>
      </c>
    </row>
    <row r="114" spans="1:21" ht="16" x14ac:dyDescent="0.2">
      <c r="A114" s="278"/>
      <c r="B114" s="278"/>
      <c r="C114" s="278"/>
      <c r="D114" s="278"/>
      <c r="E114" s="278"/>
      <c r="G114" s="278"/>
      <c r="H114" s="278"/>
      <c r="I114" s="278"/>
      <c r="J114" s="278"/>
      <c r="K114" s="278"/>
      <c r="L114" s="278"/>
      <c r="O114" s="38" t="s">
        <v>1217</v>
      </c>
      <c r="P114" s="6" t="s">
        <v>79</v>
      </c>
      <c r="Q114" s="273" t="str">
        <f>IFERROR(SUM((SUMIFS('capacity data'!$G:$G,'capacity data'!$E:$E,"PO",'capacity data'!$B:$B,P114))-SUMIFS('capacity data'!$H:$H,'capacity data'!$E:$E,"PO",'capacity data'!$B:$B,P114))/SUMIFS('capacity data'!$G:$G,'capacity data'!$E:$E,"PO",'capacity data'!$B:$B,P114),"")</f>
        <v/>
      </c>
      <c r="R114" s="273" t="str">
        <f>IFERROR(SUM((SUMIFS('capacity data'!$G:$G,'capacity data'!$E:$E,"PSO",'capacity data'!$B:$B,P114))-SUMIFS('capacity data'!$H:$H,'capacity data'!$E:$E,"PSO",'capacity data'!$B:$B,P114))/SUMIFS('capacity data'!$G:$G,'capacity data'!$E:$E,"PSO",'capacity data'!$B:$B,P114),"")</f>
        <v/>
      </c>
      <c r="S114" s="35" t="str">
        <f t="shared" si="1"/>
        <v/>
      </c>
      <c r="T114" s="274" t="str">
        <f>IFERROR(SUMIFS('capacity data'!$L:$L,'capacity data'!$B:$B,P114,'capacity data'!$E:$E,"PSO")/SUMIFS('capacity data'!$G:$G,'capacity data'!$E:$E,"PSO",'capacity data'!$B:$B,P114),"")</f>
        <v/>
      </c>
      <c r="U114" s="274" t="str">
        <f>IFERROR(SUMIFS('capacity data'!$L:$L,'capacity data'!$B:$B,P114,'capacity data'!$E:$E,"TPO")/SUMIFS('capacity data'!$G:$G,'capacity data'!$E:$E,"TPO",'capacity data'!$B:$B,P114),"")</f>
        <v/>
      </c>
    </row>
    <row r="115" spans="1:21" ht="16" x14ac:dyDescent="0.2">
      <c r="A115" s="278"/>
      <c r="B115" s="278"/>
      <c r="C115" s="278"/>
      <c r="D115" s="278"/>
      <c r="E115" s="278"/>
      <c r="G115" s="278"/>
      <c r="H115" s="278"/>
      <c r="I115" s="278"/>
      <c r="J115" s="278"/>
      <c r="K115" s="278"/>
      <c r="L115" s="278"/>
      <c r="O115" s="38" t="s">
        <v>1217</v>
      </c>
      <c r="P115" s="6" t="s">
        <v>1220</v>
      </c>
      <c r="Q115" s="273" t="str">
        <f>IFERROR(SUM((SUMIFS('capacity data'!$G:$G,'capacity data'!$E:$E,"PO",'capacity data'!$B:$B,P115))-SUMIFS('capacity data'!$H:$H,'capacity data'!$E:$E,"PO",'capacity data'!$B:$B,P115))/SUMIFS('capacity data'!$G:$G,'capacity data'!$E:$E,"PO",'capacity data'!$B:$B,P115),"")</f>
        <v/>
      </c>
      <c r="R115" s="273" t="str">
        <f>IFERROR(SUM((SUMIFS('capacity data'!$G:$G,'capacity data'!$E:$E,"PSO",'capacity data'!$B:$B,P115))-SUMIFS('capacity data'!$H:$H,'capacity data'!$E:$E,"PSO",'capacity data'!$B:$B,P115))/SUMIFS('capacity data'!$G:$G,'capacity data'!$E:$E,"PSO",'capacity data'!$B:$B,P115),"")</f>
        <v/>
      </c>
      <c r="S115" s="35" t="str">
        <f t="shared" si="1"/>
        <v/>
      </c>
      <c r="T115" s="274" t="str">
        <f>IFERROR(SUMIFS('capacity data'!$L:$L,'capacity data'!$B:$B,P115,'capacity data'!$E:$E,"PSO")/SUMIFS('capacity data'!$G:$G,'capacity data'!$E:$E,"PSO",'capacity data'!$B:$B,P115),"")</f>
        <v/>
      </c>
      <c r="U115" s="274" t="str">
        <f>IFERROR(SUMIFS('capacity data'!$L:$L,'capacity data'!$B:$B,P115,'capacity data'!$E:$E,"TPO")/SUMIFS('capacity data'!$G:$G,'capacity data'!$E:$E,"TPO",'capacity data'!$B:$B,P115),"")</f>
        <v/>
      </c>
    </row>
    <row r="116" spans="1:21" ht="16" x14ac:dyDescent="0.2">
      <c r="A116" s="278"/>
      <c r="B116" s="278"/>
      <c r="C116" s="278"/>
      <c r="D116" s="278"/>
      <c r="E116" s="278"/>
      <c r="G116" s="278"/>
      <c r="H116" s="278"/>
      <c r="I116" s="278"/>
      <c r="J116" s="278"/>
      <c r="K116" s="278"/>
      <c r="L116" s="278"/>
      <c r="O116" s="38" t="s">
        <v>382</v>
      </c>
      <c r="P116" s="6" t="s">
        <v>776</v>
      </c>
      <c r="Q116" s="273" t="str">
        <f>IFERROR(SUM((SUMIFS('capacity data'!$G:$G,'capacity data'!$E:$E,"PO",'capacity data'!$B:$B,P116))-SUMIFS('capacity data'!$H:$H,'capacity data'!$E:$E,"PO",'capacity data'!$B:$B,P116))/SUMIFS('capacity data'!$G:$G,'capacity data'!$E:$E,"PO",'capacity data'!$B:$B,P116),"")</f>
        <v/>
      </c>
      <c r="R116" s="273" t="str">
        <f>IFERROR(SUM((SUMIFS('capacity data'!$G:$G,'capacity data'!$E:$E,"PSO",'capacity data'!$B:$B,P116))-SUMIFS('capacity data'!$H:$H,'capacity data'!$E:$E,"PSO",'capacity data'!$B:$B,P116))/SUMIFS('capacity data'!$G:$G,'capacity data'!$E:$E,"PSO",'capacity data'!$B:$B,P116),"")</f>
        <v/>
      </c>
      <c r="S116" s="35" t="str">
        <f t="shared" si="1"/>
        <v/>
      </c>
      <c r="T116" s="274" t="str">
        <f>IFERROR(SUMIFS('capacity data'!$L:$L,'capacity data'!$B:$B,P116,'capacity data'!$E:$E,"PSO")/SUMIFS('capacity data'!$G:$G,'capacity data'!$E:$E,"PSO",'capacity data'!$B:$B,P116),"")</f>
        <v/>
      </c>
      <c r="U116" s="274" t="str">
        <f>IFERROR(SUMIFS('capacity data'!$L:$L,'capacity data'!$B:$B,P116,'capacity data'!$E:$E,"TPO")/SUMIFS('capacity data'!$G:$G,'capacity data'!$E:$E,"TPO",'capacity data'!$B:$B,P116),"")</f>
        <v/>
      </c>
    </row>
    <row r="117" spans="1:21" ht="16" x14ac:dyDescent="0.2">
      <c r="A117" s="278"/>
      <c r="B117" s="278"/>
      <c r="C117" s="278"/>
      <c r="D117" s="278"/>
      <c r="E117" s="278"/>
      <c r="G117" s="278"/>
      <c r="H117" s="278"/>
      <c r="I117" s="278"/>
      <c r="J117" s="278"/>
      <c r="K117" s="278"/>
      <c r="L117" s="278"/>
      <c r="O117" s="38" t="s">
        <v>382</v>
      </c>
      <c r="P117" s="6" t="s">
        <v>24</v>
      </c>
      <c r="Q117" s="273" t="str">
        <f>IFERROR(SUM((SUMIFS('capacity data'!$G:$G,'capacity data'!$E:$E,"PO",'capacity data'!$B:$B,P117))-SUMIFS('capacity data'!$H:$H,'capacity data'!$E:$E,"PO",'capacity data'!$B:$B,P117))/SUMIFS('capacity data'!$G:$G,'capacity data'!$E:$E,"PO",'capacity data'!$B:$B,P117),"")</f>
        <v/>
      </c>
      <c r="R117" s="273" t="str">
        <f>IFERROR(SUM((SUMIFS('capacity data'!$G:$G,'capacity data'!$E:$E,"PSO",'capacity data'!$B:$B,P117))-SUMIFS('capacity data'!$H:$H,'capacity data'!$E:$E,"PSO",'capacity data'!$B:$B,P117))/SUMIFS('capacity data'!$G:$G,'capacity data'!$E:$E,"PSO",'capacity data'!$B:$B,P117),"")</f>
        <v/>
      </c>
      <c r="S117" s="35" t="str">
        <f t="shared" si="1"/>
        <v/>
      </c>
      <c r="T117" s="274" t="str">
        <f>IFERROR(SUMIFS('capacity data'!$L:$L,'capacity data'!$B:$B,P117,'capacity data'!$E:$E,"PSO")/SUMIFS('capacity data'!$G:$G,'capacity data'!$E:$E,"PSO",'capacity data'!$B:$B,P117),"")</f>
        <v/>
      </c>
      <c r="U117" s="274" t="str">
        <f>IFERROR(SUMIFS('capacity data'!$L:$L,'capacity data'!$B:$B,P117,'capacity data'!$E:$E,"TPO")/SUMIFS('capacity data'!$G:$G,'capacity data'!$E:$E,"TPO",'capacity data'!$B:$B,P117),"")</f>
        <v/>
      </c>
    </row>
    <row r="118" spans="1:21" ht="16" x14ac:dyDescent="0.2">
      <c r="A118" s="278"/>
      <c r="B118" s="278"/>
      <c r="C118" s="278"/>
      <c r="D118" s="278"/>
      <c r="E118" s="278"/>
      <c r="G118" s="278"/>
      <c r="H118" s="278"/>
      <c r="I118" s="278"/>
      <c r="J118" s="278"/>
      <c r="K118" s="278"/>
      <c r="L118" s="278"/>
      <c r="O118" s="38" t="s">
        <v>382</v>
      </c>
      <c r="P118" s="6" t="s">
        <v>32</v>
      </c>
      <c r="Q118" s="273" t="str">
        <f>IFERROR(SUM((SUMIFS('capacity data'!$G:$G,'capacity data'!$E:$E,"PO",'capacity data'!$B:$B,P118))-SUMIFS('capacity data'!$H:$H,'capacity data'!$E:$E,"PO",'capacity data'!$B:$B,P118))/SUMIFS('capacity data'!$G:$G,'capacity data'!$E:$E,"PO",'capacity data'!$B:$B,P118),"")</f>
        <v/>
      </c>
      <c r="R118" s="273" t="str">
        <f>IFERROR(SUM((SUMIFS('capacity data'!$G:$G,'capacity data'!$E:$E,"PSO",'capacity data'!$B:$B,P118))-SUMIFS('capacity data'!$H:$H,'capacity data'!$E:$E,"PSO",'capacity data'!$B:$B,P118))/SUMIFS('capacity data'!$G:$G,'capacity data'!$E:$E,"PSO",'capacity data'!$B:$B,P118),"")</f>
        <v/>
      </c>
      <c r="S118" s="35" t="str">
        <f t="shared" si="1"/>
        <v/>
      </c>
      <c r="T118" s="274" t="str">
        <f>IFERROR(SUMIFS('capacity data'!$L:$L,'capacity data'!$B:$B,P118,'capacity data'!$E:$E,"PSO")/SUMIFS('capacity data'!$G:$G,'capacity data'!$E:$E,"PSO",'capacity data'!$B:$B,P118),"")</f>
        <v/>
      </c>
      <c r="U118" s="274" t="str">
        <f>IFERROR(SUMIFS('capacity data'!$L:$L,'capacity data'!$B:$B,P118,'capacity data'!$E:$E,"TPO")/SUMIFS('capacity data'!$G:$G,'capacity data'!$E:$E,"TPO",'capacity data'!$B:$B,P118),"")</f>
        <v/>
      </c>
    </row>
    <row r="119" spans="1:21" ht="16" x14ac:dyDescent="0.2">
      <c r="A119" s="278"/>
      <c r="B119" s="278"/>
      <c r="C119" s="278"/>
      <c r="D119" s="278"/>
      <c r="E119" s="278"/>
      <c r="G119" s="278"/>
      <c r="H119" s="278"/>
      <c r="I119" s="278"/>
      <c r="J119" s="278"/>
      <c r="K119" s="278"/>
      <c r="L119" s="278"/>
      <c r="O119" s="38" t="s">
        <v>382</v>
      </c>
      <c r="P119" s="6" t="s">
        <v>41</v>
      </c>
      <c r="Q119" s="273" t="str">
        <f>IFERROR(SUM((SUMIFS('capacity data'!$G:$G,'capacity data'!$E:$E,"PO",'capacity data'!$B:$B,P119))-SUMIFS('capacity data'!$H:$H,'capacity data'!$E:$E,"PO",'capacity data'!$B:$B,P119))/SUMIFS('capacity data'!$G:$G,'capacity data'!$E:$E,"PO",'capacity data'!$B:$B,P119),"")</f>
        <v/>
      </c>
      <c r="R119" s="273" t="str">
        <f>IFERROR(SUM((SUMIFS('capacity data'!$G:$G,'capacity data'!$E:$E,"PSO",'capacity data'!$B:$B,P119))-SUMIFS('capacity data'!$H:$H,'capacity data'!$E:$E,"PSO",'capacity data'!$B:$B,P119))/SUMIFS('capacity data'!$G:$G,'capacity data'!$E:$E,"PSO",'capacity data'!$B:$B,P119),"")</f>
        <v/>
      </c>
      <c r="S119" s="35" t="str">
        <f t="shared" si="1"/>
        <v/>
      </c>
      <c r="T119" s="274" t="str">
        <f>IFERROR(SUMIFS('capacity data'!$L:$L,'capacity data'!$B:$B,P119,'capacity data'!$E:$E,"PSO")/SUMIFS('capacity data'!$G:$G,'capacity data'!$E:$E,"PSO",'capacity data'!$B:$B,P119),"")</f>
        <v/>
      </c>
      <c r="U119" s="274" t="str">
        <f>IFERROR(SUMIFS('capacity data'!$L:$L,'capacity data'!$B:$B,P119,'capacity data'!$E:$E,"TPO")/SUMIFS('capacity data'!$G:$G,'capacity data'!$E:$E,"TPO",'capacity data'!$B:$B,P119),"")</f>
        <v/>
      </c>
    </row>
    <row r="120" spans="1:21" ht="16" x14ac:dyDescent="0.2">
      <c r="A120" s="278"/>
      <c r="B120" s="278"/>
      <c r="C120" s="278"/>
      <c r="D120" s="278"/>
      <c r="E120" s="278"/>
      <c r="G120" s="278"/>
      <c r="H120" s="278"/>
      <c r="I120" s="278"/>
      <c r="J120" s="278"/>
      <c r="K120" s="278"/>
      <c r="L120" s="278"/>
      <c r="O120" s="38" t="s">
        <v>382</v>
      </c>
      <c r="P120" s="6" t="s">
        <v>1215</v>
      </c>
      <c r="Q120" s="273" t="str">
        <f>IFERROR(SUM((SUMIFS('capacity data'!$G:$G,'capacity data'!$E:$E,"PO",'capacity data'!$B:$B,P120))-SUMIFS('capacity data'!$H:$H,'capacity data'!$E:$E,"PO",'capacity data'!$B:$B,P120))/SUMIFS('capacity data'!$G:$G,'capacity data'!$E:$E,"PO",'capacity data'!$B:$B,P120),"")</f>
        <v/>
      </c>
      <c r="R120" s="273" t="str">
        <f>IFERROR(SUM((SUMIFS('capacity data'!$G:$G,'capacity data'!$E:$E,"PSO",'capacity data'!$B:$B,P120))-SUMIFS('capacity data'!$H:$H,'capacity data'!$E:$E,"PSO",'capacity data'!$B:$B,P120))/SUMIFS('capacity data'!$G:$G,'capacity data'!$E:$E,"PSO",'capacity data'!$B:$B,P120),"")</f>
        <v/>
      </c>
      <c r="S120" s="35" t="str">
        <f t="shared" si="1"/>
        <v/>
      </c>
      <c r="T120" s="274" t="str">
        <f>IFERROR(SUMIFS('capacity data'!$L:$L,'capacity data'!$B:$B,P120,'capacity data'!$E:$E,"PSO")/SUMIFS('capacity data'!$G:$G,'capacity data'!$E:$E,"PSO",'capacity data'!$B:$B,P120),"")</f>
        <v/>
      </c>
      <c r="U120" s="274" t="str">
        <f>IFERROR(SUMIFS('capacity data'!$L:$L,'capacity data'!$B:$B,P120,'capacity data'!$E:$E,"TPO")/SUMIFS('capacity data'!$G:$G,'capacity data'!$E:$E,"TPO",'capacity data'!$B:$B,P120),"")</f>
        <v/>
      </c>
    </row>
    <row r="121" spans="1:21" ht="16" x14ac:dyDescent="0.2">
      <c r="A121" s="278"/>
      <c r="B121" s="278"/>
      <c r="C121" s="278"/>
      <c r="D121" s="278"/>
      <c r="E121" s="278"/>
      <c r="G121" s="278"/>
      <c r="H121" s="278"/>
      <c r="I121" s="278"/>
      <c r="J121" s="278"/>
      <c r="K121" s="278"/>
      <c r="L121" s="278"/>
      <c r="O121" s="38" t="s">
        <v>382</v>
      </c>
      <c r="P121" s="6" t="s">
        <v>51</v>
      </c>
      <c r="Q121" s="273" t="str">
        <f>IFERROR(SUM((SUMIFS('capacity data'!$G:$G,'capacity data'!$E:$E,"PO",'capacity data'!$B:$B,P121))-SUMIFS('capacity data'!$H:$H,'capacity data'!$E:$E,"PO",'capacity data'!$B:$B,P121))/SUMIFS('capacity data'!$G:$G,'capacity data'!$E:$E,"PO",'capacity data'!$B:$B,P121),"")</f>
        <v/>
      </c>
      <c r="R121" s="273" t="str">
        <f>IFERROR(SUM((SUMIFS('capacity data'!$G:$G,'capacity data'!$E:$E,"PSO",'capacity data'!$B:$B,P121))-SUMIFS('capacity data'!$H:$H,'capacity data'!$E:$E,"PSO",'capacity data'!$B:$B,P121))/SUMIFS('capacity data'!$G:$G,'capacity data'!$E:$E,"PSO",'capacity data'!$B:$B,P121),"")</f>
        <v/>
      </c>
      <c r="S121" s="35" t="str">
        <f t="shared" si="1"/>
        <v/>
      </c>
      <c r="T121" s="274" t="str">
        <f>IFERROR(SUMIFS('capacity data'!$L:$L,'capacity data'!$B:$B,P121,'capacity data'!$E:$E,"PSO")/SUMIFS('capacity data'!$G:$G,'capacity data'!$E:$E,"PSO",'capacity data'!$B:$B,P121),"")</f>
        <v/>
      </c>
      <c r="U121" s="274" t="str">
        <f>IFERROR(SUMIFS('capacity data'!$L:$L,'capacity data'!$B:$B,P121,'capacity data'!$E:$E,"TPO")/SUMIFS('capacity data'!$G:$G,'capacity data'!$E:$E,"TPO",'capacity data'!$B:$B,P121),"")</f>
        <v/>
      </c>
    </row>
    <row r="122" spans="1:21" ht="16" x14ac:dyDescent="0.2">
      <c r="A122" s="278"/>
      <c r="B122" s="278"/>
      <c r="C122" s="278"/>
      <c r="D122" s="278"/>
      <c r="E122" s="278"/>
      <c r="G122" s="278"/>
      <c r="H122" s="278"/>
      <c r="I122" s="278"/>
      <c r="J122" s="278"/>
      <c r="K122" s="278"/>
      <c r="L122" s="278"/>
      <c r="O122" s="38" t="s">
        <v>382</v>
      </c>
      <c r="P122" s="6" t="s">
        <v>68</v>
      </c>
      <c r="Q122" s="273" t="str">
        <f>IFERROR(SUM((SUMIFS('capacity data'!$G:$G,'capacity data'!$E:$E,"PO",'capacity data'!$B:$B,P122))-SUMIFS('capacity data'!$H:$H,'capacity data'!$E:$E,"PO",'capacity data'!$B:$B,P122))/SUMIFS('capacity data'!$G:$G,'capacity data'!$E:$E,"PO",'capacity data'!$B:$B,P122),"")</f>
        <v/>
      </c>
      <c r="R122" s="273" t="str">
        <f>IFERROR(SUM((SUMIFS('capacity data'!$G:$G,'capacity data'!$E:$E,"PSO",'capacity data'!$B:$B,P122))-SUMIFS('capacity data'!$H:$H,'capacity data'!$E:$E,"PSO",'capacity data'!$B:$B,P122))/SUMIFS('capacity data'!$G:$G,'capacity data'!$E:$E,"PSO",'capacity data'!$B:$B,P122),"")</f>
        <v/>
      </c>
      <c r="S122" s="35" t="str">
        <f t="shared" si="1"/>
        <v/>
      </c>
      <c r="T122" s="274" t="str">
        <f>IFERROR(SUMIFS('capacity data'!$L:$L,'capacity data'!$B:$B,P122,'capacity data'!$E:$E,"PSO")/SUMIFS('capacity data'!$G:$G,'capacity data'!$E:$E,"PSO",'capacity data'!$B:$B,P122),"")</f>
        <v/>
      </c>
      <c r="U122" s="274" t="str">
        <f>IFERROR(SUMIFS('capacity data'!$L:$L,'capacity data'!$B:$B,P122,'capacity data'!$E:$E,"TPO")/SUMIFS('capacity data'!$G:$G,'capacity data'!$E:$E,"TPO",'capacity data'!$B:$B,P122),"")</f>
        <v/>
      </c>
    </row>
    <row r="123" spans="1:21" ht="16" x14ac:dyDescent="0.2">
      <c r="A123" s="278"/>
      <c r="B123" s="278"/>
      <c r="C123" s="278"/>
      <c r="D123" s="278"/>
      <c r="E123" s="278"/>
      <c r="G123" s="278"/>
      <c r="H123" s="278"/>
      <c r="I123" s="278"/>
      <c r="J123" s="278"/>
      <c r="K123" s="278"/>
      <c r="L123" s="278"/>
      <c r="O123" s="38" t="s">
        <v>382</v>
      </c>
      <c r="P123" s="6" t="s">
        <v>1216</v>
      </c>
      <c r="Q123" s="273" t="str">
        <f>IFERROR(SUM((SUMIFS('capacity data'!$G:$G,'capacity data'!$E:$E,"PO",'capacity data'!$B:$B,P123))-SUMIFS('capacity data'!$H:$H,'capacity data'!$E:$E,"PO",'capacity data'!$B:$B,P123))/SUMIFS('capacity data'!$G:$G,'capacity data'!$E:$E,"PO",'capacity data'!$B:$B,P123),"")</f>
        <v/>
      </c>
      <c r="R123" s="273" t="str">
        <f>IFERROR(SUM((SUMIFS('capacity data'!$G:$G,'capacity data'!$E:$E,"PSO",'capacity data'!$B:$B,P123))-SUMIFS('capacity data'!$H:$H,'capacity data'!$E:$E,"PSO",'capacity data'!$B:$B,P123))/SUMIFS('capacity data'!$G:$G,'capacity data'!$E:$E,"PSO",'capacity data'!$B:$B,P123),"")</f>
        <v/>
      </c>
      <c r="S123" s="35" t="str">
        <f t="shared" si="1"/>
        <v/>
      </c>
      <c r="T123" s="274" t="str">
        <f>IFERROR(SUMIFS('capacity data'!$L:$L,'capacity data'!$B:$B,P123,'capacity data'!$E:$E,"PSO")/SUMIFS('capacity data'!$G:$G,'capacity data'!$E:$E,"PSO",'capacity data'!$B:$B,P123),"")</f>
        <v/>
      </c>
      <c r="U123" s="274" t="str">
        <f>IFERROR(SUMIFS('capacity data'!$L:$L,'capacity data'!$B:$B,P123,'capacity data'!$E:$E,"TPO")/SUMIFS('capacity data'!$G:$G,'capacity data'!$E:$E,"TPO",'capacity data'!$B:$B,P123),"")</f>
        <v/>
      </c>
    </row>
    <row r="124" spans="1:21" ht="16" x14ac:dyDescent="0.2">
      <c r="A124" s="278"/>
      <c r="B124" s="278"/>
      <c r="C124" s="278"/>
      <c r="D124" s="278"/>
      <c r="E124" s="278"/>
      <c r="G124" s="278"/>
      <c r="H124" s="278"/>
      <c r="I124" s="278"/>
      <c r="J124" s="278"/>
      <c r="K124" s="278"/>
      <c r="L124" s="278"/>
      <c r="O124" s="38" t="s">
        <v>8</v>
      </c>
      <c r="P124" s="6" t="s">
        <v>777</v>
      </c>
      <c r="Q124" s="273" t="str">
        <f>IFERROR(SUM((SUMIFS('capacity data'!$G:$G,'capacity data'!$E:$E,"PO",'capacity data'!$B:$B,P124))-SUMIFS('capacity data'!$H:$H,'capacity data'!$E:$E,"PO",'capacity data'!$B:$B,P124))/SUMIFS('capacity data'!$G:$G,'capacity data'!$E:$E,"PO",'capacity data'!$B:$B,P124),"")</f>
        <v/>
      </c>
      <c r="R124" s="273" t="str">
        <f>IFERROR(SUM((SUMIFS('capacity data'!$G:$G,'capacity data'!$E:$E,"PSO",'capacity data'!$B:$B,P124))-SUMIFS('capacity data'!$H:$H,'capacity data'!$E:$E,"PSO",'capacity data'!$B:$B,P124))/SUMIFS('capacity data'!$G:$G,'capacity data'!$E:$E,"PSO",'capacity data'!$B:$B,P124),"")</f>
        <v/>
      </c>
      <c r="S124" s="35" t="str">
        <f t="shared" si="1"/>
        <v/>
      </c>
      <c r="T124" s="274" t="str">
        <f>IFERROR(SUMIFS('capacity data'!$L:$L,'capacity data'!$B:$B,P124,'capacity data'!$E:$E,"PSO")/SUMIFS('capacity data'!$G:$G,'capacity data'!$E:$E,"PSO",'capacity data'!$B:$B,P124),"")</f>
        <v/>
      </c>
      <c r="U124" s="274" t="str">
        <f>IFERROR(SUMIFS('capacity data'!$L:$L,'capacity data'!$B:$B,P124,'capacity data'!$E:$E,"TPO")/SUMIFS('capacity data'!$G:$G,'capacity data'!$E:$E,"TPO",'capacity data'!$B:$B,P124),"")</f>
        <v/>
      </c>
    </row>
    <row r="125" spans="1:21" ht="16" x14ac:dyDescent="0.2">
      <c r="A125" s="278"/>
      <c r="B125" s="278"/>
      <c r="C125" s="278"/>
      <c r="D125" s="278"/>
      <c r="E125" s="278"/>
      <c r="G125" s="278"/>
      <c r="H125" s="278"/>
      <c r="I125" s="278"/>
      <c r="J125" s="278"/>
      <c r="K125" s="278"/>
      <c r="L125" s="278"/>
      <c r="O125" s="38" t="s">
        <v>8</v>
      </c>
      <c r="P125" s="6" t="s">
        <v>794</v>
      </c>
      <c r="Q125" s="273" t="str">
        <f>IFERROR(SUM((SUMIFS('capacity data'!$G:$G,'capacity data'!$E:$E,"PO",'capacity data'!$B:$B,P125))-SUMIFS('capacity data'!$H:$H,'capacity data'!$E:$E,"PO",'capacity data'!$B:$B,P125))/SUMIFS('capacity data'!$G:$G,'capacity data'!$E:$E,"PO",'capacity data'!$B:$B,P125),"")</f>
        <v/>
      </c>
      <c r="R125" s="273" t="str">
        <f>IFERROR(SUM((SUMIFS('capacity data'!$G:$G,'capacity data'!$E:$E,"PSO",'capacity data'!$B:$B,P125))-SUMIFS('capacity data'!$H:$H,'capacity data'!$E:$E,"PSO",'capacity data'!$B:$B,P125))/SUMIFS('capacity data'!$G:$G,'capacity data'!$E:$E,"PSO",'capacity data'!$B:$B,P125),"")</f>
        <v/>
      </c>
      <c r="S125" s="35" t="str">
        <f t="shared" ref="S125:S180" si="2">IFERROR((Q125-R125),"")</f>
        <v/>
      </c>
      <c r="T125" s="274" t="str">
        <f>IFERROR(SUMIFS('capacity data'!$L:$L,'capacity data'!$B:$B,P125,'capacity data'!$E:$E,"PSO")/SUMIFS('capacity data'!$G:$G,'capacity data'!$E:$E,"PSO",'capacity data'!$B:$B,P125),"")</f>
        <v/>
      </c>
      <c r="U125" s="274" t="str">
        <f>IFERROR(SUMIFS('capacity data'!$L:$L,'capacity data'!$B:$B,P125,'capacity data'!$E:$E,"TPO")/SUMIFS('capacity data'!$G:$G,'capacity data'!$E:$E,"TPO",'capacity data'!$B:$B,P125),"")</f>
        <v/>
      </c>
    </row>
    <row r="126" spans="1:21" ht="16" x14ac:dyDescent="0.2">
      <c r="A126" s="278"/>
      <c r="B126" s="278"/>
      <c r="C126" s="278"/>
      <c r="D126" s="278"/>
      <c r="E126" s="278"/>
      <c r="G126" s="278"/>
      <c r="H126" s="278"/>
      <c r="I126" s="278"/>
      <c r="J126" s="278"/>
      <c r="K126" s="278"/>
      <c r="L126" s="278"/>
      <c r="O126" s="38" t="s">
        <v>8</v>
      </c>
      <c r="P126" s="6" t="s">
        <v>805</v>
      </c>
      <c r="Q126" s="273" t="str">
        <f>IFERROR(SUM((SUMIFS('capacity data'!$G:$G,'capacity data'!$E:$E,"PO",'capacity data'!$B:$B,P126))-SUMIFS('capacity data'!$H:$H,'capacity data'!$E:$E,"PO",'capacity data'!$B:$B,P126))/SUMIFS('capacity data'!$G:$G,'capacity data'!$E:$E,"PO",'capacity data'!$B:$B,P126),"")</f>
        <v/>
      </c>
      <c r="R126" s="273" t="str">
        <f>IFERROR(SUM((SUMIFS('capacity data'!$G:$G,'capacity data'!$E:$E,"PSO",'capacity data'!$B:$B,P126))-SUMIFS('capacity data'!$H:$H,'capacity data'!$E:$E,"PSO",'capacity data'!$B:$B,P126))/SUMIFS('capacity data'!$G:$G,'capacity data'!$E:$E,"PSO",'capacity data'!$B:$B,P126),"")</f>
        <v/>
      </c>
      <c r="S126" s="35" t="str">
        <f t="shared" si="2"/>
        <v/>
      </c>
      <c r="T126" s="274" t="str">
        <f>IFERROR(SUMIFS('capacity data'!$L:$L,'capacity data'!$B:$B,P126,'capacity data'!$E:$E,"PSO")/SUMIFS('capacity data'!$G:$G,'capacity data'!$E:$E,"PSO",'capacity data'!$B:$B,P126),"")</f>
        <v/>
      </c>
      <c r="U126" s="274" t="str">
        <f>IFERROR(SUMIFS('capacity data'!$L:$L,'capacity data'!$B:$B,P126,'capacity data'!$E:$E,"TPO")/SUMIFS('capacity data'!$G:$G,'capacity data'!$E:$E,"TPO",'capacity data'!$B:$B,P126),"")</f>
        <v/>
      </c>
    </row>
    <row r="127" spans="1:21" ht="16" x14ac:dyDescent="0.2">
      <c r="A127" s="278"/>
      <c r="B127" s="278"/>
      <c r="C127" s="278"/>
      <c r="D127" s="278"/>
      <c r="E127" s="278"/>
      <c r="G127" s="278"/>
      <c r="H127" s="278"/>
      <c r="I127" s="278"/>
      <c r="J127" s="278"/>
      <c r="K127" s="278"/>
      <c r="L127" s="278"/>
      <c r="O127" s="38" t="s">
        <v>8</v>
      </c>
      <c r="P127" s="6" t="s">
        <v>42</v>
      </c>
      <c r="Q127" s="273" t="str">
        <f>IFERROR(SUM((SUMIFS('capacity data'!$G:$G,'capacity data'!$E:$E,"PO",'capacity data'!$B:$B,P127))-SUMIFS('capacity data'!$H:$H,'capacity data'!$E:$E,"PO",'capacity data'!$B:$B,P127))/SUMIFS('capacity data'!$G:$G,'capacity data'!$E:$E,"PO",'capacity data'!$B:$B,P127),"")</f>
        <v/>
      </c>
      <c r="R127" s="273" t="str">
        <f>IFERROR(SUM((SUMIFS('capacity data'!$G:$G,'capacity data'!$E:$E,"PSO",'capacity data'!$B:$B,P127))-SUMIFS('capacity data'!$H:$H,'capacity data'!$E:$E,"PSO",'capacity data'!$B:$B,P127))/SUMIFS('capacity data'!$G:$G,'capacity data'!$E:$E,"PSO",'capacity data'!$B:$B,P127),"")</f>
        <v/>
      </c>
      <c r="S127" s="35" t="str">
        <f t="shared" si="2"/>
        <v/>
      </c>
      <c r="T127" s="274" t="str">
        <f>IFERROR(SUMIFS('capacity data'!$L:$L,'capacity data'!$B:$B,P127,'capacity data'!$E:$E,"PSO")/SUMIFS('capacity data'!$G:$G,'capacity data'!$E:$E,"PSO",'capacity data'!$B:$B,P127),"")</f>
        <v/>
      </c>
      <c r="U127" s="274" t="str">
        <f>IFERROR(SUMIFS('capacity data'!$L:$L,'capacity data'!$B:$B,P127,'capacity data'!$E:$E,"TPO")/SUMIFS('capacity data'!$G:$G,'capacity data'!$E:$E,"TPO",'capacity data'!$B:$B,P127),"")</f>
        <v/>
      </c>
    </row>
    <row r="128" spans="1:21" ht="16" x14ac:dyDescent="0.2">
      <c r="A128" s="278"/>
      <c r="B128" s="278"/>
      <c r="C128" s="278"/>
      <c r="D128" s="278"/>
      <c r="E128" s="278"/>
      <c r="G128" s="278"/>
      <c r="H128" s="278"/>
      <c r="I128" s="278"/>
      <c r="J128" s="278"/>
      <c r="K128" s="278"/>
      <c r="L128" s="278"/>
      <c r="O128" s="38" t="s">
        <v>8</v>
      </c>
      <c r="P128" s="6" t="s">
        <v>52</v>
      </c>
      <c r="Q128" s="273" t="str">
        <f>IFERROR(SUM((SUMIFS('capacity data'!$G:$G,'capacity data'!$E:$E,"PO",'capacity data'!$B:$B,P128))-SUMIFS('capacity data'!$H:$H,'capacity data'!$E:$E,"PO",'capacity data'!$B:$B,P128))/SUMIFS('capacity data'!$G:$G,'capacity data'!$E:$E,"PO",'capacity data'!$B:$B,P128),"")</f>
        <v/>
      </c>
      <c r="R128" s="273" t="str">
        <f>IFERROR(SUM((SUMIFS('capacity data'!$G:$G,'capacity data'!$E:$E,"PSO",'capacity data'!$B:$B,P128))-SUMIFS('capacity data'!$H:$H,'capacity data'!$E:$E,"PSO",'capacity data'!$B:$B,P128))/SUMIFS('capacity data'!$G:$G,'capacity data'!$E:$E,"PSO",'capacity data'!$B:$B,P128),"")</f>
        <v/>
      </c>
      <c r="S128" s="35" t="str">
        <f t="shared" si="2"/>
        <v/>
      </c>
      <c r="T128" s="274" t="str">
        <f>IFERROR(SUMIFS('capacity data'!$L:$L,'capacity data'!$B:$B,P128,'capacity data'!$E:$E,"PSO")/SUMIFS('capacity data'!$G:$G,'capacity data'!$E:$E,"PSO",'capacity data'!$B:$B,P128),"")</f>
        <v/>
      </c>
      <c r="U128" s="274" t="str">
        <f>IFERROR(SUMIFS('capacity data'!$L:$L,'capacity data'!$B:$B,P128,'capacity data'!$E:$E,"TPO")/SUMIFS('capacity data'!$G:$G,'capacity data'!$E:$E,"TPO",'capacity data'!$B:$B,P128),"")</f>
        <v/>
      </c>
    </row>
    <row r="129" spans="1:21" ht="16" x14ac:dyDescent="0.2">
      <c r="A129" s="278"/>
      <c r="B129" s="278"/>
      <c r="C129" s="278"/>
      <c r="D129" s="278"/>
      <c r="E129" s="278"/>
      <c r="G129" s="278"/>
      <c r="H129" s="278"/>
      <c r="I129" s="278"/>
      <c r="J129" s="278"/>
      <c r="K129" s="278"/>
      <c r="L129" s="278"/>
      <c r="O129" s="38" t="s">
        <v>8</v>
      </c>
      <c r="P129" s="6" t="s">
        <v>841</v>
      </c>
      <c r="Q129" s="273" t="str">
        <f>IFERROR(SUM((SUMIFS('capacity data'!$G:$G,'capacity data'!$E:$E,"PO",'capacity data'!$B:$B,P129))-SUMIFS('capacity data'!$H:$H,'capacity data'!$E:$E,"PO",'capacity data'!$B:$B,P129))/SUMIFS('capacity data'!$G:$G,'capacity data'!$E:$E,"PO",'capacity data'!$B:$B,P129),"")</f>
        <v/>
      </c>
      <c r="R129" s="273" t="str">
        <f>IFERROR(SUM((SUMIFS('capacity data'!$G:$G,'capacity data'!$E:$E,"PSO",'capacity data'!$B:$B,P129))-SUMIFS('capacity data'!$H:$H,'capacity data'!$E:$E,"PSO",'capacity data'!$B:$B,P129))/SUMIFS('capacity data'!$G:$G,'capacity data'!$E:$E,"PSO",'capacity data'!$B:$B,P129),"")</f>
        <v/>
      </c>
      <c r="S129" s="35" t="str">
        <f t="shared" si="2"/>
        <v/>
      </c>
      <c r="T129" s="274" t="str">
        <f>IFERROR(SUMIFS('capacity data'!$L:$L,'capacity data'!$B:$B,P129,'capacity data'!$E:$E,"PSO")/SUMIFS('capacity data'!$G:$G,'capacity data'!$E:$E,"PSO",'capacity data'!$B:$B,P129),"")</f>
        <v/>
      </c>
      <c r="U129" s="274" t="str">
        <f>IFERROR(SUMIFS('capacity data'!$L:$L,'capacity data'!$B:$B,P129,'capacity data'!$E:$E,"TPO")/SUMIFS('capacity data'!$G:$G,'capacity data'!$E:$E,"TPO",'capacity data'!$B:$B,P129),"")</f>
        <v/>
      </c>
    </row>
    <row r="130" spans="1:21" ht="16" x14ac:dyDescent="0.2">
      <c r="A130" s="278"/>
      <c r="B130" s="278"/>
      <c r="C130" s="278"/>
      <c r="D130" s="278"/>
      <c r="E130" s="278"/>
      <c r="G130" s="278"/>
      <c r="H130" s="278"/>
      <c r="I130" s="278"/>
      <c r="J130" s="278"/>
      <c r="K130" s="278"/>
      <c r="L130" s="278"/>
      <c r="O130" s="38" t="s">
        <v>8</v>
      </c>
      <c r="P130" s="6" t="s">
        <v>851</v>
      </c>
      <c r="Q130" s="273" t="str">
        <f>IFERROR(SUM((SUMIFS('capacity data'!$G:$G,'capacity data'!$E:$E,"PO",'capacity data'!$B:$B,P130))-SUMIFS('capacity data'!$H:$H,'capacity data'!$E:$E,"PO",'capacity data'!$B:$B,P130))/SUMIFS('capacity data'!$G:$G,'capacity data'!$E:$E,"PO",'capacity data'!$B:$B,P130),"")</f>
        <v/>
      </c>
      <c r="R130" s="273" t="str">
        <f>IFERROR(SUM((SUMIFS('capacity data'!$G:$G,'capacity data'!$E:$E,"PSO",'capacity data'!$B:$B,P130))-SUMIFS('capacity data'!$H:$H,'capacity data'!$E:$E,"PSO",'capacity data'!$B:$B,P130))/SUMIFS('capacity data'!$G:$G,'capacity data'!$E:$E,"PSO",'capacity data'!$B:$B,P130),"")</f>
        <v/>
      </c>
      <c r="S130" s="35" t="str">
        <f t="shared" si="2"/>
        <v/>
      </c>
      <c r="T130" s="274" t="str">
        <f>IFERROR(SUMIFS('capacity data'!$L:$L,'capacity data'!$B:$B,P130,'capacity data'!$E:$E,"PSO")/SUMIFS('capacity data'!$G:$G,'capacity data'!$E:$E,"PSO",'capacity data'!$B:$B,P130),"")</f>
        <v/>
      </c>
      <c r="U130" s="274" t="str">
        <f>IFERROR(SUMIFS('capacity data'!$L:$L,'capacity data'!$B:$B,P130,'capacity data'!$E:$E,"TPO")/SUMIFS('capacity data'!$G:$G,'capacity data'!$E:$E,"TPO",'capacity data'!$B:$B,P130),"")</f>
        <v/>
      </c>
    </row>
    <row r="131" spans="1:21" ht="16" x14ac:dyDescent="0.2">
      <c r="A131" s="278"/>
      <c r="B131" s="278"/>
      <c r="C131" s="278"/>
      <c r="D131" s="278"/>
      <c r="E131" s="278"/>
      <c r="G131" s="278"/>
      <c r="H131" s="278"/>
      <c r="I131" s="278"/>
      <c r="J131" s="278"/>
      <c r="K131" s="278"/>
      <c r="L131" s="278"/>
      <c r="O131" s="38" t="s">
        <v>8</v>
      </c>
      <c r="P131" s="6" t="s">
        <v>75</v>
      </c>
      <c r="Q131" s="273" t="str">
        <f>IFERROR(SUM((SUMIFS('capacity data'!$G:$G,'capacity data'!$E:$E,"PO",'capacity data'!$B:$B,P131))-SUMIFS('capacity data'!$H:$H,'capacity data'!$E:$E,"PO",'capacity data'!$B:$B,P131))/SUMIFS('capacity data'!$G:$G,'capacity data'!$E:$E,"PO",'capacity data'!$B:$B,P131),"")</f>
        <v/>
      </c>
      <c r="R131" s="273" t="str">
        <f>IFERROR(SUM((SUMIFS('capacity data'!$G:$G,'capacity data'!$E:$E,"PSO",'capacity data'!$B:$B,P131))-SUMIFS('capacity data'!$H:$H,'capacity data'!$E:$E,"PSO",'capacity data'!$B:$B,P131))/SUMIFS('capacity data'!$G:$G,'capacity data'!$E:$E,"PSO",'capacity data'!$B:$B,P131),"")</f>
        <v/>
      </c>
      <c r="S131" s="35" t="str">
        <f t="shared" si="2"/>
        <v/>
      </c>
      <c r="T131" s="274" t="str">
        <f>IFERROR(SUMIFS('capacity data'!$L:$L,'capacity data'!$B:$B,P131,'capacity data'!$E:$E,"PSO")/SUMIFS('capacity data'!$G:$G,'capacity data'!$E:$E,"PSO",'capacity data'!$B:$B,P131),"")</f>
        <v/>
      </c>
      <c r="U131" s="274" t="str">
        <f>IFERROR(SUMIFS('capacity data'!$L:$L,'capacity data'!$B:$B,P131,'capacity data'!$E:$E,"TPO")/SUMIFS('capacity data'!$G:$G,'capacity data'!$E:$E,"TPO",'capacity data'!$B:$B,P131),"")</f>
        <v/>
      </c>
    </row>
    <row r="132" spans="1:21" ht="16" x14ac:dyDescent="0.2">
      <c r="A132" s="278"/>
      <c r="B132" s="278"/>
      <c r="C132" s="278"/>
      <c r="D132" s="278"/>
      <c r="E132" s="278"/>
      <c r="G132" s="278"/>
      <c r="H132" s="278"/>
      <c r="I132" s="278"/>
      <c r="J132" s="278"/>
      <c r="K132" s="278"/>
      <c r="L132" s="278"/>
      <c r="O132" s="38" t="s">
        <v>8</v>
      </c>
      <c r="P132" s="6" t="s">
        <v>80</v>
      </c>
      <c r="Q132" s="273" t="str">
        <f>IFERROR(SUM((SUMIFS('capacity data'!$G:$G,'capacity data'!$E:$E,"PO",'capacity data'!$B:$B,P132))-SUMIFS('capacity data'!$H:$H,'capacity data'!$E:$E,"PO",'capacity data'!$B:$B,P132))/SUMIFS('capacity data'!$G:$G,'capacity data'!$E:$E,"PO",'capacity data'!$B:$B,P132),"")</f>
        <v/>
      </c>
      <c r="R132" s="273" t="str">
        <f>IFERROR(SUM((SUMIFS('capacity data'!$G:$G,'capacity data'!$E:$E,"PSO",'capacity data'!$B:$B,P132))-SUMIFS('capacity data'!$H:$H,'capacity data'!$E:$E,"PSO",'capacity data'!$B:$B,P132))/SUMIFS('capacity data'!$G:$G,'capacity data'!$E:$E,"PSO",'capacity data'!$B:$B,P132),"")</f>
        <v/>
      </c>
      <c r="S132" s="35" t="str">
        <f t="shared" si="2"/>
        <v/>
      </c>
      <c r="T132" s="274" t="str">
        <f>IFERROR(SUMIFS('capacity data'!$L:$L,'capacity data'!$B:$B,P132,'capacity data'!$E:$E,"PSO")/SUMIFS('capacity data'!$G:$G,'capacity data'!$E:$E,"PSO",'capacity data'!$B:$B,P132),"")</f>
        <v/>
      </c>
      <c r="U132" s="274" t="str">
        <f>IFERROR(SUMIFS('capacity data'!$L:$L,'capacity data'!$B:$B,P132,'capacity data'!$E:$E,"TPO")/SUMIFS('capacity data'!$G:$G,'capacity data'!$E:$E,"TPO",'capacity data'!$B:$B,P132),"")</f>
        <v/>
      </c>
    </row>
    <row r="133" spans="1:21" ht="16" x14ac:dyDescent="0.2">
      <c r="A133" s="278"/>
      <c r="B133" s="278"/>
      <c r="C133" s="278"/>
      <c r="D133" s="278"/>
      <c r="E133" s="278"/>
      <c r="G133" s="278"/>
      <c r="H133" s="278"/>
      <c r="I133" s="278"/>
      <c r="J133" s="278"/>
      <c r="K133" s="278"/>
      <c r="L133" s="278"/>
      <c r="O133" s="38" t="s">
        <v>8</v>
      </c>
      <c r="P133" s="6" t="s">
        <v>883</v>
      </c>
      <c r="Q133" s="273" t="str">
        <f>IFERROR(SUM((SUMIFS('capacity data'!$G:$G,'capacity data'!$E:$E,"PO",'capacity data'!$B:$B,P133))-SUMIFS('capacity data'!$H:$H,'capacity data'!$E:$E,"PO",'capacity data'!$B:$B,P133))/SUMIFS('capacity data'!$G:$G,'capacity data'!$E:$E,"PO",'capacity data'!$B:$B,P133),"")</f>
        <v/>
      </c>
      <c r="R133" s="273" t="str">
        <f>IFERROR(SUM((SUMIFS('capacity data'!$G:$G,'capacity data'!$E:$E,"PSO",'capacity data'!$B:$B,P133))-SUMIFS('capacity data'!$H:$H,'capacity data'!$E:$E,"PSO",'capacity data'!$B:$B,P133))/SUMIFS('capacity data'!$G:$G,'capacity data'!$E:$E,"PSO",'capacity data'!$B:$B,P133),"")</f>
        <v/>
      </c>
      <c r="S133" s="35" t="str">
        <f t="shared" si="2"/>
        <v/>
      </c>
      <c r="T133" s="274" t="str">
        <f>IFERROR(SUMIFS('capacity data'!$L:$L,'capacity data'!$B:$B,P133,'capacity data'!$E:$E,"PSO")/SUMIFS('capacity data'!$G:$G,'capacity data'!$E:$E,"PSO",'capacity data'!$B:$B,P133),"")</f>
        <v/>
      </c>
      <c r="U133" s="274" t="str">
        <f>IFERROR(SUMIFS('capacity data'!$L:$L,'capacity data'!$B:$B,P133,'capacity data'!$E:$E,"TPO")/SUMIFS('capacity data'!$G:$G,'capacity data'!$E:$E,"TPO",'capacity data'!$B:$B,P133),"")</f>
        <v/>
      </c>
    </row>
    <row r="134" spans="1:21" ht="16" x14ac:dyDescent="0.2">
      <c r="A134" s="278"/>
      <c r="B134" s="278"/>
      <c r="C134" s="278"/>
      <c r="D134" s="278"/>
      <c r="E134" s="278"/>
      <c r="G134" s="278"/>
      <c r="H134" s="278"/>
      <c r="I134" s="278"/>
      <c r="J134" s="278"/>
      <c r="K134" s="278"/>
      <c r="L134" s="278"/>
      <c r="O134" s="38" t="s">
        <v>8</v>
      </c>
      <c r="P134" s="6" t="s">
        <v>891</v>
      </c>
      <c r="Q134" s="273" t="str">
        <f>IFERROR(SUM((SUMIFS('capacity data'!$G:$G,'capacity data'!$E:$E,"PO",'capacity data'!$B:$B,P134))-SUMIFS('capacity data'!$H:$H,'capacity data'!$E:$E,"PO",'capacity data'!$B:$B,P134))/SUMIFS('capacity data'!$G:$G,'capacity data'!$E:$E,"PO",'capacity data'!$B:$B,P134),"")</f>
        <v/>
      </c>
      <c r="R134" s="273" t="str">
        <f>IFERROR(SUM((SUMIFS('capacity data'!$G:$G,'capacity data'!$E:$E,"PSO",'capacity data'!$B:$B,P134))-SUMIFS('capacity data'!$H:$H,'capacity data'!$E:$E,"PSO",'capacity data'!$B:$B,P134))/SUMIFS('capacity data'!$G:$G,'capacity data'!$E:$E,"PSO",'capacity data'!$B:$B,P134),"")</f>
        <v/>
      </c>
      <c r="S134" s="35" t="str">
        <f t="shared" si="2"/>
        <v/>
      </c>
      <c r="T134" s="274" t="str">
        <f>IFERROR(SUMIFS('capacity data'!$L:$L,'capacity data'!$B:$B,P134,'capacity data'!$E:$E,"PSO")/SUMIFS('capacity data'!$G:$G,'capacity data'!$E:$E,"PSO",'capacity data'!$B:$B,P134),"")</f>
        <v/>
      </c>
      <c r="U134" s="274" t="str">
        <f>IFERROR(SUMIFS('capacity data'!$L:$L,'capacity data'!$B:$B,P134,'capacity data'!$E:$E,"TPO")/SUMIFS('capacity data'!$G:$G,'capacity data'!$E:$E,"TPO",'capacity data'!$B:$B,P134),"")</f>
        <v/>
      </c>
    </row>
    <row r="135" spans="1:21" ht="16" x14ac:dyDescent="0.2">
      <c r="A135" s="278"/>
      <c r="B135" s="278"/>
      <c r="C135" s="278"/>
      <c r="D135" s="278"/>
      <c r="E135" s="278"/>
      <c r="G135" s="278"/>
      <c r="H135" s="278"/>
      <c r="I135" s="278"/>
      <c r="J135" s="278"/>
      <c r="K135" s="278"/>
      <c r="L135" s="278"/>
      <c r="O135" s="38" t="s">
        <v>9</v>
      </c>
      <c r="P135" s="6" t="s">
        <v>13</v>
      </c>
      <c r="Q135" s="273" t="str">
        <f>IFERROR(SUM((SUMIFS('capacity data'!$G:$G,'capacity data'!$E:$E,"PO",'capacity data'!$B:$B,P135))-SUMIFS('capacity data'!$H:$H,'capacity data'!$E:$E,"PO",'capacity data'!$B:$B,P135))/SUMIFS('capacity data'!$G:$G,'capacity data'!$E:$E,"PO",'capacity data'!$B:$B,P135),"")</f>
        <v/>
      </c>
      <c r="R135" s="273" t="str">
        <f>IFERROR(SUM((SUMIFS('capacity data'!$G:$G,'capacity data'!$E:$E,"PSO",'capacity data'!$B:$B,P135))-SUMIFS('capacity data'!$H:$H,'capacity data'!$E:$E,"PSO",'capacity data'!$B:$B,P135))/SUMIFS('capacity data'!$G:$G,'capacity data'!$E:$E,"PSO",'capacity data'!$B:$B,P135),"")</f>
        <v/>
      </c>
      <c r="S135" s="35" t="str">
        <f t="shared" si="2"/>
        <v/>
      </c>
      <c r="T135" s="274" t="str">
        <f>IFERROR(SUMIFS('capacity data'!$L:$L,'capacity data'!$B:$B,P135,'capacity data'!$E:$E,"PSO")/SUMIFS('capacity data'!$G:$G,'capacity data'!$E:$E,"PSO",'capacity data'!$B:$B,P135),"")</f>
        <v/>
      </c>
      <c r="U135" s="274" t="str">
        <f>IFERROR(SUMIFS('capacity data'!$L:$L,'capacity data'!$B:$B,P135,'capacity data'!$E:$E,"TPO")/SUMIFS('capacity data'!$G:$G,'capacity data'!$E:$E,"TPO",'capacity data'!$B:$B,P135),"")</f>
        <v/>
      </c>
    </row>
    <row r="136" spans="1:21" ht="16" x14ac:dyDescent="0.2">
      <c r="A136" s="278"/>
      <c r="B136" s="278"/>
      <c r="C136" s="278"/>
      <c r="D136" s="278"/>
      <c r="E136" s="278"/>
      <c r="G136" s="278"/>
      <c r="H136" s="278"/>
      <c r="I136" s="278"/>
      <c r="J136" s="278"/>
      <c r="K136" s="278"/>
      <c r="L136" s="278"/>
      <c r="O136" s="38" t="s">
        <v>9</v>
      </c>
      <c r="P136" s="6" t="s">
        <v>25</v>
      </c>
      <c r="Q136" s="273" t="str">
        <f>IFERROR(SUM((SUMIFS('capacity data'!$G:$G,'capacity data'!$E:$E,"PO",'capacity data'!$B:$B,P136))-SUMIFS('capacity data'!$H:$H,'capacity data'!$E:$E,"PO",'capacity data'!$B:$B,P136))/SUMIFS('capacity data'!$G:$G,'capacity data'!$E:$E,"PO",'capacity data'!$B:$B,P136),"")</f>
        <v/>
      </c>
      <c r="R136" s="273" t="str">
        <f>IFERROR(SUM((SUMIFS('capacity data'!$G:$G,'capacity data'!$E:$E,"PSO",'capacity data'!$B:$B,P136))-SUMIFS('capacity data'!$H:$H,'capacity data'!$E:$E,"PSO",'capacity data'!$B:$B,P136))/SUMIFS('capacity data'!$G:$G,'capacity data'!$E:$E,"PSO",'capacity data'!$B:$B,P136),"")</f>
        <v/>
      </c>
      <c r="S136" s="35" t="str">
        <f t="shared" si="2"/>
        <v/>
      </c>
      <c r="T136" s="274" t="str">
        <f>IFERROR(SUMIFS('capacity data'!$L:$L,'capacity data'!$B:$B,P136,'capacity data'!$E:$E,"PSO")/SUMIFS('capacity data'!$G:$G,'capacity data'!$E:$E,"PSO",'capacity data'!$B:$B,P136),"")</f>
        <v/>
      </c>
      <c r="U136" s="274" t="str">
        <f>IFERROR(SUMIFS('capacity data'!$L:$L,'capacity data'!$B:$B,P136,'capacity data'!$E:$E,"TPO")/SUMIFS('capacity data'!$G:$G,'capacity data'!$E:$E,"TPO",'capacity data'!$B:$B,P136),"")</f>
        <v/>
      </c>
    </row>
    <row r="137" spans="1:21" ht="16" x14ac:dyDescent="0.2">
      <c r="A137" s="278"/>
      <c r="B137" s="278"/>
      <c r="C137" s="278"/>
      <c r="D137" s="278"/>
      <c r="E137" s="278"/>
      <c r="G137" s="278"/>
      <c r="H137" s="278"/>
      <c r="I137" s="278"/>
      <c r="J137" s="278"/>
      <c r="K137" s="278"/>
      <c r="L137" s="278"/>
      <c r="O137" s="38" t="s">
        <v>9</v>
      </c>
      <c r="P137" s="6" t="s">
        <v>806</v>
      </c>
      <c r="Q137" s="273" t="str">
        <f>IFERROR(SUM((SUMIFS('capacity data'!$G:$G,'capacity data'!$E:$E,"PO",'capacity data'!$B:$B,P137))-SUMIFS('capacity data'!$H:$H,'capacity data'!$E:$E,"PO",'capacity data'!$B:$B,P137))/SUMIFS('capacity data'!$G:$G,'capacity data'!$E:$E,"PO",'capacity data'!$B:$B,P137),"")</f>
        <v/>
      </c>
      <c r="R137" s="273" t="str">
        <f>IFERROR(SUM((SUMIFS('capacity data'!$G:$G,'capacity data'!$E:$E,"PSO",'capacity data'!$B:$B,P137))-SUMIFS('capacity data'!$H:$H,'capacity data'!$E:$E,"PSO",'capacity data'!$B:$B,P137))/SUMIFS('capacity data'!$G:$G,'capacity data'!$E:$E,"PSO",'capacity data'!$B:$B,P137),"")</f>
        <v/>
      </c>
      <c r="S137" s="35" t="str">
        <f t="shared" si="2"/>
        <v/>
      </c>
      <c r="T137" s="274" t="str">
        <f>IFERROR(SUMIFS('capacity data'!$L:$L,'capacity data'!$B:$B,P137,'capacity data'!$E:$E,"PSO")/SUMIFS('capacity data'!$G:$G,'capacity data'!$E:$E,"PSO",'capacity data'!$B:$B,P137),"")</f>
        <v/>
      </c>
      <c r="U137" s="274" t="str">
        <f>IFERROR(SUMIFS('capacity data'!$L:$L,'capacity data'!$B:$B,P137,'capacity data'!$E:$E,"TPO")/SUMIFS('capacity data'!$G:$G,'capacity data'!$E:$E,"TPO",'capacity data'!$B:$B,P137),"")</f>
        <v/>
      </c>
    </row>
    <row r="138" spans="1:21" ht="16" x14ac:dyDescent="0.2">
      <c r="A138" s="278"/>
      <c r="B138" s="278"/>
      <c r="C138" s="278"/>
      <c r="D138" s="278"/>
      <c r="E138" s="278"/>
      <c r="G138" s="278"/>
      <c r="H138" s="278"/>
      <c r="I138" s="278"/>
      <c r="J138" s="278"/>
      <c r="K138" s="278"/>
      <c r="L138" s="278"/>
      <c r="O138" s="38" t="s">
        <v>9</v>
      </c>
      <c r="P138" s="6" t="s">
        <v>43</v>
      </c>
      <c r="Q138" s="273" t="str">
        <f>IFERROR(SUM((SUMIFS('capacity data'!$G:$G,'capacity data'!$E:$E,"PO",'capacity data'!$B:$B,P138))-SUMIFS('capacity data'!$H:$H,'capacity data'!$E:$E,"PO",'capacity data'!$B:$B,P138))/SUMIFS('capacity data'!$G:$G,'capacity data'!$E:$E,"PO",'capacity data'!$B:$B,P138),"")</f>
        <v/>
      </c>
      <c r="R138" s="273" t="str">
        <f>IFERROR(SUM((SUMIFS('capacity data'!$G:$G,'capacity data'!$E:$E,"PSO",'capacity data'!$B:$B,P138))-SUMIFS('capacity data'!$H:$H,'capacity data'!$E:$E,"PSO",'capacity data'!$B:$B,P138))/SUMIFS('capacity data'!$G:$G,'capacity data'!$E:$E,"PSO",'capacity data'!$B:$B,P138),"")</f>
        <v/>
      </c>
      <c r="S138" s="35" t="str">
        <f t="shared" si="2"/>
        <v/>
      </c>
      <c r="T138" s="274" t="str">
        <f>IFERROR(SUMIFS('capacity data'!$L:$L,'capacity data'!$B:$B,P138,'capacity data'!$E:$E,"PSO")/SUMIFS('capacity data'!$G:$G,'capacity data'!$E:$E,"PSO",'capacity data'!$B:$B,P138),"")</f>
        <v/>
      </c>
      <c r="U138" s="274" t="str">
        <f>IFERROR(SUMIFS('capacity data'!$L:$L,'capacity data'!$B:$B,P138,'capacity data'!$E:$E,"TPO")/SUMIFS('capacity data'!$G:$G,'capacity data'!$E:$E,"TPO",'capacity data'!$B:$B,P138),"")</f>
        <v/>
      </c>
    </row>
    <row r="139" spans="1:21" ht="16" x14ac:dyDescent="0.2">
      <c r="A139" s="278"/>
      <c r="B139" s="278"/>
      <c r="C139" s="278"/>
      <c r="D139" s="278"/>
      <c r="E139" s="278"/>
      <c r="G139" s="278"/>
      <c r="H139" s="278"/>
      <c r="I139" s="278"/>
      <c r="J139" s="278"/>
      <c r="K139" s="278"/>
      <c r="L139" s="278"/>
      <c r="O139" s="38" t="s">
        <v>9</v>
      </c>
      <c r="P139" s="6" t="s">
        <v>753</v>
      </c>
      <c r="Q139" s="273" t="str">
        <f>IFERROR(SUM((SUMIFS('capacity data'!$G:$G,'capacity data'!$E:$E,"PO",'capacity data'!$B:$B,P139))-SUMIFS('capacity data'!$H:$H,'capacity data'!$E:$E,"PO",'capacity data'!$B:$B,P139))/SUMIFS('capacity data'!$G:$G,'capacity data'!$E:$E,"PO",'capacity data'!$B:$B,P139),"")</f>
        <v/>
      </c>
      <c r="R139" s="273" t="str">
        <f>IFERROR(SUM((SUMIFS('capacity data'!$G:$G,'capacity data'!$E:$E,"PSO",'capacity data'!$B:$B,P139))-SUMIFS('capacity data'!$H:$H,'capacity data'!$E:$E,"PSO",'capacity data'!$B:$B,P139))/SUMIFS('capacity data'!$G:$G,'capacity data'!$E:$E,"PSO",'capacity data'!$B:$B,P139),"")</f>
        <v/>
      </c>
      <c r="S139" s="35" t="str">
        <f t="shared" si="2"/>
        <v/>
      </c>
      <c r="T139" s="274" t="str">
        <f>IFERROR(SUMIFS('capacity data'!$L:$L,'capacity data'!$B:$B,P139,'capacity data'!$E:$E,"PSO")/SUMIFS('capacity data'!$G:$G,'capacity data'!$E:$E,"PSO",'capacity data'!$B:$B,P139),"")</f>
        <v/>
      </c>
      <c r="U139" s="274" t="str">
        <f>IFERROR(SUMIFS('capacity data'!$L:$L,'capacity data'!$B:$B,P139,'capacity data'!$E:$E,"TPO")/SUMIFS('capacity data'!$G:$G,'capacity data'!$E:$E,"TPO",'capacity data'!$B:$B,P139),"")</f>
        <v/>
      </c>
    </row>
    <row r="140" spans="1:21" ht="16" x14ac:dyDescent="0.2">
      <c r="A140" s="278"/>
      <c r="B140" s="278"/>
      <c r="C140" s="278"/>
      <c r="D140" s="278"/>
      <c r="E140" s="278"/>
      <c r="G140" s="278"/>
      <c r="H140" s="278"/>
      <c r="I140" s="278"/>
      <c r="J140" s="278"/>
      <c r="K140" s="278"/>
      <c r="L140" s="278"/>
      <c r="O140" s="38" t="s">
        <v>9</v>
      </c>
      <c r="P140" s="6" t="s">
        <v>842</v>
      </c>
      <c r="Q140" s="273" t="str">
        <f>IFERROR(SUM((SUMIFS('capacity data'!$G:$G,'capacity data'!$E:$E,"PO",'capacity data'!$B:$B,P140))-SUMIFS('capacity data'!$H:$H,'capacity data'!$E:$E,"PO",'capacity data'!$B:$B,P140))/SUMIFS('capacity data'!$G:$G,'capacity data'!$E:$E,"PO",'capacity data'!$B:$B,P140),"")</f>
        <v/>
      </c>
      <c r="R140" s="273" t="str">
        <f>IFERROR(SUM((SUMIFS('capacity data'!$G:$G,'capacity data'!$E:$E,"PSO",'capacity data'!$B:$B,P140))-SUMIFS('capacity data'!$H:$H,'capacity data'!$E:$E,"PSO",'capacity data'!$B:$B,P140))/SUMIFS('capacity data'!$G:$G,'capacity data'!$E:$E,"PSO",'capacity data'!$B:$B,P140),"")</f>
        <v/>
      </c>
      <c r="S140" s="35" t="str">
        <f t="shared" si="2"/>
        <v/>
      </c>
      <c r="T140" s="274" t="str">
        <f>IFERROR(SUMIFS('capacity data'!$L:$L,'capacity data'!$B:$B,P140,'capacity data'!$E:$E,"PSO")/SUMIFS('capacity data'!$G:$G,'capacity data'!$E:$E,"PSO",'capacity data'!$B:$B,P140),"")</f>
        <v/>
      </c>
      <c r="U140" s="274" t="str">
        <f>IFERROR(SUMIFS('capacity data'!$L:$L,'capacity data'!$B:$B,P140,'capacity data'!$E:$E,"TPO")/SUMIFS('capacity data'!$G:$G,'capacity data'!$E:$E,"TPO",'capacity data'!$B:$B,P140),"")</f>
        <v/>
      </c>
    </row>
    <row r="141" spans="1:21" ht="16" x14ac:dyDescent="0.2">
      <c r="A141" s="278"/>
      <c r="B141" s="278"/>
      <c r="C141" s="278"/>
      <c r="D141" s="278"/>
      <c r="E141" s="278"/>
      <c r="G141" s="278"/>
      <c r="H141" s="278"/>
      <c r="I141" s="278"/>
      <c r="J141" s="278"/>
      <c r="K141" s="278"/>
      <c r="L141" s="278"/>
      <c r="O141" s="38" t="s">
        <v>9</v>
      </c>
      <c r="P141" s="6" t="s">
        <v>852</v>
      </c>
      <c r="Q141" s="273" t="str">
        <f>IFERROR(SUM((SUMIFS('capacity data'!$G:$G,'capacity data'!$E:$E,"PO",'capacity data'!$B:$B,P141))-SUMIFS('capacity data'!$H:$H,'capacity data'!$E:$E,"PO",'capacity data'!$B:$B,P141))/SUMIFS('capacity data'!$G:$G,'capacity data'!$E:$E,"PO",'capacity data'!$B:$B,P141),"")</f>
        <v/>
      </c>
      <c r="R141" s="273" t="str">
        <f>IFERROR(SUM((SUMIFS('capacity data'!$G:$G,'capacity data'!$E:$E,"PSO",'capacity data'!$B:$B,P141))-SUMIFS('capacity data'!$H:$H,'capacity data'!$E:$E,"PSO",'capacity data'!$B:$B,P141))/SUMIFS('capacity data'!$G:$G,'capacity data'!$E:$E,"PSO",'capacity data'!$B:$B,P141),"")</f>
        <v/>
      </c>
      <c r="S141" s="35" t="str">
        <f t="shared" si="2"/>
        <v/>
      </c>
      <c r="T141" s="274" t="str">
        <f>IFERROR(SUMIFS('capacity data'!$L:$L,'capacity data'!$B:$B,P141,'capacity data'!$E:$E,"PSO")/SUMIFS('capacity data'!$G:$G,'capacity data'!$E:$E,"PSO",'capacity data'!$B:$B,P141),"")</f>
        <v/>
      </c>
      <c r="U141" s="274" t="str">
        <f>IFERROR(SUMIFS('capacity data'!$L:$L,'capacity data'!$B:$B,P141,'capacity data'!$E:$E,"TPO")/SUMIFS('capacity data'!$G:$G,'capacity data'!$E:$E,"TPO",'capacity data'!$B:$B,P141),"")</f>
        <v/>
      </c>
    </row>
    <row r="142" spans="1:21" ht="16" x14ac:dyDescent="0.2">
      <c r="A142" s="278"/>
      <c r="B142" s="278"/>
      <c r="C142" s="278"/>
      <c r="D142" s="278"/>
      <c r="E142" s="278"/>
      <c r="G142" s="278"/>
      <c r="H142" s="278"/>
      <c r="I142" s="278"/>
      <c r="J142" s="278"/>
      <c r="K142" s="278"/>
      <c r="L142" s="278"/>
      <c r="O142" s="38" t="s">
        <v>9</v>
      </c>
      <c r="P142" s="6" t="s">
        <v>863</v>
      </c>
      <c r="Q142" s="273" t="str">
        <f>IFERROR(SUM((SUMIFS('capacity data'!$G:$G,'capacity data'!$E:$E,"PO",'capacity data'!$B:$B,P142))-SUMIFS('capacity data'!$H:$H,'capacity data'!$E:$E,"PO",'capacity data'!$B:$B,P142))/SUMIFS('capacity data'!$G:$G,'capacity data'!$E:$E,"PO",'capacity data'!$B:$B,P142),"")</f>
        <v/>
      </c>
      <c r="R142" s="273" t="str">
        <f>IFERROR(SUM((SUMIFS('capacity data'!$G:$G,'capacity data'!$E:$E,"PSO",'capacity data'!$B:$B,P142))-SUMIFS('capacity data'!$H:$H,'capacity data'!$E:$E,"PSO",'capacity data'!$B:$B,P142))/SUMIFS('capacity data'!$G:$G,'capacity data'!$E:$E,"PSO",'capacity data'!$B:$B,P142),"")</f>
        <v/>
      </c>
      <c r="S142" s="35" t="str">
        <f t="shared" si="2"/>
        <v/>
      </c>
      <c r="T142" s="274" t="str">
        <f>IFERROR(SUMIFS('capacity data'!$L:$L,'capacity data'!$B:$B,P142,'capacity data'!$E:$E,"PSO")/SUMIFS('capacity data'!$G:$G,'capacity data'!$E:$E,"PSO",'capacity data'!$B:$B,P142),"")</f>
        <v/>
      </c>
      <c r="U142" s="274" t="str">
        <f>IFERROR(SUMIFS('capacity data'!$L:$L,'capacity data'!$B:$B,P142,'capacity data'!$E:$E,"TPO")/SUMIFS('capacity data'!$G:$G,'capacity data'!$E:$E,"TPO",'capacity data'!$B:$B,P142),"")</f>
        <v/>
      </c>
    </row>
    <row r="143" spans="1:21" ht="16" x14ac:dyDescent="0.2">
      <c r="A143" s="278"/>
      <c r="B143" s="278"/>
      <c r="C143" s="278"/>
      <c r="D143" s="278"/>
      <c r="E143" s="278"/>
      <c r="G143" s="278"/>
      <c r="H143" s="278"/>
      <c r="I143" s="278"/>
      <c r="J143" s="278"/>
      <c r="K143" s="278"/>
      <c r="L143" s="278"/>
      <c r="O143" s="38" t="s">
        <v>9</v>
      </c>
      <c r="P143" s="6" t="s">
        <v>875</v>
      </c>
      <c r="Q143" s="273" t="str">
        <f>IFERROR(SUM((SUMIFS('capacity data'!$G:$G,'capacity data'!$E:$E,"PO",'capacity data'!$B:$B,P143))-SUMIFS('capacity data'!$H:$H,'capacity data'!$E:$E,"PO",'capacity data'!$B:$B,P143))/SUMIFS('capacity data'!$G:$G,'capacity data'!$E:$E,"PO",'capacity data'!$B:$B,P143),"")</f>
        <v/>
      </c>
      <c r="R143" s="273" t="str">
        <f>IFERROR(SUM((SUMIFS('capacity data'!$G:$G,'capacity data'!$E:$E,"PSO",'capacity data'!$B:$B,P143))-SUMIFS('capacity data'!$H:$H,'capacity data'!$E:$E,"PSO",'capacity data'!$B:$B,P143))/SUMIFS('capacity data'!$G:$G,'capacity data'!$E:$E,"PSO",'capacity data'!$B:$B,P143),"")</f>
        <v/>
      </c>
      <c r="S143" s="35" t="str">
        <f t="shared" si="2"/>
        <v/>
      </c>
      <c r="T143" s="274" t="str">
        <f>IFERROR(SUMIFS('capacity data'!$L:$L,'capacity data'!$B:$B,P143,'capacity data'!$E:$E,"PSO")/SUMIFS('capacity data'!$G:$G,'capacity data'!$E:$E,"PSO",'capacity data'!$B:$B,P143),"")</f>
        <v/>
      </c>
      <c r="U143" s="274" t="str">
        <f>IFERROR(SUMIFS('capacity data'!$L:$L,'capacity data'!$B:$B,P143,'capacity data'!$E:$E,"TPO")/SUMIFS('capacity data'!$G:$G,'capacity data'!$E:$E,"TPO",'capacity data'!$B:$B,P143),"")</f>
        <v/>
      </c>
    </row>
    <row r="144" spans="1:21" ht="16" x14ac:dyDescent="0.2">
      <c r="A144" s="278"/>
      <c r="B144" s="278"/>
      <c r="C144" s="278"/>
      <c r="D144" s="278"/>
      <c r="E144" s="278"/>
      <c r="G144" s="278"/>
      <c r="H144" s="278"/>
      <c r="I144" s="278"/>
      <c r="J144" s="278"/>
      <c r="K144" s="278"/>
      <c r="L144" s="278"/>
      <c r="O144" s="38" t="s">
        <v>9</v>
      </c>
      <c r="P144" s="6" t="s">
        <v>884</v>
      </c>
      <c r="Q144" s="273" t="str">
        <f>IFERROR(SUM((SUMIFS('capacity data'!$G:$G,'capacity data'!$E:$E,"PO",'capacity data'!$B:$B,P144))-SUMIFS('capacity data'!$H:$H,'capacity data'!$E:$E,"PO",'capacity data'!$B:$B,P144))/SUMIFS('capacity data'!$G:$G,'capacity data'!$E:$E,"PO",'capacity data'!$B:$B,P144),"")</f>
        <v/>
      </c>
      <c r="R144" s="273" t="str">
        <f>IFERROR(SUM((SUMIFS('capacity data'!$G:$G,'capacity data'!$E:$E,"PSO",'capacity data'!$B:$B,P144))-SUMIFS('capacity data'!$H:$H,'capacity data'!$E:$E,"PSO",'capacity data'!$B:$B,P144))/SUMIFS('capacity data'!$G:$G,'capacity data'!$E:$E,"PSO",'capacity data'!$B:$B,P144),"")</f>
        <v/>
      </c>
      <c r="S144" s="35" t="str">
        <f t="shared" si="2"/>
        <v/>
      </c>
      <c r="T144" s="274" t="str">
        <f>IFERROR(SUMIFS('capacity data'!$L:$L,'capacity data'!$B:$B,P144,'capacity data'!$E:$E,"PSO")/SUMIFS('capacity data'!$G:$G,'capacity data'!$E:$E,"PSO",'capacity data'!$B:$B,P144),"")</f>
        <v/>
      </c>
      <c r="U144" s="274" t="str">
        <f>IFERROR(SUMIFS('capacity data'!$L:$L,'capacity data'!$B:$B,P144,'capacity data'!$E:$E,"TPO")/SUMIFS('capacity data'!$G:$G,'capacity data'!$E:$E,"TPO",'capacity data'!$B:$B,P144),"")</f>
        <v/>
      </c>
    </row>
    <row r="145" spans="1:21" ht="16" x14ac:dyDescent="0.2">
      <c r="A145" s="278"/>
      <c r="B145" s="278"/>
      <c r="C145" s="278"/>
      <c r="D145" s="278"/>
      <c r="E145" s="278"/>
      <c r="G145" s="278"/>
      <c r="H145" s="278"/>
      <c r="I145" s="278"/>
      <c r="J145" s="278"/>
      <c r="K145" s="278"/>
      <c r="L145" s="278"/>
      <c r="O145" s="38" t="s">
        <v>9</v>
      </c>
      <c r="P145" s="6" t="s">
        <v>752</v>
      </c>
      <c r="Q145" s="273" t="str">
        <f>IFERROR(SUM((SUMIFS('capacity data'!$G:$G,'capacity data'!$E:$E,"PO",'capacity data'!$B:$B,P145))-SUMIFS('capacity data'!$H:$H,'capacity data'!$E:$E,"PO",'capacity data'!$B:$B,P145))/SUMIFS('capacity data'!$G:$G,'capacity data'!$E:$E,"PO",'capacity data'!$B:$B,P145),"")</f>
        <v/>
      </c>
      <c r="R145" s="273" t="str">
        <f>IFERROR(SUM((SUMIFS('capacity data'!$G:$G,'capacity data'!$E:$E,"PSO",'capacity data'!$B:$B,P145))-SUMIFS('capacity data'!$H:$H,'capacity data'!$E:$E,"PSO",'capacity data'!$B:$B,P145))/SUMIFS('capacity data'!$G:$G,'capacity data'!$E:$E,"PSO",'capacity data'!$B:$B,P145),"")</f>
        <v/>
      </c>
      <c r="S145" s="35" t="str">
        <f t="shared" si="2"/>
        <v/>
      </c>
      <c r="T145" s="274" t="str">
        <f>IFERROR(SUMIFS('capacity data'!$L:$L,'capacity data'!$B:$B,P145,'capacity data'!$E:$E,"PSO")/SUMIFS('capacity data'!$G:$G,'capacity data'!$E:$E,"PSO",'capacity data'!$B:$B,P145),"")</f>
        <v/>
      </c>
      <c r="U145" s="274" t="str">
        <f>IFERROR(SUMIFS('capacity data'!$L:$L,'capacity data'!$B:$B,P145,'capacity data'!$E:$E,"TPO")/SUMIFS('capacity data'!$G:$G,'capacity data'!$E:$E,"TPO",'capacity data'!$B:$B,P145),"")</f>
        <v/>
      </c>
    </row>
    <row r="146" spans="1:21" ht="16" x14ac:dyDescent="0.2">
      <c r="A146" s="278"/>
      <c r="B146" s="278"/>
      <c r="C146" s="278"/>
      <c r="D146" s="278"/>
      <c r="E146" s="278"/>
      <c r="G146" s="278"/>
      <c r="H146" s="278"/>
      <c r="I146" s="278"/>
      <c r="J146" s="278"/>
      <c r="K146" s="278"/>
      <c r="L146" s="278"/>
      <c r="O146" s="38" t="s">
        <v>9</v>
      </c>
      <c r="P146" s="6" t="s">
        <v>899</v>
      </c>
      <c r="Q146" s="273" t="str">
        <f>IFERROR(SUM((SUMIFS('capacity data'!$G:$G,'capacity data'!$E:$E,"PO",'capacity data'!$B:$B,P146))-SUMIFS('capacity data'!$H:$H,'capacity data'!$E:$E,"PO",'capacity data'!$B:$B,P146))/SUMIFS('capacity data'!$G:$G,'capacity data'!$E:$E,"PO",'capacity data'!$B:$B,P146),"")</f>
        <v/>
      </c>
      <c r="R146" s="273" t="str">
        <f>IFERROR(SUM((SUMIFS('capacity data'!$G:$G,'capacity data'!$E:$E,"PSO",'capacity data'!$B:$B,P146))-SUMIFS('capacity data'!$H:$H,'capacity data'!$E:$E,"PSO",'capacity data'!$B:$B,P146))/SUMIFS('capacity data'!$G:$G,'capacity data'!$E:$E,"PSO",'capacity data'!$B:$B,P146),"")</f>
        <v/>
      </c>
      <c r="S146" s="35" t="str">
        <f t="shared" si="2"/>
        <v/>
      </c>
      <c r="T146" s="274" t="str">
        <f>IFERROR(SUMIFS('capacity data'!$L:$L,'capacity data'!$B:$B,P146,'capacity data'!$E:$E,"PSO")/SUMIFS('capacity data'!$G:$G,'capacity data'!$E:$E,"PSO",'capacity data'!$B:$B,P146),"")</f>
        <v/>
      </c>
      <c r="U146" s="274" t="str">
        <f>IFERROR(SUMIFS('capacity data'!$L:$L,'capacity data'!$B:$B,P146,'capacity data'!$E:$E,"TPO")/SUMIFS('capacity data'!$G:$G,'capacity data'!$E:$E,"TPO",'capacity data'!$B:$B,P146),"")</f>
        <v/>
      </c>
    </row>
    <row r="147" spans="1:21" ht="16" x14ac:dyDescent="0.2">
      <c r="A147" s="278"/>
      <c r="B147" s="278"/>
      <c r="C147" s="278"/>
      <c r="D147" s="278"/>
      <c r="E147" s="278"/>
      <c r="G147" s="278"/>
      <c r="H147" s="278"/>
      <c r="I147" s="278"/>
      <c r="J147" s="278"/>
      <c r="K147" s="278"/>
      <c r="L147" s="278"/>
      <c r="O147" s="38" t="s">
        <v>9</v>
      </c>
      <c r="P147" s="6" t="s">
        <v>906</v>
      </c>
      <c r="Q147" s="273" t="str">
        <f>IFERROR(SUM((SUMIFS('capacity data'!$G:$G,'capacity data'!$E:$E,"PO",'capacity data'!$B:$B,P147))-SUMIFS('capacity data'!$H:$H,'capacity data'!$E:$E,"PO",'capacity data'!$B:$B,P147))/SUMIFS('capacity data'!$G:$G,'capacity data'!$E:$E,"PO",'capacity data'!$B:$B,P147),"")</f>
        <v/>
      </c>
      <c r="R147" s="273" t="str">
        <f>IFERROR(SUM((SUMIFS('capacity data'!$G:$G,'capacity data'!$E:$E,"PSO",'capacity data'!$B:$B,P147))-SUMIFS('capacity data'!$H:$H,'capacity data'!$E:$E,"PSO",'capacity data'!$B:$B,P147))/SUMIFS('capacity data'!$G:$G,'capacity data'!$E:$E,"PSO",'capacity data'!$B:$B,P147),"")</f>
        <v/>
      </c>
      <c r="S147" s="35" t="str">
        <f t="shared" si="2"/>
        <v/>
      </c>
      <c r="T147" s="274" t="str">
        <f>IFERROR(SUMIFS('capacity data'!$L:$L,'capacity data'!$B:$B,P147,'capacity data'!$E:$E,"PSO")/SUMIFS('capacity data'!$G:$G,'capacity data'!$E:$E,"PSO",'capacity data'!$B:$B,P147),"")</f>
        <v/>
      </c>
      <c r="U147" s="274" t="str">
        <f>IFERROR(SUMIFS('capacity data'!$L:$L,'capacity data'!$B:$B,P147,'capacity data'!$E:$E,"TPO")/SUMIFS('capacity data'!$G:$G,'capacity data'!$E:$E,"TPO",'capacity data'!$B:$B,P147),"")</f>
        <v/>
      </c>
    </row>
    <row r="148" spans="1:21" ht="16" x14ac:dyDescent="0.2">
      <c r="A148" s="278"/>
      <c r="B148" s="278"/>
      <c r="C148" s="278"/>
      <c r="D148" s="278"/>
      <c r="E148" s="278"/>
      <c r="G148" s="278"/>
      <c r="H148" s="278"/>
      <c r="I148" s="278"/>
      <c r="J148" s="278"/>
      <c r="K148" s="278"/>
      <c r="L148" s="278"/>
      <c r="O148" s="38" t="s">
        <v>514</v>
      </c>
      <c r="P148" s="6" t="s">
        <v>778</v>
      </c>
      <c r="Q148" s="273" t="str">
        <f>IFERROR(SUM((SUMIFS('capacity data'!$G:$G,'capacity data'!$E:$E,"PO",'capacity data'!$B:$B,P148))-SUMIFS('capacity data'!$H:$H,'capacity data'!$E:$E,"PO",'capacity data'!$B:$B,P148))/SUMIFS('capacity data'!$G:$G,'capacity data'!$E:$E,"PO",'capacity data'!$B:$B,P148),"")</f>
        <v/>
      </c>
      <c r="R148" s="273" t="str">
        <f>IFERROR(SUM((SUMIFS('capacity data'!$G:$G,'capacity data'!$E:$E,"PSO",'capacity data'!$B:$B,P148))-SUMIFS('capacity data'!$H:$H,'capacity data'!$E:$E,"PSO",'capacity data'!$B:$B,P148))/SUMIFS('capacity data'!$G:$G,'capacity data'!$E:$E,"PSO",'capacity data'!$B:$B,P148),"")</f>
        <v/>
      </c>
      <c r="S148" s="35" t="str">
        <f t="shared" si="2"/>
        <v/>
      </c>
      <c r="T148" s="274" t="str">
        <f>IFERROR(SUMIFS('capacity data'!$L:$L,'capacity data'!$B:$B,P148,'capacity data'!$E:$E,"PSO")/SUMIFS('capacity data'!$G:$G,'capacity data'!$E:$E,"PSO",'capacity data'!$B:$B,P148),"")</f>
        <v/>
      </c>
      <c r="U148" s="274" t="str">
        <f>IFERROR(SUMIFS('capacity data'!$L:$L,'capacity data'!$B:$B,P148,'capacity data'!$E:$E,"TPO")/SUMIFS('capacity data'!$G:$G,'capacity data'!$E:$E,"TPO",'capacity data'!$B:$B,P148),"")</f>
        <v/>
      </c>
    </row>
    <row r="149" spans="1:21" ht="16" x14ac:dyDescent="0.2">
      <c r="A149" s="278"/>
      <c r="B149" s="278"/>
      <c r="C149" s="278"/>
      <c r="D149" s="278"/>
      <c r="E149" s="278"/>
      <c r="G149" s="278"/>
      <c r="H149" s="278"/>
      <c r="I149" s="278"/>
      <c r="J149" s="278"/>
      <c r="K149" s="278"/>
      <c r="L149" s="278"/>
      <c r="O149" s="38" t="s">
        <v>514</v>
      </c>
      <c r="P149" s="6" t="s">
        <v>529</v>
      </c>
      <c r="Q149" s="273" t="str">
        <f>IFERROR(SUM((SUMIFS('capacity data'!$G:$G,'capacity data'!$E:$E,"PO",'capacity data'!$B:$B,P149))-SUMIFS('capacity data'!$H:$H,'capacity data'!$E:$E,"PO",'capacity data'!$B:$B,P149))/SUMIFS('capacity data'!$G:$G,'capacity data'!$E:$E,"PO",'capacity data'!$B:$B,P149),"")</f>
        <v/>
      </c>
      <c r="R149" s="273" t="str">
        <f>IFERROR(SUM((SUMIFS('capacity data'!$G:$G,'capacity data'!$E:$E,"PSO",'capacity data'!$B:$B,P149))-SUMIFS('capacity data'!$H:$H,'capacity data'!$E:$E,"PSO",'capacity data'!$B:$B,P149))/SUMIFS('capacity data'!$G:$G,'capacity data'!$E:$E,"PSO",'capacity data'!$B:$B,P149),"")</f>
        <v/>
      </c>
      <c r="S149" s="35" t="str">
        <f t="shared" si="2"/>
        <v/>
      </c>
      <c r="T149" s="274" t="str">
        <f>IFERROR(SUMIFS('capacity data'!$L:$L,'capacity data'!$B:$B,P149,'capacity data'!$E:$E,"PSO")/SUMIFS('capacity data'!$G:$G,'capacity data'!$E:$E,"PSO",'capacity data'!$B:$B,P149),"")</f>
        <v/>
      </c>
      <c r="U149" s="274" t="str">
        <f>IFERROR(SUMIFS('capacity data'!$L:$L,'capacity data'!$B:$B,P149,'capacity data'!$E:$E,"TPO")/SUMIFS('capacity data'!$G:$G,'capacity data'!$E:$E,"TPO",'capacity data'!$B:$B,P149),"")</f>
        <v/>
      </c>
    </row>
    <row r="150" spans="1:21" ht="16" x14ac:dyDescent="0.2">
      <c r="A150" s="278"/>
      <c r="B150" s="278"/>
      <c r="C150" s="278"/>
      <c r="D150" s="278"/>
      <c r="E150" s="278"/>
      <c r="G150" s="278"/>
      <c r="H150" s="278"/>
      <c r="I150" s="278"/>
      <c r="J150" s="278"/>
      <c r="K150" s="278"/>
      <c r="L150" s="278"/>
      <c r="O150" s="38" t="s">
        <v>514</v>
      </c>
      <c r="P150" s="6" t="s">
        <v>535</v>
      </c>
      <c r="Q150" s="273" t="str">
        <f>IFERROR(SUM((SUMIFS('capacity data'!$G:$G,'capacity data'!$E:$E,"PO",'capacity data'!$B:$B,P150))-SUMIFS('capacity data'!$H:$H,'capacity data'!$E:$E,"PO",'capacity data'!$B:$B,P150))/SUMIFS('capacity data'!$G:$G,'capacity data'!$E:$E,"PO",'capacity data'!$B:$B,P150),"")</f>
        <v/>
      </c>
      <c r="R150" s="273" t="str">
        <f>IFERROR(SUM((SUMIFS('capacity data'!$G:$G,'capacity data'!$E:$E,"PSO",'capacity data'!$B:$B,P150))-SUMIFS('capacity data'!$H:$H,'capacity data'!$E:$E,"PSO",'capacity data'!$B:$B,P150))/SUMIFS('capacity data'!$G:$G,'capacity data'!$E:$E,"PSO",'capacity data'!$B:$B,P150),"")</f>
        <v/>
      </c>
      <c r="S150" s="35" t="str">
        <f t="shared" si="2"/>
        <v/>
      </c>
      <c r="T150" s="274" t="str">
        <f>IFERROR(SUMIFS('capacity data'!$L:$L,'capacity data'!$B:$B,P150,'capacity data'!$E:$E,"PSO")/SUMIFS('capacity data'!$G:$G,'capacity data'!$E:$E,"PSO",'capacity data'!$B:$B,P150),"")</f>
        <v/>
      </c>
      <c r="U150" s="274" t="str">
        <f>IFERROR(SUMIFS('capacity data'!$L:$L,'capacity data'!$B:$B,P150,'capacity data'!$E:$E,"TPO")/SUMIFS('capacity data'!$G:$G,'capacity data'!$E:$E,"TPO",'capacity data'!$B:$B,P150),"")</f>
        <v/>
      </c>
    </row>
    <row r="151" spans="1:21" ht="16" x14ac:dyDescent="0.2">
      <c r="A151" s="278"/>
      <c r="B151" s="278"/>
      <c r="C151" s="278"/>
      <c r="D151" s="278"/>
      <c r="E151" s="278"/>
      <c r="G151" s="278"/>
      <c r="H151" s="278"/>
      <c r="I151" s="278"/>
      <c r="J151" s="278"/>
      <c r="K151" s="278"/>
      <c r="L151" s="278"/>
      <c r="O151" s="38" t="s">
        <v>514</v>
      </c>
      <c r="P151" s="6" t="s">
        <v>540</v>
      </c>
      <c r="Q151" s="273" t="str">
        <f>IFERROR(SUM((SUMIFS('capacity data'!$G:$G,'capacity data'!$E:$E,"PO",'capacity data'!$B:$B,P151))-SUMIFS('capacity data'!$H:$H,'capacity data'!$E:$E,"PO",'capacity data'!$B:$B,P151))/SUMIFS('capacity data'!$G:$G,'capacity data'!$E:$E,"PO",'capacity data'!$B:$B,P151),"")</f>
        <v/>
      </c>
      <c r="R151" s="273" t="str">
        <f>IFERROR(SUM((SUMIFS('capacity data'!$G:$G,'capacity data'!$E:$E,"PSO",'capacity data'!$B:$B,P151))-SUMIFS('capacity data'!$H:$H,'capacity data'!$E:$E,"PSO",'capacity data'!$B:$B,P151))/SUMIFS('capacity data'!$G:$G,'capacity data'!$E:$E,"PSO",'capacity data'!$B:$B,P151),"")</f>
        <v/>
      </c>
      <c r="S151" s="35" t="str">
        <f t="shared" si="2"/>
        <v/>
      </c>
      <c r="T151" s="274" t="str">
        <f>IFERROR(SUMIFS('capacity data'!$L:$L,'capacity data'!$B:$B,P151,'capacity data'!$E:$E,"PSO")/SUMIFS('capacity data'!$G:$G,'capacity data'!$E:$E,"PSO",'capacity data'!$B:$B,P151),"")</f>
        <v/>
      </c>
      <c r="U151" s="274" t="str">
        <f>IFERROR(SUMIFS('capacity data'!$L:$L,'capacity data'!$B:$B,P151,'capacity data'!$E:$E,"TPO")/SUMIFS('capacity data'!$G:$G,'capacity data'!$E:$E,"TPO",'capacity data'!$B:$B,P151),"")</f>
        <v/>
      </c>
    </row>
    <row r="152" spans="1:21" ht="16" x14ac:dyDescent="0.2">
      <c r="A152" s="278"/>
      <c r="B152" s="278"/>
      <c r="C152" s="278"/>
      <c r="D152" s="278"/>
      <c r="E152" s="278"/>
      <c r="G152" s="278"/>
      <c r="H152" s="278"/>
      <c r="I152" s="278"/>
      <c r="J152" s="278"/>
      <c r="K152" s="278"/>
      <c r="L152" s="278"/>
      <c r="O152" s="38" t="s">
        <v>514</v>
      </c>
      <c r="P152" s="6" t="s">
        <v>831</v>
      </c>
      <c r="Q152" s="273" t="str">
        <f>IFERROR(SUM((SUMIFS('capacity data'!$G:$G,'capacity data'!$E:$E,"PO",'capacity data'!$B:$B,P152))-SUMIFS('capacity data'!$H:$H,'capacity data'!$E:$E,"PO",'capacity data'!$B:$B,P152))/SUMIFS('capacity data'!$G:$G,'capacity data'!$E:$E,"PO",'capacity data'!$B:$B,P152),"")</f>
        <v/>
      </c>
      <c r="R152" s="273" t="str">
        <f>IFERROR(SUM((SUMIFS('capacity data'!$G:$G,'capacity data'!$E:$E,"PSO",'capacity data'!$B:$B,P152))-SUMIFS('capacity data'!$H:$H,'capacity data'!$E:$E,"PSO",'capacity data'!$B:$B,P152))/SUMIFS('capacity data'!$G:$G,'capacity data'!$E:$E,"PSO",'capacity data'!$B:$B,P152),"")</f>
        <v/>
      </c>
      <c r="S152" s="35" t="str">
        <f t="shared" si="2"/>
        <v/>
      </c>
      <c r="T152" s="274" t="str">
        <f>IFERROR(SUMIFS('capacity data'!$L:$L,'capacity data'!$B:$B,P152,'capacity data'!$E:$E,"PSO")/SUMIFS('capacity data'!$G:$G,'capacity data'!$E:$E,"PSO",'capacity data'!$B:$B,P152),"")</f>
        <v/>
      </c>
      <c r="U152" s="274" t="str">
        <f>IFERROR(SUMIFS('capacity data'!$L:$L,'capacity data'!$B:$B,P152,'capacity data'!$E:$E,"TPO")/SUMIFS('capacity data'!$G:$G,'capacity data'!$E:$E,"TPO",'capacity data'!$B:$B,P152),"")</f>
        <v/>
      </c>
    </row>
    <row r="153" spans="1:21" ht="16" x14ac:dyDescent="0.2">
      <c r="A153" s="278"/>
      <c r="B153" s="278"/>
      <c r="C153" s="278"/>
      <c r="D153" s="278"/>
      <c r="E153" s="278"/>
      <c r="G153" s="278"/>
      <c r="H153" s="278"/>
      <c r="I153" s="278"/>
      <c r="J153" s="278"/>
      <c r="K153" s="278"/>
      <c r="L153" s="278"/>
      <c r="O153" s="38" t="s">
        <v>514</v>
      </c>
      <c r="P153" s="6" t="s">
        <v>544</v>
      </c>
      <c r="Q153" s="273" t="str">
        <f>IFERROR(SUM((SUMIFS('capacity data'!$G:$G,'capacity data'!$E:$E,"PO",'capacity data'!$B:$B,P153))-SUMIFS('capacity data'!$H:$H,'capacity data'!$E:$E,"PO",'capacity data'!$B:$B,P153))/SUMIFS('capacity data'!$G:$G,'capacity data'!$E:$E,"PO",'capacity data'!$B:$B,P153),"")</f>
        <v/>
      </c>
      <c r="R153" s="273" t="str">
        <f>IFERROR(SUM((SUMIFS('capacity data'!$G:$G,'capacity data'!$E:$E,"PSO",'capacity data'!$B:$B,P153))-SUMIFS('capacity data'!$H:$H,'capacity data'!$E:$E,"PSO",'capacity data'!$B:$B,P153))/SUMIFS('capacity data'!$G:$G,'capacity data'!$E:$E,"PSO",'capacity data'!$B:$B,P153),"")</f>
        <v/>
      </c>
      <c r="S153" s="35" t="str">
        <f t="shared" si="2"/>
        <v/>
      </c>
      <c r="T153" s="274" t="str">
        <f>IFERROR(SUMIFS('capacity data'!$L:$L,'capacity data'!$B:$B,P153,'capacity data'!$E:$E,"PSO")/SUMIFS('capacity data'!$G:$G,'capacity data'!$E:$E,"PSO",'capacity data'!$B:$B,P153),"")</f>
        <v/>
      </c>
      <c r="U153" s="274" t="str">
        <f>IFERROR(SUMIFS('capacity data'!$L:$L,'capacity data'!$B:$B,P153,'capacity data'!$E:$E,"TPO")/SUMIFS('capacity data'!$G:$G,'capacity data'!$E:$E,"TPO",'capacity data'!$B:$B,P153),"")</f>
        <v/>
      </c>
    </row>
    <row r="154" spans="1:21" ht="16" x14ac:dyDescent="0.2">
      <c r="A154" s="278"/>
      <c r="B154" s="278"/>
      <c r="C154" s="278"/>
      <c r="D154" s="278"/>
      <c r="E154" s="278"/>
      <c r="G154" s="278"/>
      <c r="H154" s="278"/>
      <c r="I154" s="278"/>
      <c r="J154" s="278"/>
      <c r="K154" s="278"/>
      <c r="L154" s="278"/>
      <c r="O154" s="38" t="s">
        <v>514</v>
      </c>
      <c r="P154" s="6" t="s">
        <v>853</v>
      </c>
      <c r="Q154" s="273" t="str">
        <f>IFERROR(SUM((SUMIFS('capacity data'!$G:$G,'capacity data'!$E:$E,"PO",'capacity data'!$B:$B,P154))-SUMIFS('capacity data'!$H:$H,'capacity data'!$E:$E,"PO",'capacity data'!$B:$B,P154))/SUMIFS('capacity data'!$G:$G,'capacity data'!$E:$E,"PO",'capacity data'!$B:$B,P154),"")</f>
        <v/>
      </c>
      <c r="R154" s="273" t="str">
        <f>IFERROR(SUM((SUMIFS('capacity data'!$G:$G,'capacity data'!$E:$E,"PSO",'capacity data'!$B:$B,P154))-SUMIFS('capacity data'!$H:$H,'capacity data'!$E:$E,"PSO",'capacity data'!$B:$B,P154))/SUMIFS('capacity data'!$G:$G,'capacity data'!$E:$E,"PSO",'capacity data'!$B:$B,P154),"")</f>
        <v/>
      </c>
      <c r="S154" s="35" t="str">
        <f t="shared" si="2"/>
        <v/>
      </c>
      <c r="T154" s="274" t="str">
        <f>IFERROR(SUMIFS('capacity data'!$L:$L,'capacity data'!$B:$B,P154,'capacity data'!$E:$E,"PSO")/SUMIFS('capacity data'!$G:$G,'capacity data'!$E:$E,"PSO",'capacity data'!$B:$B,P154),"")</f>
        <v/>
      </c>
      <c r="U154" s="274" t="str">
        <f>IFERROR(SUMIFS('capacity data'!$L:$L,'capacity data'!$B:$B,P154,'capacity data'!$E:$E,"TPO")/SUMIFS('capacity data'!$G:$G,'capacity data'!$E:$E,"TPO",'capacity data'!$B:$B,P154),"")</f>
        <v/>
      </c>
    </row>
    <row r="155" spans="1:21" ht="16" x14ac:dyDescent="0.2">
      <c r="A155" s="278"/>
      <c r="B155" s="278"/>
      <c r="C155" s="278"/>
      <c r="D155" s="278"/>
      <c r="E155" s="278"/>
      <c r="G155" s="278"/>
      <c r="H155" s="278"/>
      <c r="I155" s="278"/>
      <c r="J155" s="278"/>
      <c r="K155" s="278"/>
      <c r="L155" s="278"/>
      <c r="O155" s="38" t="s">
        <v>524</v>
      </c>
      <c r="P155" s="6" t="s">
        <v>524</v>
      </c>
      <c r="Q155" s="273" t="str">
        <f>IFERROR(SUM((SUMIFS('capacity data'!$G:$G,'capacity data'!$E:$E,"PO",'capacity data'!$B:$B,P155))-SUMIFS('capacity data'!$H:$H,'capacity data'!$E:$E,"PO",'capacity data'!$B:$B,P155))/SUMIFS('capacity data'!$G:$G,'capacity data'!$E:$E,"PO",'capacity data'!$B:$B,P155),"")</f>
        <v/>
      </c>
      <c r="R155" s="273" t="str">
        <f>IFERROR(SUM((SUMIFS('capacity data'!$G:$G,'capacity data'!$E:$E,"PSO",'capacity data'!$B:$B,P155))-SUMIFS('capacity data'!$H:$H,'capacity data'!$E:$E,"PSO",'capacity data'!$B:$B,P155))/SUMIFS('capacity data'!$G:$G,'capacity data'!$E:$E,"PSO",'capacity data'!$B:$B,P155),"")</f>
        <v/>
      </c>
      <c r="S155" s="35" t="str">
        <f t="shared" si="2"/>
        <v/>
      </c>
      <c r="T155" s="274" t="str">
        <f>IFERROR(SUMIFS('capacity data'!$L:$L,'capacity data'!$B:$B,P155,'capacity data'!$E:$E,"PSO")/SUMIFS('capacity data'!$G:$G,'capacity data'!$E:$E,"PSO",'capacity data'!$B:$B,P155),"")</f>
        <v/>
      </c>
      <c r="U155" s="274" t="str">
        <f>IFERROR(SUMIFS('capacity data'!$L:$L,'capacity data'!$B:$B,P155,'capacity data'!$E:$E,"TPO")/SUMIFS('capacity data'!$G:$G,'capacity data'!$E:$E,"TPO",'capacity data'!$B:$B,P155),"")</f>
        <v/>
      </c>
    </row>
    <row r="156" spans="1:21" ht="16" x14ac:dyDescent="0.2">
      <c r="A156" s="278"/>
      <c r="B156" s="278"/>
      <c r="C156" s="278"/>
      <c r="D156" s="278"/>
      <c r="E156" s="278"/>
      <c r="G156" s="278"/>
      <c r="H156" s="278"/>
      <c r="I156" s="278"/>
      <c r="J156" s="278"/>
      <c r="K156" s="278"/>
      <c r="L156" s="278"/>
      <c r="O156" s="38" t="s">
        <v>516</v>
      </c>
      <c r="P156" s="6" t="s">
        <v>525</v>
      </c>
      <c r="Q156" s="273" t="str">
        <f>IFERROR(SUM((SUMIFS('capacity data'!$G:$G,'capacity data'!$E:$E,"PO",'capacity data'!$B:$B,P156))-SUMIFS('capacity data'!$H:$H,'capacity data'!$E:$E,"PO",'capacity data'!$B:$B,P156))/SUMIFS('capacity data'!$G:$G,'capacity data'!$E:$E,"PO",'capacity data'!$B:$B,P156),"")</f>
        <v/>
      </c>
      <c r="R156" s="273" t="str">
        <f>IFERROR(SUM((SUMIFS('capacity data'!$G:$G,'capacity data'!$E:$E,"PSO",'capacity data'!$B:$B,P156))-SUMIFS('capacity data'!$H:$H,'capacity data'!$E:$E,"PSO",'capacity data'!$B:$B,P156))/SUMIFS('capacity data'!$G:$G,'capacity data'!$E:$E,"PSO",'capacity data'!$B:$B,P156),"")</f>
        <v/>
      </c>
      <c r="S156" s="35" t="str">
        <f t="shared" si="2"/>
        <v/>
      </c>
      <c r="T156" s="274" t="str">
        <f>IFERROR(SUMIFS('capacity data'!$L:$L,'capacity data'!$B:$B,P156,'capacity data'!$E:$E,"PSO")/SUMIFS('capacity data'!$G:$G,'capacity data'!$E:$E,"PSO",'capacity data'!$B:$B,P156),"")</f>
        <v/>
      </c>
      <c r="U156" s="274" t="str">
        <f>IFERROR(SUMIFS('capacity data'!$L:$L,'capacity data'!$B:$B,P156,'capacity data'!$E:$E,"TPO")/SUMIFS('capacity data'!$G:$G,'capacity data'!$E:$E,"TPO",'capacity data'!$B:$B,P156),"")</f>
        <v/>
      </c>
    </row>
    <row r="157" spans="1:21" ht="16" x14ac:dyDescent="0.2">
      <c r="A157" s="278"/>
      <c r="B157" s="278"/>
      <c r="C157" s="278"/>
      <c r="D157" s="278"/>
      <c r="E157" s="278"/>
      <c r="G157" s="278"/>
      <c r="H157" s="278"/>
      <c r="I157" s="278"/>
      <c r="J157" s="278"/>
      <c r="K157" s="278"/>
      <c r="L157" s="278"/>
      <c r="O157" s="38" t="s">
        <v>516</v>
      </c>
      <c r="P157" s="6" t="s">
        <v>530</v>
      </c>
      <c r="Q157" s="273" t="str">
        <f>IFERROR(SUM((SUMIFS('capacity data'!$G:$G,'capacity data'!$E:$E,"PO",'capacity data'!$B:$B,P157))-SUMIFS('capacity data'!$H:$H,'capacity data'!$E:$E,"PO",'capacity data'!$B:$B,P157))/SUMIFS('capacity data'!$G:$G,'capacity data'!$E:$E,"PO",'capacity data'!$B:$B,P157),"")</f>
        <v/>
      </c>
      <c r="R157" s="273" t="str">
        <f>IFERROR(SUM((SUMIFS('capacity data'!$G:$G,'capacity data'!$E:$E,"PSO",'capacity data'!$B:$B,P157))-SUMIFS('capacity data'!$H:$H,'capacity data'!$E:$E,"PSO",'capacity data'!$B:$B,P157))/SUMIFS('capacity data'!$G:$G,'capacity data'!$E:$E,"PSO",'capacity data'!$B:$B,P157),"")</f>
        <v/>
      </c>
      <c r="S157" s="35" t="str">
        <f t="shared" si="2"/>
        <v/>
      </c>
      <c r="T157" s="274" t="str">
        <f>IFERROR(SUMIFS('capacity data'!$L:$L,'capacity data'!$B:$B,P157,'capacity data'!$E:$E,"PSO")/SUMIFS('capacity data'!$G:$G,'capacity data'!$E:$E,"PSO",'capacity data'!$B:$B,P157),"")</f>
        <v/>
      </c>
      <c r="U157" s="274" t="str">
        <f>IFERROR(SUMIFS('capacity data'!$L:$L,'capacity data'!$B:$B,P157,'capacity data'!$E:$E,"TPO")/SUMIFS('capacity data'!$G:$G,'capacity data'!$E:$E,"TPO",'capacity data'!$B:$B,P157),"")</f>
        <v/>
      </c>
    </row>
    <row r="158" spans="1:21" ht="16" x14ac:dyDescent="0.2">
      <c r="A158" s="278"/>
      <c r="B158" s="278"/>
      <c r="C158" s="278"/>
      <c r="D158" s="278"/>
      <c r="E158" s="278"/>
      <c r="G158" s="278"/>
      <c r="H158" s="278"/>
      <c r="I158" s="278"/>
      <c r="J158" s="278"/>
      <c r="K158" s="278"/>
      <c r="L158" s="278"/>
      <c r="O158" s="38" t="s">
        <v>516</v>
      </c>
      <c r="P158" s="6" t="s">
        <v>536</v>
      </c>
      <c r="Q158" s="273" t="str">
        <f>IFERROR(SUM((SUMIFS('capacity data'!$G:$G,'capacity data'!$E:$E,"PO",'capacity data'!$B:$B,P158))-SUMIFS('capacity data'!$H:$H,'capacity data'!$E:$E,"PO",'capacity data'!$B:$B,P158))/SUMIFS('capacity data'!$G:$G,'capacity data'!$E:$E,"PO",'capacity data'!$B:$B,P158),"")</f>
        <v/>
      </c>
      <c r="R158" s="273" t="str">
        <f>IFERROR(SUM((SUMIFS('capacity data'!$G:$G,'capacity data'!$E:$E,"PSO",'capacity data'!$B:$B,P158))-SUMIFS('capacity data'!$H:$H,'capacity data'!$E:$E,"PSO",'capacity data'!$B:$B,P158))/SUMIFS('capacity data'!$G:$G,'capacity data'!$E:$E,"PSO",'capacity data'!$B:$B,P158),"")</f>
        <v/>
      </c>
      <c r="S158" s="35" t="str">
        <f t="shared" si="2"/>
        <v/>
      </c>
      <c r="T158" s="274" t="str">
        <f>IFERROR(SUMIFS('capacity data'!$L:$L,'capacity data'!$B:$B,P158,'capacity data'!$E:$E,"PSO")/SUMIFS('capacity data'!$G:$G,'capacity data'!$E:$E,"PSO",'capacity data'!$B:$B,P158),"")</f>
        <v/>
      </c>
      <c r="U158" s="274" t="str">
        <f>IFERROR(SUMIFS('capacity data'!$L:$L,'capacity data'!$B:$B,P158,'capacity data'!$E:$E,"TPO")/SUMIFS('capacity data'!$G:$G,'capacity data'!$E:$E,"TPO",'capacity data'!$B:$B,P158),"")</f>
        <v/>
      </c>
    </row>
    <row r="159" spans="1:21" ht="16" x14ac:dyDescent="0.2">
      <c r="A159" s="278"/>
      <c r="B159" s="278"/>
      <c r="C159" s="278"/>
      <c r="D159" s="278"/>
      <c r="E159" s="278"/>
      <c r="G159" s="278"/>
      <c r="H159" s="278"/>
      <c r="I159" s="278"/>
      <c r="J159" s="278"/>
      <c r="K159" s="278"/>
      <c r="L159" s="278"/>
      <c r="O159" s="38" t="s">
        <v>517</v>
      </c>
      <c r="P159" s="6" t="s">
        <v>526</v>
      </c>
      <c r="Q159" s="273" t="str">
        <f>IFERROR(SUM((SUMIFS('capacity data'!$G:$G,'capacity data'!$E:$E,"PO",'capacity data'!$B:$B,P159))-SUMIFS('capacity data'!$H:$H,'capacity data'!$E:$E,"PO",'capacity data'!$B:$B,P159))/SUMIFS('capacity data'!$G:$G,'capacity data'!$E:$E,"PO",'capacity data'!$B:$B,P159),"")</f>
        <v/>
      </c>
      <c r="R159" s="273" t="str">
        <f>IFERROR(SUM((SUMIFS('capacity data'!$G:$G,'capacity data'!$E:$E,"PSO",'capacity data'!$B:$B,P159))-SUMIFS('capacity data'!$H:$H,'capacity data'!$E:$E,"PSO",'capacity data'!$B:$B,P159))/SUMIFS('capacity data'!$G:$G,'capacity data'!$E:$E,"PSO",'capacity data'!$B:$B,P159),"")</f>
        <v/>
      </c>
      <c r="S159" s="35" t="str">
        <f t="shared" si="2"/>
        <v/>
      </c>
      <c r="T159" s="274" t="str">
        <f>IFERROR(SUMIFS('capacity data'!$L:$L,'capacity data'!$B:$B,P159,'capacity data'!$E:$E,"PSO")/SUMIFS('capacity data'!$G:$G,'capacity data'!$E:$E,"PSO",'capacity data'!$B:$B,P159),"")</f>
        <v/>
      </c>
      <c r="U159" s="274" t="str">
        <f>IFERROR(SUMIFS('capacity data'!$L:$L,'capacity data'!$B:$B,P159,'capacity data'!$E:$E,"TPO")/SUMIFS('capacity data'!$G:$G,'capacity data'!$E:$E,"TPO",'capacity data'!$B:$B,P159),"")</f>
        <v/>
      </c>
    </row>
    <row r="160" spans="1:21" ht="16" x14ac:dyDescent="0.2">
      <c r="A160" s="278"/>
      <c r="B160" s="278"/>
      <c r="C160" s="278"/>
      <c r="D160" s="278"/>
      <c r="E160" s="278"/>
      <c r="G160" s="278"/>
      <c r="H160" s="278"/>
      <c r="I160" s="278"/>
      <c r="J160" s="278"/>
      <c r="K160" s="278"/>
      <c r="L160" s="278"/>
      <c r="O160" s="38" t="s">
        <v>517</v>
      </c>
      <c r="P160" s="6" t="s">
        <v>531</v>
      </c>
      <c r="Q160" s="273" t="str">
        <f>IFERROR(SUM((SUMIFS('capacity data'!$G:$G,'capacity data'!$E:$E,"PO",'capacity data'!$B:$B,P160))-SUMIFS('capacity data'!$H:$H,'capacity data'!$E:$E,"PO",'capacity data'!$B:$B,P160))/SUMIFS('capacity data'!$G:$G,'capacity data'!$E:$E,"PO",'capacity data'!$B:$B,P160),"")</f>
        <v/>
      </c>
      <c r="R160" s="273" t="str">
        <f>IFERROR(SUM((SUMIFS('capacity data'!$G:$G,'capacity data'!$E:$E,"PSO",'capacity data'!$B:$B,P160))-SUMIFS('capacity data'!$H:$H,'capacity data'!$E:$E,"PSO",'capacity data'!$B:$B,P160))/SUMIFS('capacity data'!$G:$G,'capacity data'!$E:$E,"PSO",'capacity data'!$B:$B,P160),"")</f>
        <v/>
      </c>
      <c r="S160" s="35" t="str">
        <f t="shared" si="2"/>
        <v/>
      </c>
      <c r="T160" s="274" t="str">
        <f>IFERROR(SUMIFS('capacity data'!$L:$L,'capacity data'!$B:$B,P160,'capacity data'!$E:$E,"PSO")/SUMIFS('capacity data'!$G:$G,'capacity data'!$E:$E,"PSO",'capacity data'!$B:$B,P160),"")</f>
        <v/>
      </c>
      <c r="U160" s="274" t="str">
        <f>IFERROR(SUMIFS('capacity data'!$L:$L,'capacity data'!$B:$B,P160,'capacity data'!$E:$E,"TPO")/SUMIFS('capacity data'!$G:$G,'capacity data'!$E:$E,"TPO",'capacity data'!$B:$B,P160),"")</f>
        <v/>
      </c>
    </row>
    <row r="161" spans="1:21" ht="16" x14ac:dyDescent="0.2">
      <c r="A161" s="278"/>
      <c r="B161" s="278"/>
      <c r="C161" s="278"/>
      <c r="D161" s="278"/>
      <c r="E161" s="278"/>
      <c r="G161" s="278"/>
      <c r="H161" s="278"/>
      <c r="I161" s="278"/>
      <c r="J161" s="278"/>
      <c r="K161" s="278"/>
      <c r="L161" s="278"/>
      <c r="O161" s="38" t="s">
        <v>517</v>
      </c>
      <c r="P161" s="6" t="s">
        <v>537</v>
      </c>
      <c r="Q161" s="273" t="str">
        <f>IFERROR(SUM((SUMIFS('capacity data'!$G:$G,'capacity data'!$E:$E,"PO",'capacity data'!$B:$B,P161))-SUMIFS('capacity data'!$H:$H,'capacity data'!$E:$E,"PO",'capacity data'!$B:$B,P161))/SUMIFS('capacity data'!$G:$G,'capacity data'!$E:$E,"PO",'capacity data'!$B:$B,P161),"")</f>
        <v/>
      </c>
      <c r="R161" s="273" t="str">
        <f>IFERROR(SUM((SUMIFS('capacity data'!$G:$G,'capacity data'!$E:$E,"PSO",'capacity data'!$B:$B,P161))-SUMIFS('capacity data'!$H:$H,'capacity data'!$E:$E,"PSO",'capacity data'!$B:$B,P161))/SUMIFS('capacity data'!$G:$G,'capacity data'!$E:$E,"PSO",'capacity data'!$B:$B,P161),"")</f>
        <v/>
      </c>
      <c r="S161" s="35" t="str">
        <f t="shared" si="2"/>
        <v/>
      </c>
      <c r="T161" s="274" t="str">
        <f>IFERROR(SUMIFS('capacity data'!$L:$L,'capacity data'!$B:$B,P161,'capacity data'!$E:$E,"PSO")/SUMIFS('capacity data'!$G:$G,'capacity data'!$E:$E,"PSO",'capacity data'!$B:$B,P161),"")</f>
        <v/>
      </c>
      <c r="U161" s="274" t="str">
        <f>IFERROR(SUMIFS('capacity data'!$L:$L,'capacity data'!$B:$B,P161,'capacity data'!$E:$E,"TPO")/SUMIFS('capacity data'!$G:$G,'capacity data'!$E:$E,"TPO",'capacity data'!$B:$B,P161),"")</f>
        <v/>
      </c>
    </row>
    <row r="162" spans="1:21" ht="16" x14ac:dyDescent="0.2">
      <c r="A162" s="278"/>
      <c r="B162" s="278"/>
      <c r="C162" s="278"/>
      <c r="D162" s="278"/>
      <c r="E162" s="278"/>
      <c r="G162" s="278"/>
      <c r="H162" s="278"/>
      <c r="I162" s="278"/>
      <c r="J162" s="278"/>
      <c r="K162" s="278"/>
      <c r="L162" s="278"/>
      <c r="O162" s="38" t="s">
        <v>517</v>
      </c>
      <c r="P162" s="6" t="s">
        <v>821</v>
      </c>
      <c r="Q162" s="273" t="str">
        <f>IFERROR(SUM((SUMIFS('capacity data'!$G:$G,'capacity data'!$E:$E,"PO",'capacity data'!$B:$B,P162))-SUMIFS('capacity data'!$H:$H,'capacity data'!$E:$E,"PO",'capacity data'!$B:$B,P162))/SUMIFS('capacity data'!$G:$G,'capacity data'!$E:$E,"PO",'capacity data'!$B:$B,P162),"")</f>
        <v/>
      </c>
      <c r="R162" s="273" t="str">
        <f>IFERROR(SUM((SUMIFS('capacity data'!$G:$G,'capacity data'!$E:$E,"PSO",'capacity data'!$B:$B,P162))-SUMIFS('capacity data'!$H:$H,'capacity data'!$E:$E,"PSO",'capacity data'!$B:$B,P162))/SUMIFS('capacity data'!$G:$G,'capacity data'!$E:$E,"PSO",'capacity data'!$B:$B,P162),"")</f>
        <v/>
      </c>
      <c r="S162" s="35" t="str">
        <f t="shared" si="2"/>
        <v/>
      </c>
      <c r="T162" s="274" t="str">
        <f>IFERROR(SUMIFS('capacity data'!$L:$L,'capacity data'!$B:$B,P162,'capacity data'!$E:$E,"PSO")/SUMIFS('capacity data'!$G:$G,'capacity data'!$E:$E,"PSO",'capacity data'!$B:$B,P162),"")</f>
        <v/>
      </c>
      <c r="U162" s="274" t="str">
        <f>IFERROR(SUMIFS('capacity data'!$L:$L,'capacity data'!$B:$B,P162,'capacity data'!$E:$E,"TPO")/SUMIFS('capacity data'!$G:$G,'capacity data'!$E:$E,"TPO",'capacity data'!$B:$B,P162),"")</f>
        <v/>
      </c>
    </row>
    <row r="163" spans="1:21" ht="16" x14ac:dyDescent="0.2">
      <c r="A163" s="278"/>
      <c r="B163" s="278"/>
      <c r="C163" s="278"/>
      <c r="D163" s="278"/>
      <c r="E163" s="278"/>
      <c r="G163" s="278"/>
      <c r="H163" s="278"/>
      <c r="I163" s="278"/>
      <c r="J163" s="278"/>
      <c r="K163" s="278"/>
      <c r="L163" s="278"/>
      <c r="O163" s="38" t="s">
        <v>517</v>
      </c>
      <c r="P163" s="6" t="s">
        <v>543</v>
      </c>
      <c r="Q163" s="273" t="str">
        <f>IFERROR(SUM((SUMIFS('capacity data'!$G:$G,'capacity data'!$E:$E,"PO",'capacity data'!$B:$B,P163))-SUMIFS('capacity data'!$H:$H,'capacity data'!$E:$E,"PO",'capacity data'!$B:$B,P163))/SUMIFS('capacity data'!$G:$G,'capacity data'!$E:$E,"PO",'capacity data'!$B:$B,P163),"")</f>
        <v/>
      </c>
      <c r="R163" s="273" t="str">
        <f>IFERROR(SUM((SUMIFS('capacity data'!$G:$G,'capacity data'!$E:$E,"PSO",'capacity data'!$B:$B,P163))-SUMIFS('capacity data'!$H:$H,'capacity data'!$E:$E,"PSO",'capacity data'!$B:$B,P163))/SUMIFS('capacity data'!$G:$G,'capacity data'!$E:$E,"PSO",'capacity data'!$B:$B,P163),"")</f>
        <v/>
      </c>
      <c r="S163" s="35" t="str">
        <f t="shared" si="2"/>
        <v/>
      </c>
      <c r="T163" s="274" t="str">
        <f>IFERROR(SUMIFS('capacity data'!$L:$L,'capacity data'!$B:$B,P163,'capacity data'!$E:$E,"PSO")/SUMIFS('capacity data'!$G:$G,'capacity data'!$E:$E,"PSO",'capacity data'!$B:$B,P163),"")</f>
        <v/>
      </c>
      <c r="U163" s="274" t="str">
        <f>IFERROR(SUMIFS('capacity data'!$L:$L,'capacity data'!$B:$B,P163,'capacity data'!$E:$E,"TPO")/SUMIFS('capacity data'!$G:$G,'capacity data'!$E:$E,"TPO",'capacity data'!$B:$B,P163),"")</f>
        <v/>
      </c>
    </row>
    <row r="164" spans="1:21" ht="16" x14ac:dyDescent="0.2">
      <c r="A164" s="278"/>
      <c r="B164" s="278"/>
      <c r="C164" s="278"/>
      <c r="D164" s="278"/>
      <c r="E164" s="278"/>
      <c r="G164" s="278"/>
      <c r="H164" s="278"/>
      <c r="I164" s="278"/>
      <c r="J164" s="278"/>
      <c r="K164" s="278"/>
      <c r="L164" s="278"/>
      <c r="O164" s="38" t="s">
        <v>518</v>
      </c>
      <c r="P164" s="6" t="s">
        <v>532</v>
      </c>
      <c r="Q164" s="273" t="str">
        <f>IFERROR(SUM((SUMIFS('capacity data'!$G:$G,'capacity data'!$E:$E,"PO",'capacity data'!$B:$B,P164))-SUMIFS('capacity data'!$H:$H,'capacity data'!$E:$E,"PO",'capacity data'!$B:$B,P164))/SUMIFS('capacity data'!$G:$G,'capacity data'!$E:$E,"PO",'capacity data'!$B:$B,P164),"")</f>
        <v/>
      </c>
      <c r="R164" s="273" t="str">
        <f>IFERROR(SUM((SUMIFS('capacity data'!$G:$G,'capacity data'!$E:$E,"PSO",'capacity data'!$B:$B,P164))-SUMIFS('capacity data'!$H:$H,'capacity data'!$E:$E,"PSO",'capacity data'!$B:$B,P164))/SUMIFS('capacity data'!$G:$G,'capacity data'!$E:$E,"PSO",'capacity data'!$B:$B,P164),"")</f>
        <v/>
      </c>
      <c r="S164" s="35" t="str">
        <f t="shared" si="2"/>
        <v/>
      </c>
      <c r="T164" s="274" t="str">
        <f>IFERROR(SUMIFS('capacity data'!$L:$L,'capacity data'!$B:$B,P164,'capacity data'!$E:$E,"PSO")/SUMIFS('capacity data'!$G:$G,'capacity data'!$E:$E,"PSO",'capacity data'!$B:$B,P164),"")</f>
        <v/>
      </c>
      <c r="U164" s="274" t="str">
        <f>IFERROR(SUMIFS('capacity data'!$L:$L,'capacity data'!$B:$B,P164,'capacity data'!$E:$E,"TPO")/SUMIFS('capacity data'!$G:$G,'capacity data'!$E:$E,"TPO",'capacity data'!$B:$B,P164),"")</f>
        <v/>
      </c>
    </row>
    <row r="165" spans="1:21" ht="16" x14ac:dyDescent="0.2">
      <c r="A165" s="278"/>
      <c r="B165" s="278"/>
      <c r="C165" s="278"/>
      <c r="D165" s="278"/>
      <c r="E165" s="278"/>
      <c r="G165" s="278"/>
      <c r="H165" s="278"/>
      <c r="I165" s="278"/>
      <c r="J165" s="278"/>
      <c r="K165" s="278"/>
      <c r="L165" s="278"/>
      <c r="O165" s="38" t="s">
        <v>519</v>
      </c>
      <c r="P165" s="6" t="s">
        <v>779</v>
      </c>
      <c r="Q165" s="273" t="str">
        <f>IFERROR(SUM((SUMIFS('capacity data'!$G:$G,'capacity data'!$E:$E,"PO",'capacity data'!$B:$B,P165))-SUMIFS('capacity data'!$H:$H,'capacity data'!$E:$E,"PO",'capacity data'!$B:$B,P165))/SUMIFS('capacity data'!$G:$G,'capacity data'!$E:$E,"PO",'capacity data'!$B:$B,P165),"")</f>
        <v/>
      </c>
      <c r="R165" s="273" t="str">
        <f>IFERROR(SUM((SUMIFS('capacity data'!$G:$G,'capacity data'!$E:$E,"PSO",'capacity data'!$B:$B,P165))-SUMIFS('capacity data'!$H:$H,'capacity data'!$E:$E,"PSO",'capacity data'!$B:$B,P165))/SUMIFS('capacity data'!$G:$G,'capacity data'!$E:$E,"PSO",'capacity data'!$B:$B,P165),"")</f>
        <v/>
      </c>
      <c r="S165" s="35" t="str">
        <f t="shared" si="2"/>
        <v/>
      </c>
      <c r="T165" s="274" t="str">
        <f>IFERROR(SUMIFS('capacity data'!$L:$L,'capacity data'!$B:$B,P165,'capacity data'!$E:$E,"PSO")/SUMIFS('capacity data'!$G:$G,'capacity data'!$E:$E,"PSO",'capacity data'!$B:$B,P165),"")</f>
        <v/>
      </c>
      <c r="U165" s="274" t="str">
        <f>IFERROR(SUMIFS('capacity data'!$L:$L,'capacity data'!$B:$B,P165,'capacity data'!$E:$E,"TPO")/SUMIFS('capacity data'!$G:$G,'capacity data'!$E:$E,"TPO",'capacity data'!$B:$B,P165),"")</f>
        <v/>
      </c>
    </row>
    <row r="166" spans="1:21" ht="16" x14ac:dyDescent="0.2">
      <c r="A166" s="278"/>
      <c r="B166" s="278"/>
      <c r="C166" s="278"/>
      <c r="D166" s="278"/>
      <c r="E166" s="278"/>
      <c r="G166" s="278"/>
      <c r="H166" s="278"/>
      <c r="I166" s="278"/>
      <c r="J166" s="278"/>
      <c r="K166" s="278"/>
      <c r="L166" s="278"/>
      <c r="O166" s="38" t="s">
        <v>519</v>
      </c>
      <c r="P166" s="6" t="s">
        <v>533</v>
      </c>
      <c r="Q166" s="273" t="str">
        <f>IFERROR(SUM((SUMIFS('capacity data'!$G:$G,'capacity data'!$E:$E,"PO",'capacity data'!$B:$B,P166))-SUMIFS('capacity data'!$H:$H,'capacity data'!$E:$E,"PO",'capacity data'!$B:$B,P166))/SUMIFS('capacity data'!$G:$G,'capacity data'!$E:$E,"PO",'capacity data'!$B:$B,P166),"")</f>
        <v/>
      </c>
      <c r="R166" s="273" t="str">
        <f>IFERROR(SUM((SUMIFS('capacity data'!$G:$G,'capacity data'!$E:$E,"PSO",'capacity data'!$B:$B,P166))-SUMIFS('capacity data'!$H:$H,'capacity data'!$E:$E,"PSO",'capacity data'!$B:$B,P166))/SUMIFS('capacity data'!$G:$G,'capacity data'!$E:$E,"PSO",'capacity data'!$B:$B,P166),"")</f>
        <v/>
      </c>
      <c r="S166" s="35" t="str">
        <f t="shared" si="2"/>
        <v/>
      </c>
      <c r="T166" s="274" t="str">
        <f>IFERROR(SUMIFS('capacity data'!$L:$L,'capacity data'!$B:$B,P166,'capacity data'!$E:$E,"PSO")/SUMIFS('capacity data'!$G:$G,'capacity data'!$E:$E,"PSO",'capacity data'!$B:$B,P166),"")</f>
        <v/>
      </c>
      <c r="U166" s="274" t="str">
        <f>IFERROR(SUMIFS('capacity data'!$L:$L,'capacity data'!$B:$B,P166,'capacity data'!$E:$E,"TPO")/SUMIFS('capacity data'!$G:$G,'capacity data'!$E:$E,"TPO",'capacity data'!$B:$B,P166),"")</f>
        <v/>
      </c>
    </row>
    <row r="167" spans="1:21" ht="16" x14ac:dyDescent="0.2">
      <c r="A167" s="278"/>
      <c r="B167" s="278"/>
      <c r="C167" s="278"/>
      <c r="D167" s="278"/>
      <c r="E167" s="278"/>
      <c r="G167" s="278"/>
      <c r="H167" s="278"/>
      <c r="I167" s="278"/>
      <c r="J167" s="278"/>
      <c r="K167" s="278"/>
      <c r="L167" s="278"/>
      <c r="O167" s="38" t="s">
        <v>519</v>
      </c>
      <c r="P167" s="6" t="s">
        <v>807</v>
      </c>
      <c r="Q167" s="273" t="str">
        <f>IFERROR(SUM((SUMIFS('capacity data'!$G:$G,'capacity data'!$E:$E,"PO",'capacity data'!$B:$B,P167))-SUMIFS('capacity data'!$H:$H,'capacity data'!$E:$E,"PO",'capacity data'!$B:$B,P167))/SUMIFS('capacity data'!$G:$G,'capacity data'!$E:$E,"PO",'capacity data'!$B:$B,P167),"")</f>
        <v/>
      </c>
      <c r="R167" s="273" t="str">
        <f>IFERROR(SUM((SUMIFS('capacity data'!$G:$G,'capacity data'!$E:$E,"PSO",'capacity data'!$B:$B,P167))-SUMIFS('capacity data'!$H:$H,'capacity data'!$E:$E,"PSO",'capacity data'!$B:$B,P167))/SUMIFS('capacity data'!$G:$G,'capacity data'!$E:$E,"PSO",'capacity data'!$B:$B,P167),"")</f>
        <v/>
      </c>
      <c r="S167" s="35" t="str">
        <f t="shared" si="2"/>
        <v/>
      </c>
      <c r="T167" s="274" t="str">
        <f>IFERROR(SUMIFS('capacity data'!$L:$L,'capacity data'!$B:$B,P167,'capacity data'!$E:$E,"PSO")/SUMIFS('capacity data'!$G:$G,'capacity data'!$E:$E,"PSO",'capacity data'!$B:$B,P167),"")</f>
        <v/>
      </c>
      <c r="U167" s="274" t="str">
        <f>IFERROR(SUMIFS('capacity data'!$L:$L,'capacity data'!$B:$B,P167,'capacity data'!$E:$E,"TPO")/SUMIFS('capacity data'!$G:$G,'capacity data'!$E:$E,"TPO",'capacity data'!$B:$B,P167),"")</f>
        <v/>
      </c>
    </row>
    <row r="168" spans="1:21" ht="16" x14ac:dyDescent="0.2">
      <c r="A168" s="278"/>
      <c r="B168" s="278"/>
      <c r="C168" s="278"/>
      <c r="D168" s="278"/>
      <c r="E168" s="278"/>
      <c r="G168" s="278"/>
      <c r="H168" s="278"/>
      <c r="I168" s="278"/>
      <c r="J168" s="278"/>
      <c r="K168" s="278"/>
      <c r="L168" s="278"/>
      <c r="O168" s="38" t="s">
        <v>519</v>
      </c>
      <c r="P168" s="6" t="s">
        <v>541</v>
      </c>
      <c r="Q168" s="273" t="str">
        <f>IFERROR(SUM((SUMIFS('capacity data'!$G:$G,'capacity data'!$E:$E,"PO",'capacity data'!$B:$B,P168))-SUMIFS('capacity data'!$H:$H,'capacity data'!$E:$E,"PO",'capacity data'!$B:$B,P168))/SUMIFS('capacity data'!$G:$G,'capacity data'!$E:$E,"PO",'capacity data'!$B:$B,P168),"")</f>
        <v/>
      </c>
      <c r="R168" s="273" t="str">
        <f>IFERROR(SUM((SUMIFS('capacity data'!$G:$G,'capacity data'!$E:$E,"PSO",'capacity data'!$B:$B,P168))-SUMIFS('capacity data'!$H:$H,'capacity data'!$E:$E,"PSO",'capacity data'!$B:$B,P168))/SUMIFS('capacity data'!$G:$G,'capacity data'!$E:$E,"PSO",'capacity data'!$B:$B,P168),"")</f>
        <v/>
      </c>
      <c r="S168" s="35" t="str">
        <f t="shared" si="2"/>
        <v/>
      </c>
      <c r="T168" s="274" t="str">
        <f>IFERROR(SUMIFS('capacity data'!$L:$L,'capacity data'!$B:$B,P168,'capacity data'!$E:$E,"PSO")/SUMIFS('capacity data'!$G:$G,'capacity data'!$E:$E,"PSO",'capacity data'!$B:$B,P168),"")</f>
        <v/>
      </c>
      <c r="U168" s="274" t="str">
        <f>IFERROR(SUMIFS('capacity data'!$L:$L,'capacity data'!$B:$B,P168,'capacity data'!$E:$E,"TPO")/SUMIFS('capacity data'!$G:$G,'capacity data'!$E:$E,"TPO",'capacity data'!$B:$B,P168),"")</f>
        <v/>
      </c>
    </row>
    <row r="169" spans="1:21" ht="16" x14ac:dyDescent="0.2">
      <c r="A169" s="278"/>
      <c r="B169" s="278"/>
      <c r="C169" s="278"/>
      <c r="D169" s="278"/>
      <c r="E169" s="278"/>
      <c r="G169" s="278"/>
      <c r="H169" s="278"/>
      <c r="I169" s="278"/>
      <c r="J169" s="278"/>
      <c r="K169" s="278"/>
      <c r="L169" s="278"/>
      <c r="O169" s="38" t="s">
        <v>520</v>
      </c>
      <c r="P169" s="6" t="s">
        <v>527</v>
      </c>
      <c r="Q169" s="273" t="str">
        <f>IFERROR(SUM((SUMIFS('capacity data'!$G:$G,'capacity data'!$E:$E,"PO",'capacity data'!$B:$B,P169))-SUMIFS('capacity data'!$H:$H,'capacity data'!$E:$E,"PO",'capacity data'!$B:$B,P169))/SUMIFS('capacity data'!$G:$G,'capacity data'!$E:$E,"PO",'capacity data'!$B:$B,P169),"")</f>
        <v/>
      </c>
      <c r="R169" s="273" t="str">
        <f>IFERROR(SUM((SUMIFS('capacity data'!$G:$G,'capacity data'!$E:$E,"PSO",'capacity data'!$B:$B,P169))-SUMIFS('capacity data'!$H:$H,'capacity data'!$E:$E,"PSO",'capacity data'!$B:$B,P169))/SUMIFS('capacity data'!$G:$G,'capacity data'!$E:$E,"PSO",'capacity data'!$B:$B,P169),"")</f>
        <v/>
      </c>
      <c r="S169" s="35" t="str">
        <f t="shared" si="2"/>
        <v/>
      </c>
      <c r="T169" s="274" t="str">
        <f>IFERROR(SUMIFS('capacity data'!$L:$L,'capacity data'!$B:$B,P169,'capacity data'!$E:$E,"PSO")/SUMIFS('capacity data'!$G:$G,'capacity data'!$E:$E,"PSO",'capacity data'!$B:$B,P169),"")</f>
        <v/>
      </c>
      <c r="U169" s="274" t="str">
        <f>IFERROR(SUMIFS('capacity data'!$L:$L,'capacity data'!$B:$B,P169,'capacity data'!$E:$E,"TPO")/SUMIFS('capacity data'!$G:$G,'capacity data'!$E:$E,"TPO",'capacity data'!$B:$B,P169),"")</f>
        <v/>
      </c>
    </row>
    <row r="170" spans="1:21" ht="16" x14ac:dyDescent="0.2">
      <c r="A170" s="278"/>
      <c r="B170" s="278"/>
      <c r="C170" s="278"/>
      <c r="D170" s="278"/>
      <c r="E170" s="278"/>
      <c r="G170" s="278"/>
      <c r="H170" s="278"/>
      <c r="I170" s="278"/>
      <c r="J170" s="278"/>
      <c r="K170" s="278"/>
      <c r="L170" s="278"/>
      <c r="O170" s="38" t="s">
        <v>521</v>
      </c>
      <c r="P170" s="6" t="s">
        <v>528</v>
      </c>
      <c r="Q170" s="273" t="str">
        <f>IFERROR(SUM((SUMIFS('capacity data'!$G:$G,'capacity data'!$E:$E,"PO",'capacity data'!$B:$B,P170))-SUMIFS('capacity data'!$H:$H,'capacity data'!$E:$E,"PO",'capacity data'!$B:$B,P170))/SUMIFS('capacity data'!$G:$G,'capacity data'!$E:$E,"PO",'capacity data'!$B:$B,P170),"")</f>
        <v/>
      </c>
      <c r="R170" s="273" t="str">
        <f>IFERROR(SUM((SUMIFS('capacity data'!$G:$G,'capacity data'!$E:$E,"PSO",'capacity data'!$B:$B,P170))-SUMIFS('capacity data'!$H:$H,'capacity data'!$E:$E,"PSO",'capacity data'!$B:$B,P170))/SUMIFS('capacity data'!$G:$G,'capacity data'!$E:$E,"PSO",'capacity data'!$B:$B,P170),"")</f>
        <v/>
      </c>
      <c r="S170" s="35" t="str">
        <f t="shared" si="2"/>
        <v/>
      </c>
      <c r="T170" s="274" t="str">
        <f>IFERROR(SUMIFS('capacity data'!$L:$L,'capacity data'!$B:$B,P170,'capacity data'!$E:$E,"PSO")/SUMIFS('capacity data'!$G:$G,'capacity data'!$E:$E,"PSO",'capacity data'!$B:$B,P170),"")</f>
        <v/>
      </c>
      <c r="U170" s="274" t="str">
        <f>IFERROR(SUMIFS('capacity data'!$L:$L,'capacity data'!$B:$B,P170,'capacity data'!$E:$E,"TPO")/SUMIFS('capacity data'!$G:$G,'capacity data'!$E:$E,"TPO",'capacity data'!$B:$B,P170),"")</f>
        <v/>
      </c>
    </row>
    <row r="171" spans="1:21" ht="16" x14ac:dyDescent="0.2">
      <c r="A171" s="278"/>
      <c r="B171" s="278"/>
      <c r="C171" s="278"/>
      <c r="D171" s="278"/>
      <c r="E171" s="278"/>
      <c r="G171" s="278"/>
      <c r="H171" s="278"/>
      <c r="I171" s="278"/>
      <c r="J171" s="278"/>
      <c r="K171" s="278"/>
      <c r="L171" s="278"/>
      <c r="O171" s="38" t="s">
        <v>521</v>
      </c>
      <c r="P171" s="6" t="s">
        <v>795</v>
      </c>
      <c r="Q171" s="273" t="str">
        <f>IFERROR(SUM((SUMIFS('capacity data'!$G:$G,'capacity data'!$E:$E,"PO",'capacity data'!$B:$B,P171))-SUMIFS('capacity data'!$H:$H,'capacity data'!$E:$E,"PO",'capacity data'!$B:$B,P171))/SUMIFS('capacity data'!$G:$G,'capacity data'!$E:$E,"PO",'capacity data'!$B:$B,P171),"")</f>
        <v/>
      </c>
      <c r="R171" s="273" t="str">
        <f>IFERROR(SUM((SUMIFS('capacity data'!$G:$G,'capacity data'!$E:$E,"PSO",'capacity data'!$B:$B,P171))-SUMIFS('capacity data'!$H:$H,'capacity data'!$E:$E,"PSO",'capacity data'!$B:$B,P171))/SUMIFS('capacity data'!$G:$G,'capacity data'!$E:$E,"PSO",'capacity data'!$B:$B,P171),"")</f>
        <v/>
      </c>
      <c r="S171" s="35" t="str">
        <f t="shared" si="2"/>
        <v/>
      </c>
      <c r="T171" s="274" t="str">
        <f>IFERROR(SUMIFS('capacity data'!$L:$L,'capacity data'!$B:$B,P171,'capacity data'!$E:$E,"PSO")/SUMIFS('capacity data'!$G:$G,'capacity data'!$E:$E,"PSO",'capacity data'!$B:$B,P171),"")</f>
        <v/>
      </c>
      <c r="U171" s="274" t="str">
        <f>IFERROR(SUMIFS('capacity data'!$L:$L,'capacity data'!$B:$B,P171,'capacity data'!$E:$E,"TPO")/SUMIFS('capacity data'!$G:$G,'capacity data'!$E:$E,"TPO",'capacity data'!$B:$B,P171),"")</f>
        <v/>
      </c>
    </row>
    <row r="172" spans="1:21" ht="16" x14ac:dyDescent="0.2">
      <c r="A172" s="278"/>
      <c r="B172" s="278"/>
      <c r="C172" s="278"/>
      <c r="D172" s="278"/>
      <c r="E172" s="278"/>
      <c r="G172" s="278"/>
      <c r="H172" s="278"/>
      <c r="I172" s="278"/>
      <c r="J172" s="278"/>
      <c r="K172" s="278"/>
      <c r="L172" s="278"/>
      <c r="O172" s="38" t="s">
        <v>521</v>
      </c>
      <c r="P172" s="6" t="s">
        <v>538</v>
      </c>
      <c r="Q172" s="273" t="str">
        <f>IFERROR(SUM((SUMIFS('capacity data'!$G:$G,'capacity data'!$E:$E,"PO",'capacity data'!$B:$B,P172))-SUMIFS('capacity data'!$H:$H,'capacity data'!$E:$E,"PO",'capacity data'!$B:$B,P172))/SUMIFS('capacity data'!$G:$G,'capacity data'!$E:$E,"PO",'capacity data'!$B:$B,P172),"")</f>
        <v/>
      </c>
      <c r="R172" s="273" t="str">
        <f>IFERROR(SUM((SUMIFS('capacity data'!$G:$G,'capacity data'!$E:$E,"PSO",'capacity data'!$B:$B,P172))-SUMIFS('capacity data'!$H:$H,'capacity data'!$E:$E,"PSO",'capacity data'!$B:$B,P172))/SUMIFS('capacity data'!$G:$G,'capacity data'!$E:$E,"PSO",'capacity data'!$B:$B,P172),"")</f>
        <v/>
      </c>
      <c r="S172" s="35" t="str">
        <f t="shared" si="2"/>
        <v/>
      </c>
      <c r="T172" s="274" t="str">
        <f>IFERROR(SUMIFS('capacity data'!$L:$L,'capacity data'!$B:$B,P172,'capacity data'!$E:$E,"PSO")/SUMIFS('capacity data'!$G:$G,'capacity data'!$E:$E,"PSO",'capacity data'!$B:$B,P172),"")</f>
        <v/>
      </c>
      <c r="U172" s="274" t="str">
        <f>IFERROR(SUMIFS('capacity data'!$L:$L,'capacity data'!$B:$B,P172,'capacity data'!$E:$E,"TPO")/SUMIFS('capacity data'!$G:$G,'capacity data'!$E:$E,"TPO",'capacity data'!$B:$B,P172),"")</f>
        <v/>
      </c>
    </row>
    <row r="173" spans="1:21" ht="16" x14ac:dyDescent="0.2">
      <c r="A173" s="278"/>
      <c r="B173" s="278"/>
      <c r="C173" s="278"/>
      <c r="D173" s="278"/>
      <c r="E173" s="278"/>
      <c r="G173" s="278"/>
      <c r="H173" s="278"/>
      <c r="I173" s="278"/>
      <c r="J173" s="278"/>
      <c r="K173" s="278"/>
      <c r="L173" s="278"/>
      <c r="O173" s="38" t="s">
        <v>521</v>
      </c>
      <c r="P173" s="6" t="s">
        <v>750</v>
      </c>
      <c r="Q173" s="273" t="str">
        <f>IFERROR(SUM((SUMIFS('capacity data'!$G:$G,'capacity data'!$E:$E,"PO",'capacity data'!$B:$B,P173))-SUMIFS('capacity data'!$H:$H,'capacity data'!$E:$E,"PO",'capacity data'!$B:$B,P173))/SUMIFS('capacity data'!$G:$G,'capacity data'!$E:$E,"PO",'capacity data'!$B:$B,P173),"")</f>
        <v/>
      </c>
      <c r="R173" s="273" t="str">
        <f>IFERROR(SUM((SUMIFS('capacity data'!$G:$G,'capacity data'!$E:$E,"PSO",'capacity data'!$B:$B,P173))-SUMIFS('capacity data'!$H:$H,'capacity data'!$E:$E,"PSO",'capacity data'!$B:$B,P173))/SUMIFS('capacity data'!$G:$G,'capacity data'!$E:$E,"PSO",'capacity data'!$B:$B,P173),"")</f>
        <v/>
      </c>
      <c r="S173" s="35" t="str">
        <f t="shared" si="2"/>
        <v/>
      </c>
      <c r="T173" s="274" t="str">
        <f>IFERROR(SUMIFS('capacity data'!$L:$L,'capacity data'!$B:$B,P173,'capacity data'!$E:$E,"PSO")/SUMIFS('capacity data'!$G:$G,'capacity data'!$E:$E,"PSO",'capacity data'!$B:$B,P173),"")</f>
        <v/>
      </c>
      <c r="U173" s="274" t="str">
        <f>IFERROR(SUMIFS('capacity data'!$L:$L,'capacity data'!$B:$B,P173,'capacity data'!$E:$E,"TPO")/SUMIFS('capacity data'!$G:$G,'capacity data'!$E:$E,"TPO",'capacity data'!$B:$B,P173),"")</f>
        <v/>
      </c>
    </row>
    <row r="174" spans="1:21" ht="16" x14ac:dyDescent="0.2">
      <c r="A174" s="278"/>
      <c r="B174" s="278"/>
      <c r="C174" s="278"/>
      <c r="D174" s="278"/>
      <c r="E174" s="278"/>
      <c r="G174" s="278"/>
      <c r="H174" s="278"/>
      <c r="I174" s="278"/>
      <c r="J174" s="278"/>
      <c r="K174" s="278"/>
      <c r="L174" s="278"/>
      <c r="O174" s="38" t="s">
        <v>521</v>
      </c>
      <c r="P174" s="6" t="s">
        <v>542</v>
      </c>
      <c r="Q174" s="273" t="str">
        <f>IFERROR(SUM((SUMIFS('capacity data'!$G:$G,'capacity data'!$E:$E,"PO",'capacity data'!$B:$B,P174))-SUMIFS('capacity data'!$H:$H,'capacity data'!$E:$E,"PO",'capacity data'!$B:$B,P174))/SUMIFS('capacity data'!$G:$G,'capacity data'!$E:$E,"PO",'capacity data'!$B:$B,P174),"")</f>
        <v/>
      </c>
      <c r="R174" s="273" t="str">
        <f>IFERROR(SUM((SUMIFS('capacity data'!$G:$G,'capacity data'!$E:$E,"PSO",'capacity data'!$B:$B,P174))-SUMIFS('capacity data'!$H:$H,'capacity data'!$E:$E,"PSO",'capacity data'!$B:$B,P174))/SUMIFS('capacity data'!$G:$G,'capacity data'!$E:$E,"PSO",'capacity data'!$B:$B,P174),"")</f>
        <v/>
      </c>
      <c r="S174" s="35" t="str">
        <f t="shared" si="2"/>
        <v/>
      </c>
      <c r="T174" s="274" t="str">
        <f>IFERROR(SUMIFS('capacity data'!$L:$L,'capacity data'!$B:$B,P174,'capacity data'!$E:$E,"PSO")/SUMIFS('capacity data'!$G:$G,'capacity data'!$E:$E,"PSO",'capacity data'!$B:$B,P174),"")</f>
        <v/>
      </c>
      <c r="U174" s="274" t="str">
        <f>IFERROR(SUMIFS('capacity data'!$L:$L,'capacity data'!$B:$B,P174,'capacity data'!$E:$E,"TPO")/SUMIFS('capacity data'!$G:$G,'capacity data'!$E:$E,"TPO",'capacity data'!$B:$B,P174),"")</f>
        <v/>
      </c>
    </row>
    <row r="175" spans="1:21" ht="16" x14ac:dyDescent="0.2">
      <c r="A175" s="278"/>
      <c r="B175" s="278"/>
      <c r="C175" s="278"/>
      <c r="D175" s="278"/>
      <c r="E175" s="278"/>
      <c r="G175" s="278"/>
      <c r="H175" s="278"/>
      <c r="I175" s="278"/>
      <c r="J175" s="278"/>
      <c r="K175" s="278"/>
      <c r="L175" s="278"/>
      <c r="O175" s="38" t="s">
        <v>521</v>
      </c>
      <c r="P175" s="6" t="s">
        <v>843</v>
      </c>
      <c r="Q175" s="273" t="str">
        <f>IFERROR(SUM((SUMIFS('capacity data'!$G:$G,'capacity data'!$E:$E,"PO",'capacity data'!$B:$B,P175))-SUMIFS('capacity data'!$H:$H,'capacity data'!$E:$E,"PO",'capacity data'!$B:$B,P175))/SUMIFS('capacity data'!$G:$G,'capacity data'!$E:$E,"PO",'capacity data'!$B:$B,P175),"")</f>
        <v/>
      </c>
      <c r="R175" s="273" t="str">
        <f>IFERROR(SUM((SUMIFS('capacity data'!$G:$G,'capacity data'!$E:$E,"PSO",'capacity data'!$B:$B,P175))-SUMIFS('capacity data'!$H:$H,'capacity data'!$E:$E,"PSO",'capacity data'!$B:$B,P175))/SUMIFS('capacity data'!$G:$G,'capacity data'!$E:$E,"PSO",'capacity data'!$B:$B,P175),"")</f>
        <v/>
      </c>
      <c r="S175" s="35" t="str">
        <f t="shared" si="2"/>
        <v/>
      </c>
      <c r="T175" s="274" t="str">
        <f>IFERROR(SUMIFS('capacity data'!$L:$L,'capacity data'!$B:$B,P175,'capacity data'!$E:$E,"PSO")/SUMIFS('capacity data'!$G:$G,'capacity data'!$E:$E,"PSO",'capacity data'!$B:$B,P175),"")</f>
        <v/>
      </c>
      <c r="U175" s="274" t="str">
        <f>IFERROR(SUMIFS('capacity data'!$L:$L,'capacity data'!$B:$B,P175,'capacity data'!$E:$E,"TPO")/SUMIFS('capacity data'!$G:$G,'capacity data'!$E:$E,"TPO",'capacity data'!$B:$B,P175),"")</f>
        <v/>
      </c>
    </row>
    <row r="176" spans="1:21" ht="16" x14ac:dyDescent="0.2">
      <c r="A176" s="278"/>
      <c r="B176" s="278"/>
      <c r="C176" s="278"/>
      <c r="D176" s="278"/>
      <c r="E176" s="278"/>
      <c r="G176" s="278"/>
      <c r="H176" s="278"/>
      <c r="I176" s="278"/>
      <c r="J176" s="278"/>
      <c r="K176" s="278"/>
      <c r="L176" s="278"/>
      <c r="O176" s="38" t="s">
        <v>522</v>
      </c>
      <c r="P176" s="6" t="s">
        <v>780</v>
      </c>
      <c r="Q176" s="273" t="str">
        <f>IFERROR(SUM((SUMIFS('capacity data'!$G:$G,'capacity data'!$E:$E,"PO",'capacity data'!$B:$B,P176))-SUMIFS('capacity data'!$H:$H,'capacity data'!$E:$E,"PO",'capacity data'!$B:$B,P176))/SUMIFS('capacity data'!$G:$G,'capacity data'!$E:$E,"PO",'capacity data'!$B:$B,P176),"")</f>
        <v/>
      </c>
      <c r="R176" s="273" t="str">
        <f>IFERROR(SUM((SUMIFS('capacity data'!$G:$G,'capacity data'!$E:$E,"PSO",'capacity data'!$B:$B,P176))-SUMIFS('capacity data'!$H:$H,'capacity data'!$E:$E,"PSO",'capacity data'!$B:$B,P176))/SUMIFS('capacity data'!$G:$G,'capacity data'!$E:$E,"PSO",'capacity data'!$B:$B,P176),"")</f>
        <v/>
      </c>
      <c r="S176" s="35" t="str">
        <f t="shared" si="2"/>
        <v/>
      </c>
      <c r="T176" s="274" t="str">
        <f>IFERROR(SUMIFS('capacity data'!$L:$L,'capacity data'!$B:$B,P176,'capacity data'!$E:$E,"PSO")/SUMIFS('capacity data'!$G:$G,'capacity data'!$E:$E,"PSO",'capacity data'!$B:$B,P176),"")</f>
        <v/>
      </c>
      <c r="U176" s="274" t="str">
        <f>IFERROR(SUMIFS('capacity data'!$L:$L,'capacity data'!$B:$B,P176,'capacity data'!$E:$E,"TPO")/SUMIFS('capacity data'!$G:$G,'capacity data'!$E:$E,"TPO",'capacity data'!$B:$B,P176),"")</f>
        <v/>
      </c>
    </row>
    <row r="177" spans="1:21" ht="16" x14ac:dyDescent="0.2">
      <c r="A177" s="278"/>
      <c r="B177" s="278"/>
      <c r="C177" s="278"/>
      <c r="D177" s="278"/>
      <c r="E177" s="278"/>
      <c r="G177" s="278"/>
      <c r="H177" s="278"/>
      <c r="I177" s="278"/>
      <c r="J177" s="278"/>
      <c r="K177" s="278"/>
      <c r="L177" s="278"/>
      <c r="O177" s="38" t="s">
        <v>522</v>
      </c>
      <c r="P177" s="6" t="s">
        <v>796</v>
      </c>
      <c r="Q177" s="273" t="str">
        <f>IFERROR(SUM((SUMIFS('capacity data'!$G:$G,'capacity data'!$E:$E,"PO",'capacity data'!$B:$B,P177))-SUMIFS('capacity data'!$H:$H,'capacity data'!$E:$E,"PO",'capacity data'!$B:$B,P177))/SUMIFS('capacity data'!$G:$G,'capacity data'!$E:$E,"PO",'capacity data'!$B:$B,P177),"")</f>
        <v/>
      </c>
      <c r="R177" s="273" t="str">
        <f>IFERROR(SUM((SUMIFS('capacity data'!$G:$G,'capacity data'!$E:$E,"PSO",'capacity data'!$B:$B,P177))-SUMIFS('capacity data'!$H:$H,'capacity data'!$E:$E,"PSO",'capacity data'!$B:$B,P177))/SUMIFS('capacity data'!$G:$G,'capacity data'!$E:$E,"PSO",'capacity data'!$B:$B,P177),"")</f>
        <v/>
      </c>
      <c r="S177" s="35" t="str">
        <f t="shared" si="2"/>
        <v/>
      </c>
      <c r="T177" s="274" t="str">
        <f>IFERROR(SUMIFS('capacity data'!$L:$L,'capacity data'!$B:$B,P177,'capacity data'!$E:$E,"PSO")/SUMIFS('capacity data'!$G:$G,'capacity data'!$E:$E,"PSO",'capacity data'!$B:$B,P177),"")</f>
        <v/>
      </c>
      <c r="U177" s="274" t="str">
        <f>IFERROR(SUMIFS('capacity data'!$L:$L,'capacity data'!$B:$B,P177,'capacity data'!$E:$E,"TPO")/SUMIFS('capacity data'!$G:$G,'capacity data'!$E:$E,"TPO",'capacity data'!$B:$B,P177),"")</f>
        <v/>
      </c>
    </row>
    <row r="178" spans="1:21" ht="16" x14ac:dyDescent="0.2">
      <c r="A178" s="278"/>
      <c r="B178" s="278"/>
      <c r="C178" s="278"/>
      <c r="D178" s="278"/>
      <c r="E178" s="278"/>
      <c r="G178" s="278"/>
      <c r="H178" s="278"/>
      <c r="I178" s="278"/>
      <c r="J178" s="278"/>
      <c r="K178" s="278"/>
      <c r="L178" s="278"/>
      <c r="O178" s="38" t="s">
        <v>523</v>
      </c>
      <c r="P178" s="6" t="s">
        <v>781</v>
      </c>
      <c r="Q178" s="273" t="str">
        <f>IFERROR(SUM((SUMIFS('capacity data'!$G:$G,'capacity data'!$E:$E,"PO",'capacity data'!$B:$B,P178))-SUMIFS('capacity data'!$H:$H,'capacity data'!$E:$E,"PO",'capacity data'!$B:$B,P178))/SUMIFS('capacity data'!$G:$G,'capacity data'!$E:$E,"PO",'capacity data'!$B:$B,P178),"")</f>
        <v/>
      </c>
      <c r="R178" s="273" t="str">
        <f>IFERROR(SUM((SUMIFS('capacity data'!$G:$G,'capacity data'!$E:$E,"PSO",'capacity data'!$B:$B,P178))-SUMIFS('capacity data'!$H:$H,'capacity data'!$E:$E,"PSO",'capacity data'!$B:$B,P178))/SUMIFS('capacity data'!$G:$G,'capacity data'!$E:$E,"PSO",'capacity data'!$B:$B,P178),"")</f>
        <v/>
      </c>
      <c r="S178" s="35" t="str">
        <f t="shared" si="2"/>
        <v/>
      </c>
      <c r="T178" s="274" t="str">
        <f>IFERROR(SUMIFS('capacity data'!$L:$L,'capacity data'!$B:$B,P178,'capacity data'!$E:$E,"PSO")/SUMIFS('capacity data'!$G:$G,'capacity data'!$E:$E,"PSO",'capacity data'!$B:$B,P178),"")</f>
        <v/>
      </c>
      <c r="U178" s="274" t="str">
        <f>IFERROR(SUMIFS('capacity data'!$L:$L,'capacity data'!$B:$B,P178,'capacity data'!$E:$E,"TPO")/SUMIFS('capacity data'!$G:$G,'capacity data'!$E:$E,"TPO",'capacity data'!$B:$B,P178),"")</f>
        <v/>
      </c>
    </row>
    <row r="179" spans="1:21" ht="16" x14ac:dyDescent="0.2">
      <c r="A179" s="278"/>
      <c r="B179" s="278"/>
      <c r="C179" s="278"/>
      <c r="D179" s="278"/>
      <c r="E179" s="278"/>
      <c r="G179" s="278"/>
      <c r="H179" s="278"/>
      <c r="I179" s="278"/>
      <c r="J179" s="278"/>
      <c r="K179" s="278"/>
      <c r="L179" s="278"/>
      <c r="O179" s="38" t="s">
        <v>523</v>
      </c>
      <c r="P179" s="6" t="s">
        <v>534</v>
      </c>
      <c r="Q179" s="273" t="str">
        <f>IFERROR(SUM((SUMIFS('capacity data'!$G:$G,'capacity data'!$E:$E,"PO",'capacity data'!$B:$B,P179))-SUMIFS('capacity data'!$H:$H,'capacity data'!$E:$E,"PO",'capacity data'!$B:$B,P179))/SUMIFS('capacity data'!$G:$G,'capacity data'!$E:$E,"PO",'capacity data'!$B:$B,P179),"")</f>
        <v/>
      </c>
      <c r="R179" s="273" t="str">
        <f>IFERROR(SUM((SUMIFS('capacity data'!$G:$G,'capacity data'!$E:$E,"PSO",'capacity data'!$B:$B,P179))-SUMIFS('capacity data'!$H:$H,'capacity data'!$E:$E,"PSO",'capacity data'!$B:$B,P179))/SUMIFS('capacity data'!$G:$G,'capacity data'!$E:$E,"PSO",'capacity data'!$B:$B,P179),"")</f>
        <v/>
      </c>
      <c r="S179" s="35" t="str">
        <f t="shared" si="2"/>
        <v/>
      </c>
      <c r="T179" s="274" t="str">
        <f>IFERROR(SUMIFS('capacity data'!$L:$L,'capacity data'!$B:$B,P179,'capacity data'!$E:$E,"PSO")/SUMIFS('capacity data'!$G:$G,'capacity data'!$E:$E,"PSO",'capacity data'!$B:$B,P179),"")</f>
        <v/>
      </c>
      <c r="U179" s="274" t="str">
        <f>IFERROR(SUMIFS('capacity data'!$L:$L,'capacity data'!$B:$B,P179,'capacity data'!$E:$E,"TPO")/SUMIFS('capacity data'!$G:$G,'capacity data'!$E:$E,"TPO",'capacity data'!$B:$B,P179),"")</f>
        <v/>
      </c>
    </row>
    <row r="180" spans="1:21" ht="16" x14ac:dyDescent="0.2">
      <c r="A180" s="278"/>
      <c r="B180" s="278"/>
      <c r="C180" s="278"/>
      <c r="D180" s="278"/>
      <c r="E180" s="278"/>
      <c r="G180" s="278"/>
      <c r="H180" s="278"/>
      <c r="I180" s="278"/>
      <c r="J180" s="278"/>
      <c r="K180" s="278"/>
      <c r="L180" s="278"/>
      <c r="O180" s="38" t="s">
        <v>523</v>
      </c>
      <c r="P180" s="6" t="s">
        <v>539</v>
      </c>
      <c r="Q180" s="273" t="str">
        <f>IFERROR(SUM((SUMIFS('capacity data'!$G:$G,'capacity data'!$E:$E,"PO",'capacity data'!$B:$B,P180))-SUMIFS('capacity data'!$H:$H,'capacity data'!$E:$E,"PO",'capacity data'!$B:$B,P180))/SUMIFS('capacity data'!$G:$G,'capacity data'!$E:$E,"PO",'capacity data'!$B:$B,P180),"")</f>
        <v/>
      </c>
      <c r="R180" s="273" t="str">
        <f>IFERROR(SUM((SUMIFS('capacity data'!$G:$G,'capacity data'!$E:$E,"PSO",'capacity data'!$B:$B,P180))-SUMIFS('capacity data'!$H:$H,'capacity data'!$E:$E,"PSO",'capacity data'!$B:$B,P180))/SUMIFS('capacity data'!$G:$G,'capacity data'!$E:$E,"PSO",'capacity data'!$B:$B,P180),"")</f>
        <v/>
      </c>
      <c r="S180" s="35" t="str">
        <f t="shared" si="2"/>
        <v/>
      </c>
      <c r="T180" s="274" t="str">
        <f>IFERROR(SUMIFS('capacity data'!$L:$L,'capacity data'!$B:$B,P180,'capacity data'!$E:$E,"PSO")/SUMIFS('capacity data'!$G:$G,'capacity data'!$E:$E,"PSO",'capacity data'!$B:$B,P180),"")</f>
        <v/>
      </c>
      <c r="U180" s="274" t="str">
        <f>IFERROR(SUMIFS('capacity data'!$L:$L,'capacity data'!$B:$B,P180,'capacity data'!$E:$E,"TPO")/SUMIFS('capacity data'!$G:$G,'capacity data'!$E:$E,"TPO",'capacity data'!$B:$B,P180),"")</f>
        <v/>
      </c>
    </row>
  </sheetData>
  <sheetProtection selectLockedCells="1" selectUnlockedCells="1"/>
  <autoFilter ref="A1:U180" xr:uid="{EF883D48-4E9A-4B50-B987-2356E66A4FA2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9">
    <tabColor rgb="FFE27070"/>
  </sheetPr>
  <dimension ref="A1:L4338"/>
  <sheetViews>
    <sheetView zoomScale="70" zoomScaleNormal="70" workbookViewId="0">
      <pane ySplit="1" topLeftCell="A1048517" activePane="bottomLeft" state="frozen"/>
      <selection pane="bottomLeft"/>
    </sheetView>
  </sheetViews>
  <sheetFormatPr baseColWidth="10" defaultColWidth="9.1640625" defaultRowHeight="14" x14ac:dyDescent="0.15"/>
  <cols>
    <col min="1" max="1" width="17.5" style="30" customWidth="1"/>
    <col min="2" max="2" width="26.1640625" style="30" customWidth="1"/>
    <col min="3" max="3" width="9.1640625" style="30"/>
    <col min="4" max="4" width="17.5" style="30" customWidth="1"/>
    <col min="5" max="5" width="12" style="30" customWidth="1"/>
    <col min="6" max="6" width="13.5" style="30" customWidth="1"/>
    <col min="7" max="7" width="43.5" style="30" bestFit="1" customWidth="1"/>
    <col min="8" max="11" width="9.1640625" style="30" customWidth="1"/>
    <col min="12" max="12" width="255.5" style="30" bestFit="1" customWidth="1"/>
    <col min="13" max="16384" width="9.1640625" style="5"/>
  </cols>
  <sheetData>
    <row r="1" spans="1:12" ht="30" x14ac:dyDescent="0.15">
      <c r="A1" s="29" t="s">
        <v>432</v>
      </c>
      <c r="B1" s="29" t="s">
        <v>188</v>
      </c>
      <c r="C1" s="29" t="s">
        <v>189</v>
      </c>
      <c r="D1" s="29" t="s">
        <v>190</v>
      </c>
      <c r="E1" s="29" t="s">
        <v>175</v>
      </c>
      <c r="F1" s="29" t="s">
        <v>195</v>
      </c>
      <c r="G1" s="29" t="s">
        <v>207</v>
      </c>
      <c r="H1" s="29" t="s">
        <v>208</v>
      </c>
      <c r="I1" s="29" t="s">
        <v>209</v>
      </c>
      <c r="J1" s="29" t="s">
        <v>210</v>
      </c>
      <c r="K1" s="29" t="s">
        <v>211</v>
      </c>
      <c r="L1" s="29" t="s">
        <v>212</v>
      </c>
    </row>
    <row r="2" spans="1:12" x14ac:dyDescent="0.15">
      <c r="A2" s="278"/>
      <c r="B2" s="278"/>
      <c r="C2" s="278"/>
      <c r="D2" s="278"/>
      <c r="E2" s="278"/>
      <c r="F2" s="278"/>
      <c r="G2" s="278"/>
      <c r="H2" s="278"/>
      <c r="I2" s="278"/>
      <c r="J2" s="278"/>
      <c r="K2" s="278"/>
    </row>
    <row r="3" spans="1:12" x14ac:dyDescent="0.1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</row>
    <row r="4" spans="1:12" x14ac:dyDescent="0.15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</row>
    <row r="5" spans="1:12" x14ac:dyDescent="0.15">
      <c r="A5" s="278"/>
      <c r="B5" s="278"/>
      <c r="C5" s="278"/>
      <c r="D5" s="278"/>
      <c r="E5" s="278"/>
      <c r="F5" s="278"/>
      <c r="G5" s="278"/>
      <c r="H5" s="278"/>
      <c r="I5" s="278"/>
      <c r="J5" s="278"/>
      <c r="K5" s="278"/>
    </row>
    <row r="6" spans="1:12" x14ac:dyDescent="0.15">
      <c r="A6" s="278"/>
      <c r="B6" s="278"/>
      <c r="C6" s="278"/>
      <c r="D6" s="278"/>
      <c r="E6" s="278"/>
      <c r="F6" s="278"/>
      <c r="G6" s="278"/>
      <c r="H6" s="278"/>
      <c r="I6" s="278"/>
      <c r="J6" s="278"/>
      <c r="K6" s="278"/>
    </row>
    <row r="7" spans="1:12" x14ac:dyDescent="0.15">
      <c r="A7" s="278"/>
      <c r="B7" s="278"/>
      <c r="C7" s="278"/>
      <c r="D7" s="278"/>
      <c r="E7" s="278"/>
      <c r="F7" s="278"/>
      <c r="G7" s="278"/>
      <c r="H7" s="278"/>
      <c r="I7" s="278"/>
      <c r="J7" s="278"/>
      <c r="K7" s="278"/>
    </row>
    <row r="8" spans="1:12" x14ac:dyDescent="0.15">
      <c r="A8" s="278"/>
      <c r="B8" s="278"/>
      <c r="C8" s="278"/>
      <c r="D8" s="278"/>
      <c r="E8" s="278"/>
      <c r="F8" s="278"/>
      <c r="G8" s="278"/>
      <c r="H8" s="278"/>
      <c r="I8" s="278"/>
      <c r="J8" s="278"/>
      <c r="K8" s="278"/>
    </row>
    <row r="9" spans="1:12" x14ac:dyDescent="0.15">
      <c r="A9" s="278"/>
      <c r="B9" s="278"/>
      <c r="C9" s="278"/>
      <c r="D9" s="278"/>
      <c r="E9" s="278"/>
      <c r="F9" s="278"/>
      <c r="G9" s="278"/>
      <c r="H9" s="278"/>
      <c r="I9" s="278"/>
      <c r="J9" s="278"/>
      <c r="K9" s="278"/>
    </row>
    <row r="10" spans="1:12" x14ac:dyDescent="0.15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8"/>
    </row>
    <row r="11" spans="1:12" x14ac:dyDescent="0.15">
      <c r="A11" s="278"/>
      <c r="B11" s="278"/>
      <c r="C11" s="278"/>
      <c r="D11" s="278"/>
      <c r="E11" s="278"/>
      <c r="F11" s="278"/>
      <c r="G11" s="278"/>
      <c r="H11" s="278"/>
      <c r="I11" s="278"/>
      <c r="J11" s="278"/>
      <c r="K11" s="278"/>
    </row>
    <row r="12" spans="1:12" x14ac:dyDescent="0.15">
      <c r="A12" s="278"/>
      <c r="B12" s="278"/>
      <c r="C12" s="278"/>
      <c r="D12" s="278"/>
      <c r="E12" s="278"/>
      <c r="F12" s="278"/>
      <c r="G12" s="278"/>
      <c r="H12" s="278"/>
      <c r="I12" s="278"/>
      <c r="J12" s="278"/>
      <c r="K12" s="278"/>
    </row>
    <row r="13" spans="1:12" x14ac:dyDescent="0.1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</row>
    <row r="14" spans="1:12" x14ac:dyDescent="0.15">
      <c r="A14" s="278"/>
      <c r="B14" s="278"/>
      <c r="C14" s="278"/>
      <c r="D14" s="278"/>
      <c r="E14" s="278"/>
      <c r="F14" s="278"/>
      <c r="G14" s="278"/>
      <c r="H14" s="278"/>
      <c r="I14" s="278"/>
      <c r="J14" s="278"/>
      <c r="K14" s="278"/>
    </row>
    <row r="15" spans="1:12" x14ac:dyDescent="0.15">
      <c r="A15" s="278"/>
      <c r="B15" s="278"/>
      <c r="C15" s="278"/>
      <c r="D15" s="278"/>
      <c r="E15" s="278"/>
      <c r="F15" s="278"/>
      <c r="G15" s="278"/>
      <c r="H15" s="278"/>
      <c r="I15" s="278"/>
      <c r="J15" s="278"/>
      <c r="K15" s="278"/>
    </row>
    <row r="16" spans="1:12" x14ac:dyDescent="0.15">
      <c r="A16" s="278"/>
      <c r="B16" s="278"/>
      <c r="C16" s="278"/>
      <c r="D16" s="278"/>
      <c r="E16" s="278"/>
      <c r="F16" s="278"/>
      <c r="G16" s="278"/>
      <c r="H16" s="278"/>
      <c r="I16" s="278"/>
      <c r="J16" s="278"/>
      <c r="K16" s="278"/>
    </row>
    <row r="17" spans="1:11" x14ac:dyDescent="0.15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</row>
    <row r="18" spans="1:11" x14ac:dyDescent="0.15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</row>
    <row r="19" spans="1:11" x14ac:dyDescent="0.15">
      <c r="A19" s="278"/>
      <c r="B19" s="278"/>
      <c r="C19" s="278"/>
      <c r="D19" s="278"/>
      <c r="E19" s="278"/>
      <c r="F19" s="278"/>
      <c r="G19" s="278"/>
      <c r="H19" s="278"/>
      <c r="I19" s="278"/>
      <c r="J19" s="278"/>
      <c r="K19" s="278"/>
    </row>
    <row r="20" spans="1:11" x14ac:dyDescent="0.15">
      <c r="A20" s="278"/>
      <c r="B20" s="278"/>
      <c r="C20" s="278"/>
      <c r="D20" s="278"/>
      <c r="E20" s="278"/>
      <c r="F20" s="278"/>
      <c r="G20" s="278"/>
      <c r="H20" s="278"/>
      <c r="I20" s="278"/>
      <c r="J20" s="278"/>
      <c r="K20" s="278"/>
    </row>
    <row r="21" spans="1:11" x14ac:dyDescent="0.15">
      <c r="A21" s="278"/>
      <c r="B21" s="278"/>
      <c r="C21" s="278"/>
      <c r="D21" s="278"/>
      <c r="E21" s="278"/>
      <c r="F21" s="278"/>
      <c r="G21" s="278"/>
      <c r="H21" s="278"/>
      <c r="I21" s="278"/>
      <c r="J21" s="278"/>
      <c r="K21" s="278"/>
    </row>
    <row r="22" spans="1:11" x14ac:dyDescent="0.15">
      <c r="A22" s="278"/>
      <c r="B22" s="278"/>
      <c r="C22" s="278"/>
      <c r="D22" s="278"/>
      <c r="E22" s="278"/>
      <c r="F22" s="278"/>
      <c r="G22" s="278"/>
      <c r="H22" s="278"/>
      <c r="I22" s="278"/>
      <c r="J22" s="278"/>
      <c r="K22" s="278"/>
    </row>
    <row r="23" spans="1:11" x14ac:dyDescent="0.15">
      <c r="A23" s="278"/>
      <c r="B23" s="278"/>
      <c r="C23" s="278"/>
      <c r="D23" s="278"/>
      <c r="E23" s="278"/>
      <c r="F23" s="278"/>
      <c r="G23" s="278"/>
      <c r="H23" s="278"/>
      <c r="I23" s="278"/>
      <c r="J23" s="278"/>
      <c r="K23" s="278"/>
    </row>
    <row r="24" spans="1:11" x14ac:dyDescent="0.15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278"/>
    </row>
    <row r="25" spans="1:11" x14ac:dyDescent="0.15">
      <c r="A25" s="278"/>
      <c r="B25" s="278"/>
      <c r="C25" s="278"/>
      <c r="D25" s="278"/>
      <c r="E25" s="278"/>
      <c r="F25" s="278"/>
      <c r="G25" s="278"/>
      <c r="H25" s="278"/>
      <c r="I25" s="278"/>
      <c r="J25" s="278"/>
      <c r="K25" s="278"/>
    </row>
    <row r="26" spans="1:11" x14ac:dyDescent="0.15">
      <c r="A26" s="278"/>
      <c r="B26" s="278"/>
      <c r="C26" s="278"/>
      <c r="D26" s="278"/>
      <c r="E26" s="278"/>
      <c r="F26" s="278"/>
      <c r="G26" s="278"/>
      <c r="H26" s="278"/>
      <c r="I26" s="278"/>
      <c r="J26" s="278"/>
      <c r="K26" s="278"/>
    </row>
    <row r="27" spans="1:11" x14ac:dyDescent="0.15">
      <c r="A27" s="278"/>
      <c r="B27" s="278"/>
      <c r="C27" s="278"/>
      <c r="D27" s="278"/>
      <c r="E27" s="278"/>
      <c r="F27" s="278"/>
      <c r="G27" s="278"/>
      <c r="H27" s="278"/>
      <c r="I27" s="278"/>
      <c r="J27" s="278"/>
      <c r="K27" s="278"/>
    </row>
    <row r="28" spans="1:11" x14ac:dyDescent="0.15">
      <c r="A28" s="278"/>
      <c r="B28" s="278"/>
      <c r="C28" s="278"/>
      <c r="D28" s="278"/>
      <c r="E28" s="278"/>
      <c r="F28" s="278"/>
      <c r="G28" s="278"/>
      <c r="H28" s="278"/>
      <c r="I28" s="278"/>
      <c r="J28" s="278"/>
      <c r="K28" s="278"/>
    </row>
    <row r="29" spans="1:11" x14ac:dyDescent="0.15">
      <c r="A29" s="278"/>
      <c r="B29" s="278"/>
      <c r="C29" s="278"/>
      <c r="D29" s="278"/>
      <c r="E29" s="278"/>
      <c r="F29" s="278"/>
      <c r="G29" s="278"/>
      <c r="H29" s="278"/>
      <c r="I29" s="278"/>
      <c r="J29" s="278"/>
      <c r="K29" s="278"/>
    </row>
    <row r="30" spans="1:11" x14ac:dyDescent="0.15">
      <c r="A30" s="278"/>
      <c r="B30" s="278"/>
      <c r="C30" s="278"/>
      <c r="D30" s="278"/>
      <c r="E30" s="278"/>
      <c r="F30" s="278"/>
      <c r="G30" s="278"/>
      <c r="H30" s="278"/>
      <c r="I30" s="278"/>
      <c r="J30" s="278"/>
      <c r="K30" s="278"/>
    </row>
    <row r="31" spans="1:11" x14ac:dyDescent="0.15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</row>
    <row r="32" spans="1:11" x14ac:dyDescent="0.15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</row>
    <row r="33" spans="1:11" x14ac:dyDescent="0.15">
      <c r="A33" s="278"/>
      <c r="B33" s="278"/>
      <c r="C33" s="278"/>
      <c r="D33" s="278"/>
      <c r="E33" s="278"/>
      <c r="F33" s="278"/>
      <c r="G33" s="278"/>
      <c r="H33" s="278"/>
      <c r="I33" s="278"/>
      <c r="J33" s="278"/>
      <c r="K33" s="278"/>
    </row>
    <row r="34" spans="1:11" x14ac:dyDescent="0.15">
      <c r="A34" s="278"/>
      <c r="B34" s="278"/>
      <c r="C34" s="278"/>
      <c r="D34" s="278"/>
      <c r="E34" s="278"/>
      <c r="F34" s="278"/>
      <c r="G34" s="278"/>
      <c r="H34" s="278"/>
      <c r="I34" s="278"/>
      <c r="J34" s="278"/>
      <c r="K34" s="278"/>
    </row>
    <row r="35" spans="1:11" x14ac:dyDescent="0.15">
      <c r="A35" s="278"/>
      <c r="B35" s="278"/>
      <c r="C35" s="278"/>
      <c r="D35" s="278"/>
      <c r="E35" s="278"/>
      <c r="F35" s="278"/>
      <c r="G35" s="278"/>
      <c r="H35" s="278"/>
      <c r="I35" s="278"/>
      <c r="J35" s="278"/>
      <c r="K35" s="278"/>
    </row>
    <row r="36" spans="1:11" x14ac:dyDescent="0.15">
      <c r="A36" s="278"/>
      <c r="B36" s="278"/>
      <c r="C36" s="278"/>
      <c r="D36" s="278"/>
      <c r="E36" s="278"/>
      <c r="F36" s="278"/>
      <c r="G36" s="278"/>
      <c r="H36" s="278"/>
      <c r="I36" s="278"/>
      <c r="J36" s="278"/>
      <c r="K36" s="278"/>
    </row>
    <row r="37" spans="1:11" x14ac:dyDescent="0.15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278"/>
    </row>
    <row r="38" spans="1:11" x14ac:dyDescent="0.15">
      <c r="A38" s="278"/>
      <c r="B38" s="278"/>
      <c r="C38" s="278"/>
      <c r="D38" s="278"/>
      <c r="E38" s="278"/>
      <c r="F38" s="278"/>
      <c r="G38" s="278"/>
      <c r="H38" s="278"/>
      <c r="I38" s="278"/>
      <c r="J38" s="278"/>
      <c r="K38" s="278"/>
    </row>
    <row r="39" spans="1:11" x14ac:dyDescent="0.15">
      <c r="A39" s="278"/>
      <c r="B39" s="278"/>
      <c r="C39" s="278"/>
      <c r="D39" s="278"/>
      <c r="E39" s="278"/>
      <c r="F39" s="278"/>
      <c r="G39" s="278"/>
      <c r="H39" s="278"/>
      <c r="I39" s="278"/>
      <c r="J39" s="278"/>
      <c r="K39" s="278"/>
    </row>
    <row r="40" spans="1:11" x14ac:dyDescent="0.15">
      <c r="A40" s="278"/>
      <c r="B40" s="278"/>
      <c r="C40" s="278"/>
      <c r="D40" s="278"/>
      <c r="E40" s="278"/>
      <c r="F40" s="278"/>
      <c r="G40" s="278"/>
      <c r="H40" s="278"/>
      <c r="I40" s="278"/>
      <c r="J40" s="278"/>
      <c r="K40" s="278"/>
    </row>
    <row r="41" spans="1:11" x14ac:dyDescent="0.15">
      <c r="A41" s="278"/>
      <c r="B41" s="278"/>
      <c r="C41" s="278"/>
      <c r="D41" s="278"/>
      <c r="E41" s="278"/>
      <c r="F41" s="278"/>
      <c r="G41" s="278"/>
      <c r="H41" s="278"/>
      <c r="I41" s="278"/>
      <c r="J41" s="278"/>
      <c r="K41" s="278"/>
    </row>
    <row r="42" spans="1:11" x14ac:dyDescent="0.15">
      <c r="A42" s="278"/>
      <c r="B42" s="278"/>
      <c r="C42" s="278"/>
      <c r="D42" s="278"/>
      <c r="E42" s="278"/>
      <c r="F42" s="278"/>
      <c r="G42" s="278"/>
      <c r="H42" s="278"/>
      <c r="I42" s="278"/>
      <c r="J42" s="278"/>
      <c r="K42" s="278"/>
    </row>
    <row r="43" spans="1:11" x14ac:dyDescent="0.15">
      <c r="A43" s="278"/>
      <c r="B43" s="278"/>
      <c r="C43" s="278"/>
      <c r="D43" s="278"/>
      <c r="E43" s="278"/>
      <c r="F43" s="278"/>
      <c r="G43" s="278"/>
      <c r="H43" s="278"/>
      <c r="I43" s="278"/>
      <c r="J43" s="278"/>
      <c r="K43" s="278"/>
    </row>
    <row r="44" spans="1:11" x14ac:dyDescent="0.15">
      <c r="A44" s="278"/>
      <c r="B44" s="278"/>
      <c r="C44" s="278"/>
      <c r="D44" s="278"/>
      <c r="E44" s="278"/>
      <c r="F44" s="278"/>
      <c r="G44" s="278"/>
      <c r="H44" s="278"/>
      <c r="I44" s="278"/>
      <c r="J44" s="278"/>
      <c r="K44" s="278"/>
    </row>
    <row r="45" spans="1:11" x14ac:dyDescent="0.15">
      <c r="A45" s="278"/>
      <c r="B45" s="278"/>
      <c r="C45" s="278"/>
      <c r="D45" s="278"/>
      <c r="E45" s="278"/>
      <c r="F45" s="278"/>
      <c r="G45" s="278"/>
      <c r="H45" s="278"/>
      <c r="I45" s="278"/>
      <c r="J45" s="278"/>
      <c r="K45" s="278"/>
    </row>
    <row r="46" spans="1:11" x14ac:dyDescent="0.15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278"/>
    </row>
    <row r="47" spans="1:11" x14ac:dyDescent="0.15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278"/>
    </row>
    <row r="48" spans="1:11" x14ac:dyDescent="0.15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278"/>
    </row>
    <row r="49" spans="1:11" x14ac:dyDescent="0.15">
      <c r="A49" s="278"/>
      <c r="B49" s="278"/>
      <c r="C49" s="278"/>
      <c r="D49" s="278"/>
      <c r="E49" s="278"/>
      <c r="F49" s="278"/>
      <c r="G49" s="278"/>
      <c r="H49" s="278"/>
      <c r="I49" s="278"/>
      <c r="J49" s="278"/>
      <c r="K49" s="278"/>
    </row>
    <row r="50" spans="1:11" x14ac:dyDescent="0.15">
      <c r="A50" s="278"/>
      <c r="B50" s="278"/>
      <c r="C50" s="278"/>
      <c r="D50" s="278"/>
      <c r="E50" s="278"/>
      <c r="F50" s="278"/>
      <c r="G50" s="278"/>
      <c r="H50" s="278"/>
      <c r="I50" s="278"/>
      <c r="J50" s="278"/>
      <c r="K50" s="278"/>
    </row>
    <row r="51" spans="1:11" x14ac:dyDescent="0.1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</row>
    <row r="52" spans="1:11" x14ac:dyDescent="0.15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</row>
    <row r="53" spans="1:11" x14ac:dyDescent="0.15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</row>
    <row r="54" spans="1:11" x14ac:dyDescent="0.15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</row>
    <row r="55" spans="1:11" x14ac:dyDescent="0.15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</row>
    <row r="56" spans="1:11" x14ac:dyDescent="0.15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</row>
    <row r="57" spans="1:11" x14ac:dyDescent="0.15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</row>
    <row r="58" spans="1:11" x14ac:dyDescent="0.15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</row>
    <row r="59" spans="1:11" x14ac:dyDescent="0.15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</row>
    <row r="60" spans="1:11" x14ac:dyDescent="0.15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</row>
    <row r="61" spans="1:11" x14ac:dyDescent="0.15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</row>
    <row r="62" spans="1:11" x14ac:dyDescent="0.15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</row>
    <row r="63" spans="1:11" x14ac:dyDescent="0.15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</row>
    <row r="64" spans="1:11" x14ac:dyDescent="0.15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</row>
    <row r="65" spans="1:11" x14ac:dyDescent="0.15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</row>
    <row r="66" spans="1:11" x14ac:dyDescent="0.15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</row>
    <row r="67" spans="1:11" x14ac:dyDescent="0.15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</row>
    <row r="68" spans="1:11" x14ac:dyDescent="0.15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</row>
    <row r="69" spans="1:11" x14ac:dyDescent="0.15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</row>
    <row r="70" spans="1:11" x14ac:dyDescent="0.15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</row>
    <row r="71" spans="1:11" x14ac:dyDescent="0.15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</row>
    <row r="72" spans="1:11" x14ac:dyDescent="0.15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</row>
    <row r="73" spans="1:11" x14ac:dyDescent="0.15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</row>
    <row r="74" spans="1:11" x14ac:dyDescent="0.15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</row>
    <row r="75" spans="1:11" x14ac:dyDescent="0.15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</row>
    <row r="76" spans="1:11" x14ac:dyDescent="0.15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</row>
    <row r="77" spans="1:11" x14ac:dyDescent="0.15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</row>
    <row r="78" spans="1:11" x14ac:dyDescent="0.15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</row>
    <row r="79" spans="1:11" x14ac:dyDescent="0.15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</row>
    <row r="80" spans="1:11" x14ac:dyDescent="0.15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</row>
    <row r="81" spans="1:11" x14ac:dyDescent="0.15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</row>
    <row r="82" spans="1:11" x14ac:dyDescent="0.15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</row>
    <row r="83" spans="1:11" x14ac:dyDescent="0.15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</row>
    <row r="84" spans="1:11" x14ac:dyDescent="0.15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</row>
    <row r="85" spans="1:11" x14ac:dyDescent="0.15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</row>
    <row r="86" spans="1:11" x14ac:dyDescent="0.15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</row>
    <row r="87" spans="1:11" x14ac:dyDescent="0.15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</row>
    <row r="88" spans="1:11" x14ac:dyDescent="0.15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</row>
    <row r="89" spans="1:11" x14ac:dyDescent="0.15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</row>
    <row r="90" spans="1:11" x14ac:dyDescent="0.15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</row>
    <row r="91" spans="1:11" x14ac:dyDescent="0.15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</row>
    <row r="92" spans="1:11" x14ac:dyDescent="0.15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</row>
    <row r="93" spans="1:11" x14ac:dyDescent="0.15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</row>
    <row r="94" spans="1:11" x14ac:dyDescent="0.15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</row>
    <row r="95" spans="1:11" x14ac:dyDescent="0.15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</row>
    <row r="96" spans="1:11" x14ac:dyDescent="0.15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</row>
    <row r="97" spans="1:11" x14ac:dyDescent="0.15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</row>
    <row r="98" spans="1:11" x14ac:dyDescent="0.15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</row>
    <row r="99" spans="1:11" x14ac:dyDescent="0.15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</row>
    <row r="100" spans="1:11" x14ac:dyDescent="0.15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</row>
    <row r="101" spans="1:11" x14ac:dyDescent="0.15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</row>
    <row r="102" spans="1:11" x14ac:dyDescent="0.15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</row>
    <row r="103" spans="1:11" x14ac:dyDescent="0.15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</row>
    <row r="104" spans="1:11" x14ac:dyDescent="0.15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</row>
    <row r="105" spans="1:11" x14ac:dyDescent="0.15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</row>
    <row r="106" spans="1:11" x14ac:dyDescent="0.15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</row>
    <row r="107" spans="1:11" x14ac:dyDescent="0.15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</row>
    <row r="108" spans="1:11" x14ac:dyDescent="0.15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</row>
    <row r="109" spans="1:11" x14ac:dyDescent="0.15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</row>
    <row r="110" spans="1:11" x14ac:dyDescent="0.15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</row>
    <row r="111" spans="1:11" x14ac:dyDescent="0.15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</row>
    <row r="112" spans="1:11" x14ac:dyDescent="0.15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</row>
    <row r="113" spans="1:11" x14ac:dyDescent="0.15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</row>
    <row r="114" spans="1:11" x14ac:dyDescent="0.15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</row>
    <row r="115" spans="1:11" x14ac:dyDescent="0.15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</row>
    <row r="116" spans="1:11" x14ac:dyDescent="0.15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</row>
    <row r="117" spans="1:11" x14ac:dyDescent="0.15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</row>
    <row r="118" spans="1:11" x14ac:dyDescent="0.15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</row>
    <row r="119" spans="1:11" x14ac:dyDescent="0.15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</row>
    <row r="120" spans="1:11" x14ac:dyDescent="0.15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</row>
    <row r="121" spans="1:11" x14ac:dyDescent="0.15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</row>
    <row r="122" spans="1:11" x14ac:dyDescent="0.15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</row>
    <row r="123" spans="1:11" x14ac:dyDescent="0.15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</row>
    <row r="124" spans="1:11" x14ac:dyDescent="0.15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</row>
    <row r="125" spans="1:11" x14ac:dyDescent="0.15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</row>
    <row r="126" spans="1:11" x14ac:dyDescent="0.15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</row>
    <row r="127" spans="1:11" x14ac:dyDescent="0.15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</row>
    <row r="128" spans="1:11" x14ac:dyDescent="0.15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</row>
    <row r="129" spans="1:11" x14ac:dyDescent="0.15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</row>
    <row r="130" spans="1:11" x14ac:dyDescent="0.15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</row>
    <row r="131" spans="1:11" x14ac:dyDescent="0.15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</row>
    <row r="132" spans="1:11" x14ac:dyDescent="0.15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</row>
    <row r="133" spans="1:11" x14ac:dyDescent="0.15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</row>
    <row r="134" spans="1:11" x14ac:dyDescent="0.15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</row>
    <row r="135" spans="1:11" x14ac:dyDescent="0.15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</row>
    <row r="136" spans="1:11" x14ac:dyDescent="0.15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</row>
    <row r="137" spans="1:11" x14ac:dyDescent="0.15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</row>
    <row r="138" spans="1:11" x14ac:dyDescent="0.15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</row>
    <row r="139" spans="1:11" x14ac:dyDescent="0.15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</row>
    <row r="140" spans="1:11" x14ac:dyDescent="0.15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</row>
    <row r="141" spans="1:11" x14ac:dyDescent="0.15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</row>
    <row r="142" spans="1:11" x14ac:dyDescent="0.15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</row>
    <row r="143" spans="1:11" x14ac:dyDescent="0.15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</row>
    <row r="144" spans="1:11" x14ac:dyDescent="0.15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</row>
    <row r="145" spans="1:11" x14ac:dyDescent="0.15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</row>
    <row r="146" spans="1:11" x14ac:dyDescent="0.15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</row>
    <row r="147" spans="1:11" x14ac:dyDescent="0.15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</row>
    <row r="148" spans="1:11" x14ac:dyDescent="0.15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</row>
    <row r="149" spans="1:11" x14ac:dyDescent="0.15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</row>
    <row r="150" spans="1:11" x14ac:dyDescent="0.15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</row>
    <row r="151" spans="1:11" x14ac:dyDescent="0.15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</row>
    <row r="152" spans="1:11" x14ac:dyDescent="0.15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</row>
    <row r="153" spans="1:11" x14ac:dyDescent="0.15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</row>
    <row r="154" spans="1:11" x14ac:dyDescent="0.15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</row>
    <row r="155" spans="1:11" x14ac:dyDescent="0.15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</row>
    <row r="156" spans="1:11" x14ac:dyDescent="0.15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</row>
    <row r="157" spans="1:11" x14ac:dyDescent="0.15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</row>
    <row r="158" spans="1:11" x14ac:dyDescent="0.15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</row>
    <row r="159" spans="1:11" x14ac:dyDescent="0.15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</row>
    <row r="160" spans="1:11" x14ac:dyDescent="0.15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</row>
    <row r="161" spans="1:11" x14ac:dyDescent="0.15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</row>
    <row r="162" spans="1:11" x14ac:dyDescent="0.15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</row>
    <row r="163" spans="1:11" x14ac:dyDescent="0.15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</row>
    <row r="164" spans="1:11" x14ac:dyDescent="0.15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</row>
    <row r="165" spans="1:11" x14ac:dyDescent="0.15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</row>
    <row r="166" spans="1:11" x14ac:dyDescent="0.15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</row>
    <row r="167" spans="1:11" x14ac:dyDescent="0.15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</row>
    <row r="168" spans="1:11" x14ac:dyDescent="0.15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</row>
    <row r="169" spans="1:11" x14ac:dyDescent="0.15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</row>
    <row r="170" spans="1:11" x14ac:dyDescent="0.15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</row>
    <row r="171" spans="1:11" x14ac:dyDescent="0.15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</row>
    <row r="172" spans="1:11" x14ac:dyDescent="0.15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</row>
    <row r="173" spans="1:11" x14ac:dyDescent="0.15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</row>
    <row r="174" spans="1:11" x14ac:dyDescent="0.15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</row>
    <row r="175" spans="1:11" x14ac:dyDescent="0.15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</row>
    <row r="176" spans="1:11" x14ac:dyDescent="0.15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</row>
    <row r="177" spans="1:11" x14ac:dyDescent="0.15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</row>
    <row r="178" spans="1:11" x14ac:dyDescent="0.15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</row>
    <row r="179" spans="1:11" x14ac:dyDescent="0.15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</row>
    <row r="180" spans="1:11" x14ac:dyDescent="0.15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</row>
    <row r="181" spans="1:11" x14ac:dyDescent="0.15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</row>
    <row r="182" spans="1:11" x14ac:dyDescent="0.15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</row>
    <row r="183" spans="1:11" x14ac:dyDescent="0.15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</row>
    <row r="184" spans="1:11" x14ac:dyDescent="0.15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</row>
    <row r="185" spans="1:11" x14ac:dyDescent="0.15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</row>
    <row r="186" spans="1:11" x14ac:dyDescent="0.15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</row>
    <row r="187" spans="1:11" x14ac:dyDescent="0.15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</row>
    <row r="188" spans="1:11" x14ac:dyDescent="0.15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</row>
    <row r="189" spans="1:11" x14ac:dyDescent="0.15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</row>
    <row r="190" spans="1:11" x14ac:dyDescent="0.15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</row>
    <row r="191" spans="1:11" x14ac:dyDescent="0.15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</row>
    <row r="192" spans="1:11" x14ac:dyDescent="0.15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</row>
    <row r="193" spans="1:11" x14ac:dyDescent="0.15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</row>
    <row r="194" spans="1:11" x14ac:dyDescent="0.15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</row>
    <row r="195" spans="1:11" x14ac:dyDescent="0.15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</row>
    <row r="196" spans="1:11" x14ac:dyDescent="0.15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</row>
    <row r="197" spans="1:11" x14ac:dyDescent="0.15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</row>
    <row r="198" spans="1:11" x14ac:dyDescent="0.15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</row>
    <row r="199" spans="1:11" x14ac:dyDescent="0.15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</row>
    <row r="200" spans="1:11" x14ac:dyDescent="0.15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</row>
    <row r="201" spans="1:11" x14ac:dyDescent="0.15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</row>
    <row r="202" spans="1:11" x14ac:dyDescent="0.15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</row>
    <row r="203" spans="1:11" x14ac:dyDescent="0.15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</row>
    <row r="204" spans="1:11" x14ac:dyDescent="0.15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</row>
    <row r="205" spans="1:11" x14ac:dyDescent="0.15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</row>
    <row r="206" spans="1:11" x14ac:dyDescent="0.15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</row>
    <row r="207" spans="1:11" x14ac:dyDescent="0.15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</row>
    <row r="208" spans="1:11" x14ac:dyDescent="0.15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</row>
    <row r="209" spans="1:11" x14ac:dyDescent="0.15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</row>
    <row r="210" spans="1:11" x14ac:dyDescent="0.15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</row>
    <row r="211" spans="1:11" x14ac:dyDescent="0.15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</row>
    <row r="212" spans="1:11" x14ac:dyDescent="0.15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</row>
    <row r="213" spans="1:11" x14ac:dyDescent="0.15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</row>
    <row r="214" spans="1:11" x14ac:dyDescent="0.15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</row>
    <row r="215" spans="1:11" x14ac:dyDescent="0.15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</row>
    <row r="216" spans="1:11" x14ac:dyDescent="0.15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</row>
    <row r="217" spans="1:11" x14ac:dyDescent="0.15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</row>
    <row r="218" spans="1:11" x14ac:dyDescent="0.15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</row>
    <row r="219" spans="1:11" x14ac:dyDescent="0.15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</row>
    <row r="220" spans="1:11" x14ac:dyDescent="0.15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</row>
    <row r="221" spans="1:11" x14ac:dyDescent="0.15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</row>
    <row r="222" spans="1:11" x14ac:dyDescent="0.15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</row>
    <row r="223" spans="1:11" x14ac:dyDescent="0.15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</row>
    <row r="224" spans="1:11" x14ac:dyDescent="0.15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</row>
    <row r="225" spans="1:11" x14ac:dyDescent="0.15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</row>
    <row r="226" spans="1:11" x14ac:dyDescent="0.15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</row>
    <row r="227" spans="1:11" x14ac:dyDescent="0.15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</row>
    <row r="228" spans="1:11" x14ac:dyDescent="0.15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</row>
    <row r="229" spans="1:11" x14ac:dyDescent="0.15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</row>
    <row r="230" spans="1:11" x14ac:dyDescent="0.15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</row>
    <row r="231" spans="1:11" x14ac:dyDescent="0.15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</row>
    <row r="232" spans="1:11" x14ac:dyDescent="0.15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</row>
    <row r="233" spans="1:11" x14ac:dyDescent="0.15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</row>
    <row r="234" spans="1:11" x14ac:dyDescent="0.15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</row>
    <row r="235" spans="1:11" x14ac:dyDescent="0.15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</row>
    <row r="236" spans="1:11" x14ac:dyDescent="0.15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</row>
    <row r="237" spans="1:11" x14ac:dyDescent="0.15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</row>
    <row r="238" spans="1:11" x14ac:dyDescent="0.15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</row>
    <row r="239" spans="1:11" x14ac:dyDescent="0.15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</row>
    <row r="240" spans="1:11" x14ac:dyDescent="0.15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</row>
    <row r="241" spans="1:11" x14ac:dyDescent="0.15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</row>
    <row r="242" spans="1:11" x14ac:dyDescent="0.15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</row>
    <row r="243" spans="1:11" x14ac:dyDescent="0.15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</row>
    <row r="244" spans="1:11" x14ac:dyDescent="0.15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</row>
    <row r="245" spans="1:11" x14ac:dyDescent="0.15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</row>
    <row r="246" spans="1:11" x14ac:dyDescent="0.15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</row>
    <row r="247" spans="1:11" x14ac:dyDescent="0.15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</row>
    <row r="248" spans="1:11" x14ac:dyDescent="0.15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</row>
    <row r="249" spans="1:11" x14ac:dyDescent="0.15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</row>
    <row r="250" spans="1:11" x14ac:dyDescent="0.15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</row>
    <row r="251" spans="1:11" x14ac:dyDescent="0.15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</row>
    <row r="252" spans="1:11" x14ac:dyDescent="0.15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</row>
    <row r="253" spans="1:11" x14ac:dyDescent="0.15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</row>
    <row r="254" spans="1:11" x14ac:dyDescent="0.15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</row>
    <row r="255" spans="1:11" x14ac:dyDescent="0.15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</row>
    <row r="256" spans="1:11" x14ac:dyDescent="0.15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</row>
    <row r="257" spans="1:11" x14ac:dyDescent="0.15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</row>
    <row r="258" spans="1:11" x14ac:dyDescent="0.15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</row>
    <row r="259" spans="1:11" x14ac:dyDescent="0.15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</row>
    <row r="260" spans="1:11" x14ac:dyDescent="0.15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</row>
    <row r="261" spans="1:11" x14ac:dyDescent="0.15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</row>
    <row r="262" spans="1:11" x14ac:dyDescent="0.15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</row>
    <row r="263" spans="1:11" x14ac:dyDescent="0.15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</row>
    <row r="264" spans="1:11" x14ac:dyDescent="0.15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</row>
    <row r="265" spans="1:11" x14ac:dyDescent="0.15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</row>
    <row r="266" spans="1:11" x14ac:dyDescent="0.15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</row>
    <row r="267" spans="1:11" x14ac:dyDescent="0.15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</row>
    <row r="268" spans="1:11" x14ac:dyDescent="0.15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</row>
    <row r="269" spans="1:11" x14ac:dyDescent="0.15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</row>
    <row r="270" spans="1:11" x14ac:dyDescent="0.15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</row>
    <row r="271" spans="1:11" x14ac:dyDescent="0.15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</row>
    <row r="272" spans="1:11" x14ac:dyDescent="0.15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</row>
    <row r="273" spans="1:11" x14ac:dyDescent="0.15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</row>
    <row r="274" spans="1:11" x14ac:dyDescent="0.15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</row>
    <row r="275" spans="1:11" x14ac:dyDescent="0.15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</row>
    <row r="276" spans="1:11" x14ac:dyDescent="0.15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</row>
    <row r="277" spans="1:11" x14ac:dyDescent="0.15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</row>
    <row r="278" spans="1:11" x14ac:dyDescent="0.15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</row>
    <row r="279" spans="1:11" x14ac:dyDescent="0.15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</row>
    <row r="280" spans="1:11" x14ac:dyDescent="0.15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</row>
    <row r="281" spans="1:11" x14ac:dyDescent="0.15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</row>
    <row r="282" spans="1:11" x14ac:dyDescent="0.15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</row>
    <row r="283" spans="1:11" x14ac:dyDescent="0.15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</row>
    <row r="284" spans="1:11" x14ac:dyDescent="0.15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</row>
    <row r="285" spans="1:11" x14ac:dyDescent="0.15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</row>
    <row r="286" spans="1:11" x14ac:dyDescent="0.15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</row>
    <row r="287" spans="1:11" x14ac:dyDescent="0.15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</row>
    <row r="288" spans="1:11" x14ac:dyDescent="0.15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</row>
    <row r="289" spans="1:11" x14ac:dyDescent="0.15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</row>
    <row r="290" spans="1:11" x14ac:dyDescent="0.15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</row>
    <row r="291" spans="1:11" x14ac:dyDescent="0.15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</row>
    <row r="292" spans="1:11" x14ac:dyDescent="0.15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</row>
    <row r="293" spans="1:11" x14ac:dyDescent="0.15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</row>
    <row r="294" spans="1:11" x14ac:dyDescent="0.15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</row>
    <row r="295" spans="1:11" x14ac:dyDescent="0.15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</row>
    <row r="296" spans="1:11" x14ac:dyDescent="0.15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</row>
    <row r="297" spans="1:11" x14ac:dyDescent="0.15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</row>
    <row r="298" spans="1:11" x14ac:dyDescent="0.15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</row>
    <row r="299" spans="1:11" x14ac:dyDescent="0.15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</row>
    <row r="300" spans="1:11" x14ac:dyDescent="0.15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</row>
    <row r="301" spans="1:11" x14ac:dyDescent="0.15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</row>
    <row r="302" spans="1:11" x14ac:dyDescent="0.15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</row>
    <row r="303" spans="1:11" x14ac:dyDescent="0.15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</row>
    <row r="304" spans="1:11" x14ac:dyDescent="0.15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</row>
    <row r="305" spans="1:11" x14ac:dyDescent="0.15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</row>
    <row r="306" spans="1:11" x14ac:dyDescent="0.15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</row>
    <row r="307" spans="1:11" x14ac:dyDescent="0.15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</row>
    <row r="308" spans="1:11" x14ac:dyDescent="0.15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</row>
    <row r="309" spans="1:11" x14ac:dyDescent="0.15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</row>
    <row r="310" spans="1:11" x14ac:dyDescent="0.15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</row>
    <row r="311" spans="1:11" x14ac:dyDescent="0.15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</row>
    <row r="312" spans="1:11" x14ac:dyDescent="0.15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</row>
    <row r="313" spans="1:11" x14ac:dyDescent="0.15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</row>
    <row r="314" spans="1:11" x14ac:dyDescent="0.15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</row>
    <row r="315" spans="1:11" x14ac:dyDescent="0.15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</row>
    <row r="316" spans="1:11" x14ac:dyDescent="0.15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</row>
    <row r="317" spans="1:11" x14ac:dyDescent="0.15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</row>
    <row r="318" spans="1:11" x14ac:dyDescent="0.15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</row>
    <row r="319" spans="1:11" x14ac:dyDescent="0.15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</row>
    <row r="320" spans="1:11" x14ac:dyDescent="0.15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</row>
    <row r="321" spans="1:11" x14ac:dyDescent="0.15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</row>
    <row r="322" spans="1:11" x14ac:dyDescent="0.15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</row>
    <row r="323" spans="1:11" x14ac:dyDescent="0.15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</row>
    <row r="324" spans="1:11" x14ac:dyDescent="0.15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</row>
    <row r="325" spans="1:11" x14ac:dyDescent="0.15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</row>
    <row r="326" spans="1:11" x14ac:dyDescent="0.15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</row>
    <row r="327" spans="1:11" x14ac:dyDescent="0.15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</row>
    <row r="328" spans="1:11" x14ac:dyDescent="0.15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</row>
    <row r="329" spans="1:11" x14ac:dyDescent="0.15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</row>
    <row r="330" spans="1:11" x14ac:dyDescent="0.15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</row>
    <row r="331" spans="1:11" x14ac:dyDescent="0.15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</row>
    <row r="332" spans="1:11" x14ac:dyDescent="0.15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</row>
    <row r="333" spans="1:11" x14ac:dyDescent="0.15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</row>
    <row r="334" spans="1:11" x14ac:dyDescent="0.15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</row>
    <row r="335" spans="1:11" x14ac:dyDescent="0.15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</row>
    <row r="336" spans="1:11" x14ac:dyDescent="0.15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</row>
    <row r="337" spans="1:11" x14ac:dyDescent="0.15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</row>
    <row r="338" spans="1:11" x14ac:dyDescent="0.15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</row>
    <row r="339" spans="1:11" x14ac:dyDescent="0.15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</row>
    <row r="340" spans="1:11" x14ac:dyDescent="0.15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</row>
    <row r="341" spans="1:11" x14ac:dyDescent="0.15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</row>
    <row r="342" spans="1:11" x14ac:dyDescent="0.15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</row>
    <row r="343" spans="1:11" x14ac:dyDescent="0.15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</row>
    <row r="344" spans="1:11" x14ac:dyDescent="0.15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</row>
    <row r="345" spans="1:11" x14ac:dyDescent="0.15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</row>
    <row r="346" spans="1:11" x14ac:dyDescent="0.15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</row>
    <row r="347" spans="1:11" x14ac:dyDescent="0.15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</row>
    <row r="348" spans="1:11" x14ac:dyDescent="0.15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</row>
    <row r="349" spans="1:11" x14ac:dyDescent="0.15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</row>
    <row r="350" spans="1:11" x14ac:dyDescent="0.15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</row>
    <row r="351" spans="1:11" x14ac:dyDescent="0.15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</row>
    <row r="352" spans="1:11" x14ac:dyDescent="0.15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</row>
    <row r="353" spans="1:11" x14ac:dyDescent="0.15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</row>
    <row r="354" spans="1:11" x14ac:dyDescent="0.15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</row>
    <row r="355" spans="1:11" x14ac:dyDescent="0.15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</row>
    <row r="356" spans="1:11" x14ac:dyDescent="0.15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</row>
    <row r="357" spans="1:11" x14ac:dyDescent="0.15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</row>
    <row r="358" spans="1:11" x14ac:dyDescent="0.15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</row>
    <row r="359" spans="1:11" x14ac:dyDescent="0.15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</row>
    <row r="360" spans="1:11" x14ac:dyDescent="0.15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</row>
    <row r="361" spans="1:11" x14ac:dyDescent="0.15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</row>
    <row r="362" spans="1:11" x14ac:dyDescent="0.15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</row>
    <row r="363" spans="1:11" x14ac:dyDescent="0.15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</row>
    <row r="364" spans="1:11" x14ac:dyDescent="0.15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</row>
    <row r="365" spans="1:11" x14ac:dyDescent="0.15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</row>
    <row r="366" spans="1:11" x14ac:dyDescent="0.15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</row>
    <row r="367" spans="1:11" x14ac:dyDescent="0.15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</row>
    <row r="368" spans="1:11" x14ac:dyDescent="0.15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</row>
    <row r="369" spans="1:11" x14ac:dyDescent="0.15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</row>
    <row r="370" spans="1:11" x14ac:dyDescent="0.15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</row>
    <row r="371" spans="1:11" x14ac:dyDescent="0.15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</row>
    <row r="372" spans="1:11" x14ac:dyDescent="0.15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</row>
    <row r="373" spans="1:11" x14ac:dyDescent="0.15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</row>
    <row r="374" spans="1:11" x14ac:dyDescent="0.15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</row>
    <row r="375" spans="1:11" x14ac:dyDescent="0.15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</row>
    <row r="376" spans="1:11" x14ac:dyDescent="0.15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</row>
    <row r="377" spans="1:11" x14ac:dyDescent="0.15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</row>
    <row r="378" spans="1:11" x14ac:dyDescent="0.15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</row>
    <row r="379" spans="1:11" x14ac:dyDescent="0.15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</row>
    <row r="380" spans="1:11" x14ac:dyDescent="0.15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</row>
    <row r="381" spans="1:11" x14ac:dyDescent="0.15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</row>
    <row r="382" spans="1:11" x14ac:dyDescent="0.15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</row>
    <row r="383" spans="1:11" x14ac:dyDescent="0.15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</row>
    <row r="384" spans="1:11" x14ac:dyDescent="0.15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</row>
    <row r="385" spans="1:11" x14ac:dyDescent="0.15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</row>
    <row r="386" spans="1:11" x14ac:dyDescent="0.15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</row>
    <row r="387" spans="1:11" x14ac:dyDescent="0.15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</row>
    <row r="388" spans="1:11" x14ac:dyDescent="0.15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</row>
    <row r="389" spans="1:11" x14ac:dyDescent="0.15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</row>
    <row r="390" spans="1:11" x14ac:dyDescent="0.15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</row>
    <row r="391" spans="1:11" x14ac:dyDescent="0.15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</row>
    <row r="392" spans="1:11" x14ac:dyDescent="0.15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</row>
    <row r="393" spans="1:11" x14ac:dyDescent="0.15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</row>
    <row r="394" spans="1:11" x14ac:dyDescent="0.15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</row>
    <row r="395" spans="1:11" x14ac:dyDescent="0.15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</row>
    <row r="396" spans="1:11" x14ac:dyDescent="0.15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</row>
    <row r="397" spans="1:11" x14ac:dyDescent="0.15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</row>
    <row r="398" spans="1:11" x14ac:dyDescent="0.15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</row>
    <row r="399" spans="1:11" x14ac:dyDescent="0.15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</row>
    <row r="400" spans="1:11" x14ac:dyDescent="0.15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</row>
    <row r="401" spans="1:11" x14ac:dyDescent="0.15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</row>
    <row r="402" spans="1:11" x14ac:dyDescent="0.15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</row>
    <row r="403" spans="1:11" x14ac:dyDescent="0.15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</row>
    <row r="404" spans="1:11" x14ac:dyDescent="0.15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</row>
    <row r="405" spans="1:11" x14ac:dyDescent="0.15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</row>
    <row r="406" spans="1:11" x14ac:dyDescent="0.15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</row>
    <row r="407" spans="1:11" x14ac:dyDescent="0.15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</row>
    <row r="408" spans="1:11" x14ac:dyDescent="0.15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</row>
    <row r="409" spans="1:11" x14ac:dyDescent="0.15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</row>
    <row r="410" spans="1:11" x14ac:dyDescent="0.15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</row>
    <row r="411" spans="1:11" x14ac:dyDescent="0.15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</row>
    <row r="412" spans="1:11" x14ac:dyDescent="0.15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</row>
    <row r="413" spans="1:11" x14ac:dyDescent="0.15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</row>
    <row r="414" spans="1:11" x14ac:dyDescent="0.15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</row>
    <row r="415" spans="1:11" x14ac:dyDescent="0.15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</row>
    <row r="416" spans="1:11" x14ac:dyDescent="0.15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</row>
    <row r="417" spans="1:11" x14ac:dyDescent="0.15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</row>
    <row r="418" spans="1:11" x14ac:dyDescent="0.15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</row>
    <row r="419" spans="1:11" x14ac:dyDescent="0.15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</row>
    <row r="420" spans="1:11" x14ac:dyDescent="0.15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</row>
    <row r="421" spans="1:11" x14ac:dyDescent="0.15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</row>
    <row r="422" spans="1:11" x14ac:dyDescent="0.15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</row>
    <row r="423" spans="1:11" x14ac:dyDescent="0.15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</row>
    <row r="424" spans="1:11" x14ac:dyDescent="0.15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</row>
    <row r="425" spans="1:11" x14ac:dyDescent="0.15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</row>
    <row r="426" spans="1:11" x14ac:dyDescent="0.15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</row>
    <row r="427" spans="1:11" x14ac:dyDescent="0.15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</row>
    <row r="428" spans="1:11" x14ac:dyDescent="0.15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</row>
    <row r="429" spans="1:11" x14ac:dyDescent="0.15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</row>
    <row r="430" spans="1:11" x14ac:dyDescent="0.15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</row>
    <row r="431" spans="1:11" x14ac:dyDescent="0.15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</row>
    <row r="432" spans="1:11" x14ac:dyDescent="0.15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</row>
    <row r="433" spans="1:11" x14ac:dyDescent="0.15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</row>
    <row r="434" spans="1:11" x14ac:dyDescent="0.15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</row>
    <row r="435" spans="1:11" x14ac:dyDescent="0.15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</row>
    <row r="436" spans="1:11" x14ac:dyDescent="0.15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</row>
    <row r="437" spans="1:11" x14ac:dyDescent="0.15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</row>
    <row r="438" spans="1:11" x14ac:dyDescent="0.15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</row>
    <row r="439" spans="1:11" x14ac:dyDescent="0.15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</row>
    <row r="440" spans="1:11" x14ac:dyDescent="0.15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</row>
    <row r="441" spans="1:11" x14ac:dyDescent="0.15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</row>
    <row r="442" spans="1:11" x14ac:dyDescent="0.15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</row>
    <row r="443" spans="1:11" x14ac:dyDescent="0.15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</row>
    <row r="444" spans="1:11" x14ac:dyDescent="0.15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</row>
    <row r="445" spans="1:11" x14ac:dyDescent="0.15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</row>
    <row r="446" spans="1:11" x14ac:dyDescent="0.15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</row>
    <row r="447" spans="1:11" x14ac:dyDescent="0.15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</row>
    <row r="448" spans="1:11" x14ac:dyDescent="0.15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</row>
    <row r="449" spans="1:11" x14ac:dyDescent="0.15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</row>
    <row r="450" spans="1:11" x14ac:dyDescent="0.15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</row>
    <row r="451" spans="1:11" x14ac:dyDescent="0.15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</row>
    <row r="452" spans="1:11" x14ac:dyDescent="0.15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</row>
    <row r="453" spans="1:11" x14ac:dyDescent="0.15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</row>
    <row r="454" spans="1:11" x14ac:dyDescent="0.15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</row>
    <row r="455" spans="1:11" x14ac:dyDescent="0.15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</row>
    <row r="456" spans="1:11" x14ac:dyDescent="0.15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</row>
    <row r="457" spans="1:11" x14ac:dyDescent="0.15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</row>
    <row r="458" spans="1:11" x14ac:dyDescent="0.15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</row>
    <row r="459" spans="1:11" x14ac:dyDescent="0.15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</row>
    <row r="460" spans="1:11" x14ac:dyDescent="0.15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</row>
    <row r="461" spans="1:11" x14ac:dyDescent="0.15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</row>
    <row r="462" spans="1:11" x14ac:dyDescent="0.15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</row>
    <row r="463" spans="1:11" x14ac:dyDescent="0.15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</row>
    <row r="464" spans="1:11" x14ac:dyDescent="0.15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</row>
    <row r="465" spans="1:11" x14ac:dyDescent="0.15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</row>
    <row r="466" spans="1:11" x14ac:dyDescent="0.15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</row>
    <row r="467" spans="1:11" x14ac:dyDescent="0.15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</row>
    <row r="468" spans="1:11" x14ac:dyDescent="0.15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</row>
    <row r="469" spans="1:11" x14ac:dyDescent="0.15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</row>
    <row r="470" spans="1:11" x14ac:dyDescent="0.15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</row>
    <row r="471" spans="1:11" x14ac:dyDescent="0.15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</row>
    <row r="472" spans="1:11" x14ac:dyDescent="0.15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</row>
    <row r="473" spans="1:11" x14ac:dyDescent="0.15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</row>
    <row r="474" spans="1:11" x14ac:dyDescent="0.15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</row>
    <row r="475" spans="1:11" x14ac:dyDescent="0.15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</row>
    <row r="476" spans="1:11" x14ac:dyDescent="0.15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</row>
    <row r="477" spans="1:11" x14ac:dyDescent="0.15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</row>
    <row r="478" spans="1:11" x14ac:dyDescent="0.15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</row>
    <row r="479" spans="1:11" x14ac:dyDescent="0.15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</row>
    <row r="480" spans="1:11" x14ac:dyDescent="0.15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</row>
    <row r="481" spans="1:11" x14ac:dyDescent="0.15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</row>
    <row r="482" spans="1:11" x14ac:dyDescent="0.15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</row>
    <row r="483" spans="1:11" x14ac:dyDescent="0.15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</row>
    <row r="484" spans="1:11" x14ac:dyDescent="0.15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</row>
    <row r="485" spans="1:11" x14ac:dyDescent="0.15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</row>
    <row r="486" spans="1:11" x14ac:dyDescent="0.15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</row>
    <row r="487" spans="1:11" x14ac:dyDescent="0.15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</row>
    <row r="488" spans="1:11" x14ac:dyDescent="0.15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</row>
    <row r="489" spans="1:11" x14ac:dyDescent="0.15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</row>
    <row r="490" spans="1:11" x14ac:dyDescent="0.15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</row>
    <row r="491" spans="1:11" x14ac:dyDescent="0.15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</row>
    <row r="492" spans="1:11" x14ac:dyDescent="0.15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</row>
    <row r="493" spans="1:11" x14ac:dyDescent="0.15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</row>
    <row r="494" spans="1:11" x14ac:dyDescent="0.15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</row>
    <row r="495" spans="1:11" x14ac:dyDescent="0.15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</row>
    <row r="496" spans="1:11" x14ac:dyDescent="0.15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</row>
    <row r="497" spans="1:11" x14ac:dyDescent="0.15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</row>
    <row r="498" spans="1:11" x14ac:dyDescent="0.15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</row>
    <row r="499" spans="1:11" x14ac:dyDescent="0.15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</row>
    <row r="500" spans="1:11" x14ac:dyDescent="0.15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</row>
    <row r="501" spans="1:11" x14ac:dyDescent="0.15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</row>
    <row r="502" spans="1:11" x14ac:dyDescent="0.15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</row>
    <row r="503" spans="1:11" x14ac:dyDescent="0.15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</row>
    <row r="504" spans="1:11" x14ac:dyDescent="0.15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</row>
    <row r="505" spans="1:11" x14ac:dyDescent="0.15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</row>
    <row r="506" spans="1:11" x14ac:dyDescent="0.15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</row>
    <row r="507" spans="1:11" x14ac:dyDescent="0.15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</row>
    <row r="508" spans="1:11" x14ac:dyDescent="0.15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</row>
    <row r="509" spans="1:11" x14ac:dyDescent="0.15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</row>
    <row r="510" spans="1:11" x14ac:dyDescent="0.15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</row>
    <row r="511" spans="1:11" x14ac:dyDescent="0.15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</row>
    <row r="512" spans="1:11" x14ac:dyDescent="0.15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</row>
    <row r="513" spans="1:11" x14ac:dyDescent="0.15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</row>
    <row r="514" spans="1:11" x14ac:dyDescent="0.15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</row>
    <row r="515" spans="1:11" x14ac:dyDescent="0.15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</row>
    <row r="516" spans="1:11" x14ac:dyDescent="0.15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</row>
    <row r="517" spans="1:11" x14ac:dyDescent="0.15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</row>
    <row r="518" spans="1:11" x14ac:dyDescent="0.15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</row>
    <row r="519" spans="1:11" x14ac:dyDescent="0.15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</row>
    <row r="520" spans="1:11" x14ac:dyDescent="0.15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</row>
    <row r="521" spans="1:11" x14ac:dyDescent="0.15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</row>
    <row r="522" spans="1:11" x14ac:dyDescent="0.15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</row>
    <row r="523" spans="1:11" x14ac:dyDescent="0.15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</row>
    <row r="524" spans="1:11" x14ac:dyDescent="0.15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</row>
    <row r="525" spans="1:11" x14ac:dyDescent="0.15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</row>
    <row r="526" spans="1:11" x14ac:dyDescent="0.15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</row>
    <row r="527" spans="1:11" x14ac:dyDescent="0.15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</row>
    <row r="528" spans="1:11" x14ac:dyDescent="0.15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</row>
    <row r="529" spans="1:11" x14ac:dyDescent="0.15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</row>
    <row r="530" spans="1:11" x14ac:dyDescent="0.15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</row>
    <row r="531" spans="1:11" x14ac:dyDescent="0.15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</row>
    <row r="532" spans="1:11" x14ac:dyDescent="0.15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</row>
    <row r="533" spans="1:11" x14ac:dyDescent="0.15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</row>
    <row r="534" spans="1:11" x14ac:dyDescent="0.15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</row>
    <row r="535" spans="1:11" x14ac:dyDescent="0.15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</row>
    <row r="536" spans="1:11" x14ac:dyDescent="0.15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</row>
    <row r="537" spans="1:11" x14ac:dyDescent="0.15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</row>
    <row r="538" spans="1:11" x14ac:dyDescent="0.15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</row>
    <row r="539" spans="1:11" x14ac:dyDescent="0.15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</row>
    <row r="540" spans="1:11" x14ac:dyDescent="0.15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</row>
    <row r="541" spans="1:11" x14ac:dyDescent="0.15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</row>
    <row r="542" spans="1:11" x14ac:dyDescent="0.15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</row>
    <row r="543" spans="1:11" x14ac:dyDescent="0.15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</row>
    <row r="544" spans="1:11" x14ac:dyDescent="0.15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</row>
    <row r="545" spans="1:11" x14ac:dyDescent="0.15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</row>
    <row r="546" spans="1:11" x14ac:dyDescent="0.15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</row>
    <row r="547" spans="1:11" x14ac:dyDescent="0.15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</row>
    <row r="548" spans="1:11" x14ac:dyDescent="0.15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</row>
    <row r="549" spans="1:11" x14ac:dyDescent="0.15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</row>
    <row r="550" spans="1:11" x14ac:dyDescent="0.15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</row>
    <row r="551" spans="1:11" x14ac:dyDescent="0.15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</row>
    <row r="552" spans="1:11" x14ac:dyDescent="0.15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</row>
    <row r="553" spans="1:11" x14ac:dyDescent="0.15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</row>
    <row r="554" spans="1:11" x14ac:dyDescent="0.15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</row>
    <row r="555" spans="1:11" x14ac:dyDescent="0.15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</row>
    <row r="556" spans="1:11" x14ac:dyDescent="0.15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</row>
    <row r="557" spans="1:11" x14ac:dyDescent="0.15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</row>
    <row r="558" spans="1:11" x14ac:dyDescent="0.15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</row>
    <row r="559" spans="1:11" x14ac:dyDescent="0.15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</row>
    <row r="560" spans="1:11" x14ac:dyDescent="0.15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</row>
    <row r="561" spans="1:11" x14ac:dyDescent="0.15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</row>
    <row r="562" spans="1:11" x14ac:dyDescent="0.15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</row>
    <row r="563" spans="1:11" x14ac:dyDescent="0.15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</row>
    <row r="564" spans="1:11" x14ac:dyDescent="0.15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</row>
    <row r="565" spans="1:11" x14ac:dyDescent="0.15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</row>
    <row r="566" spans="1:11" x14ac:dyDescent="0.15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</row>
    <row r="567" spans="1:11" x14ac:dyDescent="0.15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</row>
    <row r="568" spans="1:11" x14ac:dyDescent="0.15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</row>
    <row r="569" spans="1:11" x14ac:dyDescent="0.15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</row>
    <row r="570" spans="1:11" x14ac:dyDescent="0.15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</row>
    <row r="571" spans="1:11" x14ac:dyDescent="0.15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</row>
    <row r="572" spans="1:11" x14ac:dyDescent="0.15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</row>
    <row r="573" spans="1:11" x14ac:dyDescent="0.15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</row>
    <row r="574" spans="1:11" x14ac:dyDescent="0.15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</row>
    <row r="575" spans="1:11" x14ac:dyDescent="0.15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</row>
    <row r="576" spans="1:11" x14ac:dyDescent="0.15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</row>
    <row r="577" spans="1:11" x14ac:dyDescent="0.15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</row>
    <row r="578" spans="1:11" x14ac:dyDescent="0.15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</row>
    <row r="579" spans="1:11" x14ac:dyDescent="0.15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</row>
    <row r="580" spans="1:11" x14ac:dyDescent="0.15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</row>
    <row r="581" spans="1:11" x14ac:dyDescent="0.15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</row>
    <row r="582" spans="1:11" x14ac:dyDescent="0.15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</row>
    <row r="583" spans="1:11" x14ac:dyDescent="0.15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</row>
    <row r="584" spans="1:11" x14ac:dyDescent="0.15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</row>
    <row r="585" spans="1:11" x14ac:dyDescent="0.15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</row>
    <row r="586" spans="1:11" x14ac:dyDescent="0.15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</row>
    <row r="587" spans="1:11" x14ac:dyDescent="0.15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</row>
    <row r="588" spans="1:11" x14ac:dyDescent="0.15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</row>
    <row r="589" spans="1:11" x14ac:dyDescent="0.15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</row>
    <row r="590" spans="1:11" x14ac:dyDescent="0.15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</row>
    <row r="591" spans="1:11" x14ac:dyDescent="0.15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</row>
    <row r="592" spans="1:11" x14ac:dyDescent="0.15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</row>
    <row r="593" spans="1:11" x14ac:dyDescent="0.15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</row>
    <row r="594" spans="1:11" x14ac:dyDescent="0.15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</row>
    <row r="595" spans="1:11" x14ac:dyDescent="0.15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</row>
    <row r="596" spans="1:11" x14ac:dyDescent="0.15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</row>
    <row r="597" spans="1:11" x14ac:dyDescent="0.15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</row>
    <row r="598" spans="1:11" x14ac:dyDescent="0.15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</row>
    <row r="599" spans="1:11" x14ac:dyDescent="0.15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</row>
    <row r="600" spans="1:11" x14ac:dyDescent="0.15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</row>
    <row r="601" spans="1:11" x14ac:dyDescent="0.15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</row>
    <row r="602" spans="1:11" x14ac:dyDescent="0.15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</row>
    <row r="603" spans="1:11" x14ac:dyDescent="0.15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</row>
    <row r="604" spans="1:11" x14ac:dyDescent="0.15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</row>
    <row r="605" spans="1:11" x14ac:dyDescent="0.15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</row>
    <row r="606" spans="1:11" x14ac:dyDescent="0.15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</row>
    <row r="607" spans="1:11" x14ac:dyDescent="0.15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</row>
    <row r="608" spans="1:11" x14ac:dyDescent="0.15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</row>
    <row r="609" spans="1:11" x14ac:dyDescent="0.15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</row>
    <row r="610" spans="1:11" x14ac:dyDescent="0.15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</row>
    <row r="611" spans="1:11" x14ac:dyDescent="0.15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</row>
    <row r="612" spans="1:11" x14ac:dyDescent="0.15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</row>
    <row r="613" spans="1:11" x14ac:dyDescent="0.15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</row>
    <row r="614" spans="1:11" x14ac:dyDescent="0.15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</row>
    <row r="615" spans="1:11" x14ac:dyDescent="0.15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</row>
    <row r="616" spans="1:11" x14ac:dyDescent="0.15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</row>
    <row r="617" spans="1:11" x14ac:dyDescent="0.15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</row>
    <row r="618" spans="1:11" x14ac:dyDescent="0.15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</row>
    <row r="619" spans="1:11" x14ac:dyDescent="0.15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</row>
    <row r="620" spans="1:11" x14ac:dyDescent="0.15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</row>
    <row r="621" spans="1:11" x14ac:dyDescent="0.15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</row>
    <row r="622" spans="1:11" x14ac:dyDescent="0.15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</row>
    <row r="623" spans="1:11" x14ac:dyDescent="0.15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</row>
    <row r="624" spans="1:11" x14ac:dyDescent="0.15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</row>
    <row r="625" spans="1:11" x14ac:dyDescent="0.15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</row>
    <row r="626" spans="1:11" x14ac:dyDescent="0.15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</row>
    <row r="627" spans="1:11" x14ac:dyDescent="0.15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</row>
    <row r="628" spans="1:11" x14ac:dyDescent="0.15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</row>
    <row r="629" spans="1:11" x14ac:dyDescent="0.15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</row>
    <row r="630" spans="1:11" x14ac:dyDescent="0.15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</row>
    <row r="631" spans="1:11" x14ac:dyDescent="0.15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</row>
    <row r="632" spans="1:11" x14ac:dyDescent="0.15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</row>
    <row r="633" spans="1:11" x14ac:dyDescent="0.15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</row>
    <row r="634" spans="1:11" x14ac:dyDescent="0.15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</row>
    <row r="635" spans="1:11" x14ac:dyDescent="0.15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</row>
    <row r="636" spans="1:11" x14ac:dyDescent="0.15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</row>
    <row r="637" spans="1:11" x14ac:dyDescent="0.15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</row>
    <row r="638" spans="1:11" x14ac:dyDescent="0.15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</row>
    <row r="639" spans="1:11" x14ac:dyDescent="0.15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</row>
    <row r="640" spans="1:11" x14ac:dyDescent="0.15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</row>
    <row r="641" spans="1:11" x14ac:dyDescent="0.15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</row>
    <row r="642" spans="1:11" x14ac:dyDescent="0.15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</row>
    <row r="643" spans="1:11" x14ac:dyDescent="0.15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</row>
    <row r="644" spans="1:11" x14ac:dyDescent="0.15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</row>
    <row r="645" spans="1:11" x14ac:dyDescent="0.15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</row>
    <row r="646" spans="1:11" x14ac:dyDescent="0.15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</row>
    <row r="647" spans="1:11" x14ac:dyDescent="0.15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</row>
    <row r="648" spans="1:11" x14ac:dyDescent="0.15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</row>
    <row r="649" spans="1:11" x14ac:dyDescent="0.15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</row>
    <row r="650" spans="1:11" x14ac:dyDescent="0.15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</row>
    <row r="651" spans="1:11" x14ac:dyDescent="0.15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</row>
    <row r="652" spans="1:11" x14ac:dyDescent="0.15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</row>
    <row r="653" spans="1:11" x14ac:dyDescent="0.15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</row>
    <row r="654" spans="1:11" x14ac:dyDescent="0.15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</row>
    <row r="655" spans="1:11" x14ac:dyDescent="0.15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</row>
    <row r="656" spans="1:11" x14ac:dyDescent="0.15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</row>
    <row r="657" spans="1:11" x14ac:dyDescent="0.15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</row>
    <row r="658" spans="1:11" x14ac:dyDescent="0.15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</row>
    <row r="659" spans="1:11" x14ac:dyDescent="0.15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</row>
    <row r="660" spans="1:11" x14ac:dyDescent="0.15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</row>
    <row r="661" spans="1:11" x14ac:dyDescent="0.15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</row>
    <row r="662" spans="1:11" x14ac:dyDescent="0.15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</row>
    <row r="663" spans="1:11" x14ac:dyDescent="0.15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</row>
    <row r="664" spans="1:11" x14ac:dyDescent="0.15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</row>
    <row r="665" spans="1:11" x14ac:dyDescent="0.15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</row>
    <row r="666" spans="1:11" x14ac:dyDescent="0.15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</row>
    <row r="667" spans="1:11" x14ac:dyDescent="0.15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</row>
    <row r="668" spans="1:11" x14ac:dyDescent="0.15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</row>
    <row r="669" spans="1:11" x14ac:dyDescent="0.15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</row>
    <row r="670" spans="1:11" x14ac:dyDescent="0.15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</row>
    <row r="671" spans="1:11" x14ac:dyDescent="0.15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</row>
    <row r="672" spans="1:11" x14ac:dyDescent="0.15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</row>
    <row r="673" spans="1:11" x14ac:dyDescent="0.15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</row>
    <row r="674" spans="1:11" x14ac:dyDescent="0.15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</row>
    <row r="675" spans="1:11" x14ac:dyDescent="0.15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</row>
    <row r="676" spans="1:11" x14ac:dyDescent="0.15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</row>
    <row r="677" spans="1:11" x14ac:dyDescent="0.15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</row>
    <row r="678" spans="1:11" x14ac:dyDescent="0.15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</row>
    <row r="679" spans="1:11" x14ac:dyDescent="0.15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</row>
    <row r="680" spans="1:11" x14ac:dyDescent="0.15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</row>
    <row r="681" spans="1:11" x14ac:dyDescent="0.15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</row>
    <row r="682" spans="1:11" x14ac:dyDescent="0.15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</row>
    <row r="683" spans="1:11" x14ac:dyDescent="0.15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</row>
    <row r="684" spans="1:11" x14ac:dyDescent="0.15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</row>
    <row r="685" spans="1:11" x14ac:dyDescent="0.15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</row>
    <row r="686" spans="1:11" x14ac:dyDescent="0.15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</row>
    <row r="687" spans="1:11" x14ac:dyDescent="0.15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</row>
    <row r="688" spans="1:11" x14ac:dyDescent="0.15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</row>
    <row r="689" spans="1:11" x14ac:dyDescent="0.15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</row>
    <row r="690" spans="1:11" x14ac:dyDescent="0.15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</row>
    <row r="691" spans="1:11" x14ac:dyDescent="0.15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</row>
    <row r="692" spans="1:11" x14ac:dyDescent="0.15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</row>
    <row r="693" spans="1:11" x14ac:dyDescent="0.15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</row>
    <row r="694" spans="1:11" x14ac:dyDescent="0.15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</row>
    <row r="695" spans="1:11" x14ac:dyDescent="0.15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</row>
    <row r="696" spans="1:11" x14ac:dyDescent="0.15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</row>
    <row r="697" spans="1:11" x14ac:dyDescent="0.15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</row>
    <row r="698" spans="1:11" x14ac:dyDescent="0.15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</row>
    <row r="699" spans="1:11" x14ac:dyDescent="0.15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</row>
    <row r="700" spans="1:11" x14ac:dyDescent="0.15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</row>
    <row r="701" spans="1:11" x14ac:dyDescent="0.15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</row>
    <row r="702" spans="1:11" x14ac:dyDescent="0.15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</row>
    <row r="703" spans="1:11" x14ac:dyDescent="0.15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</row>
    <row r="704" spans="1:11" x14ac:dyDescent="0.15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</row>
    <row r="705" spans="1:11" x14ac:dyDescent="0.15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</row>
    <row r="706" spans="1:11" x14ac:dyDescent="0.15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</row>
    <row r="707" spans="1:11" x14ac:dyDescent="0.15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</row>
    <row r="708" spans="1:11" x14ac:dyDescent="0.15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</row>
    <row r="709" spans="1:11" x14ac:dyDescent="0.15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</row>
    <row r="710" spans="1:11" x14ac:dyDescent="0.15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</row>
    <row r="711" spans="1:11" x14ac:dyDescent="0.15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</row>
    <row r="712" spans="1:11" x14ac:dyDescent="0.15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</row>
    <row r="713" spans="1:11" x14ac:dyDescent="0.15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</row>
    <row r="714" spans="1:11" x14ac:dyDescent="0.15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</row>
    <row r="715" spans="1:11" x14ac:dyDescent="0.15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</row>
    <row r="716" spans="1:11" x14ac:dyDescent="0.15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</row>
    <row r="717" spans="1:11" x14ac:dyDescent="0.15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</row>
    <row r="718" spans="1:11" x14ac:dyDescent="0.15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</row>
    <row r="719" spans="1:11" x14ac:dyDescent="0.15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</row>
    <row r="720" spans="1:11" x14ac:dyDescent="0.15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</row>
    <row r="721" spans="1:11" x14ac:dyDescent="0.15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</row>
    <row r="722" spans="1:11" x14ac:dyDescent="0.15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</row>
    <row r="723" spans="1:11" x14ac:dyDescent="0.15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</row>
    <row r="724" spans="1:11" x14ac:dyDescent="0.15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</row>
    <row r="725" spans="1:11" x14ac:dyDescent="0.15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</row>
    <row r="726" spans="1:11" x14ac:dyDescent="0.15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</row>
    <row r="727" spans="1:11" x14ac:dyDescent="0.15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</row>
    <row r="728" spans="1:11" x14ac:dyDescent="0.15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</row>
    <row r="729" spans="1:11" x14ac:dyDescent="0.15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</row>
    <row r="730" spans="1:11" x14ac:dyDescent="0.15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</row>
    <row r="731" spans="1:11" x14ac:dyDescent="0.15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</row>
    <row r="732" spans="1:11" x14ac:dyDescent="0.15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</row>
    <row r="733" spans="1:11" x14ac:dyDescent="0.15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</row>
    <row r="734" spans="1:11" x14ac:dyDescent="0.15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</row>
    <row r="735" spans="1:11" x14ac:dyDescent="0.15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</row>
    <row r="736" spans="1:11" x14ac:dyDescent="0.15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</row>
    <row r="737" spans="1:11" x14ac:dyDescent="0.15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</row>
    <row r="738" spans="1:11" x14ac:dyDescent="0.15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</row>
    <row r="739" spans="1:11" x14ac:dyDescent="0.15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</row>
    <row r="740" spans="1:11" x14ac:dyDescent="0.15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</row>
    <row r="741" spans="1:11" x14ac:dyDescent="0.15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</row>
    <row r="742" spans="1:11" x14ac:dyDescent="0.15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</row>
    <row r="743" spans="1:11" x14ac:dyDescent="0.15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</row>
    <row r="744" spans="1:11" x14ac:dyDescent="0.15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</row>
    <row r="745" spans="1:11" x14ac:dyDescent="0.15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</row>
    <row r="746" spans="1:11" x14ac:dyDescent="0.15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</row>
    <row r="747" spans="1:11" x14ac:dyDescent="0.15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</row>
    <row r="748" spans="1:11" x14ac:dyDescent="0.15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</row>
    <row r="749" spans="1:11" x14ac:dyDescent="0.15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</row>
    <row r="750" spans="1:11" x14ac:dyDescent="0.15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</row>
    <row r="751" spans="1:11" x14ac:dyDescent="0.15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</row>
    <row r="752" spans="1:11" x14ac:dyDescent="0.15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</row>
    <row r="753" spans="1:11" x14ac:dyDescent="0.15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</row>
    <row r="754" spans="1:11" x14ac:dyDescent="0.15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</row>
    <row r="755" spans="1:11" x14ac:dyDescent="0.15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</row>
    <row r="756" spans="1:11" x14ac:dyDescent="0.15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</row>
    <row r="757" spans="1:11" x14ac:dyDescent="0.15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</row>
    <row r="758" spans="1:11" x14ac:dyDescent="0.15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</row>
    <row r="759" spans="1:11" x14ac:dyDescent="0.15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</row>
    <row r="760" spans="1:11" x14ac:dyDescent="0.15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</row>
    <row r="761" spans="1:11" x14ac:dyDescent="0.15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</row>
    <row r="762" spans="1:11" x14ac:dyDescent="0.15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</row>
    <row r="763" spans="1:11" x14ac:dyDescent="0.15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</row>
    <row r="764" spans="1:11" x14ac:dyDescent="0.15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</row>
    <row r="765" spans="1:11" x14ac:dyDescent="0.15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</row>
    <row r="766" spans="1:11" x14ac:dyDescent="0.15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</row>
    <row r="767" spans="1:11" x14ac:dyDescent="0.15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</row>
    <row r="768" spans="1:11" x14ac:dyDescent="0.15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</row>
    <row r="769" spans="1:11" x14ac:dyDescent="0.15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</row>
    <row r="770" spans="1:11" x14ac:dyDescent="0.15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</row>
    <row r="771" spans="1:11" x14ac:dyDescent="0.15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</row>
    <row r="772" spans="1:11" x14ac:dyDescent="0.15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</row>
    <row r="773" spans="1:11" x14ac:dyDescent="0.15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</row>
    <row r="774" spans="1:11" x14ac:dyDescent="0.15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</row>
    <row r="775" spans="1:11" x14ac:dyDescent="0.15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</row>
    <row r="776" spans="1:11" x14ac:dyDescent="0.15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</row>
    <row r="777" spans="1:11" x14ac:dyDescent="0.15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</row>
    <row r="778" spans="1:11" x14ac:dyDescent="0.15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</row>
    <row r="779" spans="1:11" x14ac:dyDescent="0.15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</row>
    <row r="780" spans="1:11" x14ac:dyDescent="0.15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</row>
    <row r="781" spans="1:11" x14ac:dyDescent="0.15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</row>
    <row r="782" spans="1:11" x14ac:dyDescent="0.15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</row>
    <row r="783" spans="1:11" x14ac:dyDescent="0.15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</row>
    <row r="784" spans="1:11" x14ac:dyDescent="0.15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</row>
    <row r="785" spans="1:11" x14ac:dyDescent="0.15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</row>
    <row r="786" spans="1:11" x14ac:dyDescent="0.15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</row>
    <row r="787" spans="1:11" x14ac:dyDescent="0.15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</row>
    <row r="788" spans="1:11" x14ac:dyDescent="0.15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</row>
    <row r="789" spans="1:11" x14ac:dyDescent="0.15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</row>
    <row r="790" spans="1:11" x14ac:dyDescent="0.15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</row>
    <row r="791" spans="1:11" x14ac:dyDescent="0.15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</row>
    <row r="792" spans="1:11" x14ac:dyDescent="0.15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</row>
    <row r="793" spans="1:11" x14ac:dyDescent="0.15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</row>
    <row r="794" spans="1:11" x14ac:dyDescent="0.15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</row>
    <row r="795" spans="1:11" x14ac:dyDescent="0.15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</row>
    <row r="796" spans="1:11" x14ac:dyDescent="0.15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</row>
    <row r="797" spans="1:11" x14ac:dyDescent="0.15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</row>
    <row r="798" spans="1:11" x14ac:dyDescent="0.15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</row>
    <row r="799" spans="1:11" x14ac:dyDescent="0.15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</row>
    <row r="800" spans="1:11" x14ac:dyDescent="0.15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</row>
    <row r="801" spans="1:11" x14ac:dyDescent="0.15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</row>
    <row r="802" spans="1:11" x14ac:dyDescent="0.15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</row>
    <row r="803" spans="1:11" x14ac:dyDescent="0.15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</row>
    <row r="804" spans="1:11" x14ac:dyDescent="0.15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</row>
    <row r="805" spans="1:11" x14ac:dyDescent="0.15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</row>
    <row r="806" spans="1:11" x14ac:dyDescent="0.15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</row>
    <row r="807" spans="1:11" x14ac:dyDescent="0.15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</row>
    <row r="808" spans="1:11" x14ac:dyDescent="0.15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</row>
    <row r="809" spans="1:11" x14ac:dyDescent="0.15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</row>
    <row r="810" spans="1:11" x14ac:dyDescent="0.15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</row>
    <row r="811" spans="1:11" x14ac:dyDescent="0.15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</row>
    <row r="812" spans="1:11" x14ac:dyDescent="0.15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</row>
    <row r="813" spans="1:11" x14ac:dyDescent="0.15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</row>
    <row r="814" spans="1:11" x14ac:dyDescent="0.15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</row>
    <row r="815" spans="1:11" x14ac:dyDescent="0.15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</row>
    <row r="816" spans="1:11" x14ac:dyDescent="0.15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</row>
    <row r="817" spans="1:11" x14ac:dyDescent="0.15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</row>
    <row r="818" spans="1:11" x14ac:dyDescent="0.15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</row>
    <row r="819" spans="1:11" x14ac:dyDescent="0.15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</row>
    <row r="820" spans="1:11" x14ac:dyDescent="0.15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</row>
    <row r="821" spans="1:11" x14ac:dyDescent="0.15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</row>
    <row r="822" spans="1:11" x14ac:dyDescent="0.15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</row>
    <row r="823" spans="1:11" x14ac:dyDescent="0.15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</row>
    <row r="824" spans="1:11" x14ac:dyDescent="0.15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</row>
    <row r="825" spans="1:11" x14ac:dyDescent="0.15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</row>
    <row r="826" spans="1:11" x14ac:dyDescent="0.15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</row>
    <row r="827" spans="1:11" x14ac:dyDescent="0.15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</row>
    <row r="828" spans="1:11" x14ac:dyDescent="0.15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</row>
    <row r="829" spans="1:11" x14ac:dyDescent="0.15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</row>
    <row r="830" spans="1:11" x14ac:dyDescent="0.15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</row>
    <row r="831" spans="1:11" x14ac:dyDescent="0.15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</row>
    <row r="832" spans="1:11" x14ac:dyDescent="0.15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</row>
    <row r="833" spans="1:11" x14ac:dyDescent="0.15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</row>
    <row r="834" spans="1:11" x14ac:dyDescent="0.15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</row>
    <row r="835" spans="1:11" x14ac:dyDescent="0.15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</row>
    <row r="836" spans="1:11" x14ac:dyDescent="0.15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</row>
    <row r="837" spans="1:11" x14ac:dyDescent="0.15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</row>
    <row r="838" spans="1:11" x14ac:dyDescent="0.15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</row>
    <row r="839" spans="1:11" x14ac:dyDescent="0.15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</row>
    <row r="840" spans="1:11" x14ac:dyDescent="0.15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</row>
    <row r="841" spans="1:11" x14ac:dyDescent="0.15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</row>
    <row r="842" spans="1:11" x14ac:dyDescent="0.15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</row>
    <row r="843" spans="1:11" x14ac:dyDescent="0.15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</row>
    <row r="844" spans="1:11" x14ac:dyDescent="0.15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</row>
    <row r="845" spans="1:11" x14ac:dyDescent="0.15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</row>
    <row r="846" spans="1:11" x14ac:dyDescent="0.15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</row>
    <row r="847" spans="1:11" x14ac:dyDescent="0.15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</row>
    <row r="848" spans="1:11" x14ac:dyDescent="0.15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</row>
    <row r="849" spans="1:11" x14ac:dyDescent="0.15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</row>
    <row r="850" spans="1:11" x14ac:dyDescent="0.15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</row>
    <row r="851" spans="1:11" x14ac:dyDescent="0.15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</row>
    <row r="852" spans="1:11" x14ac:dyDescent="0.15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</row>
    <row r="853" spans="1:11" x14ac:dyDescent="0.15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</row>
    <row r="854" spans="1:11" x14ac:dyDescent="0.15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</row>
    <row r="855" spans="1:11" x14ac:dyDescent="0.15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</row>
    <row r="856" spans="1:11" x14ac:dyDescent="0.15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</row>
    <row r="857" spans="1:11" x14ac:dyDescent="0.15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</row>
    <row r="858" spans="1:11" x14ac:dyDescent="0.15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</row>
    <row r="859" spans="1:11" x14ac:dyDescent="0.15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</row>
    <row r="860" spans="1:11" x14ac:dyDescent="0.15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</row>
    <row r="861" spans="1:11" x14ac:dyDescent="0.15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</row>
    <row r="862" spans="1:11" x14ac:dyDescent="0.15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</row>
    <row r="863" spans="1:11" x14ac:dyDescent="0.15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</row>
    <row r="864" spans="1:11" x14ac:dyDescent="0.15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</row>
    <row r="865" spans="1:11" x14ac:dyDescent="0.15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</row>
    <row r="866" spans="1:11" x14ac:dyDescent="0.15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</row>
    <row r="867" spans="1:11" x14ac:dyDescent="0.15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</row>
    <row r="868" spans="1:11" x14ac:dyDescent="0.15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</row>
    <row r="869" spans="1:11" x14ac:dyDescent="0.15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</row>
    <row r="870" spans="1:11" x14ac:dyDescent="0.15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</row>
    <row r="871" spans="1:11" x14ac:dyDescent="0.15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</row>
    <row r="872" spans="1:11" x14ac:dyDescent="0.15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</row>
    <row r="873" spans="1:11" x14ac:dyDescent="0.15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</row>
    <row r="874" spans="1:11" x14ac:dyDescent="0.15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</row>
    <row r="875" spans="1:11" x14ac:dyDescent="0.15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</row>
    <row r="876" spans="1:11" x14ac:dyDescent="0.15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</row>
    <row r="877" spans="1:11" x14ac:dyDescent="0.15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</row>
    <row r="878" spans="1:11" x14ac:dyDescent="0.15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</row>
    <row r="879" spans="1:11" x14ac:dyDescent="0.15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</row>
    <row r="880" spans="1:11" x14ac:dyDescent="0.15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</row>
    <row r="881" spans="1:11" x14ac:dyDescent="0.15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</row>
    <row r="882" spans="1:11" x14ac:dyDescent="0.15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</row>
    <row r="883" spans="1:11" x14ac:dyDescent="0.15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</row>
    <row r="884" spans="1:11" x14ac:dyDescent="0.15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</row>
    <row r="885" spans="1:11" x14ac:dyDescent="0.15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</row>
    <row r="886" spans="1:11" x14ac:dyDescent="0.15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</row>
    <row r="887" spans="1:11" x14ac:dyDescent="0.15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</row>
    <row r="888" spans="1:11" x14ac:dyDescent="0.15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</row>
    <row r="889" spans="1:11" x14ac:dyDescent="0.15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</row>
    <row r="890" spans="1:11" x14ac:dyDescent="0.15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</row>
    <row r="891" spans="1:11" x14ac:dyDescent="0.15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</row>
    <row r="892" spans="1:11" x14ac:dyDescent="0.15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</row>
    <row r="893" spans="1:11" x14ac:dyDescent="0.15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</row>
    <row r="894" spans="1:11" x14ac:dyDescent="0.15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</row>
    <row r="895" spans="1:11" x14ac:dyDescent="0.15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</row>
    <row r="896" spans="1:11" x14ac:dyDescent="0.15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</row>
    <row r="897" spans="1:11" x14ac:dyDescent="0.15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</row>
    <row r="898" spans="1:11" x14ac:dyDescent="0.15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</row>
    <row r="899" spans="1:11" x14ac:dyDescent="0.15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</row>
    <row r="900" spans="1:11" x14ac:dyDescent="0.15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</row>
    <row r="901" spans="1:11" x14ac:dyDescent="0.15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</row>
    <row r="902" spans="1:11" x14ac:dyDescent="0.15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</row>
    <row r="903" spans="1:11" x14ac:dyDescent="0.15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</row>
    <row r="904" spans="1:11" x14ac:dyDescent="0.15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</row>
    <row r="905" spans="1:11" x14ac:dyDescent="0.15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</row>
    <row r="906" spans="1:11" x14ac:dyDescent="0.15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</row>
    <row r="907" spans="1:11" x14ac:dyDescent="0.15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</row>
    <row r="908" spans="1:11" x14ac:dyDescent="0.15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</row>
    <row r="909" spans="1:11" x14ac:dyDescent="0.15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</row>
    <row r="910" spans="1:11" x14ac:dyDescent="0.15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</row>
    <row r="911" spans="1:11" x14ac:dyDescent="0.15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</row>
    <row r="912" spans="1:11" x14ac:dyDescent="0.15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</row>
    <row r="913" spans="1:11" x14ac:dyDescent="0.15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</row>
    <row r="914" spans="1:11" x14ac:dyDescent="0.15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</row>
    <row r="915" spans="1:11" x14ac:dyDescent="0.15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</row>
    <row r="916" spans="1:11" x14ac:dyDescent="0.15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</row>
    <row r="917" spans="1:11" x14ac:dyDescent="0.15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</row>
    <row r="918" spans="1:11" x14ac:dyDescent="0.15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</row>
    <row r="919" spans="1:11" x14ac:dyDescent="0.15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</row>
    <row r="920" spans="1:11" x14ac:dyDescent="0.15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</row>
    <row r="921" spans="1:11" x14ac:dyDescent="0.15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</row>
    <row r="922" spans="1:11" x14ac:dyDescent="0.15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</row>
    <row r="923" spans="1:11" x14ac:dyDescent="0.15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</row>
    <row r="924" spans="1:11" x14ac:dyDescent="0.15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</row>
    <row r="925" spans="1:11" x14ac:dyDescent="0.15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</row>
    <row r="926" spans="1:11" x14ac:dyDescent="0.15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</row>
    <row r="927" spans="1:11" x14ac:dyDescent="0.15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</row>
    <row r="928" spans="1:11" x14ac:dyDescent="0.15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</row>
    <row r="929" spans="1:11" x14ac:dyDescent="0.15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</row>
    <row r="930" spans="1:11" x14ac:dyDescent="0.15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</row>
    <row r="931" spans="1:11" x14ac:dyDescent="0.15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</row>
    <row r="932" spans="1:11" x14ac:dyDescent="0.15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</row>
    <row r="933" spans="1:11" x14ac:dyDescent="0.15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</row>
    <row r="934" spans="1:11" x14ac:dyDescent="0.15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</row>
    <row r="935" spans="1:11" x14ac:dyDescent="0.15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</row>
    <row r="936" spans="1:11" x14ac:dyDescent="0.15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</row>
    <row r="937" spans="1:11" x14ac:dyDescent="0.15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</row>
    <row r="938" spans="1:11" x14ac:dyDescent="0.15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</row>
    <row r="939" spans="1:11" x14ac:dyDescent="0.15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</row>
    <row r="940" spans="1:11" x14ac:dyDescent="0.15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</row>
    <row r="941" spans="1:11" x14ac:dyDescent="0.15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</row>
    <row r="942" spans="1:11" x14ac:dyDescent="0.15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</row>
    <row r="943" spans="1:11" x14ac:dyDescent="0.15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</row>
    <row r="944" spans="1:11" x14ac:dyDescent="0.15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</row>
    <row r="945" spans="1:11" x14ac:dyDescent="0.15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</row>
    <row r="946" spans="1:11" x14ac:dyDescent="0.15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</row>
    <row r="947" spans="1:11" x14ac:dyDescent="0.15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</row>
    <row r="948" spans="1:11" x14ac:dyDescent="0.15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</row>
    <row r="949" spans="1:11" x14ac:dyDescent="0.15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</row>
    <row r="950" spans="1:11" x14ac:dyDescent="0.15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</row>
    <row r="951" spans="1:11" x14ac:dyDescent="0.15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</row>
    <row r="952" spans="1:11" x14ac:dyDescent="0.15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</row>
    <row r="953" spans="1:11" x14ac:dyDescent="0.15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</row>
    <row r="954" spans="1:11" x14ac:dyDescent="0.15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</row>
    <row r="955" spans="1:11" x14ac:dyDescent="0.15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</row>
    <row r="956" spans="1:11" x14ac:dyDescent="0.15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</row>
    <row r="957" spans="1:11" x14ac:dyDescent="0.15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</row>
    <row r="958" spans="1:11" x14ac:dyDescent="0.15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</row>
    <row r="959" spans="1:11" x14ac:dyDescent="0.15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</row>
    <row r="960" spans="1:11" x14ac:dyDescent="0.15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</row>
    <row r="961" spans="1:11" x14ac:dyDescent="0.15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</row>
    <row r="962" spans="1:11" x14ac:dyDescent="0.15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</row>
    <row r="963" spans="1:11" x14ac:dyDescent="0.15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</row>
    <row r="964" spans="1:11" x14ac:dyDescent="0.15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</row>
    <row r="965" spans="1:11" x14ac:dyDescent="0.15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</row>
    <row r="966" spans="1:11" x14ac:dyDescent="0.15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</row>
    <row r="967" spans="1:11" x14ac:dyDescent="0.15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</row>
    <row r="968" spans="1:11" x14ac:dyDescent="0.15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</row>
    <row r="969" spans="1:11" x14ac:dyDescent="0.15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</row>
    <row r="970" spans="1:11" x14ac:dyDescent="0.15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</row>
    <row r="971" spans="1:11" x14ac:dyDescent="0.15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</row>
    <row r="972" spans="1:11" x14ac:dyDescent="0.15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</row>
    <row r="973" spans="1:11" x14ac:dyDescent="0.15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</row>
    <row r="974" spans="1:11" x14ac:dyDescent="0.15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</row>
    <row r="975" spans="1:11" x14ac:dyDescent="0.15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</row>
    <row r="976" spans="1:11" x14ac:dyDescent="0.15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</row>
    <row r="977" spans="1:11" x14ac:dyDescent="0.15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</row>
    <row r="978" spans="1:11" x14ac:dyDescent="0.15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</row>
    <row r="979" spans="1:11" x14ac:dyDescent="0.15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</row>
    <row r="980" spans="1:11" x14ac:dyDescent="0.15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</row>
    <row r="981" spans="1:11" x14ac:dyDescent="0.15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</row>
    <row r="982" spans="1:11" x14ac:dyDescent="0.15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</row>
    <row r="983" spans="1:11" x14ac:dyDescent="0.15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</row>
    <row r="984" spans="1:11" x14ac:dyDescent="0.15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</row>
    <row r="985" spans="1:11" x14ac:dyDescent="0.15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</row>
    <row r="986" spans="1:11" x14ac:dyDescent="0.15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</row>
    <row r="987" spans="1:11" x14ac:dyDescent="0.15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</row>
    <row r="988" spans="1:11" x14ac:dyDescent="0.15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</row>
    <row r="989" spans="1:11" x14ac:dyDescent="0.15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</row>
    <row r="990" spans="1:11" x14ac:dyDescent="0.15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</row>
    <row r="991" spans="1:11" x14ac:dyDescent="0.15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</row>
    <row r="992" spans="1:11" x14ac:dyDescent="0.15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</row>
    <row r="993" spans="1:11" x14ac:dyDescent="0.15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</row>
    <row r="994" spans="1:11" x14ac:dyDescent="0.15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</row>
    <row r="995" spans="1:11" x14ac:dyDescent="0.15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</row>
    <row r="996" spans="1:11" x14ac:dyDescent="0.15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</row>
    <row r="997" spans="1:11" x14ac:dyDescent="0.15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</row>
    <row r="998" spans="1:11" x14ac:dyDescent="0.15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</row>
    <row r="999" spans="1:11" x14ac:dyDescent="0.15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</row>
    <row r="1000" spans="1:11" x14ac:dyDescent="0.15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</row>
    <row r="1001" spans="1:11" x14ac:dyDescent="0.15">
      <c r="A1001" s="278"/>
      <c r="B1001" s="278"/>
      <c r="C1001" s="278"/>
      <c r="D1001" s="278"/>
      <c r="E1001" s="278"/>
      <c r="F1001" s="278"/>
      <c r="G1001" s="278"/>
      <c r="H1001" s="278"/>
      <c r="I1001" s="278"/>
      <c r="J1001" s="278"/>
      <c r="K1001" s="278"/>
    </row>
    <row r="1002" spans="1:11" x14ac:dyDescent="0.15">
      <c r="A1002" s="278"/>
      <c r="B1002" s="278"/>
      <c r="C1002" s="278"/>
      <c r="D1002" s="278"/>
      <c r="E1002" s="278"/>
      <c r="F1002" s="278"/>
      <c r="G1002" s="278"/>
      <c r="H1002" s="278"/>
      <c r="I1002" s="278"/>
      <c r="J1002" s="278"/>
      <c r="K1002" s="278"/>
    </row>
    <row r="1003" spans="1:11" x14ac:dyDescent="0.15">
      <c r="A1003" s="278"/>
      <c r="B1003" s="278"/>
      <c r="C1003" s="278"/>
      <c r="D1003" s="278"/>
      <c r="E1003" s="278"/>
      <c r="F1003" s="278"/>
      <c r="G1003" s="278"/>
      <c r="H1003" s="278"/>
      <c r="I1003" s="278"/>
      <c r="J1003" s="278"/>
      <c r="K1003" s="278"/>
    </row>
    <row r="1004" spans="1:11" x14ac:dyDescent="0.15">
      <c r="A1004" s="278"/>
      <c r="B1004" s="278"/>
      <c r="C1004" s="278"/>
      <c r="D1004" s="278"/>
      <c r="E1004" s="278"/>
      <c r="F1004" s="278"/>
      <c r="G1004" s="278"/>
      <c r="H1004" s="278"/>
      <c r="I1004" s="278"/>
      <c r="J1004" s="278"/>
      <c r="K1004" s="278"/>
    </row>
    <row r="1005" spans="1:11" x14ac:dyDescent="0.15">
      <c r="A1005" s="278"/>
      <c r="B1005" s="278"/>
      <c r="C1005" s="278"/>
      <c r="D1005" s="278"/>
      <c r="E1005" s="278"/>
      <c r="F1005" s="278"/>
      <c r="G1005" s="278"/>
      <c r="H1005" s="278"/>
      <c r="I1005" s="278"/>
      <c r="J1005" s="278"/>
      <c r="K1005" s="278"/>
    </row>
    <row r="1006" spans="1:11" x14ac:dyDescent="0.15">
      <c r="A1006" s="278"/>
      <c r="B1006" s="278"/>
      <c r="C1006" s="278"/>
      <c r="D1006" s="278"/>
      <c r="E1006" s="278"/>
      <c r="F1006" s="278"/>
      <c r="G1006" s="278"/>
      <c r="H1006" s="278"/>
      <c r="I1006" s="278"/>
      <c r="J1006" s="278"/>
      <c r="K1006" s="278"/>
    </row>
    <row r="1007" spans="1:11" x14ac:dyDescent="0.15">
      <c r="A1007" s="278"/>
      <c r="B1007" s="278"/>
      <c r="C1007" s="278"/>
      <c r="D1007" s="278"/>
      <c r="E1007" s="278"/>
      <c r="F1007" s="278"/>
      <c r="G1007" s="278"/>
      <c r="H1007" s="278"/>
      <c r="I1007" s="278"/>
      <c r="J1007" s="278"/>
      <c r="K1007" s="278"/>
    </row>
    <row r="1008" spans="1:11" x14ac:dyDescent="0.15">
      <c r="A1008" s="278"/>
      <c r="B1008" s="278"/>
      <c r="C1008" s="278"/>
      <c r="D1008" s="278"/>
      <c r="E1008" s="278"/>
      <c r="F1008" s="278"/>
      <c r="G1008" s="278"/>
      <c r="H1008" s="278"/>
      <c r="I1008" s="278"/>
      <c r="J1008" s="278"/>
      <c r="K1008" s="278"/>
    </row>
    <row r="1009" spans="1:11" x14ac:dyDescent="0.15">
      <c r="A1009" s="278"/>
      <c r="B1009" s="278"/>
      <c r="C1009" s="278"/>
      <c r="D1009" s="278"/>
      <c r="E1009" s="278"/>
      <c r="F1009" s="278"/>
      <c r="G1009" s="278"/>
      <c r="H1009" s="278"/>
      <c r="I1009" s="278"/>
      <c r="J1009" s="278"/>
      <c r="K1009" s="278"/>
    </row>
    <row r="1010" spans="1:11" x14ac:dyDescent="0.15">
      <c r="A1010" s="278"/>
      <c r="B1010" s="278"/>
      <c r="C1010" s="278"/>
      <c r="D1010" s="278"/>
      <c r="E1010" s="278"/>
      <c r="F1010" s="278"/>
      <c r="G1010" s="278"/>
      <c r="H1010" s="278"/>
      <c r="I1010" s="278"/>
      <c r="J1010" s="278"/>
      <c r="K1010" s="278"/>
    </row>
    <row r="1011" spans="1:11" x14ac:dyDescent="0.15">
      <c r="A1011" s="278"/>
      <c r="B1011" s="278"/>
      <c r="C1011" s="278"/>
      <c r="D1011" s="278"/>
      <c r="E1011" s="278"/>
      <c r="F1011" s="278"/>
      <c r="G1011" s="278"/>
      <c r="H1011" s="278"/>
      <c r="I1011" s="278"/>
      <c r="J1011" s="278"/>
      <c r="K1011" s="278"/>
    </row>
    <row r="1012" spans="1:11" x14ac:dyDescent="0.15">
      <c r="A1012" s="278"/>
      <c r="B1012" s="278"/>
      <c r="C1012" s="278"/>
      <c r="D1012" s="278"/>
      <c r="E1012" s="278"/>
      <c r="F1012" s="278"/>
      <c r="G1012" s="278"/>
      <c r="H1012" s="278"/>
      <c r="I1012" s="278"/>
      <c r="J1012" s="278"/>
      <c r="K1012" s="278"/>
    </row>
    <row r="1013" spans="1:11" x14ac:dyDescent="0.15">
      <c r="A1013" s="278"/>
      <c r="B1013" s="278"/>
      <c r="C1013" s="278"/>
      <c r="D1013" s="278"/>
      <c r="E1013" s="278"/>
      <c r="F1013" s="278"/>
      <c r="G1013" s="278"/>
      <c r="H1013" s="278"/>
      <c r="I1013" s="278"/>
      <c r="J1013" s="278"/>
      <c r="K1013" s="278"/>
    </row>
    <row r="1014" spans="1:11" x14ac:dyDescent="0.15">
      <c r="A1014" s="278"/>
      <c r="B1014" s="278"/>
      <c r="C1014" s="278"/>
      <c r="D1014" s="278"/>
      <c r="E1014" s="278"/>
      <c r="F1014" s="278"/>
      <c r="G1014" s="278"/>
      <c r="H1014" s="278"/>
      <c r="I1014" s="278"/>
      <c r="J1014" s="278"/>
      <c r="K1014" s="278"/>
    </row>
    <row r="1015" spans="1:11" x14ac:dyDescent="0.15">
      <c r="A1015" s="278"/>
      <c r="B1015" s="278"/>
      <c r="C1015" s="278"/>
      <c r="D1015" s="278"/>
      <c r="E1015" s="278"/>
      <c r="F1015" s="278"/>
      <c r="G1015" s="278"/>
      <c r="H1015" s="278"/>
      <c r="I1015" s="278"/>
      <c r="J1015" s="278"/>
      <c r="K1015" s="278"/>
    </row>
    <row r="1016" spans="1:11" x14ac:dyDescent="0.15">
      <c r="A1016" s="278"/>
      <c r="B1016" s="278"/>
      <c r="C1016" s="278"/>
      <c r="D1016" s="278"/>
      <c r="E1016" s="278"/>
      <c r="F1016" s="278"/>
      <c r="G1016" s="278"/>
      <c r="H1016" s="278"/>
      <c r="I1016" s="278"/>
      <c r="J1016" s="278"/>
      <c r="K1016" s="278"/>
    </row>
    <row r="1017" spans="1:11" x14ac:dyDescent="0.15">
      <c r="A1017" s="278"/>
      <c r="B1017" s="278"/>
      <c r="C1017" s="278"/>
      <c r="D1017" s="278"/>
      <c r="E1017" s="278"/>
      <c r="F1017" s="278"/>
      <c r="G1017" s="278"/>
      <c r="H1017" s="278"/>
      <c r="I1017" s="278"/>
      <c r="J1017" s="278"/>
      <c r="K1017" s="278"/>
    </row>
    <row r="1018" spans="1:11" x14ac:dyDescent="0.15">
      <c r="A1018" s="278"/>
      <c r="B1018" s="278"/>
      <c r="C1018" s="278"/>
      <c r="D1018" s="278"/>
      <c r="E1018" s="278"/>
      <c r="F1018" s="278"/>
      <c r="G1018" s="278"/>
      <c r="H1018" s="278"/>
      <c r="I1018" s="278"/>
      <c r="J1018" s="278"/>
      <c r="K1018" s="278"/>
    </row>
    <row r="1019" spans="1:11" x14ac:dyDescent="0.15">
      <c r="A1019" s="278"/>
      <c r="B1019" s="278"/>
      <c r="C1019" s="278"/>
      <c r="D1019" s="278"/>
      <c r="E1019" s="278"/>
      <c r="F1019" s="278"/>
      <c r="G1019" s="278"/>
      <c r="H1019" s="278"/>
      <c r="I1019" s="278"/>
      <c r="J1019" s="278"/>
      <c r="K1019" s="278"/>
    </row>
    <row r="1020" spans="1:11" x14ac:dyDescent="0.15">
      <c r="A1020" s="278"/>
      <c r="B1020" s="278"/>
      <c r="C1020" s="278"/>
      <c r="D1020" s="278"/>
      <c r="E1020" s="278"/>
      <c r="F1020" s="278"/>
      <c r="G1020" s="278"/>
      <c r="H1020" s="278"/>
      <c r="I1020" s="278"/>
      <c r="J1020" s="278"/>
      <c r="K1020" s="278"/>
    </row>
    <row r="1021" spans="1:11" x14ac:dyDescent="0.15">
      <c r="A1021" s="278"/>
      <c r="B1021" s="278"/>
      <c r="C1021" s="278"/>
      <c r="D1021" s="278"/>
      <c r="E1021" s="278"/>
      <c r="F1021" s="278"/>
      <c r="G1021" s="278"/>
      <c r="H1021" s="278"/>
      <c r="I1021" s="278"/>
      <c r="J1021" s="278"/>
      <c r="K1021" s="278"/>
    </row>
    <row r="1022" spans="1:11" x14ac:dyDescent="0.15">
      <c r="A1022" s="278"/>
      <c r="B1022" s="278"/>
      <c r="C1022" s="278"/>
      <c r="D1022" s="278"/>
      <c r="E1022" s="278"/>
      <c r="F1022" s="278"/>
      <c r="G1022" s="278"/>
      <c r="H1022" s="278"/>
      <c r="I1022" s="278"/>
      <c r="J1022" s="278"/>
      <c r="K1022" s="278"/>
    </row>
    <row r="1023" spans="1:11" x14ac:dyDescent="0.15">
      <c r="A1023" s="278"/>
      <c r="B1023" s="278"/>
      <c r="C1023" s="278"/>
      <c r="D1023" s="278"/>
      <c r="E1023" s="278"/>
      <c r="F1023" s="278"/>
      <c r="G1023" s="278"/>
      <c r="H1023" s="278"/>
      <c r="I1023" s="278"/>
      <c r="J1023" s="278"/>
      <c r="K1023" s="278"/>
    </row>
    <row r="1024" spans="1:11" x14ac:dyDescent="0.15">
      <c r="A1024" s="278"/>
      <c r="B1024" s="278"/>
      <c r="C1024" s="278"/>
      <c r="D1024" s="278"/>
      <c r="E1024" s="278"/>
      <c r="F1024" s="278"/>
      <c r="G1024" s="278"/>
      <c r="H1024" s="278"/>
      <c r="I1024" s="278"/>
      <c r="J1024" s="278"/>
      <c r="K1024" s="278"/>
    </row>
    <row r="1025" spans="1:11" x14ac:dyDescent="0.15">
      <c r="A1025" s="278"/>
      <c r="B1025" s="278"/>
      <c r="C1025" s="278"/>
      <c r="D1025" s="278"/>
      <c r="E1025" s="278"/>
      <c r="F1025" s="278"/>
      <c r="G1025" s="278"/>
      <c r="H1025" s="278"/>
      <c r="I1025" s="278"/>
      <c r="J1025" s="278"/>
      <c r="K1025" s="278"/>
    </row>
    <row r="1026" spans="1:11" x14ac:dyDescent="0.15">
      <c r="A1026" s="278"/>
      <c r="B1026" s="278"/>
      <c r="C1026" s="278"/>
      <c r="D1026" s="278"/>
      <c r="E1026" s="278"/>
      <c r="F1026" s="278"/>
      <c r="G1026" s="278"/>
      <c r="H1026" s="278"/>
      <c r="I1026" s="278"/>
      <c r="J1026" s="278"/>
      <c r="K1026" s="278"/>
    </row>
    <row r="1027" spans="1:11" x14ac:dyDescent="0.15">
      <c r="A1027" s="278"/>
      <c r="B1027" s="278"/>
      <c r="C1027" s="278"/>
      <c r="D1027" s="278"/>
      <c r="E1027" s="278"/>
      <c r="F1027" s="278"/>
      <c r="G1027" s="278"/>
      <c r="H1027" s="278"/>
      <c r="I1027" s="278"/>
      <c r="J1027" s="278"/>
      <c r="K1027" s="278"/>
    </row>
    <row r="1028" spans="1:11" x14ac:dyDescent="0.15">
      <c r="A1028" s="278"/>
      <c r="B1028" s="278"/>
      <c r="C1028" s="278"/>
      <c r="D1028" s="278"/>
      <c r="E1028" s="278"/>
      <c r="F1028" s="278"/>
      <c r="G1028" s="278"/>
      <c r="H1028" s="278"/>
      <c r="I1028" s="278"/>
      <c r="J1028" s="278"/>
      <c r="K1028" s="278"/>
    </row>
    <row r="1029" spans="1:11" x14ac:dyDescent="0.15">
      <c r="A1029" s="278"/>
      <c r="B1029" s="278"/>
      <c r="C1029" s="278"/>
      <c r="D1029" s="278"/>
      <c r="E1029" s="278"/>
      <c r="F1029" s="278"/>
      <c r="G1029" s="278"/>
      <c r="H1029" s="278"/>
      <c r="I1029" s="278"/>
      <c r="J1029" s="278"/>
      <c r="K1029" s="278"/>
    </row>
    <row r="1030" spans="1:11" x14ac:dyDescent="0.15">
      <c r="A1030" s="278"/>
      <c r="B1030" s="278"/>
      <c r="C1030" s="278"/>
      <c r="D1030" s="278"/>
      <c r="E1030" s="278"/>
      <c r="F1030" s="278"/>
      <c r="G1030" s="278"/>
      <c r="H1030" s="278"/>
      <c r="I1030" s="278"/>
      <c r="J1030" s="278"/>
      <c r="K1030" s="278"/>
    </row>
    <row r="1031" spans="1:11" x14ac:dyDescent="0.15">
      <c r="A1031" s="278"/>
      <c r="B1031" s="278"/>
      <c r="C1031" s="278"/>
      <c r="D1031" s="278"/>
      <c r="E1031" s="278"/>
      <c r="F1031" s="278"/>
      <c r="G1031" s="278"/>
      <c r="H1031" s="278"/>
      <c r="I1031" s="278"/>
      <c r="J1031" s="278"/>
      <c r="K1031" s="278"/>
    </row>
    <row r="1032" spans="1:11" x14ac:dyDescent="0.15">
      <c r="A1032" s="278"/>
      <c r="B1032" s="278"/>
      <c r="C1032" s="278"/>
      <c r="D1032" s="278"/>
      <c r="E1032" s="278"/>
      <c r="F1032" s="278"/>
      <c r="G1032" s="278"/>
      <c r="H1032" s="278"/>
      <c r="I1032" s="278"/>
      <c r="J1032" s="278"/>
      <c r="K1032" s="278"/>
    </row>
    <row r="1033" spans="1:11" x14ac:dyDescent="0.15">
      <c r="A1033" s="278"/>
      <c r="B1033" s="278"/>
      <c r="C1033" s="278"/>
      <c r="D1033" s="278"/>
      <c r="E1033" s="278"/>
      <c r="F1033" s="278"/>
      <c r="G1033" s="278"/>
      <c r="H1033" s="278"/>
      <c r="I1033" s="278"/>
      <c r="J1033" s="278"/>
      <c r="K1033" s="278"/>
    </row>
    <row r="1034" spans="1:11" x14ac:dyDescent="0.15">
      <c r="A1034" s="278"/>
      <c r="B1034" s="278"/>
      <c r="C1034" s="278"/>
      <c r="D1034" s="278"/>
      <c r="E1034" s="278"/>
      <c r="F1034" s="278"/>
      <c r="G1034" s="278"/>
      <c r="H1034" s="278"/>
      <c r="I1034" s="278"/>
      <c r="J1034" s="278"/>
      <c r="K1034" s="278"/>
    </row>
    <row r="1035" spans="1:11" x14ac:dyDescent="0.15">
      <c r="A1035" s="278"/>
      <c r="B1035" s="278"/>
      <c r="C1035" s="278"/>
      <c r="D1035" s="278"/>
      <c r="E1035" s="278"/>
      <c r="F1035" s="278"/>
      <c r="G1035" s="278"/>
      <c r="H1035" s="278"/>
      <c r="I1035" s="278"/>
      <c r="J1035" s="278"/>
      <c r="K1035" s="278"/>
    </row>
    <row r="1036" spans="1:11" x14ac:dyDescent="0.15">
      <c r="A1036" s="278"/>
      <c r="B1036" s="278"/>
      <c r="C1036" s="278"/>
      <c r="D1036" s="278"/>
      <c r="E1036" s="278"/>
      <c r="F1036" s="278"/>
      <c r="G1036" s="278"/>
      <c r="H1036" s="278"/>
      <c r="I1036" s="278"/>
      <c r="J1036" s="278"/>
      <c r="K1036" s="278"/>
    </row>
    <row r="1037" spans="1:11" x14ac:dyDescent="0.15">
      <c r="A1037" s="278"/>
      <c r="B1037" s="278"/>
      <c r="C1037" s="278"/>
      <c r="D1037" s="278"/>
      <c r="E1037" s="278"/>
      <c r="F1037" s="278"/>
      <c r="G1037" s="278"/>
      <c r="H1037" s="278"/>
      <c r="I1037" s="278"/>
      <c r="J1037" s="278"/>
      <c r="K1037" s="278"/>
    </row>
    <row r="1038" spans="1:11" x14ac:dyDescent="0.15">
      <c r="A1038" s="278"/>
      <c r="B1038" s="278"/>
      <c r="C1038" s="278"/>
      <c r="D1038" s="278"/>
      <c r="E1038" s="278"/>
      <c r="F1038" s="278"/>
      <c r="G1038" s="278"/>
      <c r="H1038" s="278"/>
      <c r="I1038" s="278"/>
      <c r="J1038" s="278"/>
      <c r="K1038" s="278"/>
    </row>
    <row r="1039" spans="1:11" x14ac:dyDescent="0.15">
      <c r="A1039" s="278"/>
      <c r="B1039" s="278"/>
      <c r="C1039" s="278"/>
      <c r="D1039" s="278"/>
      <c r="E1039" s="278"/>
      <c r="F1039" s="278"/>
      <c r="G1039" s="278"/>
      <c r="H1039" s="278"/>
      <c r="I1039" s="278"/>
      <c r="J1039" s="278"/>
      <c r="K1039" s="278"/>
    </row>
    <row r="1040" spans="1:11" x14ac:dyDescent="0.15">
      <c r="A1040" s="278"/>
      <c r="B1040" s="278"/>
      <c r="C1040" s="278"/>
      <c r="D1040" s="278"/>
      <c r="E1040" s="278"/>
      <c r="F1040" s="278"/>
      <c r="G1040" s="278"/>
      <c r="H1040" s="278"/>
      <c r="I1040" s="278"/>
      <c r="J1040" s="278"/>
      <c r="K1040" s="278"/>
    </row>
    <row r="1041" spans="1:11" x14ac:dyDescent="0.15">
      <c r="A1041" s="278"/>
      <c r="B1041" s="278"/>
      <c r="C1041" s="278"/>
      <c r="D1041" s="278"/>
      <c r="E1041" s="278"/>
      <c r="F1041" s="278"/>
      <c r="G1041" s="278"/>
      <c r="H1041" s="278"/>
      <c r="I1041" s="278"/>
      <c r="J1041" s="278"/>
      <c r="K1041" s="278"/>
    </row>
    <row r="1042" spans="1:11" x14ac:dyDescent="0.15">
      <c r="A1042" s="278"/>
      <c r="B1042" s="278"/>
      <c r="C1042" s="278"/>
      <c r="D1042" s="278"/>
      <c r="E1042" s="278"/>
      <c r="F1042" s="278"/>
      <c r="G1042" s="278"/>
      <c r="H1042" s="278"/>
      <c r="I1042" s="278"/>
      <c r="J1042" s="278"/>
      <c r="K1042" s="278"/>
    </row>
    <row r="1043" spans="1:11" x14ac:dyDescent="0.15">
      <c r="A1043" s="278"/>
      <c r="B1043" s="278"/>
      <c r="C1043" s="278"/>
      <c r="D1043" s="278"/>
      <c r="E1043" s="278"/>
      <c r="F1043" s="278"/>
      <c r="G1043" s="278"/>
      <c r="H1043" s="278"/>
      <c r="I1043" s="278"/>
      <c r="J1043" s="278"/>
      <c r="K1043" s="278"/>
    </row>
    <row r="1044" spans="1:11" x14ac:dyDescent="0.15">
      <c r="A1044" s="278"/>
      <c r="B1044" s="278"/>
      <c r="C1044" s="278"/>
      <c r="D1044" s="278"/>
      <c r="E1044" s="278"/>
      <c r="F1044" s="278"/>
      <c r="G1044" s="278"/>
      <c r="H1044" s="278"/>
      <c r="I1044" s="278"/>
      <c r="J1044" s="278"/>
      <c r="K1044" s="278"/>
    </row>
    <row r="1045" spans="1:11" x14ac:dyDescent="0.15">
      <c r="A1045" s="278"/>
      <c r="B1045" s="278"/>
      <c r="C1045" s="278"/>
      <c r="D1045" s="278"/>
      <c r="E1045" s="278"/>
      <c r="F1045" s="278"/>
      <c r="G1045" s="278"/>
      <c r="H1045" s="278"/>
      <c r="I1045" s="278"/>
      <c r="J1045" s="278"/>
      <c r="K1045" s="278"/>
    </row>
    <row r="1046" spans="1:11" x14ac:dyDescent="0.15">
      <c r="A1046" s="278"/>
      <c r="B1046" s="278"/>
      <c r="C1046" s="278"/>
      <c r="D1046" s="278"/>
      <c r="E1046" s="278"/>
      <c r="F1046" s="278"/>
      <c r="G1046" s="278"/>
      <c r="H1046" s="278"/>
      <c r="I1046" s="278"/>
      <c r="J1046" s="278"/>
      <c r="K1046" s="278"/>
    </row>
    <row r="1047" spans="1:11" x14ac:dyDescent="0.15">
      <c r="A1047" s="278"/>
      <c r="B1047" s="278"/>
      <c r="C1047" s="278"/>
      <c r="D1047" s="278"/>
      <c r="E1047" s="278"/>
      <c r="F1047" s="278"/>
      <c r="G1047" s="278"/>
      <c r="H1047" s="278"/>
      <c r="I1047" s="278"/>
      <c r="J1047" s="278"/>
      <c r="K1047" s="278"/>
    </row>
    <row r="1048" spans="1:11" x14ac:dyDescent="0.15">
      <c r="A1048" s="278"/>
      <c r="B1048" s="278"/>
      <c r="C1048" s="278"/>
      <c r="D1048" s="278"/>
      <c r="E1048" s="278"/>
      <c r="F1048" s="278"/>
      <c r="G1048" s="278"/>
      <c r="H1048" s="278"/>
      <c r="I1048" s="278"/>
      <c r="J1048" s="278"/>
      <c r="K1048" s="278"/>
    </row>
    <row r="1049" spans="1:11" x14ac:dyDescent="0.15">
      <c r="A1049" s="278"/>
      <c r="B1049" s="278"/>
      <c r="C1049" s="278"/>
      <c r="D1049" s="278"/>
      <c r="E1049" s="278"/>
      <c r="F1049" s="278"/>
      <c r="G1049" s="278"/>
      <c r="H1049" s="278"/>
      <c r="I1049" s="278"/>
      <c r="J1049" s="278"/>
      <c r="K1049" s="278"/>
    </row>
    <row r="1050" spans="1:11" x14ac:dyDescent="0.15">
      <c r="A1050" s="278"/>
      <c r="B1050" s="278"/>
      <c r="C1050" s="278"/>
      <c r="D1050" s="278"/>
      <c r="E1050" s="278"/>
      <c r="F1050" s="278"/>
      <c r="G1050" s="278"/>
      <c r="H1050" s="278"/>
      <c r="I1050" s="278"/>
      <c r="J1050" s="278"/>
      <c r="K1050" s="278"/>
    </row>
    <row r="1051" spans="1:11" x14ac:dyDescent="0.15">
      <c r="A1051" s="278"/>
      <c r="B1051" s="278"/>
      <c r="C1051" s="278"/>
      <c r="D1051" s="278"/>
      <c r="E1051" s="278"/>
      <c r="F1051" s="278"/>
      <c r="G1051" s="278"/>
      <c r="H1051" s="278"/>
      <c r="I1051" s="278"/>
      <c r="J1051" s="278"/>
      <c r="K1051" s="278"/>
    </row>
    <row r="1052" spans="1:11" x14ac:dyDescent="0.15">
      <c r="A1052" s="278"/>
      <c r="B1052" s="278"/>
      <c r="C1052" s="278"/>
      <c r="D1052" s="278"/>
      <c r="E1052" s="278"/>
      <c r="F1052" s="278"/>
      <c r="G1052" s="278"/>
      <c r="H1052" s="278"/>
      <c r="I1052" s="278"/>
      <c r="J1052" s="278"/>
      <c r="K1052" s="278"/>
    </row>
    <row r="1053" spans="1:11" x14ac:dyDescent="0.15">
      <c r="A1053" s="278"/>
      <c r="B1053" s="278"/>
      <c r="C1053" s="278"/>
      <c r="D1053" s="278"/>
      <c r="E1053" s="278"/>
      <c r="F1053" s="278"/>
      <c r="G1053" s="278"/>
      <c r="H1053" s="278"/>
      <c r="I1053" s="278"/>
      <c r="J1053" s="278"/>
      <c r="K1053" s="278"/>
    </row>
    <row r="1054" spans="1:11" x14ac:dyDescent="0.15">
      <c r="A1054" s="278"/>
      <c r="B1054" s="278"/>
      <c r="C1054" s="278"/>
      <c r="D1054" s="278"/>
      <c r="E1054" s="278"/>
      <c r="F1054" s="278"/>
      <c r="G1054" s="278"/>
      <c r="H1054" s="278"/>
      <c r="I1054" s="278"/>
      <c r="J1054" s="278"/>
      <c r="K1054" s="278"/>
    </row>
    <row r="1055" spans="1:11" x14ac:dyDescent="0.15">
      <c r="A1055" s="278"/>
      <c r="B1055" s="278"/>
      <c r="C1055" s="278"/>
      <c r="D1055" s="278"/>
      <c r="E1055" s="278"/>
      <c r="F1055" s="278"/>
      <c r="G1055" s="278"/>
      <c r="H1055" s="278"/>
      <c r="I1055" s="278"/>
      <c r="J1055" s="278"/>
      <c r="K1055" s="278"/>
    </row>
    <row r="1056" spans="1:11" x14ac:dyDescent="0.15">
      <c r="A1056" s="278"/>
      <c r="B1056" s="278"/>
      <c r="C1056" s="278"/>
      <c r="D1056" s="278"/>
      <c r="E1056" s="278"/>
      <c r="F1056" s="278"/>
      <c r="G1056" s="278"/>
      <c r="H1056" s="278"/>
      <c r="I1056" s="278"/>
      <c r="J1056" s="278"/>
      <c r="K1056" s="278"/>
    </row>
    <row r="1057" spans="1:11" x14ac:dyDescent="0.15">
      <c r="A1057" s="278"/>
      <c r="B1057" s="278"/>
      <c r="C1057" s="278"/>
      <c r="D1057" s="278"/>
      <c r="E1057" s="278"/>
      <c r="F1057" s="278"/>
      <c r="G1057" s="278"/>
      <c r="H1057" s="278"/>
      <c r="I1057" s="278"/>
      <c r="J1057" s="278"/>
      <c r="K1057" s="278"/>
    </row>
    <row r="1058" spans="1:11" x14ac:dyDescent="0.15">
      <c r="A1058" s="278"/>
      <c r="B1058" s="278"/>
      <c r="C1058" s="278"/>
      <c r="D1058" s="278"/>
      <c r="E1058" s="278"/>
      <c r="F1058" s="278"/>
      <c r="G1058" s="278"/>
      <c r="H1058" s="278"/>
      <c r="I1058" s="278"/>
      <c r="J1058" s="278"/>
      <c r="K1058" s="278"/>
    </row>
    <row r="1059" spans="1:11" x14ac:dyDescent="0.15">
      <c r="A1059" s="278"/>
      <c r="B1059" s="278"/>
      <c r="C1059" s="278"/>
      <c r="D1059" s="278"/>
      <c r="E1059" s="278"/>
      <c r="F1059" s="278"/>
      <c r="G1059" s="278"/>
      <c r="H1059" s="278"/>
      <c r="I1059" s="278"/>
      <c r="J1059" s="278"/>
      <c r="K1059" s="278"/>
    </row>
    <row r="1060" spans="1:11" x14ac:dyDescent="0.15">
      <c r="A1060" s="278"/>
      <c r="B1060" s="278"/>
      <c r="C1060" s="278"/>
      <c r="D1060" s="278"/>
      <c r="E1060" s="278"/>
      <c r="F1060" s="278"/>
      <c r="G1060" s="278"/>
      <c r="H1060" s="278"/>
      <c r="I1060" s="278"/>
      <c r="J1060" s="278"/>
      <c r="K1060" s="278"/>
    </row>
    <row r="1061" spans="1:11" x14ac:dyDescent="0.15">
      <c r="A1061" s="278"/>
      <c r="B1061" s="278"/>
      <c r="C1061" s="278"/>
      <c r="D1061" s="278"/>
      <c r="E1061" s="278"/>
      <c r="F1061" s="278"/>
      <c r="G1061" s="278"/>
      <c r="H1061" s="278"/>
      <c r="I1061" s="278"/>
      <c r="J1061" s="278"/>
      <c r="K1061" s="278"/>
    </row>
    <row r="1062" spans="1:11" x14ac:dyDescent="0.15">
      <c r="A1062" s="278"/>
      <c r="B1062" s="278"/>
      <c r="C1062" s="278"/>
      <c r="D1062" s="278"/>
      <c r="E1062" s="278"/>
      <c r="F1062" s="278"/>
      <c r="G1062" s="278"/>
      <c r="H1062" s="278"/>
      <c r="I1062" s="278"/>
      <c r="J1062" s="278"/>
      <c r="K1062" s="278"/>
    </row>
    <row r="1063" spans="1:11" x14ac:dyDescent="0.15">
      <c r="A1063" s="278"/>
      <c r="B1063" s="278"/>
      <c r="C1063" s="278"/>
      <c r="D1063" s="278"/>
      <c r="E1063" s="278"/>
      <c r="F1063" s="278"/>
      <c r="G1063" s="278"/>
      <c r="H1063" s="278"/>
      <c r="I1063" s="278"/>
      <c r="J1063" s="278"/>
      <c r="K1063" s="278"/>
    </row>
    <row r="1064" spans="1:11" x14ac:dyDescent="0.15">
      <c r="A1064" s="278"/>
      <c r="B1064" s="278"/>
      <c r="C1064" s="278"/>
      <c r="D1064" s="278"/>
      <c r="E1064" s="278"/>
      <c r="F1064" s="278"/>
      <c r="G1064" s="278"/>
      <c r="H1064" s="278"/>
      <c r="I1064" s="278"/>
      <c r="J1064" s="278"/>
      <c r="K1064" s="278"/>
    </row>
    <row r="1065" spans="1:11" x14ac:dyDescent="0.15">
      <c r="A1065" s="278"/>
      <c r="B1065" s="278"/>
      <c r="C1065" s="278"/>
      <c r="D1065" s="278"/>
      <c r="E1065" s="278"/>
      <c r="F1065" s="278"/>
      <c r="G1065" s="278"/>
      <c r="H1065" s="278"/>
      <c r="I1065" s="278"/>
      <c r="J1065" s="278"/>
      <c r="K1065" s="278"/>
    </row>
    <row r="1066" spans="1:11" x14ac:dyDescent="0.15">
      <c r="A1066" s="278"/>
      <c r="B1066" s="278"/>
      <c r="C1066" s="278"/>
      <c r="D1066" s="278"/>
      <c r="E1066" s="278"/>
      <c r="F1066" s="278"/>
      <c r="G1066" s="278"/>
      <c r="H1066" s="278"/>
      <c r="I1066" s="278"/>
      <c r="J1066" s="278"/>
      <c r="K1066" s="278"/>
    </row>
    <row r="1067" spans="1:11" x14ac:dyDescent="0.15">
      <c r="A1067" s="278"/>
      <c r="B1067" s="278"/>
      <c r="C1067" s="278"/>
      <c r="D1067" s="278"/>
      <c r="E1067" s="278"/>
      <c r="F1067" s="278"/>
      <c r="G1067" s="278"/>
      <c r="H1067" s="278"/>
      <c r="I1067" s="278"/>
      <c r="J1067" s="278"/>
      <c r="K1067" s="278"/>
    </row>
    <row r="1068" spans="1:11" x14ac:dyDescent="0.15">
      <c r="A1068" s="278"/>
      <c r="B1068" s="278"/>
      <c r="C1068" s="278"/>
      <c r="D1068" s="278"/>
      <c r="E1068" s="278"/>
      <c r="F1068" s="278"/>
      <c r="G1068" s="278"/>
      <c r="H1068" s="278"/>
      <c r="I1068" s="278"/>
      <c r="J1068" s="278"/>
      <c r="K1068" s="278"/>
    </row>
    <row r="1069" spans="1:11" x14ac:dyDescent="0.15">
      <c r="A1069" s="278"/>
      <c r="B1069" s="278"/>
      <c r="C1069" s="278"/>
      <c r="D1069" s="278"/>
      <c r="E1069" s="278"/>
      <c r="F1069" s="278"/>
      <c r="G1069" s="278"/>
      <c r="H1069" s="278"/>
      <c r="I1069" s="278"/>
      <c r="J1069" s="278"/>
      <c r="K1069" s="278"/>
    </row>
    <row r="1070" spans="1:11" x14ac:dyDescent="0.15">
      <c r="A1070" s="278"/>
      <c r="B1070" s="278"/>
      <c r="C1070" s="278"/>
      <c r="D1070" s="278"/>
      <c r="E1070" s="278"/>
      <c r="F1070" s="278"/>
      <c r="G1070" s="278"/>
      <c r="H1070" s="278"/>
      <c r="I1070" s="278"/>
      <c r="J1070" s="278"/>
      <c r="K1070" s="278"/>
    </row>
    <row r="1071" spans="1:11" x14ac:dyDescent="0.15">
      <c r="A1071" s="278"/>
      <c r="B1071" s="278"/>
      <c r="C1071" s="278"/>
      <c r="D1071" s="278"/>
      <c r="E1071" s="278"/>
      <c r="F1071" s="278"/>
      <c r="G1071" s="278"/>
      <c r="H1071" s="278"/>
      <c r="I1071" s="278"/>
      <c r="J1071" s="278"/>
      <c r="K1071" s="278"/>
    </row>
    <row r="1072" spans="1:11" x14ac:dyDescent="0.15">
      <c r="A1072" s="278"/>
      <c r="B1072" s="278"/>
      <c r="C1072" s="278"/>
      <c r="D1072" s="278"/>
      <c r="E1072" s="278"/>
      <c r="F1072" s="278"/>
      <c r="G1072" s="278"/>
      <c r="H1072" s="278"/>
      <c r="I1072" s="278"/>
      <c r="J1072" s="278"/>
      <c r="K1072" s="278"/>
    </row>
    <row r="1073" spans="1:11" x14ac:dyDescent="0.15">
      <c r="A1073" s="278"/>
      <c r="B1073" s="278"/>
      <c r="C1073" s="278"/>
      <c r="D1073" s="278"/>
      <c r="E1073" s="278"/>
      <c r="F1073" s="278"/>
      <c r="G1073" s="278"/>
      <c r="H1073" s="278"/>
      <c r="I1073" s="278"/>
      <c r="J1073" s="278"/>
      <c r="K1073" s="278"/>
    </row>
    <row r="1074" spans="1:11" x14ac:dyDescent="0.15">
      <c r="A1074" s="278"/>
      <c r="B1074" s="278"/>
      <c r="C1074" s="278"/>
      <c r="D1074" s="278"/>
      <c r="E1074" s="278"/>
      <c r="F1074" s="278"/>
      <c r="G1074" s="278"/>
      <c r="H1074" s="278"/>
      <c r="I1074" s="278"/>
      <c r="J1074" s="278"/>
      <c r="K1074" s="278"/>
    </row>
    <row r="1075" spans="1:11" x14ac:dyDescent="0.15">
      <c r="A1075" s="278"/>
      <c r="B1075" s="278"/>
      <c r="C1075" s="278"/>
      <c r="D1075" s="278"/>
      <c r="E1075" s="278"/>
      <c r="F1075" s="278"/>
      <c r="G1075" s="278"/>
      <c r="H1075" s="278"/>
      <c r="I1075" s="278"/>
      <c r="J1075" s="278"/>
      <c r="K1075" s="278"/>
    </row>
    <row r="1076" spans="1:11" x14ac:dyDescent="0.15">
      <c r="A1076" s="278"/>
      <c r="B1076" s="278"/>
      <c r="C1076" s="278"/>
      <c r="D1076" s="278"/>
      <c r="E1076" s="278"/>
      <c r="F1076" s="278"/>
      <c r="G1076" s="278"/>
      <c r="H1076" s="278"/>
      <c r="I1076" s="278"/>
      <c r="J1076" s="278"/>
      <c r="K1076" s="278"/>
    </row>
    <row r="1077" spans="1:11" x14ac:dyDescent="0.15">
      <c r="A1077" s="278"/>
      <c r="B1077" s="278"/>
      <c r="C1077" s="278"/>
      <c r="D1077" s="278"/>
      <c r="E1077" s="278"/>
      <c r="F1077" s="278"/>
      <c r="G1077" s="278"/>
      <c r="H1077" s="278"/>
      <c r="I1077" s="278"/>
      <c r="J1077" s="278"/>
      <c r="K1077" s="278"/>
    </row>
    <row r="1078" spans="1:11" x14ac:dyDescent="0.15">
      <c r="A1078" s="278"/>
      <c r="B1078" s="278"/>
      <c r="C1078" s="278"/>
      <c r="D1078" s="278"/>
      <c r="E1078" s="278"/>
      <c r="F1078" s="278"/>
      <c r="G1078" s="278"/>
      <c r="H1078" s="278"/>
      <c r="I1078" s="278"/>
      <c r="J1078" s="278"/>
      <c r="K1078" s="278"/>
    </row>
    <row r="1079" spans="1:11" x14ac:dyDescent="0.15">
      <c r="A1079" s="278"/>
      <c r="B1079" s="278"/>
      <c r="C1079" s="278"/>
      <c r="D1079" s="278"/>
      <c r="E1079" s="278"/>
      <c r="F1079" s="278"/>
      <c r="G1079" s="278"/>
      <c r="H1079" s="278"/>
      <c r="I1079" s="278"/>
      <c r="J1079" s="278"/>
      <c r="K1079" s="278"/>
    </row>
    <row r="1080" spans="1:11" x14ac:dyDescent="0.15">
      <c r="A1080" s="278"/>
      <c r="B1080" s="278"/>
      <c r="C1080" s="278"/>
      <c r="D1080" s="278"/>
      <c r="E1080" s="278"/>
      <c r="F1080" s="278"/>
      <c r="G1080" s="278"/>
      <c r="H1080" s="278"/>
      <c r="I1080" s="278"/>
      <c r="J1080" s="278"/>
      <c r="K1080" s="278"/>
    </row>
    <row r="1081" spans="1:11" x14ac:dyDescent="0.15">
      <c r="A1081" s="278"/>
      <c r="B1081" s="278"/>
      <c r="C1081" s="278"/>
      <c r="D1081" s="278"/>
      <c r="E1081" s="278"/>
      <c r="F1081" s="278"/>
      <c r="G1081" s="278"/>
      <c r="H1081" s="278"/>
      <c r="I1081" s="278"/>
      <c r="J1081" s="278"/>
      <c r="K1081" s="278"/>
    </row>
    <row r="1082" spans="1:11" x14ac:dyDescent="0.15">
      <c r="A1082" s="278"/>
      <c r="B1082" s="278"/>
      <c r="C1082" s="278"/>
      <c r="D1082" s="278"/>
      <c r="E1082" s="278"/>
      <c r="F1082" s="278"/>
      <c r="G1082" s="278"/>
      <c r="H1082" s="278"/>
      <c r="I1082" s="278"/>
      <c r="J1082" s="278"/>
      <c r="K1082" s="278"/>
    </row>
    <row r="1083" spans="1:11" x14ac:dyDescent="0.15">
      <c r="A1083" s="278"/>
      <c r="B1083" s="278"/>
      <c r="C1083" s="278"/>
      <c r="D1083" s="278"/>
      <c r="E1083" s="278"/>
      <c r="F1083" s="278"/>
      <c r="G1083" s="278"/>
      <c r="H1083" s="278"/>
      <c r="I1083" s="278"/>
      <c r="J1083" s="278"/>
      <c r="K1083" s="278"/>
    </row>
    <row r="1084" spans="1:11" x14ac:dyDescent="0.15">
      <c r="A1084" s="278"/>
      <c r="B1084" s="278"/>
      <c r="C1084" s="278"/>
      <c r="D1084" s="278"/>
      <c r="E1084" s="278"/>
      <c r="F1084" s="278"/>
      <c r="G1084" s="278"/>
      <c r="H1084" s="278"/>
      <c r="I1084" s="278"/>
      <c r="J1084" s="278"/>
      <c r="K1084" s="278"/>
    </row>
    <row r="1085" spans="1:11" x14ac:dyDescent="0.15">
      <c r="A1085" s="278"/>
      <c r="B1085" s="278"/>
      <c r="C1085" s="278"/>
      <c r="D1085" s="278"/>
      <c r="E1085" s="278"/>
      <c r="F1085" s="278"/>
      <c r="G1085" s="278"/>
      <c r="H1085" s="278"/>
      <c r="I1085" s="278"/>
      <c r="J1085" s="278"/>
      <c r="K1085" s="278"/>
    </row>
    <row r="1086" spans="1:11" x14ac:dyDescent="0.15">
      <c r="A1086" s="278"/>
      <c r="B1086" s="278"/>
      <c r="C1086" s="278"/>
      <c r="D1086" s="278"/>
      <c r="E1086" s="278"/>
      <c r="F1086" s="278"/>
      <c r="G1086" s="278"/>
      <c r="H1086" s="278"/>
      <c r="I1086" s="278"/>
      <c r="J1086" s="278"/>
      <c r="K1086" s="278"/>
    </row>
    <row r="1087" spans="1:11" x14ac:dyDescent="0.15">
      <c r="A1087" s="278"/>
      <c r="B1087" s="278"/>
      <c r="C1087" s="278"/>
      <c r="D1087" s="278"/>
      <c r="E1087" s="278"/>
      <c r="F1087" s="278"/>
      <c r="G1087" s="278"/>
      <c r="H1087" s="278"/>
      <c r="I1087" s="278"/>
      <c r="J1087" s="278"/>
      <c r="K1087" s="278"/>
    </row>
    <row r="1088" spans="1:11" x14ac:dyDescent="0.15">
      <c r="A1088" s="278"/>
      <c r="B1088" s="278"/>
      <c r="C1088" s="278"/>
      <c r="D1088" s="278"/>
      <c r="E1088" s="278"/>
      <c r="F1088" s="278"/>
      <c r="G1088" s="278"/>
      <c r="H1088" s="278"/>
      <c r="I1088" s="278"/>
      <c r="J1088" s="278"/>
      <c r="K1088" s="278"/>
    </row>
    <row r="1089" spans="1:11" x14ac:dyDescent="0.15">
      <c r="A1089" s="278"/>
      <c r="B1089" s="278"/>
      <c r="C1089" s="278"/>
      <c r="D1089" s="278"/>
      <c r="E1089" s="278"/>
      <c r="F1089" s="278"/>
      <c r="G1089" s="278"/>
      <c r="H1089" s="278"/>
      <c r="I1089" s="278"/>
      <c r="J1089" s="278"/>
      <c r="K1089" s="278"/>
    </row>
    <row r="1090" spans="1:11" x14ac:dyDescent="0.15">
      <c r="A1090" s="278"/>
      <c r="B1090" s="278"/>
      <c r="C1090" s="278"/>
      <c r="D1090" s="278"/>
      <c r="E1090" s="278"/>
      <c r="F1090" s="278"/>
      <c r="G1090" s="278"/>
      <c r="H1090" s="278"/>
      <c r="I1090" s="278"/>
      <c r="J1090" s="278"/>
      <c r="K1090" s="278"/>
    </row>
    <row r="1091" spans="1:11" x14ac:dyDescent="0.15">
      <c r="A1091" s="278"/>
      <c r="B1091" s="278"/>
      <c r="C1091" s="278"/>
      <c r="D1091" s="278"/>
      <c r="E1091" s="278"/>
      <c r="F1091" s="278"/>
      <c r="G1091" s="278"/>
      <c r="H1091" s="278"/>
      <c r="I1091" s="278"/>
      <c r="J1091" s="278"/>
      <c r="K1091" s="278"/>
    </row>
    <row r="1092" spans="1:11" x14ac:dyDescent="0.15">
      <c r="A1092" s="278"/>
      <c r="B1092" s="278"/>
      <c r="C1092" s="278"/>
      <c r="D1092" s="278"/>
      <c r="E1092" s="278"/>
      <c r="F1092" s="278"/>
      <c r="G1092" s="278"/>
      <c r="H1092" s="278"/>
      <c r="I1092" s="278"/>
      <c r="J1092" s="278"/>
      <c r="K1092" s="278"/>
    </row>
    <row r="1093" spans="1:11" x14ac:dyDescent="0.15">
      <c r="A1093" s="278"/>
      <c r="B1093" s="278"/>
      <c r="C1093" s="278"/>
      <c r="D1093" s="278"/>
      <c r="E1093" s="278"/>
      <c r="F1093" s="278"/>
      <c r="G1093" s="278"/>
      <c r="H1093" s="278"/>
      <c r="I1093" s="278"/>
      <c r="J1093" s="278"/>
      <c r="K1093" s="278"/>
    </row>
    <row r="1094" spans="1:11" x14ac:dyDescent="0.15">
      <c r="A1094" s="278"/>
      <c r="B1094" s="278"/>
      <c r="C1094" s="278"/>
      <c r="D1094" s="278"/>
      <c r="E1094" s="278"/>
      <c r="F1094" s="278"/>
      <c r="G1094" s="278"/>
      <c r="H1094" s="278"/>
      <c r="I1094" s="278"/>
      <c r="J1094" s="278"/>
      <c r="K1094" s="278"/>
    </row>
    <row r="1095" spans="1:11" x14ac:dyDescent="0.15">
      <c r="A1095" s="278"/>
      <c r="B1095" s="278"/>
      <c r="C1095" s="278"/>
      <c r="D1095" s="278"/>
      <c r="E1095" s="278"/>
      <c r="F1095" s="278"/>
      <c r="G1095" s="278"/>
      <c r="H1095" s="278"/>
      <c r="I1095" s="278"/>
      <c r="J1095" s="278"/>
      <c r="K1095" s="278"/>
    </row>
    <row r="1096" spans="1:11" x14ac:dyDescent="0.15">
      <c r="A1096" s="278"/>
      <c r="B1096" s="278"/>
      <c r="C1096" s="278"/>
      <c r="D1096" s="278"/>
      <c r="E1096" s="278"/>
      <c r="F1096" s="278"/>
      <c r="G1096" s="278"/>
      <c r="H1096" s="278"/>
      <c r="I1096" s="278"/>
      <c r="J1096" s="278"/>
      <c r="K1096" s="278"/>
    </row>
    <row r="1097" spans="1:11" x14ac:dyDescent="0.15">
      <c r="A1097" s="278"/>
      <c r="B1097" s="278"/>
      <c r="C1097" s="278"/>
      <c r="D1097" s="278"/>
      <c r="E1097" s="278"/>
      <c r="F1097" s="278"/>
      <c r="G1097" s="278"/>
      <c r="H1097" s="278"/>
      <c r="I1097" s="278"/>
      <c r="J1097" s="278"/>
      <c r="K1097" s="278"/>
    </row>
    <row r="1098" spans="1:11" x14ac:dyDescent="0.15">
      <c r="A1098" s="278"/>
      <c r="B1098" s="278"/>
      <c r="C1098" s="278"/>
      <c r="D1098" s="278"/>
      <c r="E1098" s="278"/>
      <c r="F1098" s="278"/>
      <c r="G1098" s="278"/>
      <c r="H1098" s="278"/>
      <c r="I1098" s="278"/>
      <c r="J1098" s="278"/>
      <c r="K1098" s="278"/>
    </row>
    <row r="1099" spans="1:11" x14ac:dyDescent="0.15">
      <c r="A1099" s="278"/>
      <c r="B1099" s="278"/>
      <c r="C1099" s="278"/>
      <c r="D1099" s="278"/>
      <c r="E1099" s="278"/>
      <c r="F1099" s="278"/>
      <c r="G1099" s="278"/>
      <c r="H1099" s="278"/>
      <c r="I1099" s="278"/>
      <c r="J1099" s="278"/>
      <c r="K1099" s="278"/>
    </row>
    <row r="1100" spans="1:11" x14ac:dyDescent="0.15">
      <c r="A1100" s="278"/>
      <c r="B1100" s="278"/>
      <c r="C1100" s="278"/>
      <c r="D1100" s="278"/>
      <c r="E1100" s="278"/>
      <c r="F1100" s="278"/>
      <c r="G1100" s="278"/>
      <c r="H1100" s="278"/>
      <c r="I1100" s="278"/>
      <c r="J1100" s="278"/>
      <c r="K1100" s="278"/>
    </row>
    <row r="1101" spans="1:11" x14ac:dyDescent="0.15">
      <c r="A1101" s="278"/>
      <c r="B1101" s="278"/>
      <c r="C1101" s="278"/>
      <c r="D1101" s="278"/>
      <c r="E1101" s="278"/>
      <c r="F1101" s="278"/>
      <c r="G1101" s="278"/>
      <c r="H1101" s="278"/>
      <c r="I1101" s="278"/>
      <c r="J1101" s="278"/>
      <c r="K1101" s="278"/>
    </row>
    <row r="1102" spans="1:11" x14ac:dyDescent="0.15">
      <c r="A1102" s="278"/>
      <c r="B1102" s="278"/>
      <c r="C1102" s="278"/>
      <c r="D1102" s="278"/>
      <c r="E1102" s="278"/>
      <c r="F1102" s="278"/>
      <c r="G1102" s="278"/>
      <c r="H1102" s="278"/>
      <c r="I1102" s="278"/>
      <c r="J1102" s="278"/>
      <c r="K1102" s="278"/>
    </row>
    <row r="1103" spans="1:11" x14ac:dyDescent="0.15">
      <c r="A1103" s="278"/>
      <c r="B1103" s="278"/>
      <c r="C1103" s="278"/>
      <c r="D1103" s="278"/>
      <c r="E1103" s="278"/>
      <c r="F1103" s="278"/>
      <c r="G1103" s="278"/>
      <c r="H1103" s="278"/>
      <c r="I1103" s="278"/>
      <c r="J1103" s="278"/>
      <c r="K1103" s="278"/>
    </row>
    <row r="1104" spans="1:11" x14ac:dyDescent="0.15">
      <c r="A1104" s="278"/>
      <c r="B1104" s="278"/>
      <c r="C1104" s="278"/>
      <c r="D1104" s="278"/>
      <c r="E1104" s="278"/>
      <c r="F1104" s="278"/>
      <c r="G1104" s="278"/>
      <c r="H1104" s="278"/>
      <c r="I1104" s="278"/>
      <c r="J1104" s="278"/>
      <c r="K1104" s="278"/>
    </row>
    <row r="1105" spans="1:11" x14ac:dyDescent="0.15">
      <c r="A1105" s="278"/>
      <c r="B1105" s="278"/>
      <c r="C1105" s="278"/>
      <c r="D1105" s="278"/>
      <c r="E1105" s="278"/>
      <c r="F1105" s="278"/>
      <c r="G1105" s="278"/>
      <c r="H1105" s="278"/>
      <c r="I1105" s="278"/>
      <c r="J1105" s="278"/>
      <c r="K1105" s="278"/>
    </row>
    <row r="1106" spans="1:11" x14ac:dyDescent="0.15">
      <c r="A1106" s="278"/>
      <c r="B1106" s="278"/>
      <c r="C1106" s="278"/>
      <c r="D1106" s="278"/>
      <c r="E1106" s="278"/>
      <c r="F1106" s="278"/>
      <c r="G1106" s="278"/>
      <c r="H1106" s="278"/>
      <c r="I1106" s="278"/>
      <c r="J1106" s="278"/>
      <c r="K1106" s="278"/>
    </row>
    <row r="1107" spans="1:11" x14ac:dyDescent="0.15">
      <c r="A1107" s="278"/>
      <c r="B1107" s="278"/>
      <c r="C1107" s="278"/>
      <c r="D1107" s="278"/>
      <c r="E1107" s="278"/>
      <c r="F1107" s="278"/>
      <c r="G1107" s="278"/>
      <c r="H1107" s="278"/>
      <c r="I1107" s="278"/>
      <c r="J1107" s="278"/>
      <c r="K1107" s="278"/>
    </row>
    <row r="1108" spans="1:11" x14ac:dyDescent="0.15">
      <c r="A1108" s="278"/>
      <c r="B1108" s="278"/>
      <c r="C1108" s="278"/>
      <c r="D1108" s="278"/>
      <c r="E1108" s="278"/>
      <c r="F1108" s="278"/>
      <c r="G1108" s="278"/>
      <c r="H1108" s="278"/>
      <c r="I1108" s="278"/>
      <c r="J1108" s="278"/>
      <c r="K1108" s="278"/>
    </row>
    <row r="1109" spans="1:11" x14ac:dyDescent="0.15">
      <c r="A1109" s="278"/>
      <c r="B1109" s="278"/>
      <c r="C1109" s="278"/>
      <c r="D1109" s="278"/>
      <c r="E1109" s="278"/>
      <c r="F1109" s="278"/>
      <c r="G1109" s="278"/>
      <c r="H1109" s="278"/>
      <c r="I1109" s="278"/>
      <c r="J1109" s="278"/>
      <c r="K1109" s="278"/>
    </row>
    <row r="1110" spans="1:11" x14ac:dyDescent="0.15">
      <c r="A1110" s="278"/>
      <c r="B1110" s="278"/>
      <c r="C1110" s="278"/>
      <c r="D1110" s="278"/>
      <c r="E1110" s="278"/>
      <c r="F1110" s="278"/>
      <c r="G1110" s="278"/>
      <c r="H1110" s="278"/>
      <c r="I1110" s="278"/>
      <c r="J1110" s="278"/>
      <c r="K1110" s="278"/>
    </row>
    <row r="1111" spans="1:11" x14ac:dyDescent="0.15">
      <c r="A1111" s="278"/>
      <c r="B1111" s="278"/>
      <c r="C1111" s="278"/>
      <c r="D1111" s="278"/>
      <c r="E1111" s="278"/>
      <c r="F1111" s="278"/>
      <c r="G1111" s="278"/>
      <c r="H1111" s="278"/>
      <c r="I1111" s="278"/>
      <c r="J1111" s="278"/>
      <c r="K1111" s="278"/>
    </row>
    <row r="1112" spans="1:11" x14ac:dyDescent="0.15">
      <c r="A1112" s="278"/>
      <c r="B1112" s="278"/>
      <c r="C1112" s="278"/>
      <c r="D1112" s="278"/>
      <c r="E1112" s="278"/>
      <c r="F1112" s="278"/>
      <c r="G1112" s="278"/>
      <c r="H1112" s="278"/>
      <c r="I1112" s="278"/>
      <c r="J1112" s="278"/>
      <c r="K1112" s="278"/>
    </row>
    <row r="1113" spans="1:11" x14ac:dyDescent="0.15">
      <c r="A1113" s="278"/>
      <c r="B1113" s="278"/>
      <c r="C1113" s="278"/>
      <c r="D1113" s="278"/>
      <c r="E1113" s="278"/>
      <c r="F1113" s="278"/>
      <c r="G1113" s="278"/>
      <c r="H1113" s="278"/>
      <c r="I1113" s="278"/>
      <c r="J1113" s="278"/>
      <c r="K1113" s="278"/>
    </row>
    <row r="1114" spans="1:11" x14ac:dyDescent="0.15">
      <c r="A1114" s="278"/>
      <c r="B1114" s="278"/>
      <c r="C1114" s="278"/>
      <c r="D1114" s="278"/>
      <c r="E1114" s="278"/>
      <c r="F1114" s="278"/>
      <c r="G1114" s="278"/>
      <c r="H1114" s="278"/>
      <c r="I1114" s="278"/>
      <c r="J1114" s="278"/>
      <c r="K1114" s="278"/>
    </row>
    <row r="1115" spans="1:11" x14ac:dyDescent="0.15">
      <c r="A1115" s="278"/>
      <c r="B1115" s="278"/>
      <c r="C1115" s="278"/>
      <c r="D1115" s="278"/>
      <c r="E1115" s="278"/>
      <c r="F1115" s="278"/>
      <c r="G1115" s="278"/>
      <c r="H1115" s="278"/>
      <c r="I1115" s="278"/>
      <c r="J1115" s="278"/>
      <c r="K1115" s="278"/>
    </row>
    <row r="1116" spans="1:11" x14ac:dyDescent="0.15">
      <c r="A1116" s="278"/>
      <c r="B1116" s="278"/>
      <c r="C1116" s="278"/>
      <c r="D1116" s="278"/>
      <c r="E1116" s="278"/>
      <c r="F1116" s="278"/>
      <c r="G1116" s="278"/>
      <c r="H1116" s="278"/>
      <c r="I1116" s="278"/>
      <c r="J1116" s="278"/>
      <c r="K1116" s="278"/>
    </row>
    <row r="1117" spans="1:11" x14ac:dyDescent="0.15">
      <c r="A1117" s="278"/>
      <c r="B1117" s="278"/>
      <c r="C1117" s="278"/>
      <c r="D1117" s="278"/>
      <c r="E1117" s="278"/>
      <c r="F1117" s="278"/>
      <c r="G1117" s="278"/>
      <c r="H1117" s="278"/>
      <c r="I1117" s="278"/>
      <c r="J1117" s="278"/>
      <c r="K1117" s="278"/>
    </row>
    <row r="1118" spans="1:11" x14ac:dyDescent="0.15">
      <c r="A1118" s="278"/>
      <c r="B1118" s="278"/>
      <c r="C1118" s="278"/>
      <c r="D1118" s="278"/>
      <c r="E1118" s="278"/>
      <c r="F1118" s="278"/>
      <c r="G1118" s="278"/>
      <c r="H1118" s="278"/>
      <c r="I1118" s="278"/>
      <c r="J1118" s="278"/>
      <c r="K1118" s="278"/>
    </row>
    <row r="1119" spans="1:11" x14ac:dyDescent="0.15">
      <c r="A1119" s="278"/>
      <c r="B1119" s="278"/>
      <c r="C1119" s="278"/>
      <c r="D1119" s="278"/>
      <c r="E1119" s="278"/>
      <c r="F1119" s="278"/>
      <c r="G1119" s="278"/>
      <c r="H1119" s="278"/>
      <c r="I1119" s="278"/>
      <c r="J1119" s="278"/>
      <c r="K1119" s="278"/>
    </row>
    <row r="1120" spans="1:11" x14ac:dyDescent="0.15">
      <c r="A1120" s="278"/>
      <c r="B1120" s="278"/>
      <c r="C1120" s="278"/>
      <c r="D1120" s="278"/>
      <c r="E1120" s="278"/>
      <c r="F1120" s="278"/>
      <c r="G1120" s="278"/>
      <c r="H1120" s="278"/>
      <c r="I1120" s="278"/>
      <c r="J1120" s="278"/>
      <c r="K1120" s="278"/>
    </row>
    <row r="1121" spans="1:11" x14ac:dyDescent="0.15">
      <c r="A1121" s="278"/>
      <c r="B1121" s="278"/>
      <c r="C1121" s="278"/>
      <c r="D1121" s="278"/>
      <c r="E1121" s="278"/>
      <c r="F1121" s="278"/>
      <c r="G1121" s="278"/>
      <c r="H1121" s="278"/>
      <c r="I1121" s="278"/>
      <c r="J1121" s="278"/>
      <c r="K1121" s="278"/>
    </row>
    <row r="1122" spans="1:11" x14ac:dyDescent="0.15">
      <c r="A1122" s="278"/>
      <c r="B1122" s="278"/>
      <c r="C1122" s="278"/>
      <c r="D1122" s="278"/>
      <c r="E1122" s="278"/>
      <c r="F1122" s="278"/>
      <c r="G1122" s="278"/>
      <c r="H1122" s="278"/>
      <c r="I1122" s="278"/>
      <c r="J1122" s="278"/>
      <c r="K1122" s="278"/>
    </row>
    <row r="1123" spans="1:11" x14ac:dyDescent="0.15">
      <c r="A1123" s="278"/>
      <c r="B1123" s="278"/>
      <c r="C1123" s="278"/>
      <c r="D1123" s="278"/>
      <c r="E1123" s="278"/>
      <c r="F1123" s="278"/>
      <c r="G1123" s="278"/>
      <c r="H1123" s="278"/>
      <c r="I1123" s="278"/>
      <c r="J1123" s="278"/>
      <c r="K1123" s="278"/>
    </row>
    <row r="1124" spans="1:11" x14ac:dyDescent="0.15">
      <c r="A1124" s="278"/>
      <c r="B1124" s="278"/>
      <c r="C1124" s="278"/>
      <c r="D1124" s="278"/>
      <c r="E1124" s="278"/>
      <c r="F1124" s="278"/>
      <c r="G1124" s="278"/>
      <c r="H1124" s="278"/>
      <c r="I1124" s="278"/>
      <c r="J1124" s="278"/>
      <c r="K1124" s="278"/>
    </row>
    <row r="1125" spans="1:11" x14ac:dyDescent="0.15">
      <c r="A1125" s="278"/>
      <c r="B1125" s="278"/>
      <c r="C1125" s="278"/>
      <c r="D1125" s="278"/>
      <c r="E1125" s="278"/>
      <c r="F1125" s="278"/>
      <c r="G1125" s="278"/>
      <c r="H1125" s="278"/>
      <c r="I1125" s="278"/>
      <c r="J1125" s="278"/>
      <c r="K1125" s="278"/>
    </row>
    <row r="1126" spans="1:11" x14ac:dyDescent="0.15">
      <c r="A1126" s="278"/>
      <c r="B1126" s="278"/>
      <c r="C1126" s="278"/>
      <c r="D1126" s="278"/>
      <c r="E1126" s="278"/>
      <c r="F1126" s="278"/>
      <c r="G1126" s="278"/>
      <c r="H1126" s="278"/>
      <c r="I1126" s="278"/>
      <c r="J1126" s="278"/>
      <c r="K1126" s="278"/>
    </row>
    <row r="1127" spans="1:11" x14ac:dyDescent="0.15">
      <c r="A1127" s="278"/>
      <c r="B1127" s="278"/>
      <c r="C1127" s="278"/>
      <c r="D1127" s="278"/>
      <c r="E1127" s="278"/>
      <c r="F1127" s="278"/>
      <c r="G1127" s="278"/>
      <c r="H1127" s="278"/>
      <c r="I1127" s="278"/>
      <c r="J1127" s="278"/>
      <c r="K1127" s="278"/>
    </row>
    <row r="1128" spans="1:11" x14ac:dyDescent="0.15">
      <c r="A1128" s="278"/>
      <c r="B1128" s="278"/>
      <c r="C1128" s="278"/>
      <c r="D1128" s="278"/>
      <c r="E1128" s="278"/>
      <c r="F1128" s="278"/>
      <c r="G1128" s="278"/>
      <c r="H1128" s="278"/>
      <c r="I1128" s="278"/>
      <c r="J1128" s="278"/>
      <c r="K1128" s="278"/>
    </row>
    <row r="1129" spans="1:11" x14ac:dyDescent="0.15">
      <c r="A1129" s="278"/>
      <c r="B1129" s="278"/>
      <c r="C1129" s="278"/>
      <c r="D1129" s="278"/>
      <c r="E1129" s="278"/>
      <c r="F1129" s="278"/>
      <c r="G1129" s="278"/>
      <c r="H1129" s="278"/>
      <c r="I1129" s="278"/>
      <c r="J1129" s="278"/>
      <c r="K1129" s="278"/>
    </row>
    <row r="1130" spans="1:11" x14ac:dyDescent="0.15">
      <c r="A1130" s="278"/>
      <c r="B1130" s="278"/>
      <c r="C1130" s="278"/>
      <c r="D1130" s="278"/>
      <c r="E1130" s="278"/>
      <c r="F1130" s="278"/>
      <c r="G1130" s="278"/>
      <c r="H1130" s="278"/>
      <c r="I1130" s="278"/>
      <c r="J1130" s="278"/>
      <c r="K1130" s="278"/>
    </row>
    <row r="1131" spans="1:11" x14ac:dyDescent="0.15">
      <c r="A1131" s="278"/>
      <c r="B1131" s="278"/>
      <c r="C1131" s="278"/>
      <c r="D1131" s="278"/>
      <c r="E1131" s="278"/>
      <c r="F1131" s="278"/>
      <c r="G1131" s="278"/>
      <c r="H1131" s="278"/>
      <c r="I1131" s="278"/>
      <c r="J1131" s="278"/>
      <c r="K1131" s="278"/>
    </row>
    <row r="1132" spans="1:11" x14ac:dyDescent="0.15">
      <c r="A1132" s="278"/>
      <c r="B1132" s="278"/>
      <c r="C1132" s="278"/>
      <c r="D1132" s="278"/>
      <c r="E1132" s="278"/>
      <c r="F1132" s="278"/>
      <c r="G1132" s="278"/>
      <c r="H1132" s="278"/>
      <c r="I1132" s="278"/>
      <c r="J1132" s="278"/>
      <c r="K1132" s="278"/>
    </row>
    <row r="1133" spans="1:11" x14ac:dyDescent="0.15">
      <c r="A1133" s="278"/>
      <c r="B1133" s="278"/>
      <c r="C1133" s="278"/>
      <c r="D1133" s="278"/>
      <c r="E1133" s="278"/>
      <c r="F1133" s="278"/>
      <c r="G1133" s="278"/>
      <c r="H1133" s="278"/>
      <c r="I1133" s="278"/>
      <c r="J1133" s="278"/>
      <c r="K1133" s="278"/>
    </row>
    <row r="1134" spans="1:11" x14ac:dyDescent="0.15">
      <c r="A1134" s="278"/>
      <c r="B1134" s="278"/>
      <c r="C1134" s="278"/>
      <c r="D1134" s="278"/>
      <c r="E1134" s="278"/>
      <c r="F1134" s="278"/>
      <c r="G1134" s="278"/>
      <c r="H1134" s="278"/>
      <c r="I1134" s="278"/>
      <c r="J1134" s="278"/>
      <c r="K1134" s="278"/>
    </row>
    <row r="1135" spans="1:11" x14ac:dyDescent="0.15">
      <c r="A1135" s="278"/>
      <c r="B1135" s="278"/>
      <c r="C1135" s="278"/>
      <c r="D1135" s="278"/>
      <c r="E1135" s="278"/>
      <c r="F1135" s="278"/>
      <c r="G1135" s="278"/>
      <c r="H1135" s="278"/>
      <c r="I1135" s="278"/>
      <c r="J1135" s="278"/>
      <c r="K1135" s="278"/>
    </row>
    <row r="1136" spans="1:11" x14ac:dyDescent="0.15">
      <c r="A1136" s="278"/>
      <c r="B1136" s="278"/>
      <c r="C1136" s="278"/>
      <c r="D1136" s="278"/>
      <c r="E1136" s="278"/>
      <c r="F1136" s="278"/>
      <c r="G1136" s="278"/>
      <c r="H1136" s="278"/>
      <c r="I1136" s="278"/>
      <c r="J1136" s="278"/>
      <c r="K1136" s="278"/>
    </row>
    <row r="1137" spans="1:11" x14ac:dyDescent="0.15">
      <c r="A1137" s="278"/>
      <c r="B1137" s="278"/>
      <c r="C1137" s="278"/>
      <c r="D1137" s="278"/>
      <c r="E1137" s="278"/>
      <c r="F1137" s="278"/>
      <c r="G1137" s="278"/>
      <c r="H1137" s="278"/>
      <c r="I1137" s="278"/>
      <c r="J1137" s="278"/>
      <c r="K1137" s="278"/>
    </row>
    <row r="1138" spans="1:11" x14ac:dyDescent="0.15">
      <c r="A1138" s="278"/>
      <c r="B1138" s="278"/>
      <c r="C1138" s="278"/>
      <c r="D1138" s="278"/>
      <c r="E1138" s="278"/>
      <c r="F1138" s="278"/>
      <c r="G1138" s="278"/>
      <c r="H1138" s="278"/>
      <c r="I1138" s="278"/>
      <c r="J1138" s="278"/>
      <c r="K1138" s="278"/>
    </row>
    <row r="1139" spans="1:11" x14ac:dyDescent="0.15">
      <c r="A1139" s="278"/>
      <c r="B1139" s="278"/>
      <c r="C1139" s="278"/>
      <c r="D1139" s="278"/>
      <c r="E1139" s="278"/>
      <c r="F1139" s="278"/>
      <c r="G1139" s="278"/>
      <c r="H1139" s="278"/>
      <c r="I1139" s="278"/>
      <c r="J1139" s="278"/>
      <c r="K1139" s="278"/>
    </row>
    <row r="1140" spans="1:11" x14ac:dyDescent="0.15">
      <c r="A1140" s="278"/>
      <c r="B1140" s="278"/>
      <c r="C1140" s="278"/>
      <c r="D1140" s="278"/>
      <c r="E1140" s="278"/>
      <c r="F1140" s="278"/>
      <c r="G1140" s="278"/>
      <c r="H1140" s="278"/>
      <c r="I1140" s="278"/>
      <c r="J1140" s="278"/>
      <c r="K1140" s="278"/>
    </row>
    <row r="1141" spans="1:11" x14ac:dyDescent="0.15">
      <c r="A1141" s="278"/>
      <c r="B1141" s="278"/>
      <c r="C1141" s="278"/>
      <c r="D1141" s="278"/>
      <c r="E1141" s="278"/>
      <c r="F1141" s="278"/>
      <c r="G1141" s="278"/>
      <c r="H1141" s="278"/>
      <c r="I1141" s="278"/>
      <c r="J1141" s="278"/>
      <c r="K1141" s="278"/>
    </row>
    <row r="1142" spans="1:11" x14ac:dyDescent="0.15">
      <c r="A1142" s="278"/>
      <c r="B1142" s="278"/>
      <c r="C1142" s="278"/>
      <c r="D1142" s="278"/>
      <c r="E1142" s="278"/>
      <c r="F1142" s="278"/>
      <c r="G1142" s="278"/>
      <c r="H1142" s="278"/>
      <c r="I1142" s="278"/>
      <c r="J1142" s="278"/>
      <c r="K1142" s="278"/>
    </row>
    <row r="1143" spans="1:11" x14ac:dyDescent="0.15">
      <c r="A1143" s="278"/>
      <c r="B1143" s="278"/>
      <c r="C1143" s="278"/>
      <c r="D1143" s="278"/>
      <c r="E1143" s="278"/>
      <c r="F1143" s="278"/>
      <c r="G1143" s="278"/>
      <c r="H1143" s="278"/>
      <c r="I1143" s="278"/>
      <c r="J1143" s="278"/>
      <c r="K1143" s="278"/>
    </row>
    <row r="1144" spans="1:11" x14ac:dyDescent="0.15">
      <c r="A1144" s="278"/>
      <c r="B1144" s="278"/>
      <c r="C1144" s="278"/>
      <c r="D1144" s="278"/>
      <c r="E1144" s="278"/>
      <c r="F1144" s="278"/>
      <c r="G1144" s="278"/>
      <c r="H1144" s="278"/>
      <c r="I1144" s="278"/>
      <c r="J1144" s="278"/>
      <c r="K1144" s="278"/>
    </row>
    <row r="1145" spans="1:11" x14ac:dyDescent="0.15">
      <c r="A1145" s="278"/>
      <c r="B1145" s="278"/>
      <c r="C1145" s="278"/>
      <c r="D1145" s="278"/>
      <c r="E1145" s="278"/>
      <c r="F1145" s="278"/>
      <c r="G1145" s="278"/>
      <c r="H1145" s="278"/>
      <c r="I1145" s="278"/>
      <c r="J1145" s="278"/>
      <c r="K1145" s="278"/>
    </row>
    <row r="1146" spans="1:11" x14ac:dyDescent="0.15">
      <c r="A1146" s="278"/>
      <c r="B1146" s="278"/>
      <c r="C1146" s="278"/>
      <c r="D1146" s="278"/>
      <c r="E1146" s="278"/>
      <c r="F1146" s="278"/>
      <c r="G1146" s="278"/>
      <c r="H1146" s="278"/>
      <c r="I1146" s="278"/>
      <c r="J1146" s="278"/>
      <c r="K1146" s="278"/>
    </row>
    <row r="1147" spans="1:11" x14ac:dyDescent="0.15">
      <c r="A1147" s="278"/>
      <c r="B1147" s="278"/>
      <c r="C1147" s="278"/>
      <c r="D1147" s="278"/>
      <c r="E1147" s="278"/>
      <c r="F1147" s="278"/>
      <c r="G1147" s="278"/>
      <c r="H1147" s="278"/>
      <c r="I1147" s="278"/>
      <c r="J1147" s="278"/>
      <c r="K1147" s="278"/>
    </row>
    <row r="1148" spans="1:11" x14ac:dyDescent="0.15">
      <c r="A1148" s="278"/>
      <c r="B1148" s="278"/>
      <c r="C1148" s="278"/>
      <c r="D1148" s="278"/>
      <c r="E1148" s="278"/>
      <c r="F1148" s="278"/>
      <c r="G1148" s="278"/>
      <c r="H1148" s="278"/>
      <c r="I1148" s="278"/>
      <c r="J1148" s="278"/>
      <c r="K1148" s="278"/>
    </row>
    <row r="1149" spans="1:11" x14ac:dyDescent="0.15">
      <c r="A1149" s="278"/>
      <c r="B1149" s="278"/>
      <c r="C1149" s="278"/>
      <c r="D1149" s="278"/>
      <c r="E1149" s="278"/>
      <c r="F1149" s="278"/>
      <c r="G1149" s="278"/>
      <c r="H1149" s="278"/>
      <c r="I1149" s="278"/>
      <c r="J1149" s="278"/>
      <c r="K1149" s="278"/>
    </row>
    <row r="1150" spans="1:11" x14ac:dyDescent="0.15">
      <c r="A1150" s="278"/>
      <c r="B1150" s="278"/>
      <c r="C1150" s="278"/>
      <c r="D1150" s="278"/>
      <c r="E1150" s="278"/>
      <c r="F1150" s="278"/>
      <c r="G1150" s="278"/>
      <c r="H1150" s="278"/>
      <c r="I1150" s="278"/>
      <c r="J1150" s="278"/>
      <c r="K1150" s="278"/>
    </row>
    <row r="1151" spans="1:11" x14ac:dyDescent="0.15">
      <c r="A1151" s="278"/>
      <c r="B1151" s="278"/>
      <c r="C1151" s="278"/>
      <c r="D1151" s="278"/>
      <c r="E1151" s="278"/>
      <c r="F1151" s="278"/>
      <c r="G1151" s="278"/>
      <c r="H1151" s="278"/>
      <c r="I1151" s="278"/>
      <c r="J1151" s="278"/>
      <c r="K1151" s="278"/>
    </row>
    <row r="1152" spans="1:11" x14ac:dyDescent="0.15">
      <c r="A1152" s="278"/>
      <c r="B1152" s="278"/>
      <c r="C1152" s="278"/>
      <c r="D1152" s="278"/>
      <c r="E1152" s="278"/>
      <c r="F1152" s="278"/>
      <c r="G1152" s="278"/>
      <c r="H1152" s="278"/>
      <c r="I1152" s="278"/>
      <c r="J1152" s="278"/>
      <c r="K1152" s="278"/>
    </row>
    <row r="1153" spans="1:11" x14ac:dyDescent="0.15">
      <c r="A1153" s="278"/>
      <c r="B1153" s="278"/>
      <c r="C1153" s="278"/>
      <c r="D1153" s="278"/>
      <c r="E1153" s="278"/>
      <c r="F1153" s="278"/>
      <c r="G1153" s="278"/>
      <c r="H1153" s="278"/>
      <c r="I1153" s="278"/>
      <c r="J1153" s="278"/>
      <c r="K1153" s="278"/>
    </row>
    <row r="1154" spans="1:11" x14ac:dyDescent="0.15">
      <c r="A1154" s="278"/>
      <c r="B1154" s="278"/>
      <c r="C1154" s="278"/>
      <c r="D1154" s="278"/>
      <c r="E1154" s="278"/>
      <c r="F1154" s="278"/>
      <c r="G1154" s="278"/>
      <c r="H1154" s="278"/>
      <c r="I1154" s="278"/>
      <c r="J1154" s="278"/>
      <c r="K1154" s="278"/>
    </row>
    <row r="1155" spans="1:11" x14ac:dyDescent="0.15">
      <c r="A1155" s="278"/>
      <c r="B1155" s="278"/>
      <c r="C1155" s="278"/>
      <c r="D1155" s="278"/>
      <c r="E1155" s="278"/>
      <c r="F1155" s="278"/>
      <c r="G1155" s="278"/>
      <c r="H1155" s="278"/>
      <c r="I1155" s="278"/>
      <c r="J1155" s="278"/>
      <c r="K1155" s="278"/>
    </row>
    <row r="1156" spans="1:11" x14ac:dyDescent="0.15">
      <c r="A1156" s="278"/>
      <c r="B1156" s="278"/>
      <c r="C1156" s="278"/>
      <c r="D1156" s="278"/>
      <c r="E1156" s="278"/>
      <c r="F1156" s="278"/>
      <c r="G1156" s="278"/>
      <c r="H1156" s="278"/>
      <c r="I1156" s="278"/>
      <c r="J1156" s="278"/>
      <c r="K1156" s="278"/>
    </row>
    <row r="1157" spans="1:11" x14ac:dyDescent="0.15">
      <c r="A1157" s="278"/>
      <c r="B1157" s="278"/>
      <c r="C1157" s="278"/>
      <c r="D1157" s="278"/>
      <c r="E1157" s="278"/>
      <c r="F1157" s="278"/>
      <c r="G1157" s="278"/>
      <c r="H1157" s="278"/>
      <c r="I1157" s="278"/>
      <c r="J1157" s="278"/>
      <c r="K1157" s="278"/>
    </row>
    <row r="1158" spans="1:11" x14ac:dyDescent="0.15">
      <c r="A1158" s="278"/>
      <c r="B1158" s="278"/>
      <c r="C1158" s="278"/>
      <c r="D1158" s="278"/>
      <c r="E1158" s="278"/>
      <c r="F1158" s="278"/>
      <c r="G1158" s="278"/>
      <c r="H1158" s="278"/>
      <c r="I1158" s="278"/>
      <c r="J1158" s="278"/>
      <c r="K1158" s="278"/>
    </row>
    <row r="1159" spans="1:11" x14ac:dyDescent="0.15">
      <c r="A1159" s="278"/>
      <c r="B1159" s="278"/>
      <c r="C1159" s="278"/>
      <c r="D1159" s="278"/>
      <c r="E1159" s="278"/>
      <c r="F1159" s="278"/>
      <c r="G1159" s="278"/>
      <c r="H1159" s="278"/>
      <c r="I1159" s="278"/>
      <c r="J1159" s="278"/>
      <c r="K1159" s="278"/>
    </row>
    <row r="1160" spans="1:11" x14ac:dyDescent="0.15">
      <c r="A1160" s="278"/>
      <c r="B1160" s="278"/>
      <c r="C1160" s="278"/>
      <c r="D1160" s="278"/>
      <c r="E1160" s="278"/>
      <c r="F1160" s="278"/>
      <c r="G1160" s="278"/>
      <c r="H1160" s="278"/>
      <c r="I1160" s="278"/>
      <c r="J1160" s="278"/>
      <c r="K1160" s="278"/>
    </row>
    <row r="1161" spans="1:11" x14ac:dyDescent="0.15">
      <c r="A1161" s="278"/>
      <c r="B1161" s="278"/>
      <c r="C1161" s="278"/>
      <c r="D1161" s="278"/>
      <c r="E1161" s="278"/>
      <c r="F1161" s="278"/>
      <c r="G1161" s="278"/>
      <c r="H1161" s="278"/>
      <c r="I1161" s="278"/>
      <c r="J1161" s="278"/>
      <c r="K1161" s="278"/>
    </row>
    <row r="1162" spans="1:11" x14ac:dyDescent="0.15">
      <c r="A1162" s="278"/>
      <c r="B1162" s="278"/>
      <c r="C1162" s="278"/>
      <c r="D1162" s="278"/>
      <c r="E1162" s="278"/>
      <c r="F1162" s="278"/>
      <c r="G1162" s="278"/>
      <c r="H1162" s="278"/>
      <c r="I1162" s="278"/>
      <c r="J1162" s="278"/>
      <c r="K1162" s="278"/>
    </row>
    <row r="1163" spans="1:11" x14ac:dyDescent="0.15">
      <c r="A1163" s="278"/>
      <c r="B1163" s="278"/>
      <c r="C1163" s="278"/>
      <c r="D1163" s="278"/>
      <c r="E1163" s="278"/>
      <c r="F1163" s="278"/>
      <c r="G1163" s="278"/>
      <c r="H1163" s="278"/>
      <c r="I1163" s="278"/>
      <c r="J1163" s="278"/>
      <c r="K1163" s="278"/>
    </row>
    <row r="1164" spans="1:11" x14ac:dyDescent="0.15">
      <c r="A1164" s="278"/>
      <c r="B1164" s="278"/>
      <c r="C1164" s="278"/>
      <c r="D1164" s="278"/>
      <c r="E1164" s="278"/>
      <c r="F1164" s="278"/>
      <c r="G1164" s="278"/>
      <c r="H1164" s="278"/>
      <c r="I1164" s="278"/>
      <c r="J1164" s="278"/>
      <c r="K1164" s="278"/>
    </row>
    <row r="1165" spans="1:11" x14ac:dyDescent="0.15">
      <c r="A1165" s="278"/>
      <c r="B1165" s="278"/>
      <c r="C1165" s="278"/>
      <c r="D1165" s="278"/>
      <c r="E1165" s="278"/>
      <c r="F1165" s="278"/>
      <c r="G1165" s="278"/>
      <c r="H1165" s="278"/>
      <c r="I1165" s="278"/>
      <c r="J1165" s="278"/>
      <c r="K1165" s="278"/>
    </row>
    <row r="1166" spans="1:11" x14ac:dyDescent="0.15">
      <c r="A1166" s="278"/>
      <c r="B1166" s="278"/>
      <c r="C1166" s="278"/>
      <c r="D1166" s="278"/>
      <c r="E1166" s="278"/>
      <c r="F1166" s="278"/>
      <c r="G1166" s="278"/>
      <c r="H1166" s="278"/>
      <c r="I1166" s="278"/>
      <c r="J1166" s="278"/>
      <c r="K1166" s="278"/>
    </row>
    <row r="1167" spans="1:11" x14ac:dyDescent="0.15">
      <c r="A1167" s="278"/>
      <c r="B1167" s="278"/>
      <c r="C1167" s="278"/>
      <c r="D1167" s="278"/>
      <c r="E1167" s="278"/>
      <c r="F1167" s="278"/>
      <c r="G1167" s="278"/>
      <c r="H1167" s="278"/>
      <c r="I1167" s="278"/>
      <c r="J1167" s="278"/>
      <c r="K1167" s="278"/>
    </row>
    <row r="1168" spans="1:11" x14ac:dyDescent="0.15">
      <c r="A1168" s="278"/>
      <c r="B1168" s="278"/>
      <c r="C1168" s="278"/>
      <c r="D1168" s="278"/>
      <c r="E1168" s="278"/>
      <c r="F1168" s="278"/>
      <c r="G1168" s="278"/>
      <c r="H1168" s="278"/>
      <c r="I1168" s="278"/>
      <c r="J1168" s="278"/>
      <c r="K1168" s="278"/>
    </row>
    <row r="1169" spans="1:11" x14ac:dyDescent="0.15">
      <c r="A1169" s="278"/>
      <c r="B1169" s="278"/>
      <c r="C1169" s="278"/>
      <c r="D1169" s="278"/>
      <c r="E1169" s="278"/>
      <c r="F1169" s="278"/>
      <c r="G1169" s="278"/>
      <c r="H1169" s="278"/>
      <c r="I1169" s="278"/>
      <c r="J1169" s="278"/>
      <c r="K1169" s="278"/>
    </row>
    <row r="1170" spans="1:11" x14ac:dyDescent="0.15">
      <c r="A1170" s="278"/>
      <c r="B1170" s="278"/>
      <c r="C1170" s="278"/>
      <c r="D1170" s="278"/>
      <c r="E1170" s="278"/>
      <c r="F1170" s="278"/>
      <c r="G1170" s="278"/>
      <c r="H1170" s="278"/>
      <c r="I1170" s="278"/>
      <c r="J1170" s="278"/>
      <c r="K1170" s="278"/>
    </row>
    <row r="1171" spans="1:11" x14ac:dyDescent="0.15">
      <c r="A1171" s="278"/>
      <c r="B1171" s="278"/>
      <c r="C1171" s="278"/>
      <c r="D1171" s="278"/>
      <c r="E1171" s="278"/>
      <c r="F1171" s="278"/>
      <c r="G1171" s="278"/>
      <c r="H1171" s="278"/>
      <c r="I1171" s="278"/>
      <c r="J1171" s="278"/>
      <c r="K1171" s="278"/>
    </row>
    <row r="1172" spans="1:11" x14ac:dyDescent="0.15">
      <c r="A1172" s="278"/>
      <c r="B1172" s="278"/>
      <c r="C1172" s="278"/>
      <c r="D1172" s="278"/>
      <c r="E1172" s="278"/>
      <c r="F1172" s="278"/>
      <c r="G1172" s="278"/>
      <c r="H1172" s="278"/>
      <c r="I1172" s="278"/>
      <c r="J1172" s="278"/>
      <c r="K1172" s="278"/>
    </row>
    <row r="1173" spans="1:11" x14ac:dyDescent="0.15">
      <c r="A1173" s="278"/>
      <c r="B1173" s="278"/>
      <c r="C1173" s="278"/>
      <c r="D1173" s="278"/>
      <c r="E1173" s="278"/>
      <c r="F1173" s="278"/>
      <c r="G1173" s="278"/>
      <c r="H1173" s="278"/>
      <c r="I1173" s="278"/>
      <c r="J1173" s="278"/>
      <c r="K1173" s="278"/>
    </row>
    <row r="1174" spans="1:11" x14ac:dyDescent="0.15">
      <c r="A1174" s="278"/>
      <c r="B1174" s="278"/>
      <c r="C1174" s="278"/>
      <c r="D1174" s="278"/>
      <c r="E1174" s="278"/>
      <c r="F1174" s="278"/>
      <c r="G1174" s="278"/>
      <c r="H1174" s="278"/>
      <c r="I1174" s="278"/>
      <c r="J1174" s="278"/>
      <c r="K1174" s="278"/>
    </row>
    <row r="1175" spans="1:11" x14ac:dyDescent="0.15">
      <c r="A1175" s="278"/>
      <c r="B1175" s="278"/>
      <c r="C1175" s="278"/>
      <c r="D1175" s="278"/>
      <c r="E1175" s="278"/>
      <c r="F1175" s="278"/>
      <c r="G1175" s="278"/>
      <c r="H1175" s="278"/>
      <c r="I1175" s="278"/>
      <c r="J1175" s="278"/>
      <c r="K1175" s="278"/>
    </row>
    <row r="1176" spans="1:11" x14ac:dyDescent="0.15">
      <c r="A1176" s="278"/>
      <c r="B1176" s="278"/>
      <c r="C1176" s="278"/>
      <c r="D1176" s="278"/>
      <c r="E1176" s="278"/>
      <c r="F1176" s="278"/>
      <c r="G1176" s="278"/>
      <c r="H1176" s="278"/>
      <c r="I1176" s="278"/>
      <c r="J1176" s="278"/>
      <c r="K1176" s="278"/>
    </row>
    <row r="1177" spans="1:11" x14ac:dyDescent="0.15">
      <c r="A1177" s="278"/>
      <c r="B1177" s="278"/>
      <c r="C1177" s="278"/>
      <c r="D1177" s="278"/>
      <c r="E1177" s="278"/>
      <c r="F1177" s="278"/>
      <c r="G1177" s="278"/>
      <c r="H1177" s="278"/>
      <c r="I1177" s="278"/>
      <c r="J1177" s="278"/>
      <c r="K1177" s="278"/>
    </row>
    <row r="1178" spans="1:11" x14ac:dyDescent="0.15">
      <c r="A1178" s="278"/>
      <c r="B1178" s="278"/>
      <c r="C1178" s="278"/>
      <c r="D1178" s="278"/>
      <c r="E1178" s="278"/>
      <c r="F1178" s="278"/>
      <c r="G1178" s="278"/>
      <c r="H1178" s="278"/>
      <c r="I1178" s="278"/>
      <c r="J1178" s="278"/>
      <c r="K1178" s="278"/>
    </row>
    <row r="1179" spans="1:11" x14ac:dyDescent="0.15">
      <c r="A1179" s="278"/>
      <c r="B1179" s="278"/>
      <c r="C1179" s="278"/>
      <c r="D1179" s="278"/>
      <c r="E1179" s="278"/>
      <c r="F1179" s="278"/>
      <c r="G1179" s="278"/>
      <c r="H1179" s="278"/>
      <c r="I1179" s="278"/>
      <c r="J1179" s="278"/>
      <c r="K1179" s="278"/>
    </row>
    <row r="1180" spans="1:11" x14ac:dyDescent="0.15">
      <c r="A1180" s="278"/>
      <c r="B1180" s="278"/>
      <c r="C1180" s="278"/>
      <c r="D1180" s="278"/>
      <c r="E1180" s="278"/>
      <c r="F1180" s="278"/>
      <c r="G1180" s="278"/>
      <c r="H1180" s="278"/>
      <c r="I1180" s="278"/>
      <c r="J1180" s="278"/>
      <c r="K1180" s="278"/>
    </row>
    <row r="1181" spans="1:11" x14ac:dyDescent="0.15">
      <c r="A1181" s="278"/>
      <c r="B1181" s="278"/>
      <c r="C1181" s="278"/>
      <c r="D1181" s="278"/>
      <c r="E1181" s="278"/>
      <c r="F1181" s="278"/>
      <c r="G1181" s="278"/>
      <c r="H1181" s="278"/>
      <c r="I1181" s="278"/>
      <c r="J1181" s="278"/>
      <c r="K1181" s="278"/>
    </row>
    <row r="1182" spans="1:11" x14ac:dyDescent="0.15">
      <c r="A1182" s="278"/>
      <c r="B1182" s="278"/>
      <c r="C1182" s="278"/>
      <c r="D1182" s="278"/>
      <c r="E1182" s="278"/>
      <c r="F1182" s="278"/>
      <c r="G1182" s="278"/>
      <c r="H1182" s="278"/>
      <c r="I1182" s="278"/>
      <c r="J1182" s="278"/>
      <c r="K1182" s="278"/>
    </row>
    <row r="1183" spans="1:11" x14ac:dyDescent="0.15">
      <c r="A1183" s="278"/>
      <c r="B1183" s="278"/>
      <c r="C1183" s="278"/>
      <c r="D1183" s="278"/>
      <c r="E1183" s="278"/>
      <c r="F1183" s="278"/>
      <c r="G1183" s="278"/>
      <c r="H1183" s="278"/>
      <c r="I1183" s="278"/>
      <c r="J1183" s="278"/>
      <c r="K1183" s="278"/>
    </row>
    <row r="1184" spans="1:11" x14ac:dyDescent="0.15">
      <c r="A1184" s="278"/>
      <c r="B1184" s="278"/>
      <c r="C1184" s="278"/>
      <c r="D1184" s="278"/>
      <c r="E1184" s="278"/>
      <c r="F1184" s="278"/>
      <c r="G1184" s="278"/>
      <c r="H1184" s="278"/>
      <c r="I1184" s="278"/>
      <c r="J1184" s="278"/>
      <c r="K1184" s="278"/>
    </row>
    <row r="1185" spans="1:11" x14ac:dyDescent="0.15">
      <c r="A1185" s="278"/>
      <c r="B1185" s="278"/>
      <c r="C1185" s="278"/>
      <c r="D1185" s="278"/>
      <c r="E1185" s="278"/>
      <c r="F1185" s="278"/>
      <c r="G1185" s="278"/>
      <c r="H1185" s="278"/>
      <c r="I1185" s="278"/>
      <c r="J1185" s="278"/>
      <c r="K1185" s="278"/>
    </row>
    <row r="1186" spans="1:11" x14ac:dyDescent="0.15">
      <c r="A1186" s="278"/>
      <c r="B1186" s="278"/>
      <c r="C1186" s="278"/>
      <c r="D1186" s="278"/>
      <c r="E1186" s="278"/>
      <c r="F1186" s="278"/>
      <c r="G1186" s="278"/>
      <c r="H1186" s="278"/>
      <c r="I1186" s="278"/>
      <c r="J1186" s="278"/>
      <c r="K1186" s="278"/>
    </row>
    <row r="1187" spans="1:11" x14ac:dyDescent="0.15">
      <c r="A1187" s="278"/>
      <c r="B1187" s="278"/>
      <c r="C1187" s="278"/>
      <c r="D1187" s="278"/>
      <c r="E1187" s="278"/>
      <c r="F1187" s="278"/>
      <c r="G1187" s="278"/>
      <c r="H1187" s="278"/>
      <c r="I1187" s="278"/>
      <c r="J1187" s="278"/>
      <c r="K1187" s="278"/>
    </row>
    <row r="1188" spans="1:11" x14ac:dyDescent="0.15">
      <c r="A1188" s="278"/>
      <c r="B1188" s="278"/>
      <c r="C1188" s="278"/>
      <c r="D1188" s="278"/>
      <c r="E1188" s="278"/>
      <c r="F1188" s="278"/>
      <c r="G1188" s="278"/>
      <c r="H1188" s="278"/>
      <c r="I1188" s="278"/>
      <c r="J1188" s="278"/>
      <c r="K1188" s="278"/>
    </row>
    <row r="1189" spans="1:11" x14ac:dyDescent="0.15">
      <c r="A1189" s="278"/>
      <c r="B1189" s="278"/>
      <c r="C1189" s="278"/>
      <c r="D1189" s="278"/>
      <c r="E1189" s="278"/>
      <c r="F1189" s="278"/>
      <c r="G1189" s="278"/>
      <c r="H1189" s="278"/>
      <c r="I1189" s="278"/>
      <c r="J1189" s="278"/>
      <c r="K1189" s="278"/>
    </row>
    <row r="1190" spans="1:11" x14ac:dyDescent="0.15">
      <c r="A1190" s="278"/>
      <c r="B1190" s="278"/>
      <c r="C1190" s="278"/>
      <c r="D1190" s="278"/>
      <c r="E1190" s="278"/>
      <c r="F1190" s="278"/>
      <c r="G1190" s="278"/>
      <c r="H1190" s="278"/>
      <c r="I1190" s="278"/>
      <c r="J1190" s="278"/>
      <c r="K1190" s="278"/>
    </row>
    <row r="1191" spans="1:11" x14ac:dyDescent="0.15">
      <c r="A1191" s="278"/>
      <c r="B1191" s="278"/>
      <c r="C1191" s="278"/>
      <c r="D1191" s="278"/>
      <c r="E1191" s="278"/>
      <c r="F1191" s="278"/>
      <c r="G1191" s="278"/>
      <c r="H1191" s="278"/>
      <c r="I1191" s="278"/>
      <c r="J1191" s="278"/>
      <c r="K1191" s="278"/>
    </row>
    <row r="1192" spans="1:11" x14ac:dyDescent="0.15">
      <c r="A1192" s="278"/>
      <c r="B1192" s="278"/>
      <c r="C1192" s="278"/>
      <c r="D1192" s="278"/>
      <c r="E1192" s="278"/>
      <c r="F1192" s="278"/>
      <c r="G1192" s="278"/>
      <c r="H1192" s="278"/>
      <c r="I1192" s="278"/>
      <c r="J1192" s="278"/>
      <c r="K1192" s="278"/>
    </row>
    <row r="1193" spans="1:11" x14ac:dyDescent="0.15">
      <c r="A1193" s="278"/>
      <c r="B1193" s="278"/>
      <c r="C1193" s="278"/>
      <c r="D1193" s="278"/>
      <c r="E1193" s="278"/>
      <c r="F1193" s="278"/>
      <c r="G1193" s="278"/>
      <c r="H1193" s="278"/>
      <c r="I1193" s="278"/>
      <c r="J1193" s="278"/>
      <c r="K1193" s="278"/>
    </row>
    <row r="1194" spans="1:11" x14ac:dyDescent="0.15">
      <c r="A1194" s="278"/>
      <c r="B1194" s="278"/>
      <c r="C1194" s="278"/>
      <c r="D1194" s="278"/>
      <c r="E1194" s="278"/>
      <c r="F1194" s="278"/>
      <c r="G1194" s="278"/>
      <c r="H1194" s="278"/>
      <c r="I1194" s="278"/>
      <c r="J1194" s="278"/>
      <c r="K1194" s="278"/>
    </row>
    <row r="1195" spans="1:11" x14ac:dyDescent="0.15">
      <c r="A1195" s="278"/>
      <c r="B1195" s="278"/>
      <c r="C1195" s="278"/>
      <c r="D1195" s="278"/>
      <c r="E1195" s="278"/>
      <c r="F1195" s="278"/>
      <c r="G1195" s="278"/>
      <c r="H1195" s="278"/>
      <c r="I1195" s="278"/>
      <c r="J1195" s="278"/>
      <c r="K1195" s="278"/>
    </row>
    <row r="1196" spans="1:11" x14ac:dyDescent="0.15">
      <c r="A1196" s="278"/>
      <c r="B1196" s="278"/>
      <c r="C1196" s="278"/>
      <c r="D1196" s="278"/>
      <c r="E1196" s="278"/>
      <c r="F1196" s="278"/>
      <c r="G1196" s="278"/>
      <c r="H1196" s="278"/>
      <c r="I1196" s="278"/>
      <c r="J1196" s="278"/>
      <c r="K1196" s="278"/>
    </row>
    <row r="1197" spans="1:11" x14ac:dyDescent="0.15">
      <c r="A1197" s="278"/>
      <c r="B1197" s="278"/>
      <c r="C1197" s="278"/>
      <c r="D1197" s="278"/>
      <c r="E1197" s="278"/>
      <c r="F1197" s="278"/>
      <c r="G1197" s="278"/>
      <c r="H1197" s="278"/>
      <c r="I1197" s="278"/>
      <c r="J1197" s="278"/>
      <c r="K1197" s="278"/>
    </row>
    <row r="1198" spans="1:11" x14ac:dyDescent="0.15">
      <c r="A1198" s="278"/>
      <c r="B1198" s="278"/>
      <c r="C1198" s="278"/>
      <c r="D1198" s="278"/>
      <c r="E1198" s="278"/>
      <c r="F1198" s="278"/>
      <c r="G1198" s="278"/>
      <c r="H1198" s="278"/>
      <c r="I1198" s="278"/>
      <c r="J1198" s="278"/>
      <c r="K1198" s="278"/>
    </row>
    <row r="1199" spans="1:11" x14ac:dyDescent="0.15">
      <c r="A1199" s="278"/>
      <c r="B1199" s="278"/>
      <c r="C1199" s="278"/>
      <c r="D1199" s="278"/>
      <c r="E1199" s="278"/>
      <c r="F1199" s="278"/>
      <c r="G1199" s="278"/>
      <c r="H1199" s="278"/>
      <c r="I1199" s="278"/>
      <c r="J1199" s="278"/>
      <c r="K1199" s="278"/>
    </row>
    <row r="1200" spans="1:11" x14ac:dyDescent="0.15">
      <c r="A1200" s="278"/>
      <c r="B1200" s="278"/>
      <c r="C1200" s="278"/>
      <c r="D1200" s="278"/>
      <c r="E1200" s="278"/>
      <c r="F1200" s="278"/>
      <c r="G1200" s="278"/>
      <c r="H1200" s="278"/>
      <c r="I1200" s="278"/>
      <c r="J1200" s="278"/>
      <c r="K1200" s="278"/>
    </row>
    <row r="1201" spans="1:11" x14ac:dyDescent="0.15">
      <c r="A1201" s="278"/>
      <c r="B1201" s="278"/>
      <c r="C1201" s="278"/>
      <c r="D1201" s="278"/>
      <c r="E1201" s="278"/>
      <c r="F1201" s="278"/>
      <c r="G1201" s="278"/>
      <c r="H1201" s="278"/>
      <c r="I1201" s="278"/>
      <c r="J1201" s="278"/>
      <c r="K1201" s="278"/>
    </row>
    <row r="1202" spans="1:11" x14ac:dyDescent="0.15">
      <c r="A1202" s="278"/>
      <c r="B1202" s="278"/>
      <c r="C1202" s="278"/>
      <c r="D1202" s="278"/>
      <c r="E1202" s="278"/>
      <c r="F1202" s="278"/>
      <c r="G1202" s="278"/>
      <c r="H1202" s="278"/>
      <c r="I1202" s="278"/>
      <c r="J1202" s="278"/>
      <c r="K1202" s="278"/>
    </row>
    <row r="1203" spans="1:11" x14ac:dyDescent="0.15">
      <c r="A1203" s="278"/>
      <c r="B1203" s="278"/>
      <c r="C1203" s="278"/>
      <c r="D1203" s="278"/>
      <c r="E1203" s="278"/>
      <c r="F1203" s="278"/>
      <c r="G1203" s="278"/>
      <c r="H1203" s="278"/>
      <c r="I1203" s="278"/>
      <c r="J1203" s="278"/>
      <c r="K1203" s="278"/>
    </row>
    <row r="1204" spans="1:11" x14ac:dyDescent="0.15">
      <c r="A1204" s="278"/>
      <c r="B1204" s="278"/>
      <c r="C1204" s="278"/>
      <c r="D1204" s="278"/>
      <c r="E1204" s="278"/>
      <c r="F1204" s="278"/>
      <c r="G1204" s="278"/>
      <c r="H1204" s="278"/>
      <c r="I1204" s="278"/>
      <c r="J1204" s="278"/>
      <c r="K1204" s="278"/>
    </row>
    <row r="1205" spans="1:11" x14ac:dyDescent="0.15">
      <c r="A1205" s="278"/>
      <c r="B1205" s="278"/>
      <c r="C1205" s="278"/>
      <c r="D1205" s="278"/>
      <c r="E1205" s="278"/>
      <c r="F1205" s="278"/>
      <c r="G1205" s="278"/>
      <c r="H1205" s="278"/>
      <c r="I1205" s="278"/>
      <c r="J1205" s="278"/>
      <c r="K1205" s="278"/>
    </row>
    <row r="1206" spans="1:11" x14ac:dyDescent="0.15">
      <c r="A1206" s="278"/>
      <c r="B1206" s="278"/>
      <c r="C1206" s="278"/>
      <c r="D1206" s="278"/>
      <c r="E1206" s="278"/>
      <c r="F1206" s="278"/>
      <c r="G1206" s="278"/>
      <c r="H1206" s="278"/>
      <c r="I1206" s="278"/>
      <c r="J1206" s="278"/>
      <c r="K1206" s="278"/>
    </row>
    <row r="1207" spans="1:11" x14ac:dyDescent="0.15">
      <c r="A1207" s="278"/>
      <c r="B1207" s="278"/>
      <c r="C1207" s="278"/>
      <c r="D1207" s="278"/>
      <c r="E1207" s="278"/>
      <c r="F1207" s="278"/>
      <c r="G1207" s="278"/>
      <c r="H1207" s="278"/>
      <c r="I1207" s="278"/>
      <c r="J1207" s="278"/>
      <c r="K1207" s="278"/>
    </row>
    <row r="1208" spans="1:11" x14ac:dyDescent="0.15">
      <c r="A1208" s="278"/>
      <c r="B1208" s="278"/>
      <c r="C1208" s="278"/>
      <c r="D1208" s="278"/>
      <c r="E1208" s="278"/>
      <c r="F1208" s="278"/>
      <c r="G1208" s="278"/>
      <c r="H1208" s="278"/>
      <c r="I1208" s="278"/>
      <c r="J1208" s="278"/>
      <c r="K1208" s="278"/>
    </row>
    <row r="1209" spans="1:11" x14ac:dyDescent="0.15">
      <c r="A1209" s="278"/>
      <c r="B1209" s="278"/>
      <c r="C1209" s="278"/>
      <c r="D1209" s="278"/>
      <c r="E1209" s="278"/>
      <c r="F1209" s="278"/>
      <c r="G1209" s="278"/>
      <c r="H1209" s="278"/>
      <c r="I1209" s="278"/>
      <c r="J1209" s="278"/>
      <c r="K1209" s="278"/>
    </row>
    <row r="1210" spans="1:11" x14ac:dyDescent="0.15">
      <c r="A1210" s="278"/>
      <c r="B1210" s="278"/>
      <c r="C1210" s="278"/>
      <c r="D1210" s="278"/>
      <c r="E1210" s="278"/>
      <c r="F1210" s="278"/>
      <c r="G1210" s="278"/>
      <c r="H1210" s="278"/>
      <c r="I1210" s="278"/>
      <c r="J1210" s="278"/>
      <c r="K1210" s="278"/>
    </row>
    <row r="1211" spans="1:11" x14ac:dyDescent="0.15">
      <c r="A1211" s="278"/>
      <c r="B1211" s="278"/>
      <c r="C1211" s="278"/>
      <c r="D1211" s="278"/>
      <c r="E1211" s="278"/>
      <c r="F1211" s="278"/>
      <c r="G1211" s="278"/>
      <c r="H1211" s="278"/>
      <c r="I1211" s="278"/>
      <c r="J1211" s="278"/>
      <c r="K1211" s="278"/>
    </row>
    <row r="1212" spans="1:11" x14ac:dyDescent="0.15">
      <c r="A1212" s="278"/>
      <c r="B1212" s="278"/>
      <c r="C1212" s="278"/>
      <c r="D1212" s="278"/>
      <c r="E1212" s="278"/>
      <c r="F1212" s="278"/>
      <c r="G1212" s="278"/>
      <c r="H1212" s="278"/>
      <c r="I1212" s="278"/>
      <c r="J1212" s="278"/>
      <c r="K1212" s="278"/>
    </row>
    <row r="1213" spans="1:11" x14ac:dyDescent="0.15">
      <c r="A1213" s="278"/>
      <c r="B1213" s="278"/>
      <c r="C1213" s="278"/>
      <c r="D1213" s="278"/>
      <c r="E1213" s="278"/>
      <c r="F1213" s="278"/>
      <c r="G1213" s="278"/>
      <c r="H1213" s="278"/>
      <c r="I1213" s="278"/>
      <c r="J1213" s="278"/>
      <c r="K1213" s="278"/>
    </row>
    <row r="1214" spans="1:11" x14ac:dyDescent="0.15">
      <c r="A1214" s="278"/>
      <c r="B1214" s="278"/>
      <c r="C1214" s="278"/>
      <c r="D1214" s="278"/>
      <c r="E1214" s="278"/>
      <c r="F1214" s="278"/>
      <c r="G1214" s="278"/>
      <c r="H1214" s="278"/>
      <c r="I1214" s="278"/>
      <c r="J1214" s="278"/>
      <c r="K1214" s="278"/>
    </row>
    <row r="1215" spans="1:11" x14ac:dyDescent="0.15">
      <c r="A1215" s="278"/>
      <c r="B1215" s="278"/>
      <c r="C1215" s="278"/>
      <c r="D1215" s="278"/>
      <c r="E1215" s="278"/>
      <c r="F1215" s="278"/>
      <c r="G1215" s="278"/>
      <c r="H1215" s="278"/>
      <c r="I1215" s="278"/>
      <c r="J1215" s="278"/>
      <c r="K1215" s="278"/>
    </row>
    <row r="1216" spans="1:11" x14ac:dyDescent="0.15">
      <c r="A1216" s="278"/>
      <c r="B1216" s="278"/>
      <c r="C1216" s="278"/>
      <c r="D1216" s="278"/>
      <c r="E1216" s="278"/>
      <c r="F1216" s="278"/>
      <c r="G1216" s="278"/>
      <c r="H1216" s="278"/>
      <c r="I1216" s="278"/>
      <c r="J1216" s="278"/>
      <c r="K1216" s="278"/>
    </row>
    <row r="1217" spans="1:11" x14ac:dyDescent="0.15">
      <c r="A1217" s="278"/>
      <c r="B1217" s="278"/>
      <c r="C1217" s="278"/>
      <c r="D1217" s="278"/>
      <c r="E1217" s="278"/>
      <c r="F1217" s="278"/>
      <c r="G1217" s="278"/>
      <c r="H1217" s="278"/>
      <c r="I1217" s="278"/>
      <c r="J1217" s="278"/>
      <c r="K1217" s="278"/>
    </row>
    <row r="1218" spans="1:11" x14ac:dyDescent="0.15">
      <c r="A1218" s="278"/>
      <c r="B1218" s="278"/>
      <c r="C1218" s="278"/>
      <c r="D1218" s="278"/>
      <c r="E1218" s="278"/>
      <c r="F1218" s="278"/>
      <c r="G1218" s="278"/>
      <c r="H1218" s="278"/>
      <c r="I1218" s="278"/>
      <c r="J1218" s="278"/>
      <c r="K1218" s="278"/>
    </row>
    <row r="1219" spans="1:11" x14ac:dyDescent="0.15">
      <c r="A1219" s="278"/>
      <c r="B1219" s="278"/>
      <c r="C1219" s="278"/>
      <c r="D1219" s="278"/>
      <c r="E1219" s="278"/>
      <c r="F1219" s="278"/>
      <c r="G1219" s="278"/>
      <c r="H1219" s="278"/>
      <c r="I1219" s="278"/>
      <c r="J1219" s="278"/>
      <c r="K1219" s="278"/>
    </row>
    <row r="1220" spans="1:11" x14ac:dyDescent="0.15">
      <c r="A1220" s="278"/>
      <c r="B1220" s="278"/>
      <c r="C1220" s="278"/>
      <c r="D1220" s="278"/>
      <c r="E1220" s="278"/>
      <c r="F1220" s="278"/>
      <c r="G1220" s="278"/>
      <c r="H1220" s="278"/>
      <c r="I1220" s="278"/>
      <c r="J1220" s="278"/>
      <c r="K1220" s="278"/>
    </row>
    <row r="1221" spans="1:11" x14ac:dyDescent="0.15">
      <c r="A1221" s="278"/>
      <c r="B1221" s="278"/>
      <c r="C1221" s="278"/>
      <c r="D1221" s="278"/>
      <c r="E1221" s="278"/>
      <c r="F1221" s="278"/>
      <c r="G1221" s="278"/>
      <c r="H1221" s="278"/>
      <c r="I1221" s="278"/>
      <c r="J1221" s="278"/>
      <c r="K1221" s="278"/>
    </row>
    <row r="1222" spans="1:11" x14ac:dyDescent="0.15">
      <c r="A1222" s="278"/>
      <c r="B1222" s="278"/>
      <c r="C1222" s="278"/>
      <c r="D1222" s="278"/>
      <c r="E1222" s="278"/>
      <c r="F1222" s="278"/>
      <c r="G1222" s="278"/>
      <c r="H1222" s="278"/>
      <c r="I1222" s="278"/>
      <c r="J1222" s="278"/>
      <c r="K1222" s="278"/>
    </row>
    <row r="1223" spans="1:11" x14ac:dyDescent="0.15">
      <c r="A1223" s="278"/>
      <c r="B1223" s="278"/>
      <c r="C1223" s="278"/>
      <c r="D1223" s="278"/>
      <c r="E1223" s="278"/>
      <c r="F1223" s="278"/>
      <c r="G1223" s="278"/>
      <c r="H1223" s="278"/>
      <c r="I1223" s="278"/>
      <c r="J1223" s="278"/>
      <c r="K1223" s="278"/>
    </row>
    <row r="1224" spans="1:11" x14ac:dyDescent="0.15">
      <c r="A1224" s="278"/>
      <c r="B1224" s="278"/>
      <c r="C1224" s="278"/>
      <c r="D1224" s="278"/>
      <c r="E1224" s="278"/>
      <c r="F1224" s="278"/>
      <c r="G1224" s="278"/>
      <c r="H1224" s="278"/>
      <c r="I1224" s="278"/>
      <c r="J1224" s="278"/>
      <c r="K1224" s="278"/>
    </row>
    <row r="1225" spans="1:11" x14ac:dyDescent="0.15">
      <c r="A1225" s="278"/>
      <c r="B1225" s="278"/>
      <c r="C1225" s="278"/>
      <c r="D1225" s="278"/>
      <c r="E1225" s="278"/>
      <c r="F1225" s="278"/>
      <c r="G1225" s="278"/>
      <c r="H1225" s="278"/>
      <c r="I1225" s="278"/>
      <c r="J1225" s="278"/>
      <c r="K1225" s="278"/>
    </row>
    <row r="1226" spans="1:11" x14ac:dyDescent="0.15">
      <c r="A1226" s="278"/>
      <c r="B1226" s="278"/>
      <c r="C1226" s="278"/>
      <c r="D1226" s="278"/>
      <c r="E1226" s="278"/>
      <c r="F1226" s="278"/>
      <c r="G1226" s="278"/>
      <c r="H1226" s="278"/>
      <c r="I1226" s="278"/>
      <c r="J1226" s="278"/>
      <c r="K1226" s="278"/>
    </row>
    <row r="1227" spans="1:11" x14ac:dyDescent="0.15">
      <c r="A1227" s="278"/>
      <c r="B1227" s="278"/>
      <c r="C1227" s="278"/>
      <c r="D1227" s="278"/>
      <c r="E1227" s="278"/>
      <c r="F1227" s="278"/>
      <c r="G1227" s="278"/>
      <c r="H1227" s="278"/>
      <c r="I1227" s="278"/>
      <c r="J1227" s="278"/>
      <c r="K1227" s="278"/>
    </row>
    <row r="1228" spans="1:11" x14ac:dyDescent="0.15">
      <c r="A1228" s="278"/>
      <c r="B1228" s="278"/>
      <c r="C1228" s="278"/>
      <c r="D1228" s="278"/>
      <c r="E1228" s="278"/>
      <c r="F1228" s="278"/>
      <c r="G1228" s="278"/>
      <c r="H1228" s="278"/>
      <c r="I1228" s="278"/>
      <c r="J1228" s="278"/>
      <c r="K1228" s="278"/>
    </row>
    <row r="1229" spans="1:11" x14ac:dyDescent="0.15">
      <c r="A1229" s="278"/>
      <c r="B1229" s="278"/>
      <c r="C1229" s="278"/>
      <c r="D1229" s="278"/>
      <c r="E1229" s="278"/>
      <c r="F1229" s="278"/>
      <c r="G1229" s="278"/>
      <c r="H1229" s="278"/>
      <c r="I1229" s="278"/>
      <c r="J1229" s="278"/>
      <c r="K1229" s="278"/>
    </row>
    <row r="1230" spans="1:11" x14ac:dyDescent="0.15">
      <c r="A1230" s="278"/>
      <c r="B1230" s="278"/>
      <c r="C1230" s="278"/>
      <c r="D1230" s="278"/>
      <c r="E1230" s="278"/>
      <c r="F1230" s="278"/>
      <c r="G1230" s="278"/>
      <c r="H1230" s="278"/>
      <c r="I1230" s="278"/>
      <c r="J1230" s="278"/>
      <c r="K1230" s="278"/>
    </row>
    <row r="1231" spans="1:11" x14ac:dyDescent="0.15">
      <c r="A1231" s="278"/>
      <c r="B1231" s="278"/>
      <c r="C1231" s="278"/>
      <c r="D1231" s="278"/>
      <c r="E1231" s="278"/>
      <c r="F1231" s="278"/>
      <c r="G1231" s="278"/>
      <c r="H1231" s="278"/>
      <c r="I1231" s="278"/>
      <c r="J1231" s="278"/>
      <c r="K1231" s="278"/>
    </row>
    <row r="1232" spans="1:11" x14ac:dyDescent="0.15">
      <c r="A1232" s="278"/>
      <c r="B1232" s="278"/>
      <c r="C1232" s="278"/>
      <c r="D1232" s="278"/>
      <c r="E1232" s="278"/>
      <c r="F1232" s="278"/>
      <c r="G1232" s="278"/>
      <c r="H1232" s="278"/>
      <c r="I1232" s="278"/>
      <c r="J1232" s="278"/>
      <c r="K1232" s="278"/>
    </row>
    <row r="1233" spans="1:11" x14ac:dyDescent="0.15">
      <c r="A1233" s="278"/>
      <c r="B1233" s="278"/>
      <c r="C1233" s="278"/>
      <c r="D1233" s="278"/>
      <c r="E1233" s="278"/>
      <c r="F1233" s="278"/>
      <c r="G1233" s="278"/>
      <c r="H1233" s="278"/>
      <c r="I1233" s="278"/>
      <c r="J1233" s="278"/>
      <c r="K1233" s="278"/>
    </row>
    <row r="1234" spans="1:11" x14ac:dyDescent="0.15">
      <c r="A1234" s="278"/>
      <c r="B1234" s="278"/>
      <c r="C1234" s="278"/>
      <c r="D1234" s="278"/>
      <c r="E1234" s="278"/>
      <c r="F1234" s="278"/>
      <c r="G1234" s="278"/>
      <c r="H1234" s="278"/>
      <c r="I1234" s="278"/>
      <c r="J1234" s="278"/>
      <c r="K1234" s="278"/>
    </row>
    <row r="1235" spans="1:11" x14ac:dyDescent="0.15">
      <c r="A1235" s="278"/>
      <c r="B1235" s="278"/>
      <c r="C1235" s="278"/>
      <c r="D1235" s="278"/>
      <c r="E1235" s="278"/>
      <c r="F1235" s="278"/>
      <c r="G1235" s="278"/>
      <c r="H1235" s="278"/>
      <c r="I1235" s="278"/>
      <c r="J1235" s="278"/>
      <c r="K1235" s="278"/>
    </row>
    <row r="1236" spans="1:11" x14ac:dyDescent="0.15">
      <c r="A1236" s="278"/>
      <c r="B1236" s="278"/>
      <c r="C1236" s="278"/>
      <c r="D1236" s="278"/>
      <c r="E1236" s="278"/>
      <c r="F1236" s="278"/>
      <c r="G1236" s="278"/>
      <c r="H1236" s="278"/>
      <c r="I1236" s="278"/>
      <c r="J1236" s="278"/>
      <c r="K1236" s="278"/>
    </row>
    <row r="1237" spans="1:11" x14ac:dyDescent="0.15">
      <c r="A1237" s="278"/>
      <c r="B1237" s="278"/>
      <c r="C1237" s="278"/>
      <c r="D1237" s="278"/>
      <c r="E1237" s="278"/>
      <c r="F1237" s="278"/>
      <c r="G1237" s="278"/>
      <c r="H1237" s="278"/>
      <c r="I1237" s="278"/>
      <c r="J1237" s="278"/>
      <c r="K1237" s="278"/>
    </row>
    <row r="1238" spans="1:11" x14ac:dyDescent="0.15">
      <c r="A1238" s="278"/>
      <c r="B1238" s="278"/>
      <c r="C1238" s="278"/>
      <c r="D1238" s="278"/>
      <c r="E1238" s="278"/>
      <c r="F1238" s="278"/>
      <c r="G1238" s="278"/>
      <c r="H1238" s="278"/>
      <c r="I1238" s="278"/>
      <c r="J1238" s="278"/>
      <c r="K1238" s="278"/>
    </row>
    <row r="1239" spans="1:11" x14ac:dyDescent="0.15">
      <c r="A1239" s="278"/>
      <c r="B1239" s="278"/>
      <c r="C1239" s="278"/>
      <c r="D1239" s="278"/>
      <c r="E1239" s="278"/>
      <c r="F1239" s="278"/>
      <c r="G1239" s="278"/>
      <c r="H1239" s="278"/>
      <c r="I1239" s="278"/>
      <c r="J1239" s="278"/>
      <c r="K1239" s="278"/>
    </row>
    <row r="1240" spans="1:11" x14ac:dyDescent="0.15">
      <c r="A1240" s="278"/>
      <c r="B1240" s="278"/>
      <c r="C1240" s="278"/>
      <c r="D1240" s="278"/>
      <c r="E1240" s="278"/>
      <c r="F1240" s="278"/>
      <c r="G1240" s="278"/>
      <c r="H1240" s="278"/>
      <c r="I1240" s="278"/>
      <c r="J1240" s="278"/>
      <c r="K1240" s="278"/>
    </row>
    <row r="1241" spans="1:11" x14ac:dyDescent="0.15">
      <c r="A1241" s="278"/>
      <c r="B1241" s="278"/>
      <c r="C1241" s="278"/>
      <c r="D1241" s="278"/>
      <c r="E1241" s="278"/>
      <c r="F1241" s="278"/>
      <c r="G1241" s="278"/>
      <c r="H1241" s="278"/>
      <c r="I1241" s="278"/>
      <c r="J1241" s="278"/>
      <c r="K1241" s="278"/>
    </row>
    <row r="1242" spans="1:11" x14ac:dyDescent="0.15">
      <c r="A1242" s="278"/>
      <c r="B1242" s="278"/>
      <c r="C1242" s="278"/>
      <c r="D1242" s="278"/>
      <c r="E1242" s="278"/>
      <c r="F1242" s="278"/>
      <c r="G1242" s="278"/>
      <c r="H1242" s="278"/>
      <c r="I1242" s="278"/>
      <c r="J1242" s="278"/>
      <c r="K1242" s="278"/>
    </row>
    <row r="1243" spans="1:11" x14ac:dyDescent="0.15">
      <c r="A1243" s="278"/>
      <c r="B1243" s="278"/>
      <c r="C1243" s="278"/>
      <c r="D1243" s="278"/>
      <c r="E1243" s="278"/>
      <c r="F1243" s="278"/>
      <c r="G1243" s="278"/>
      <c r="H1243" s="278"/>
      <c r="I1243" s="278"/>
      <c r="J1243" s="278"/>
      <c r="K1243" s="278"/>
    </row>
    <row r="1244" spans="1:11" x14ac:dyDescent="0.15">
      <c r="A1244" s="278"/>
      <c r="B1244" s="278"/>
      <c r="C1244" s="278"/>
      <c r="D1244" s="278"/>
      <c r="E1244" s="278"/>
      <c r="F1244" s="278"/>
      <c r="G1244" s="278"/>
      <c r="H1244" s="278"/>
      <c r="I1244" s="278"/>
      <c r="J1244" s="278"/>
      <c r="K1244" s="278"/>
    </row>
    <row r="1245" spans="1:11" x14ac:dyDescent="0.15">
      <c r="A1245" s="278"/>
      <c r="B1245" s="278"/>
      <c r="C1245" s="278"/>
      <c r="D1245" s="278"/>
      <c r="E1245" s="278"/>
      <c r="F1245" s="278"/>
      <c r="G1245" s="278"/>
      <c r="H1245" s="278"/>
      <c r="I1245" s="278"/>
      <c r="J1245" s="278"/>
      <c r="K1245" s="278"/>
    </row>
    <row r="1246" spans="1:11" x14ac:dyDescent="0.15">
      <c r="A1246" s="278"/>
      <c r="B1246" s="278"/>
      <c r="C1246" s="278"/>
      <c r="D1246" s="278"/>
      <c r="E1246" s="278"/>
      <c r="F1246" s="278"/>
      <c r="G1246" s="278"/>
      <c r="H1246" s="278"/>
      <c r="I1246" s="278"/>
      <c r="J1246" s="278"/>
      <c r="K1246" s="278"/>
    </row>
    <row r="1247" spans="1:11" x14ac:dyDescent="0.15">
      <c r="A1247" s="278"/>
      <c r="B1247" s="278"/>
      <c r="C1247" s="278"/>
      <c r="D1247" s="278"/>
      <c r="E1247" s="278"/>
      <c r="F1247" s="278"/>
      <c r="G1247" s="278"/>
      <c r="H1247" s="278"/>
      <c r="I1247" s="278"/>
      <c r="J1247" s="278"/>
      <c r="K1247" s="278"/>
    </row>
    <row r="1248" spans="1:11" x14ac:dyDescent="0.15">
      <c r="A1248" s="278"/>
      <c r="B1248" s="278"/>
      <c r="C1248" s="278"/>
      <c r="D1248" s="278"/>
      <c r="E1248" s="278"/>
      <c r="F1248" s="278"/>
      <c r="G1248" s="278"/>
      <c r="H1248" s="278"/>
      <c r="I1248" s="278"/>
      <c r="J1248" s="278"/>
      <c r="K1248" s="278"/>
    </row>
    <row r="1249" spans="1:11" x14ac:dyDescent="0.15">
      <c r="A1249" s="278"/>
      <c r="B1249" s="278"/>
      <c r="C1249" s="278"/>
      <c r="D1249" s="278"/>
      <c r="E1249" s="278"/>
      <c r="F1249" s="278"/>
      <c r="G1249" s="278"/>
      <c r="H1249" s="278"/>
      <c r="I1249" s="278"/>
      <c r="J1249" s="278"/>
      <c r="K1249" s="278"/>
    </row>
    <row r="1250" spans="1:11" x14ac:dyDescent="0.15">
      <c r="A1250" s="278"/>
      <c r="B1250" s="278"/>
      <c r="C1250" s="278"/>
      <c r="D1250" s="278"/>
      <c r="E1250" s="278"/>
      <c r="F1250" s="278"/>
      <c r="G1250" s="278"/>
      <c r="H1250" s="278"/>
      <c r="I1250" s="278"/>
      <c r="J1250" s="278"/>
      <c r="K1250" s="278"/>
    </row>
    <row r="1251" spans="1:11" x14ac:dyDescent="0.15">
      <c r="A1251" s="278"/>
      <c r="B1251" s="278"/>
      <c r="C1251" s="278"/>
      <c r="D1251" s="278"/>
      <c r="E1251" s="278"/>
      <c r="F1251" s="278"/>
      <c r="G1251" s="278"/>
      <c r="H1251" s="278"/>
      <c r="I1251" s="278"/>
      <c r="J1251" s="278"/>
      <c r="K1251" s="278"/>
    </row>
    <row r="1252" spans="1:11" x14ac:dyDescent="0.15">
      <c r="A1252" s="278"/>
      <c r="B1252" s="278"/>
      <c r="C1252" s="278"/>
      <c r="D1252" s="278"/>
      <c r="E1252" s="278"/>
      <c r="F1252" s="278"/>
      <c r="G1252" s="278"/>
      <c r="H1252" s="278"/>
      <c r="I1252" s="278"/>
      <c r="J1252" s="278"/>
      <c r="K1252" s="278"/>
    </row>
    <row r="1253" spans="1:11" x14ac:dyDescent="0.15">
      <c r="A1253" s="278"/>
      <c r="B1253" s="278"/>
      <c r="C1253" s="278"/>
      <c r="D1253" s="278"/>
      <c r="E1253" s="278"/>
      <c r="F1253" s="278"/>
      <c r="G1253" s="278"/>
      <c r="H1253" s="278"/>
      <c r="I1253" s="278"/>
      <c r="J1253" s="278"/>
      <c r="K1253" s="278"/>
    </row>
    <row r="1254" spans="1:11" x14ac:dyDescent="0.15">
      <c r="A1254" s="278"/>
      <c r="B1254" s="278"/>
      <c r="C1254" s="278"/>
      <c r="D1254" s="278"/>
      <c r="E1254" s="278"/>
      <c r="F1254" s="278"/>
      <c r="G1254" s="278"/>
      <c r="H1254" s="278"/>
      <c r="I1254" s="278"/>
      <c r="J1254" s="278"/>
      <c r="K1254" s="278"/>
    </row>
    <row r="1255" spans="1:11" x14ac:dyDescent="0.15">
      <c r="A1255" s="278"/>
      <c r="B1255" s="278"/>
      <c r="C1255" s="278"/>
      <c r="D1255" s="278"/>
      <c r="E1255" s="278"/>
      <c r="F1255" s="278"/>
      <c r="G1255" s="278"/>
      <c r="H1255" s="278"/>
      <c r="I1255" s="278"/>
      <c r="J1255" s="278"/>
      <c r="K1255" s="278"/>
    </row>
    <row r="1256" spans="1:11" x14ac:dyDescent="0.15">
      <c r="A1256" s="278"/>
      <c r="B1256" s="278"/>
      <c r="C1256" s="278"/>
      <c r="D1256" s="278"/>
      <c r="E1256" s="278"/>
      <c r="F1256" s="278"/>
      <c r="G1256" s="278"/>
      <c r="H1256" s="278"/>
      <c r="I1256" s="278"/>
      <c r="J1256" s="278"/>
      <c r="K1256" s="278"/>
    </row>
    <row r="1257" spans="1:11" x14ac:dyDescent="0.15">
      <c r="A1257" s="278"/>
      <c r="B1257" s="278"/>
      <c r="C1257" s="278"/>
      <c r="D1257" s="278"/>
      <c r="E1257" s="278"/>
      <c r="F1257" s="278"/>
      <c r="G1257" s="278"/>
      <c r="H1257" s="278"/>
      <c r="I1257" s="278"/>
      <c r="J1257" s="278"/>
      <c r="K1257" s="278"/>
    </row>
    <row r="1258" spans="1:11" x14ac:dyDescent="0.15">
      <c r="A1258" s="278"/>
      <c r="B1258" s="278"/>
      <c r="C1258" s="278"/>
      <c r="D1258" s="278"/>
      <c r="E1258" s="278"/>
      <c r="F1258" s="278"/>
      <c r="G1258" s="278"/>
      <c r="H1258" s="278"/>
      <c r="I1258" s="278"/>
      <c r="J1258" s="278"/>
      <c r="K1258" s="278"/>
    </row>
    <row r="1259" spans="1:11" x14ac:dyDescent="0.15">
      <c r="A1259" s="278"/>
      <c r="B1259" s="278"/>
      <c r="C1259" s="278"/>
      <c r="D1259" s="278"/>
      <c r="E1259" s="278"/>
      <c r="F1259" s="278"/>
      <c r="G1259" s="278"/>
      <c r="H1259" s="278"/>
      <c r="I1259" s="278"/>
      <c r="J1259" s="278"/>
      <c r="K1259" s="278"/>
    </row>
    <row r="1260" spans="1:11" x14ac:dyDescent="0.15">
      <c r="A1260" s="278"/>
      <c r="B1260" s="278"/>
      <c r="C1260" s="278"/>
      <c r="D1260" s="278"/>
      <c r="E1260" s="278"/>
      <c r="F1260" s="278"/>
      <c r="G1260" s="278"/>
      <c r="H1260" s="278"/>
      <c r="I1260" s="278"/>
      <c r="J1260" s="278"/>
      <c r="K1260" s="278"/>
    </row>
    <row r="1261" spans="1:11" x14ac:dyDescent="0.15">
      <c r="A1261" s="278"/>
      <c r="B1261" s="278"/>
      <c r="C1261" s="278"/>
      <c r="D1261" s="278"/>
      <c r="E1261" s="278"/>
      <c r="F1261" s="278"/>
      <c r="G1261" s="278"/>
      <c r="H1261" s="278"/>
      <c r="I1261" s="278"/>
      <c r="J1261" s="278"/>
      <c r="K1261" s="278"/>
    </row>
    <row r="1262" spans="1:11" x14ac:dyDescent="0.15">
      <c r="A1262" s="278"/>
      <c r="B1262" s="278"/>
      <c r="C1262" s="278"/>
      <c r="D1262" s="278"/>
      <c r="E1262" s="278"/>
      <c r="F1262" s="278"/>
      <c r="G1262" s="278"/>
      <c r="H1262" s="278"/>
      <c r="I1262" s="278"/>
      <c r="J1262" s="278"/>
      <c r="K1262" s="278"/>
    </row>
    <row r="1263" spans="1:11" x14ac:dyDescent="0.15">
      <c r="A1263" s="278"/>
      <c r="B1263" s="278"/>
      <c r="C1263" s="278"/>
      <c r="D1263" s="278"/>
      <c r="E1263" s="278"/>
      <c r="F1263" s="278"/>
      <c r="G1263" s="278"/>
      <c r="H1263" s="278"/>
      <c r="I1263" s="278"/>
      <c r="J1263" s="278"/>
      <c r="K1263" s="278"/>
    </row>
    <row r="1264" spans="1:11" x14ac:dyDescent="0.15">
      <c r="A1264" s="278"/>
      <c r="B1264" s="278"/>
      <c r="C1264" s="278"/>
      <c r="D1264" s="278"/>
      <c r="E1264" s="278"/>
      <c r="F1264" s="278"/>
      <c r="G1264" s="278"/>
      <c r="H1264" s="278"/>
      <c r="I1264" s="278"/>
      <c r="J1264" s="278"/>
      <c r="K1264" s="278"/>
    </row>
    <row r="1265" spans="1:11" x14ac:dyDescent="0.15">
      <c r="A1265" s="278"/>
      <c r="B1265" s="278"/>
      <c r="C1265" s="278"/>
      <c r="D1265" s="278"/>
      <c r="E1265" s="278"/>
      <c r="F1265" s="278"/>
      <c r="G1265" s="278"/>
      <c r="H1265" s="278"/>
      <c r="I1265" s="278"/>
      <c r="J1265" s="278"/>
      <c r="K1265" s="278"/>
    </row>
    <row r="1266" spans="1:11" x14ac:dyDescent="0.15">
      <c r="A1266" s="278"/>
      <c r="B1266" s="278"/>
      <c r="C1266" s="278"/>
      <c r="D1266" s="278"/>
      <c r="E1266" s="278"/>
      <c r="F1266" s="278"/>
      <c r="G1266" s="278"/>
      <c r="H1266" s="278"/>
      <c r="I1266" s="278"/>
      <c r="J1266" s="278"/>
      <c r="K1266" s="278"/>
    </row>
    <row r="1267" spans="1:11" x14ac:dyDescent="0.15">
      <c r="A1267" s="278"/>
      <c r="B1267" s="278"/>
      <c r="C1267" s="278"/>
      <c r="D1267" s="278"/>
      <c r="E1267" s="278"/>
      <c r="F1267" s="278"/>
      <c r="G1267" s="278"/>
      <c r="H1267" s="278"/>
      <c r="I1267" s="278"/>
      <c r="J1267" s="278"/>
      <c r="K1267" s="278"/>
    </row>
    <row r="1268" spans="1:11" x14ac:dyDescent="0.15">
      <c r="A1268" s="278"/>
      <c r="B1268" s="278"/>
      <c r="C1268" s="278"/>
      <c r="D1268" s="278"/>
      <c r="E1268" s="278"/>
      <c r="F1268" s="278"/>
      <c r="G1268" s="278"/>
      <c r="H1268" s="278"/>
      <c r="I1268" s="278"/>
      <c r="J1268" s="278"/>
      <c r="K1268" s="278"/>
    </row>
    <row r="1269" spans="1:11" x14ac:dyDescent="0.15">
      <c r="A1269" s="278"/>
      <c r="B1269" s="278"/>
      <c r="C1269" s="278"/>
      <c r="D1269" s="278"/>
      <c r="E1269" s="278"/>
      <c r="F1269" s="278"/>
      <c r="G1269" s="278"/>
      <c r="H1269" s="278"/>
      <c r="I1269" s="278"/>
      <c r="J1269" s="278"/>
      <c r="K1269" s="278"/>
    </row>
    <row r="1270" spans="1:11" x14ac:dyDescent="0.15">
      <c r="A1270" s="278"/>
      <c r="B1270" s="278"/>
      <c r="C1270" s="278"/>
      <c r="D1270" s="278"/>
      <c r="E1270" s="278"/>
      <c r="F1270" s="278"/>
      <c r="G1270" s="278"/>
      <c r="H1270" s="278"/>
      <c r="I1270" s="278"/>
      <c r="J1270" s="278"/>
      <c r="K1270" s="278"/>
    </row>
    <row r="1271" spans="1:11" x14ac:dyDescent="0.15">
      <c r="A1271" s="278"/>
      <c r="B1271" s="278"/>
      <c r="C1271" s="278"/>
      <c r="D1271" s="278"/>
      <c r="E1271" s="278"/>
      <c r="F1271" s="278"/>
      <c r="G1271" s="278"/>
      <c r="H1271" s="278"/>
      <c r="I1271" s="278"/>
      <c r="J1271" s="278"/>
      <c r="K1271" s="278"/>
    </row>
    <row r="1272" spans="1:11" x14ac:dyDescent="0.15">
      <c r="A1272" s="278"/>
      <c r="B1272" s="278"/>
      <c r="C1272" s="278"/>
      <c r="D1272" s="278"/>
      <c r="E1272" s="278"/>
      <c r="F1272" s="278"/>
      <c r="G1272" s="278"/>
      <c r="H1272" s="278"/>
      <c r="I1272" s="278"/>
      <c r="J1272" s="278"/>
      <c r="K1272" s="278"/>
    </row>
    <row r="1273" spans="1:11" x14ac:dyDescent="0.15">
      <c r="A1273" s="278"/>
      <c r="B1273" s="278"/>
      <c r="C1273" s="278"/>
      <c r="D1273" s="278"/>
      <c r="E1273" s="278"/>
      <c r="F1273" s="278"/>
      <c r="G1273" s="278"/>
      <c r="H1273" s="278"/>
      <c r="I1273" s="278"/>
      <c r="J1273" s="278"/>
      <c r="K1273" s="278"/>
    </row>
    <row r="1274" spans="1:11" x14ac:dyDescent="0.15">
      <c r="A1274" s="278"/>
      <c r="B1274" s="278"/>
      <c r="C1274" s="278"/>
      <c r="D1274" s="278"/>
      <c r="E1274" s="278"/>
      <c r="F1274" s="278"/>
      <c r="G1274" s="278"/>
      <c r="H1274" s="278"/>
      <c r="I1274" s="278"/>
      <c r="J1274" s="278"/>
      <c r="K1274" s="278"/>
    </row>
    <row r="1275" spans="1:11" x14ac:dyDescent="0.15">
      <c r="A1275" s="278"/>
      <c r="B1275" s="278"/>
      <c r="C1275" s="278"/>
      <c r="D1275" s="278"/>
      <c r="E1275" s="278"/>
      <c r="F1275" s="278"/>
      <c r="G1275" s="278"/>
      <c r="H1275" s="278"/>
      <c r="I1275" s="278"/>
      <c r="J1275" s="278"/>
      <c r="K1275" s="278"/>
    </row>
    <row r="1276" spans="1:11" x14ac:dyDescent="0.15">
      <c r="A1276" s="278"/>
      <c r="B1276" s="278"/>
      <c r="C1276" s="278"/>
      <c r="D1276" s="278"/>
      <c r="E1276" s="278"/>
      <c r="F1276" s="278"/>
      <c r="G1276" s="278"/>
      <c r="H1276" s="278"/>
      <c r="I1276" s="278"/>
      <c r="J1276" s="278"/>
      <c r="K1276" s="278"/>
    </row>
    <row r="1277" spans="1:11" x14ac:dyDescent="0.15">
      <c r="A1277" s="278"/>
      <c r="B1277" s="278"/>
      <c r="C1277" s="278"/>
      <c r="D1277" s="278"/>
      <c r="E1277" s="278"/>
      <c r="F1277" s="278"/>
      <c r="G1277" s="278"/>
      <c r="H1277" s="278"/>
      <c r="I1277" s="278"/>
      <c r="J1277" s="278"/>
      <c r="K1277" s="278"/>
    </row>
    <row r="1278" spans="1:11" x14ac:dyDescent="0.15">
      <c r="A1278" s="278"/>
      <c r="B1278" s="278"/>
      <c r="C1278" s="278"/>
      <c r="D1278" s="278"/>
      <c r="E1278" s="278"/>
      <c r="F1278" s="278"/>
      <c r="G1278" s="278"/>
      <c r="H1278" s="278"/>
      <c r="I1278" s="278"/>
      <c r="J1278" s="278"/>
      <c r="K1278" s="278"/>
    </row>
    <row r="1279" spans="1:11" x14ac:dyDescent="0.15">
      <c r="A1279" s="278"/>
      <c r="B1279" s="278"/>
      <c r="C1279" s="278"/>
      <c r="D1279" s="278"/>
      <c r="E1279" s="278"/>
      <c r="F1279" s="278"/>
      <c r="G1279" s="278"/>
      <c r="H1279" s="278"/>
      <c r="I1279" s="278"/>
      <c r="J1279" s="278"/>
      <c r="K1279" s="278"/>
    </row>
    <row r="1280" spans="1:11" x14ac:dyDescent="0.15">
      <c r="A1280" s="278"/>
      <c r="B1280" s="278"/>
      <c r="C1280" s="278"/>
      <c r="D1280" s="278"/>
      <c r="E1280" s="278"/>
      <c r="F1280" s="278"/>
      <c r="G1280" s="278"/>
      <c r="H1280" s="278"/>
      <c r="I1280" s="278"/>
      <c r="J1280" s="278"/>
      <c r="K1280" s="278"/>
    </row>
    <row r="1281" spans="1:11" x14ac:dyDescent="0.15">
      <c r="A1281" s="278"/>
      <c r="B1281" s="278"/>
      <c r="C1281" s="278"/>
      <c r="D1281" s="278"/>
      <c r="E1281" s="278"/>
      <c r="F1281" s="278"/>
      <c r="G1281" s="278"/>
      <c r="H1281" s="278"/>
      <c r="I1281" s="278"/>
      <c r="J1281" s="278"/>
      <c r="K1281" s="278"/>
    </row>
    <row r="1282" spans="1:11" x14ac:dyDescent="0.15">
      <c r="A1282" s="278"/>
      <c r="B1282" s="278"/>
      <c r="C1282" s="278"/>
      <c r="D1282" s="278"/>
      <c r="E1282" s="278"/>
      <c r="F1282" s="278"/>
      <c r="G1282" s="278"/>
      <c r="H1282" s="278"/>
      <c r="I1282" s="278"/>
      <c r="J1282" s="278"/>
      <c r="K1282" s="278"/>
    </row>
    <row r="1283" spans="1:11" x14ac:dyDescent="0.15">
      <c r="A1283" s="278"/>
      <c r="B1283" s="278"/>
      <c r="C1283" s="278"/>
      <c r="D1283" s="278"/>
      <c r="E1283" s="278"/>
      <c r="F1283" s="278"/>
      <c r="G1283" s="278"/>
      <c r="H1283" s="278"/>
      <c r="I1283" s="278"/>
      <c r="J1283" s="278"/>
      <c r="K1283" s="278"/>
    </row>
    <row r="1284" spans="1:11" x14ac:dyDescent="0.15">
      <c r="A1284" s="278"/>
      <c r="B1284" s="278"/>
      <c r="C1284" s="278"/>
      <c r="D1284" s="278"/>
      <c r="E1284" s="278"/>
      <c r="F1284" s="278"/>
      <c r="G1284" s="278"/>
      <c r="H1284" s="278"/>
      <c r="I1284" s="278"/>
      <c r="J1284" s="278"/>
      <c r="K1284" s="278"/>
    </row>
    <row r="1285" spans="1:11" x14ac:dyDescent="0.15">
      <c r="A1285" s="278"/>
      <c r="B1285" s="278"/>
      <c r="C1285" s="278"/>
      <c r="D1285" s="278"/>
      <c r="E1285" s="278"/>
      <c r="F1285" s="278"/>
      <c r="G1285" s="278"/>
      <c r="H1285" s="278"/>
      <c r="I1285" s="278"/>
      <c r="J1285" s="278"/>
      <c r="K1285" s="278"/>
    </row>
    <row r="1286" spans="1:11" x14ac:dyDescent="0.15">
      <c r="A1286" s="278"/>
      <c r="B1286" s="278"/>
      <c r="C1286" s="278"/>
      <c r="D1286" s="278"/>
      <c r="E1286" s="278"/>
      <c r="F1286" s="278"/>
      <c r="G1286" s="278"/>
      <c r="H1286" s="278"/>
      <c r="I1286" s="278"/>
      <c r="J1286" s="278"/>
      <c r="K1286" s="278"/>
    </row>
    <row r="1287" spans="1:11" x14ac:dyDescent="0.15">
      <c r="A1287" s="278"/>
      <c r="B1287" s="278"/>
      <c r="C1287" s="278"/>
      <c r="D1287" s="278"/>
      <c r="E1287" s="278"/>
      <c r="F1287" s="278"/>
      <c r="G1287" s="278"/>
      <c r="H1287" s="278"/>
      <c r="I1287" s="278"/>
      <c r="J1287" s="278"/>
      <c r="K1287" s="278"/>
    </row>
    <row r="1288" spans="1:11" x14ac:dyDescent="0.15">
      <c r="A1288" s="278"/>
      <c r="B1288" s="278"/>
      <c r="C1288" s="278"/>
      <c r="D1288" s="278"/>
      <c r="E1288" s="278"/>
      <c r="F1288" s="278"/>
      <c r="G1288" s="278"/>
      <c r="H1288" s="278"/>
      <c r="I1288" s="278"/>
      <c r="J1288" s="278"/>
      <c r="K1288" s="278"/>
    </row>
    <row r="1289" spans="1:11" x14ac:dyDescent="0.15">
      <c r="A1289" s="278"/>
      <c r="B1289" s="278"/>
      <c r="C1289" s="278"/>
      <c r="D1289" s="278"/>
      <c r="E1289" s="278"/>
      <c r="F1289" s="278"/>
      <c r="G1289" s="278"/>
      <c r="H1289" s="278"/>
      <c r="I1289" s="278"/>
      <c r="J1289" s="278"/>
      <c r="K1289" s="278"/>
    </row>
    <row r="1290" spans="1:11" x14ac:dyDescent="0.15">
      <c r="A1290" s="278"/>
      <c r="B1290" s="278"/>
      <c r="C1290" s="278"/>
      <c r="D1290" s="278"/>
      <c r="E1290" s="278"/>
      <c r="F1290" s="278"/>
      <c r="G1290" s="278"/>
      <c r="H1290" s="278"/>
      <c r="I1290" s="278"/>
      <c r="J1290" s="278"/>
      <c r="K1290" s="278"/>
    </row>
    <row r="1291" spans="1:11" x14ac:dyDescent="0.15">
      <c r="A1291" s="278"/>
      <c r="B1291" s="278"/>
      <c r="C1291" s="278"/>
      <c r="D1291" s="278"/>
      <c r="E1291" s="278"/>
      <c r="F1291" s="278"/>
      <c r="G1291" s="278"/>
      <c r="H1291" s="278"/>
      <c r="I1291" s="278"/>
      <c r="J1291" s="278"/>
      <c r="K1291" s="278"/>
    </row>
    <row r="1292" spans="1:11" x14ac:dyDescent="0.15">
      <c r="A1292" s="278"/>
      <c r="B1292" s="278"/>
      <c r="C1292" s="278"/>
      <c r="D1292" s="278"/>
      <c r="E1292" s="278"/>
      <c r="F1292" s="278"/>
      <c r="G1292" s="278"/>
      <c r="H1292" s="278"/>
      <c r="I1292" s="278"/>
      <c r="J1292" s="278"/>
      <c r="K1292" s="278"/>
    </row>
    <row r="1293" spans="1:11" x14ac:dyDescent="0.15">
      <c r="A1293" s="278"/>
      <c r="B1293" s="278"/>
      <c r="C1293" s="278"/>
      <c r="D1293" s="278"/>
      <c r="E1293" s="278"/>
      <c r="F1293" s="278"/>
      <c r="G1293" s="278"/>
      <c r="H1293" s="278"/>
      <c r="I1293" s="278"/>
      <c r="J1293" s="278"/>
      <c r="K1293" s="278"/>
    </row>
    <row r="1294" spans="1:11" x14ac:dyDescent="0.15">
      <c r="A1294" s="278"/>
      <c r="B1294" s="278"/>
      <c r="C1294" s="278"/>
      <c r="D1294" s="278"/>
      <c r="E1294" s="278"/>
      <c r="F1294" s="278"/>
      <c r="G1294" s="278"/>
      <c r="H1294" s="278"/>
      <c r="I1294" s="278"/>
      <c r="J1294" s="278"/>
      <c r="K1294" s="278"/>
    </row>
    <row r="1295" spans="1:11" x14ac:dyDescent="0.15">
      <c r="A1295" s="278"/>
      <c r="B1295" s="278"/>
      <c r="C1295" s="278"/>
      <c r="D1295" s="278"/>
      <c r="E1295" s="278"/>
      <c r="F1295" s="278"/>
      <c r="G1295" s="278"/>
      <c r="H1295" s="278"/>
      <c r="I1295" s="278"/>
      <c r="J1295" s="278"/>
      <c r="K1295" s="278"/>
    </row>
    <row r="1296" spans="1:11" x14ac:dyDescent="0.15">
      <c r="A1296" s="278"/>
      <c r="B1296" s="278"/>
      <c r="C1296" s="278"/>
      <c r="D1296" s="278"/>
      <c r="E1296" s="278"/>
      <c r="F1296" s="278"/>
      <c r="G1296" s="278"/>
      <c r="H1296" s="278"/>
      <c r="I1296" s="278"/>
      <c r="J1296" s="278"/>
      <c r="K1296" s="278"/>
    </row>
    <row r="1297" spans="1:11" x14ac:dyDescent="0.15">
      <c r="A1297" s="278"/>
      <c r="B1297" s="278"/>
      <c r="C1297" s="278"/>
      <c r="D1297" s="278"/>
      <c r="E1297" s="278"/>
      <c r="F1297" s="278"/>
      <c r="G1297" s="278"/>
      <c r="H1297" s="278"/>
      <c r="I1297" s="278"/>
      <c r="J1297" s="278"/>
      <c r="K1297" s="278"/>
    </row>
    <row r="1298" spans="1:11" x14ac:dyDescent="0.15">
      <c r="A1298" s="278"/>
      <c r="B1298" s="278"/>
      <c r="C1298" s="278"/>
      <c r="D1298" s="278"/>
      <c r="E1298" s="278"/>
      <c r="F1298" s="278"/>
      <c r="G1298" s="278"/>
      <c r="H1298" s="278"/>
      <c r="I1298" s="278"/>
      <c r="J1298" s="278"/>
      <c r="K1298" s="278"/>
    </row>
    <row r="1299" spans="1:11" x14ac:dyDescent="0.15">
      <c r="A1299" s="278"/>
      <c r="B1299" s="278"/>
      <c r="C1299" s="278"/>
      <c r="D1299" s="278"/>
      <c r="E1299" s="278"/>
      <c r="F1299" s="278"/>
      <c r="G1299" s="278"/>
      <c r="H1299" s="278"/>
      <c r="I1299" s="278"/>
      <c r="J1299" s="278"/>
      <c r="K1299" s="278"/>
    </row>
    <row r="1300" spans="1:11" x14ac:dyDescent="0.15">
      <c r="A1300" s="278"/>
      <c r="B1300" s="278"/>
      <c r="C1300" s="278"/>
      <c r="D1300" s="278"/>
      <c r="E1300" s="278"/>
      <c r="F1300" s="278"/>
      <c r="G1300" s="278"/>
      <c r="H1300" s="278"/>
      <c r="I1300" s="278"/>
      <c r="J1300" s="278"/>
      <c r="K1300" s="278"/>
    </row>
    <row r="1301" spans="1:11" x14ac:dyDescent="0.15">
      <c r="A1301" s="278"/>
      <c r="B1301" s="278"/>
      <c r="C1301" s="278"/>
      <c r="D1301" s="278"/>
      <c r="E1301" s="278"/>
      <c r="F1301" s="278"/>
      <c r="G1301" s="278"/>
      <c r="H1301" s="278"/>
      <c r="I1301" s="278"/>
      <c r="J1301" s="278"/>
      <c r="K1301" s="278"/>
    </row>
    <row r="1302" spans="1:11" x14ac:dyDescent="0.15">
      <c r="A1302" s="278"/>
      <c r="B1302" s="278"/>
      <c r="C1302" s="278"/>
      <c r="D1302" s="278"/>
      <c r="E1302" s="278"/>
      <c r="F1302" s="278"/>
      <c r="G1302" s="278"/>
      <c r="H1302" s="278"/>
      <c r="I1302" s="278"/>
      <c r="J1302" s="278"/>
      <c r="K1302" s="278"/>
    </row>
    <row r="1303" spans="1:11" x14ac:dyDescent="0.15">
      <c r="A1303" s="278"/>
      <c r="B1303" s="278"/>
      <c r="C1303" s="278"/>
      <c r="D1303" s="278"/>
      <c r="E1303" s="278"/>
      <c r="F1303" s="278"/>
      <c r="G1303" s="278"/>
      <c r="H1303" s="278"/>
      <c r="I1303" s="278"/>
      <c r="J1303" s="278"/>
      <c r="K1303" s="278"/>
    </row>
    <row r="1304" spans="1:11" x14ac:dyDescent="0.15">
      <c r="A1304" s="278"/>
      <c r="B1304" s="278"/>
      <c r="C1304" s="278"/>
      <c r="D1304" s="278"/>
      <c r="E1304" s="278"/>
      <c r="F1304" s="278"/>
      <c r="G1304" s="278"/>
      <c r="H1304" s="278"/>
      <c r="I1304" s="278"/>
      <c r="J1304" s="278"/>
      <c r="K1304" s="278"/>
    </row>
    <row r="1305" spans="1:11" x14ac:dyDescent="0.15">
      <c r="A1305" s="278"/>
      <c r="B1305" s="278"/>
      <c r="C1305" s="278"/>
      <c r="D1305" s="278"/>
      <c r="E1305" s="278"/>
      <c r="F1305" s="278"/>
      <c r="G1305" s="278"/>
      <c r="H1305" s="278"/>
      <c r="I1305" s="278"/>
      <c r="J1305" s="278"/>
      <c r="K1305" s="278"/>
    </row>
    <row r="1306" spans="1:11" x14ac:dyDescent="0.15">
      <c r="A1306" s="278"/>
      <c r="B1306" s="278"/>
      <c r="C1306" s="278"/>
      <c r="D1306" s="278"/>
      <c r="E1306" s="278"/>
      <c r="F1306" s="278"/>
      <c r="G1306" s="278"/>
      <c r="H1306" s="278"/>
      <c r="I1306" s="278"/>
      <c r="J1306" s="278"/>
      <c r="K1306" s="278"/>
    </row>
    <row r="1307" spans="1:11" x14ac:dyDescent="0.15">
      <c r="A1307" s="278"/>
      <c r="B1307" s="278"/>
      <c r="C1307" s="278"/>
      <c r="D1307" s="278"/>
      <c r="E1307" s="278"/>
      <c r="F1307" s="278"/>
      <c r="G1307" s="278"/>
      <c r="H1307" s="278"/>
      <c r="I1307" s="278"/>
      <c r="J1307" s="278"/>
      <c r="K1307" s="278"/>
    </row>
    <row r="1308" spans="1:11" x14ac:dyDescent="0.15">
      <c r="A1308" s="278"/>
      <c r="B1308" s="278"/>
      <c r="C1308" s="278"/>
      <c r="D1308" s="278"/>
      <c r="E1308" s="278"/>
      <c r="F1308" s="278"/>
      <c r="G1308" s="278"/>
      <c r="H1308" s="278"/>
      <c r="I1308" s="278"/>
      <c r="J1308" s="278"/>
      <c r="K1308" s="278"/>
    </row>
    <row r="1309" spans="1:11" x14ac:dyDescent="0.15">
      <c r="A1309" s="278"/>
      <c r="B1309" s="278"/>
      <c r="C1309" s="278"/>
      <c r="D1309" s="278"/>
      <c r="E1309" s="278"/>
      <c r="F1309" s="278"/>
      <c r="G1309" s="278"/>
      <c r="H1309" s="278"/>
      <c r="I1309" s="278"/>
      <c r="J1309" s="278"/>
      <c r="K1309" s="278"/>
    </row>
    <row r="1310" spans="1:11" x14ac:dyDescent="0.15">
      <c r="A1310" s="278"/>
      <c r="B1310" s="278"/>
      <c r="C1310" s="278"/>
      <c r="D1310" s="278"/>
      <c r="E1310" s="278"/>
      <c r="F1310" s="278"/>
      <c r="G1310" s="278"/>
      <c r="H1310" s="278"/>
      <c r="I1310" s="278"/>
      <c r="J1310" s="278"/>
      <c r="K1310" s="278"/>
    </row>
    <row r="1311" spans="1:11" x14ac:dyDescent="0.15">
      <c r="A1311" s="278"/>
      <c r="B1311" s="278"/>
      <c r="C1311" s="278"/>
      <c r="D1311" s="278"/>
      <c r="E1311" s="278"/>
      <c r="F1311" s="278"/>
      <c r="G1311" s="278"/>
      <c r="H1311" s="278"/>
      <c r="I1311" s="278"/>
      <c r="J1311" s="278"/>
      <c r="K1311" s="278"/>
    </row>
    <row r="1312" spans="1:11" x14ac:dyDescent="0.15">
      <c r="A1312" s="278"/>
      <c r="B1312" s="278"/>
      <c r="C1312" s="278"/>
      <c r="D1312" s="278"/>
      <c r="E1312" s="278"/>
      <c r="F1312" s="278"/>
      <c r="G1312" s="278"/>
      <c r="H1312" s="278"/>
      <c r="I1312" s="278"/>
      <c r="J1312" s="278"/>
      <c r="K1312" s="278"/>
    </row>
    <row r="1313" spans="1:11" x14ac:dyDescent="0.15">
      <c r="A1313" s="278"/>
      <c r="B1313" s="278"/>
      <c r="C1313" s="278"/>
      <c r="D1313" s="278"/>
      <c r="E1313" s="278"/>
      <c r="F1313" s="278"/>
      <c r="G1313" s="278"/>
      <c r="H1313" s="278"/>
      <c r="I1313" s="278"/>
      <c r="J1313" s="278"/>
      <c r="K1313" s="278"/>
    </row>
    <row r="1314" spans="1:11" x14ac:dyDescent="0.15">
      <c r="A1314" s="278"/>
      <c r="B1314" s="278"/>
      <c r="C1314" s="278"/>
      <c r="D1314" s="278"/>
      <c r="E1314" s="278"/>
      <c r="F1314" s="278"/>
      <c r="G1314" s="278"/>
      <c r="H1314" s="278"/>
      <c r="I1314" s="278"/>
      <c r="J1314" s="278"/>
      <c r="K1314" s="278"/>
    </row>
    <row r="1315" spans="1:11" x14ac:dyDescent="0.15">
      <c r="A1315" s="278"/>
      <c r="B1315" s="278"/>
      <c r="C1315" s="278"/>
      <c r="D1315" s="278"/>
      <c r="E1315" s="278"/>
      <c r="F1315" s="278"/>
      <c r="G1315" s="278"/>
      <c r="H1315" s="278"/>
      <c r="I1315" s="278"/>
      <c r="J1315" s="278"/>
      <c r="K1315" s="278"/>
    </row>
    <row r="1316" spans="1:11" x14ac:dyDescent="0.15">
      <c r="A1316" s="278"/>
      <c r="B1316" s="278"/>
      <c r="C1316" s="278"/>
      <c r="D1316" s="278"/>
      <c r="E1316" s="278"/>
      <c r="F1316" s="278"/>
      <c r="G1316" s="278"/>
      <c r="H1316" s="278"/>
      <c r="I1316" s="278"/>
      <c r="J1316" s="278"/>
      <c r="K1316" s="278"/>
    </row>
    <row r="1317" spans="1:11" x14ac:dyDescent="0.15">
      <c r="A1317" s="278"/>
      <c r="B1317" s="278"/>
      <c r="C1317" s="278"/>
      <c r="D1317" s="278"/>
      <c r="E1317" s="278"/>
      <c r="F1317" s="278"/>
      <c r="G1317" s="278"/>
      <c r="H1317" s="278"/>
      <c r="I1317" s="278"/>
      <c r="J1317" s="278"/>
      <c r="K1317" s="278"/>
    </row>
    <row r="1318" spans="1:11" x14ac:dyDescent="0.15">
      <c r="A1318" s="278"/>
      <c r="B1318" s="278"/>
      <c r="C1318" s="278"/>
      <c r="D1318" s="278"/>
      <c r="E1318" s="278"/>
      <c r="F1318" s="278"/>
      <c r="G1318" s="278"/>
      <c r="H1318" s="278"/>
      <c r="I1318" s="278"/>
      <c r="J1318" s="278"/>
      <c r="K1318" s="278"/>
    </row>
    <row r="1319" spans="1:11" x14ac:dyDescent="0.15">
      <c r="A1319" s="278"/>
      <c r="B1319" s="278"/>
      <c r="C1319" s="278"/>
      <c r="D1319" s="278"/>
      <c r="E1319" s="278"/>
      <c r="F1319" s="278"/>
      <c r="G1319" s="278"/>
      <c r="H1319" s="278"/>
      <c r="I1319" s="278"/>
      <c r="J1319" s="278"/>
      <c r="K1319" s="278"/>
    </row>
    <row r="1320" spans="1:11" x14ac:dyDescent="0.15">
      <c r="A1320" s="278"/>
      <c r="B1320" s="278"/>
      <c r="C1320" s="278"/>
      <c r="D1320" s="278"/>
      <c r="E1320" s="278"/>
      <c r="F1320" s="278"/>
      <c r="G1320" s="278"/>
      <c r="H1320" s="278"/>
      <c r="I1320" s="278"/>
      <c r="J1320" s="278"/>
      <c r="K1320" s="278"/>
    </row>
    <row r="1321" spans="1:11" x14ac:dyDescent="0.15">
      <c r="A1321" s="278"/>
      <c r="B1321" s="278"/>
      <c r="C1321" s="278"/>
      <c r="D1321" s="278"/>
      <c r="E1321" s="278"/>
      <c r="F1321" s="278"/>
      <c r="G1321" s="278"/>
      <c r="H1321" s="278"/>
      <c r="I1321" s="278"/>
      <c r="J1321" s="278"/>
      <c r="K1321" s="278"/>
    </row>
    <row r="1322" spans="1:11" x14ac:dyDescent="0.15">
      <c r="A1322" s="278"/>
      <c r="B1322" s="278"/>
      <c r="C1322" s="278"/>
      <c r="D1322" s="278"/>
      <c r="E1322" s="278"/>
      <c r="F1322" s="278"/>
      <c r="G1322" s="278"/>
      <c r="H1322" s="278"/>
      <c r="I1322" s="278"/>
      <c r="J1322" s="278"/>
      <c r="K1322" s="278"/>
    </row>
    <row r="1323" spans="1:11" x14ac:dyDescent="0.15">
      <c r="A1323" s="278"/>
      <c r="B1323" s="278"/>
      <c r="C1323" s="278"/>
      <c r="D1323" s="278"/>
      <c r="E1323" s="278"/>
      <c r="F1323" s="278"/>
      <c r="G1323" s="278"/>
      <c r="H1323" s="278"/>
      <c r="I1323" s="278"/>
      <c r="J1323" s="278"/>
      <c r="K1323" s="278"/>
    </row>
    <row r="1324" spans="1:11" x14ac:dyDescent="0.15">
      <c r="A1324" s="278"/>
      <c r="B1324" s="278"/>
      <c r="C1324" s="278"/>
      <c r="D1324" s="278"/>
      <c r="E1324" s="278"/>
      <c r="F1324" s="278"/>
      <c r="G1324" s="278"/>
      <c r="H1324" s="278"/>
      <c r="I1324" s="278"/>
      <c r="J1324" s="278"/>
      <c r="K1324" s="278"/>
    </row>
    <row r="1325" spans="1:11" x14ac:dyDescent="0.15">
      <c r="A1325" s="278"/>
      <c r="B1325" s="278"/>
      <c r="C1325" s="278"/>
      <c r="D1325" s="278"/>
      <c r="E1325" s="278"/>
      <c r="F1325" s="278"/>
      <c r="G1325" s="278"/>
      <c r="H1325" s="278"/>
      <c r="I1325" s="278"/>
      <c r="J1325" s="278"/>
      <c r="K1325" s="278"/>
    </row>
    <row r="1326" spans="1:11" x14ac:dyDescent="0.15">
      <c r="A1326" s="278"/>
      <c r="B1326" s="278"/>
      <c r="C1326" s="278"/>
      <c r="D1326" s="278"/>
      <c r="E1326" s="278"/>
      <c r="F1326" s="278"/>
      <c r="G1326" s="278"/>
      <c r="H1326" s="278"/>
      <c r="I1326" s="278"/>
      <c r="J1326" s="278"/>
      <c r="K1326" s="278"/>
    </row>
    <row r="1327" spans="1:11" x14ac:dyDescent="0.15">
      <c r="A1327" s="278"/>
      <c r="B1327" s="278"/>
      <c r="C1327" s="278"/>
      <c r="D1327" s="278"/>
      <c r="E1327" s="278"/>
      <c r="F1327" s="278"/>
      <c r="G1327" s="278"/>
      <c r="H1327" s="278"/>
      <c r="I1327" s="278"/>
      <c r="J1327" s="278"/>
      <c r="K1327" s="278"/>
    </row>
    <row r="1328" spans="1:11" x14ac:dyDescent="0.15">
      <c r="A1328" s="278"/>
      <c r="B1328" s="278"/>
      <c r="C1328" s="278"/>
      <c r="D1328" s="278"/>
      <c r="E1328" s="278"/>
      <c r="F1328" s="278"/>
      <c r="G1328" s="278"/>
      <c r="H1328" s="278"/>
      <c r="I1328" s="278"/>
      <c r="J1328" s="278"/>
      <c r="K1328" s="278"/>
    </row>
    <row r="1329" spans="1:11" x14ac:dyDescent="0.15">
      <c r="A1329" s="278"/>
      <c r="B1329" s="278"/>
      <c r="C1329" s="278"/>
      <c r="D1329" s="278"/>
      <c r="E1329" s="278"/>
      <c r="F1329" s="278"/>
      <c r="G1329" s="278"/>
      <c r="H1329" s="278"/>
      <c r="I1329" s="278"/>
      <c r="J1329" s="278"/>
      <c r="K1329" s="278"/>
    </row>
    <row r="1330" spans="1:11" x14ac:dyDescent="0.15">
      <c r="A1330" s="278"/>
      <c r="B1330" s="278"/>
      <c r="C1330" s="278"/>
      <c r="D1330" s="278"/>
      <c r="E1330" s="278"/>
      <c r="F1330" s="278"/>
      <c r="G1330" s="278"/>
      <c r="H1330" s="278"/>
      <c r="I1330" s="278"/>
      <c r="J1330" s="278"/>
      <c r="K1330" s="278"/>
    </row>
    <row r="1331" spans="1:11" x14ac:dyDescent="0.15">
      <c r="A1331" s="278"/>
      <c r="B1331" s="278"/>
      <c r="C1331" s="278"/>
      <c r="D1331" s="278"/>
      <c r="E1331" s="278"/>
      <c r="F1331" s="278"/>
      <c r="G1331" s="278"/>
      <c r="H1331" s="278"/>
      <c r="I1331" s="278"/>
      <c r="J1331" s="278"/>
      <c r="K1331" s="278"/>
    </row>
    <row r="1332" spans="1:11" x14ac:dyDescent="0.15">
      <c r="A1332" s="278"/>
      <c r="B1332" s="278"/>
      <c r="C1332" s="278"/>
      <c r="D1332" s="278"/>
      <c r="E1332" s="278"/>
      <c r="F1332" s="278"/>
      <c r="G1332" s="278"/>
      <c r="H1332" s="278"/>
      <c r="I1332" s="278"/>
      <c r="J1332" s="278"/>
      <c r="K1332" s="278"/>
    </row>
    <row r="1333" spans="1:11" x14ac:dyDescent="0.15">
      <c r="A1333" s="278"/>
      <c r="B1333" s="278"/>
      <c r="C1333" s="278"/>
      <c r="D1333" s="278"/>
      <c r="E1333" s="278"/>
      <c r="F1333" s="278"/>
      <c r="G1333" s="278"/>
      <c r="H1333" s="278"/>
      <c r="I1333" s="278"/>
      <c r="J1333" s="278"/>
      <c r="K1333" s="278"/>
    </row>
    <row r="1334" spans="1:11" x14ac:dyDescent="0.15">
      <c r="A1334" s="278"/>
      <c r="B1334" s="278"/>
      <c r="C1334" s="278"/>
      <c r="D1334" s="278"/>
      <c r="E1334" s="278"/>
      <c r="F1334" s="278"/>
      <c r="G1334" s="278"/>
      <c r="H1334" s="278"/>
      <c r="I1334" s="278"/>
      <c r="J1334" s="278"/>
      <c r="K1334" s="278"/>
    </row>
    <row r="1335" spans="1:11" x14ac:dyDescent="0.15">
      <c r="A1335" s="278"/>
      <c r="B1335" s="278"/>
      <c r="C1335" s="278"/>
      <c r="D1335" s="278"/>
      <c r="E1335" s="278"/>
      <c r="F1335" s="278"/>
      <c r="G1335" s="278"/>
      <c r="H1335" s="278"/>
      <c r="I1335" s="278"/>
      <c r="J1335" s="278"/>
      <c r="K1335" s="278"/>
    </row>
    <row r="1336" spans="1:11" x14ac:dyDescent="0.15">
      <c r="A1336" s="278"/>
      <c r="B1336" s="278"/>
      <c r="C1336" s="278"/>
      <c r="D1336" s="278"/>
      <c r="E1336" s="278"/>
      <c r="F1336" s="278"/>
      <c r="G1336" s="278"/>
      <c r="H1336" s="278"/>
      <c r="I1336" s="278"/>
      <c r="J1336" s="278"/>
      <c r="K1336" s="278"/>
    </row>
    <row r="1337" spans="1:11" x14ac:dyDescent="0.15">
      <c r="A1337" s="278"/>
      <c r="B1337" s="278"/>
      <c r="C1337" s="278"/>
      <c r="D1337" s="278"/>
      <c r="E1337" s="278"/>
      <c r="F1337" s="278"/>
      <c r="G1337" s="278"/>
      <c r="H1337" s="278"/>
      <c r="I1337" s="278"/>
      <c r="J1337" s="278"/>
      <c r="K1337" s="278"/>
    </row>
    <row r="1338" spans="1:11" x14ac:dyDescent="0.15">
      <c r="A1338" s="278"/>
      <c r="B1338" s="278"/>
      <c r="C1338" s="278"/>
      <c r="D1338" s="278"/>
      <c r="E1338" s="278"/>
      <c r="F1338" s="278"/>
      <c r="G1338" s="278"/>
      <c r="H1338" s="278"/>
      <c r="I1338" s="278"/>
      <c r="J1338" s="278"/>
      <c r="K1338" s="278"/>
    </row>
    <row r="1339" spans="1:11" x14ac:dyDescent="0.15">
      <c r="A1339" s="278"/>
      <c r="B1339" s="278"/>
      <c r="C1339" s="278"/>
      <c r="D1339" s="278"/>
      <c r="E1339" s="278"/>
      <c r="F1339" s="278"/>
      <c r="G1339" s="278"/>
      <c r="H1339" s="278"/>
      <c r="I1339" s="278"/>
      <c r="J1339" s="278"/>
      <c r="K1339" s="278"/>
    </row>
    <row r="1340" spans="1:11" x14ac:dyDescent="0.15">
      <c r="A1340" s="278"/>
      <c r="B1340" s="278"/>
      <c r="C1340" s="278"/>
      <c r="D1340" s="278"/>
      <c r="E1340" s="278"/>
      <c r="F1340" s="278"/>
      <c r="G1340" s="278"/>
      <c r="H1340" s="278"/>
      <c r="I1340" s="278"/>
      <c r="J1340" s="278"/>
      <c r="K1340" s="278"/>
    </row>
    <row r="1341" spans="1:11" x14ac:dyDescent="0.15">
      <c r="A1341" s="278"/>
      <c r="B1341" s="278"/>
      <c r="C1341" s="278"/>
      <c r="D1341" s="278"/>
      <c r="E1341" s="278"/>
      <c r="F1341" s="278"/>
      <c r="G1341" s="278"/>
      <c r="H1341" s="278"/>
      <c r="I1341" s="278"/>
      <c r="J1341" s="278"/>
      <c r="K1341" s="278"/>
    </row>
    <row r="1342" spans="1:11" x14ac:dyDescent="0.15">
      <c r="A1342" s="278"/>
      <c r="B1342" s="278"/>
      <c r="C1342" s="278"/>
      <c r="D1342" s="278"/>
      <c r="E1342" s="278"/>
      <c r="F1342" s="278"/>
      <c r="G1342" s="278"/>
      <c r="H1342" s="278"/>
      <c r="I1342" s="278"/>
      <c r="J1342" s="278"/>
      <c r="K1342" s="278"/>
    </row>
    <row r="1343" spans="1:11" x14ac:dyDescent="0.15">
      <c r="A1343" s="278"/>
      <c r="B1343" s="278"/>
      <c r="C1343" s="278"/>
      <c r="D1343" s="278"/>
      <c r="E1343" s="278"/>
      <c r="F1343" s="278"/>
      <c r="G1343" s="278"/>
      <c r="H1343" s="278"/>
      <c r="I1343" s="278"/>
      <c r="J1343" s="278"/>
      <c r="K1343" s="278"/>
    </row>
    <row r="1344" spans="1:11" x14ac:dyDescent="0.15">
      <c r="A1344" s="278"/>
      <c r="B1344" s="278"/>
      <c r="C1344" s="278"/>
      <c r="D1344" s="278"/>
      <c r="E1344" s="278"/>
      <c r="F1344" s="278"/>
      <c r="G1344" s="278"/>
      <c r="H1344" s="278"/>
      <c r="I1344" s="278"/>
      <c r="J1344" s="278"/>
      <c r="K1344" s="278"/>
    </row>
    <row r="1345" spans="1:11" x14ac:dyDescent="0.15">
      <c r="A1345" s="278"/>
      <c r="B1345" s="278"/>
      <c r="C1345" s="278"/>
      <c r="D1345" s="278"/>
      <c r="E1345" s="278"/>
      <c r="F1345" s="278"/>
      <c r="G1345" s="278"/>
      <c r="H1345" s="278"/>
      <c r="I1345" s="278"/>
      <c r="J1345" s="278"/>
      <c r="K1345" s="278"/>
    </row>
    <row r="1346" spans="1:11" x14ac:dyDescent="0.15">
      <c r="A1346" s="278"/>
      <c r="B1346" s="278"/>
      <c r="C1346" s="278"/>
      <c r="D1346" s="278"/>
      <c r="E1346" s="278"/>
      <c r="F1346" s="278"/>
      <c r="G1346" s="278"/>
      <c r="H1346" s="278"/>
      <c r="I1346" s="278"/>
      <c r="J1346" s="278"/>
      <c r="K1346" s="278"/>
    </row>
    <row r="1347" spans="1:11" x14ac:dyDescent="0.15">
      <c r="A1347" s="278"/>
      <c r="B1347" s="278"/>
      <c r="C1347" s="278"/>
      <c r="D1347" s="278"/>
      <c r="E1347" s="278"/>
      <c r="F1347" s="278"/>
      <c r="G1347" s="278"/>
      <c r="H1347" s="278"/>
      <c r="I1347" s="278"/>
      <c r="J1347" s="278"/>
      <c r="K1347" s="278"/>
    </row>
    <row r="1348" spans="1:11" x14ac:dyDescent="0.15">
      <c r="A1348" s="278"/>
      <c r="B1348" s="278"/>
      <c r="C1348" s="278"/>
      <c r="D1348" s="278"/>
      <c r="E1348" s="278"/>
      <c r="F1348" s="278"/>
      <c r="G1348" s="278"/>
      <c r="H1348" s="278"/>
      <c r="I1348" s="278"/>
      <c r="J1348" s="278"/>
      <c r="K1348" s="278"/>
    </row>
    <row r="1349" spans="1:11" x14ac:dyDescent="0.15">
      <c r="A1349" s="278"/>
      <c r="B1349" s="278"/>
      <c r="C1349" s="278"/>
      <c r="D1349" s="278"/>
      <c r="E1349" s="278"/>
      <c r="F1349" s="278"/>
      <c r="G1349" s="278"/>
      <c r="H1349" s="278"/>
      <c r="I1349" s="278"/>
      <c r="J1349" s="278"/>
      <c r="K1349" s="278"/>
    </row>
    <row r="1350" spans="1:11" x14ac:dyDescent="0.15">
      <c r="A1350" s="278"/>
      <c r="B1350" s="278"/>
      <c r="C1350" s="278"/>
      <c r="D1350" s="278"/>
      <c r="E1350" s="278"/>
      <c r="F1350" s="278"/>
      <c r="G1350" s="278"/>
      <c r="H1350" s="278"/>
      <c r="I1350" s="278"/>
      <c r="J1350" s="278"/>
      <c r="K1350" s="278"/>
    </row>
    <row r="1351" spans="1:11" x14ac:dyDescent="0.15">
      <c r="A1351" s="278"/>
      <c r="B1351" s="278"/>
      <c r="C1351" s="278"/>
      <c r="D1351" s="278"/>
      <c r="E1351" s="278"/>
      <c r="F1351" s="278"/>
      <c r="G1351" s="278"/>
      <c r="H1351" s="278"/>
      <c r="I1351" s="278"/>
      <c r="J1351" s="278"/>
      <c r="K1351" s="278"/>
    </row>
    <row r="1352" spans="1:11" x14ac:dyDescent="0.15">
      <c r="A1352" s="278"/>
      <c r="B1352" s="278"/>
      <c r="C1352" s="278"/>
      <c r="D1352" s="278"/>
      <c r="E1352" s="278"/>
      <c r="F1352" s="278"/>
      <c r="G1352" s="278"/>
      <c r="H1352" s="278"/>
      <c r="I1352" s="278"/>
      <c r="J1352" s="278"/>
      <c r="K1352" s="278"/>
    </row>
    <row r="1353" spans="1:11" x14ac:dyDescent="0.15">
      <c r="A1353" s="278"/>
      <c r="B1353" s="278"/>
      <c r="C1353" s="278"/>
      <c r="D1353" s="278"/>
      <c r="E1353" s="278"/>
      <c r="F1353" s="278"/>
      <c r="G1353" s="278"/>
      <c r="H1353" s="278"/>
      <c r="I1353" s="278"/>
      <c r="J1353" s="278"/>
      <c r="K1353" s="278"/>
    </row>
    <row r="1354" spans="1:11" x14ac:dyDescent="0.15">
      <c r="A1354" s="278"/>
      <c r="B1354" s="278"/>
      <c r="C1354" s="278"/>
      <c r="D1354" s="278"/>
      <c r="E1354" s="278"/>
      <c r="F1354" s="278"/>
      <c r="G1354" s="278"/>
      <c r="H1354" s="278"/>
      <c r="I1354" s="278"/>
      <c r="J1354" s="278"/>
      <c r="K1354" s="278"/>
    </row>
    <row r="1355" spans="1:11" x14ac:dyDescent="0.15">
      <c r="A1355" s="278"/>
      <c r="B1355" s="278"/>
      <c r="C1355" s="278"/>
      <c r="D1355" s="278"/>
      <c r="E1355" s="278"/>
      <c r="F1355" s="278"/>
      <c r="G1355" s="278"/>
      <c r="H1355" s="278"/>
      <c r="I1355" s="278"/>
      <c r="J1355" s="278"/>
      <c r="K1355" s="278"/>
    </row>
    <row r="1356" spans="1:11" x14ac:dyDescent="0.15">
      <c r="A1356" s="278"/>
      <c r="B1356" s="278"/>
      <c r="C1356" s="278"/>
      <c r="D1356" s="278"/>
      <c r="E1356" s="278"/>
      <c r="F1356" s="278"/>
      <c r="G1356" s="278"/>
      <c r="H1356" s="278"/>
      <c r="I1356" s="278"/>
      <c r="J1356" s="278"/>
      <c r="K1356" s="278"/>
    </row>
    <row r="1357" spans="1:11" x14ac:dyDescent="0.15">
      <c r="A1357" s="278"/>
      <c r="B1357" s="278"/>
      <c r="C1357" s="278"/>
      <c r="D1357" s="278"/>
      <c r="E1357" s="278"/>
      <c r="F1357" s="278"/>
      <c r="G1357" s="278"/>
      <c r="H1357" s="278"/>
      <c r="I1357" s="278"/>
      <c r="J1357" s="278"/>
      <c r="K1357" s="278"/>
    </row>
    <row r="1358" spans="1:11" x14ac:dyDescent="0.15">
      <c r="A1358" s="278"/>
      <c r="B1358" s="278"/>
      <c r="C1358" s="278"/>
      <c r="D1358" s="278"/>
      <c r="E1358" s="278"/>
      <c r="F1358" s="278"/>
      <c r="G1358" s="278"/>
      <c r="H1358" s="278"/>
      <c r="I1358" s="278"/>
      <c r="J1358" s="278"/>
      <c r="K1358" s="278"/>
    </row>
    <row r="1359" spans="1:11" x14ac:dyDescent="0.15">
      <c r="A1359" s="278"/>
      <c r="B1359" s="278"/>
      <c r="C1359" s="278"/>
      <c r="D1359" s="278"/>
      <c r="E1359" s="278"/>
      <c r="F1359" s="278"/>
      <c r="G1359" s="278"/>
      <c r="H1359" s="278"/>
      <c r="I1359" s="278"/>
      <c r="J1359" s="278"/>
      <c r="K1359" s="278"/>
    </row>
    <row r="1360" spans="1:11" x14ac:dyDescent="0.15">
      <c r="A1360" s="278"/>
      <c r="B1360" s="278"/>
      <c r="C1360" s="278"/>
      <c r="D1360" s="278"/>
      <c r="E1360" s="278"/>
      <c r="F1360" s="278"/>
      <c r="G1360" s="278"/>
      <c r="H1360" s="278"/>
      <c r="I1360" s="278"/>
      <c r="J1360" s="278"/>
      <c r="K1360" s="278"/>
    </row>
    <row r="1361" spans="1:11" x14ac:dyDescent="0.15">
      <c r="A1361" s="278"/>
      <c r="B1361" s="278"/>
      <c r="C1361" s="278"/>
      <c r="D1361" s="278"/>
      <c r="E1361" s="278"/>
      <c r="F1361" s="278"/>
      <c r="G1361" s="278"/>
      <c r="H1361" s="278"/>
      <c r="I1361" s="278"/>
      <c r="J1361" s="278"/>
      <c r="K1361" s="278"/>
    </row>
    <row r="1362" spans="1:11" x14ac:dyDescent="0.15">
      <c r="A1362" s="278"/>
      <c r="B1362" s="278"/>
      <c r="C1362" s="278"/>
      <c r="D1362" s="278"/>
      <c r="E1362" s="278"/>
      <c r="F1362" s="278"/>
      <c r="G1362" s="278"/>
      <c r="H1362" s="278"/>
      <c r="I1362" s="278"/>
      <c r="J1362" s="278"/>
      <c r="K1362" s="278"/>
    </row>
    <row r="1363" spans="1:11" x14ac:dyDescent="0.15">
      <c r="A1363" s="278"/>
      <c r="B1363" s="278"/>
      <c r="C1363" s="278"/>
      <c r="D1363" s="278"/>
      <c r="E1363" s="278"/>
      <c r="F1363" s="278"/>
      <c r="G1363" s="278"/>
      <c r="H1363" s="278"/>
      <c r="I1363" s="278"/>
      <c r="J1363" s="278"/>
      <c r="K1363" s="278"/>
    </row>
    <row r="1364" spans="1:11" x14ac:dyDescent="0.15">
      <c r="A1364" s="278"/>
      <c r="B1364" s="278"/>
      <c r="C1364" s="278"/>
      <c r="D1364" s="278"/>
      <c r="E1364" s="278"/>
      <c r="F1364" s="278"/>
      <c r="G1364" s="278"/>
      <c r="H1364" s="278"/>
      <c r="I1364" s="278"/>
      <c r="J1364" s="278"/>
      <c r="K1364" s="278"/>
    </row>
    <row r="1365" spans="1:11" x14ac:dyDescent="0.15">
      <c r="A1365" s="278"/>
      <c r="B1365" s="278"/>
      <c r="C1365" s="278"/>
      <c r="D1365" s="278"/>
      <c r="E1365" s="278"/>
      <c r="F1365" s="278"/>
      <c r="G1365" s="278"/>
      <c r="H1365" s="278"/>
      <c r="I1365" s="278"/>
      <c r="J1365" s="278"/>
      <c r="K1365" s="278"/>
    </row>
    <row r="1366" spans="1:11" x14ac:dyDescent="0.15">
      <c r="A1366" s="278"/>
      <c r="B1366" s="278"/>
      <c r="C1366" s="278"/>
      <c r="D1366" s="278"/>
      <c r="E1366" s="278"/>
      <c r="F1366" s="278"/>
      <c r="G1366" s="278"/>
      <c r="H1366" s="278"/>
      <c r="I1366" s="278"/>
      <c r="J1366" s="278"/>
      <c r="K1366" s="278"/>
    </row>
    <row r="1367" spans="1:11" x14ac:dyDescent="0.15">
      <c r="A1367" s="278"/>
      <c r="B1367" s="278"/>
      <c r="C1367" s="278"/>
      <c r="D1367" s="278"/>
      <c r="E1367" s="278"/>
      <c r="F1367" s="278"/>
      <c r="G1367" s="278"/>
      <c r="H1367" s="278"/>
      <c r="I1367" s="278"/>
      <c r="J1367" s="278"/>
      <c r="K1367" s="278"/>
    </row>
    <row r="1368" spans="1:11" x14ac:dyDescent="0.15">
      <c r="A1368" s="278"/>
      <c r="B1368" s="278"/>
      <c r="C1368" s="278"/>
      <c r="D1368" s="278"/>
      <c r="E1368" s="278"/>
      <c r="F1368" s="278"/>
      <c r="G1368" s="278"/>
      <c r="H1368" s="278"/>
      <c r="I1368" s="278"/>
      <c r="J1368" s="278"/>
      <c r="K1368" s="278"/>
    </row>
    <row r="1369" spans="1:11" x14ac:dyDescent="0.15">
      <c r="A1369" s="278"/>
      <c r="B1369" s="278"/>
      <c r="C1369" s="278"/>
      <c r="D1369" s="278"/>
      <c r="E1369" s="278"/>
      <c r="F1369" s="278"/>
      <c r="G1369" s="278"/>
      <c r="H1369" s="278"/>
      <c r="I1369" s="278"/>
      <c r="J1369" s="278"/>
      <c r="K1369" s="278"/>
    </row>
    <row r="1370" spans="1:11" x14ac:dyDescent="0.15">
      <c r="A1370" s="278"/>
      <c r="B1370" s="278"/>
      <c r="C1370" s="278"/>
      <c r="D1370" s="278"/>
      <c r="E1370" s="278"/>
      <c r="F1370" s="278"/>
      <c r="G1370" s="278"/>
      <c r="H1370" s="278"/>
      <c r="I1370" s="278"/>
      <c r="J1370" s="278"/>
      <c r="K1370" s="278"/>
    </row>
    <row r="1371" spans="1:11" x14ac:dyDescent="0.15">
      <c r="A1371" s="278"/>
      <c r="B1371" s="278"/>
      <c r="C1371" s="278"/>
      <c r="D1371" s="278"/>
      <c r="E1371" s="278"/>
      <c r="F1371" s="278"/>
      <c r="G1371" s="278"/>
      <c r="H1371" s="278"/>
      <c r="I1371" s="278"/>
      <c r="J1371" s="278"/>
      <c r="K1371" s="278"/>
    </row>
    <row r="1372" spans="1:11" x14ac:dyDescent="0.15">
      <c r="A1372" s="278"/>
      <c r="B1372" s="278"/>
      <c r="C1372" s="278"/>
      <c r="D1372" s="278"/>
      <c r="E1372" s="278"/>
      <c r="F1372" s="278"/>
      <c r="G1372" s="278"/>
      <c r="H1372" s="278"/>
      <c r="I1372" s="278"/>
      <c r="J1372" s="278"/>
      <c r="K1372" s="278"/>
    </row>
    <row r="1373" spans="1:11" x14ac:dyDescent="0.15">
      <c r="A1373" s="278"/>
      <c r="B1373" s="278"/>
      <c r="C1373" s="278"/>
      <c r="D1373" s="278"/>
      <c r="E1373" s="278"/>
      <c r="F1373" s="278"/>
      <c r="G1373" s="278"/>
      <c r="H1373" s="278"/>
      <c r="I1373" s="278"/>
      <c r="J1373" s="278"/>
      <c r="K1373" s="278"/>
    </row>
    <row r="1374" spans="1:11" x14ac:dyDescent="0.15">
      <c r="A1374" s="278"/>
      <c r="B1374" s="278"/>
      <c r="C1374" s="278"/>
      <c r="D1374" s="278"/>
      <c r="E1374" s="278"/>
      <c r="F1374" s="278"/>
      <c r="G1374" s="278"/>
      <c r="H1374" s="278"/>
      <c r="I1374" s="278"/>
      <c r="J1374" s="278"/>
      <c r="K1374" s="278"/>
    </row>
    <row r="1375" spans="1:11" x14ac:dyDescent="0.15">
      <c r="A1375" s="278"/>
      <c r="B1375" s="278"/>
      <c r="C1375" s="278"/>
      <c r="D1375" s="278"/>
      <c r="E1375" s="278"/>
      <c r="F1375" s="278"/>
      <c r="G1375" s="278"/>
      <c r="H1375" s="278"/>
      <c r="I1375" s="278"/>
      <c r="J1375" s="278"/>
      <c r="K1375" s="278"/>
    </row>
    <row r="1376" spans="1:11" x14ac:dyDescent="0.15">
      <c r="A1376" s="278"/>
      <c r="B1376" s="278"/>
      <c r="C1376" s="278"/>
      <c r="D1376" s="278"/>
      <c r="E1376" s="278"/>
      <c r="F1376" s="278"/>
      <c r="G1376" s="278"/>
      <c r="H1376" s="278"/>
      <c r="I1376" s="278"/>
      <c r="J1376" s="278"/>
      <c r="K1376" s="278"/>
    </row>
    <row r="1377" spans="1:11" x14ac:dyDescent="0.15">
      <c r="A1377" s="278"/>
      <c r="B1377" s="278"/>
      <c r="C1377" s="278"/>
      <c r="D1377" s="278"/>
      <c r="E1377" s="278"/>
      <c r="F1377" s="278"/>
      <c r="G1377" s="278"/>
      <c r="H1377" s="278"/>
      <c r="I1377" s="278"/>
      <c r="J1377" s="278"/>
      <c r="K1377" s="278"/>
    </row>
    <row r="1378" spans="1:11" x14ac:dyDescent="0.15">
      <c r="A1378" s="278"/>
      <c r="B1378" s="278"/>
      <c r="C1378" s="278"/>
      <c r="D1378" s="278"/>
      <c r="E1378" s="278"/>
      <c r="F1378" s="278"/>
      <c r="G1378" s="278"/>
      <c r="H1378" s="278"/>
      <c r="I1378" s="278"/>
      <c r="J1378" s="278"/>
      <c r="K1378" s="278"/>
    </row>
    <row r="1379" spans="1:11" x14ac:dyDescent="0.15">
      <c r="A1379" s="278"/>
      <c r="B1379" s="278"/>
      <c r="C1379" s="278"/>
      <c r="D1379" s="278"/>
      <c r="E1379" s="278"/>
      <c r="F1379" s="278"/>
      <c r="G1379" s="278"/>
      <c r="H1379" s="278"/>
      <c r="I1379" s="278"/>
      <c r="J1379" s="278"/>
      <c r="K1379" s="278"/>
    </row>
    <row r="1380" spans="1:11" x14ac:dyDescent="0.15">
      <c r="A1380" s="278"/>
      <c r="B1380" s="278"/>
      <c r="C1380" s="278"/>
      <c r="D1380" s="278"/>
      <c r="E1380" s="278"/>
      <c r="F1380" s="278"/>
      <c r="G1380" s="278"/>
      <c r="H1380" s="278"/>
      <c r="I1380" s="278"/>
      <c r="J1380" s="278"/>
      <c r="K1380" s="278"/>
    </row>
    <row r="1381" spans="1:11" x14ac:dyDescent="0.15">
      <c r="A1381" s="278"/>
      <c r="B1381" s="278"/>
      <c r="C1381" s="278"/>
      <c r="D1381" s="278"/>
      <c r="E1381" s="278"/>
      <c r="F1381" s="278"/>
      <c r="G1381" s="278"/>
      <c r="H1381" s="278"/>
      <c r="I1381" s="278"/>
      <c r="J1381" s="278"/>
      <c r="K1381" s="278"/>
    </row>
    <row r="1382" spans="1:11" x14ac:dyDescent="0.15">
      <c r="A1382" s="278"/>
      <c r="B1382" s="278"/>
      <c r="C1382" s="278"/>
      <c r="D1382" s="278"/>
      <c r="E1382" s="278"/>
      <c r="F1382" s="278"/>
      <c r="G1382" s="278"/>
      <c r="H1382" s="278"/>
      <c r="I1382" s="278"/>
      <c r="J1382" s="278"/>
      <c r="K1382" s="278"/>
    </row>
    <row r="1383" spans="1:11" x14ac:dyDescent="0.15">
      <c r="A1383" s="278"/>
      <c r="B1383" s="278"/>
      <c r="C1383" s="278"/>
      <c r="D1383" s="278"/>
      <c r="E1383" s="278"/>
      <c r="F1383" s="278"/>
      <c r="G1383" s="278"/>
      <c r="H1383" s="278"/>
      <c r="I1383" s="278"/>
      <c r="J1383" s="278"/>
      <c r="K1383" s="278"/>
    </row>
    <row r="1384" spans="1:11" x14ac:dyDescent="0.15">
      <c r="A1384" s="278"/>
      <c r="B1384" s="278"/>
      <c r="C1384" s="278"/>
      <c r="D1384" s="278"/>
      <c r="E1384" s="278"/>
      <c r="F1384" s="278"/>
      <c r="G1384" s="278"/>
      <c r="H1384" s="278"/>
      <c r="I1384" s="278"/>
      <c r="J1384" s="278"/>
      <c r="K1384" s="278"/>
    </row>
    <row r="1385" spans="1:11" x14ac:dyDescent="0.15">
      <c r="A1385" s="278"/>
      <c r="B1385" s="278"/>
      <c r="C1385" s="278"/>
      <c r="D1385" s="278"/>
      <c r="E1385" s="278"/>
      <c r="F1385" s="278"/>
      <c r="G1385" s="278"/>
      <c r="H1385" s="278"/>
      <c r="I1385" s="278"/>
      <c r="J1385" s="278"/>
      <c r="K1385" s="278"/>
    </row>
    <row r="1386" spans="1:11" x14ac:dyDescent="0.15">
      <c r="A1386" s="278"/>
      <c r="B1386" s="278"/>
      <c r="C1386" s="278"/>
      <c r="D1386" s="278"/>
      <c r="E1386" s="278"/>
      <c r="F1386" s="278"/>
      <c r="G1386" s="278"/>
      <c r="H1386" s="278"/>
      <c r="I1386" s="278"/>
      <c r="J1386" s="278"/>
      <c r="K1386" s="278"/>
    </row>
    <row r="1387" spans="1:11" x14ac:dyDescent="0.15">
      <c r="A1387" s="278"/>
      <c r="B1387" s="278"/>
      <c r="C1387" s="278"/>
      <c r="D1387" s="278"/>
      <c r="E1387" s="278"/>
      <c r="F1387" s="278"/>
      <c r="G1387" s="278"/>
      <c r="H1387" s="278"/>
      <c r="I1387" s="278"/>
      <c r="J1387" s="278"/>
      <c r="K1387" s="278"/>
    </row>
    <row r="1388" spans="1:11" x14ac:dyDescent="0.15">
      <c r="A1388" s="278"/>
      <c r="B1388" s="278"/>
      <c r="C1388" s="278"/>
      <c r="D1388" s="278"/>
      <c r="E1388" s="278"/>
      <c r="F1388" s="278"/>
      <c r="G1388" s="278"/>
      <c r="H1388" s="278"/>
      <c r="I1388" s="278"/>
      <c r="J1388" s="278"/>
      <c r="K1388" s="278"/>
    </row>
    <row r="1389" spans="1:11" x14ac:dyDescent="0.15">
      <c r="A1389" s="278"/>
      <c r="B1389" s="278"/>
      <c r="C1389" s="278"/>
      <c r="D1389" s="278"/>
      <c r="E1389" s="278"/>
      <c r="F1389" s="278"/>
      <c r="G1389" s="278"/>
      <c r="H1389" s="278"/>
      <c r="I1389" s="278"/>
      <c r="J1389" s="278"/>
      <c r="K1389" s="278"/>
    </row>
    <row r="1390" spans="1:11" x14ac:dyDescent="0.15">
      <c r="A1390" s="278"/>
      <c r="B1390" s="278"/>
      <c r="C1390" s="278"/>
      <c r="D1390" s="278"/>
      <c r="E1390" s="278"/>
      <c r="F1390" s="278"/>
      <c r="G1390" s="278"/>
      <c r="H1390" s="278"/>
      <c r="I1390" s="278"/>
      <c r="J1390" s="278"/>
      <c r="K1390" s="278"/>
    </row>
    <row r="1391" spans="1:11" x14ac:dyDescent="0.15">
      <c r="A1391" s="278"/>
      <c r="B1391" s="278"/>
      <c r="C1391" s="278"/>
      <c r="D1391" s="278"/>
      <c r="E1391" s="278"/>
      <c r="F1391" s="278"/>
      <c r="G1391" s="278"/>
      <c r="H1391" s="278"/>
      <c r="I1391" s="278"/>
      <c r="J1391" s="278"/>
      <c r="K1391" s="278"/>
    </row>
    <row r="1392" spans="1:11" x14ac:dyDescent="0.15">
      <c r="A1392" s="278"/>
      <c r="B1392" s="278"/>
      <c r="C1392" s="278"/>
      <c r="D1392" s="278"/>
      <c r="E1392" s="278"/>
      <c r="F1392" s="278"/>
      <c r="G1392" s="278"/>
      <c r="H1392" s="278"/>
      <c r="I1392" s="278"/>
      <c r="J1392" s="278"/>
      <c r="K1392" s="278"/>
    </row>
    <row r="1393" spans="1:11" x14ac:dyDescent="0.15">
      <c r="A1393" s="278"/>
      <c r="B1393" s="278"/>
      <c r="C1393" s="278"/>
      <c r="D1393" s="278"/>
      <c r="E1393" s="278"/>
      <c r="F1393" s="278"/>
      <c r="G1393" s="278"/>
      <c r="H1393" s="278"/>
      <c r="I1393" s="278"/>
      <c r="J1393" s="278"/>
      <c r="K1393" s="278"/>
    </row>
    <row r="1394" spans="1:11" x14ac:dyDescent="0.15">
      <c r="A1394" s="278"/>
      <c r="B1394" s="278"/>
      <c r="C1394" s="278"/>
      <c r="D1394" s="278"/>
      <c r="E1394" s="278"/>
      <c r="F1394" s="278"/>
      <c r="G1394" s="278"/>
      <c r="H1394" s="278"/>
      <c r="I1394" s="278"/>
      <c r="J1394" s="278"/>
      <c r="K1394" s="278"/>
    </row>
    <row r="1395" spans="1:11" x14ac:dyDescent="0.15">
      <c r="A1395" s="278"/>
      <c r="B1395" s="278"/>
      <c r="C1395" s="278"/>
      <c r="D1395" s="278"/>
      <c r="E1395" s="278"/>
      <c r="F1395" s="278"/>
      <c r="G1395" s="278"/>
      <c r="H1395" s="278"/>
      <c r="I1395" s="278"/>
      <c r="J1395" s="278"/>
      <c r="K1395" s="278"/>
    </row>
    <row r="1396" spans="1:11" x14ac:dyDescent="0.15">
      <c r="A1396" s="278"/>
      <c r="B1396" s="278"/>
      <c r="C1396" s="278"/>
      <c r="D1396" s="278"/>
      <c r="E1396" s="278"/>
      <c r="F1396" s="278"/>
      <c r="G1396" s="278"/>
      <c r="H1396" s="278"/>
      <c r="I1396" s="278"/>
      <c r="J1396" s="278"/>
      <c r="K1396" s="278"/>
    </row>
    <row r="1397" spans="1:11" x14ac:dyDescent="0.15">
      <c r="A1397" s="278"/>
      <c r="B1397" s="278"/>
      <c r="C1397" s="278"/>
      <c r="D1397" s="278"/>
      <c r="E1397" s="278"/>
      <c r="F1397" s="278"/>
      <c r="G1397" s="278"/>
      <c r="H1397" s="278"/>
      <c r="I1397" s="278"/>
      <c r="J1397" s="278"/>
      <c r="K1397" s="278"/>
    </row>
    <row r="1398" spans="1:11" x14ac:dyDescent="0.15">
      <c r="A1398" s="278"/>
      <c r="B1398" s="278"/>
      <c r="C1398" s="278"/>
      <c r="D1398" s="278"/>
      <c r="E1398" s="278"/>
      <c r="F1398" s="278"/>
      <c r="G1398" s="278"/>
      <c r="H1398" s="278"/>
      <c r="I1398" s="278"/>
      <c r="J1398" s="278"/>
      <c r="K1398" s="278"/>
    </row>
    <row r="1399" spans="1:11" x14ac:dyDescent="0.15">
      <c r="A1399" s="278"/>
      <c r="B1399" s="278"/>
      <c r="C1399" s="278"/>
      <c r="D1399" s="278"/>
      <c r="E1399" s="278"/>
      <c r="F1399" s="278"/>
      <c r="G1399" s="278"/>
      <c r="H1399" s="278"/>
      <c r="I1399" s="278"/>
      <c r="J1399" s="278"/>
      <c r="K1399" s="278"/>
    </row>
    <row r="1400" spans="1:11" x14ac:dyDescent="0.15">
      <c r="A1400" s="278"/>
      <c r="B1400" s="278"/>
      <c r="C1400" s="278"/>
      <c r="D1400" s="278"/>
      <c r="E1400" s="278"/>
      <c r="F1400" s="278"/>
      <c r="G1400" s="278"/>
      <c r="H1400" s="278"/>
      <c r="I1400" s="278"/>
      <c r="J1400" s="278"/>
      <c r="K1400" s="278"/>
    </row>
    <row r="1401" spans="1:11" x14ac:dyDescent="0.15">
      <c r="A1401" s="278"/>
      <c r="B1401" s="278"/>
      <c r="C1401" s="278"/>
      <c r="D1401" s="278"/>
      <c r="E1401" s="278"/>
      <c r="F1401" s="278"/>
      <c r="G1401" s="278"/>
      <c r="H1401" s="278"/>
      <c r="I1401" s="278"/>
      <c r="J1401" s="278"/>
      <c r="K1401" s="278"/>
    </row>
    <row r="1402" spans="1:11" x14ac:dyDescent="0.15">
      <c r="A1402" s="278"/>
      <c r="B1402" s="278"/>
      <c r="C1402" s="278"/>
      <c r="D1402" s="278"/>
      <c r="E1402" s="278"/>
      <c r="F1402" s="278"/>
      <c r="G1402" s="278"/>
      <c r="H1402" s="278"/>
      <c r="I1402" s="278"/>
      <c r="J1402" s="278"/>
      <c r="K1402" s="278"/>
    </row>
    <row r="1403" spans="1:11" x14ac:dyDescent="0.15">
      <c r="A1403" s="278"/>
      <c r="B1403" s="278"/>
      <c r="C1403" s="278"/>
      <c r="D1403" s="278"/>
      <c r="E1403" s="278"/>
      <c r="F1403" s="278"/>
      <c r="G1403" s="278"/>
      <c r="H1403" s="278"/>
      <c r="I1403" s="278"/>
      <c r="J1403" s="278"/>
      <c r="K1403" s="278"/>
    </row>
    <row r="1404" spans="1:11" x14ac:dyDescent="0.15">
      <c r="A1404" s="278"/>
      <c r="B1404" s="278"/>
      <c r="C1404" s="278"/>
      <c r="D1404" s="278"/>
      <c r="E1404" s="278"/>
      <c r="F1404" s="278"/>
      <c r="G1404" s="278"/>
      <c r="H1404" s="278"/>
      <c r="I1404" s="278"/>
      <c r="J1404" s="278"/>
      <c r="K1404" s="278"/>
    </row>
    <row r="1405" spans="1:11" x14ac:dyDescent="0.15">
      <c r="A1405" s="278"/>
      <c r="B1405" s="278"/>
      <c r="C1405" s="278"/>
      <c r="D1405" s="278"/>
      <c r="E1405" s="278"/>
      <c r="F1405" s="278"/>
      <c r="G1405" s="278"/>
      <c r="H1405" s="278"/>
      <c r="I1405" s="278"/>
      <c r="J1405" s="278"/>
      <c r="K1405" s="278"/>
    </row>
    <row r="1406" spans="1:11" x14ac:dyDescent="0.15">
      <c r="A1406" s="278"/>
      <c r="B1406" s="278"/>
      <c r="C1406" s="278"/>
      <c r="D1406" s="278"/>
      <c r="E1406" s="278"/>
      <c r="F1406" s="278"/>
      <c r="G1406" s="278"/>
      <c r="H1406" s="278"/>
      <c r="I1406" s="278"/>
      <c r="J1406" s="278"/>
      <c r="K1406" s="278"/>
    </row>
    <row r="1407" spans="1:11" x14ac:dyDescent="0.15">
      <c r="A1407" s="278"/>
      <c r="B1407" s="278"/>
      <c r="C1407" s="278"/>
      <c r="D1407" s="278"/>
      <c r="E1407" s="278"/>
      <c r="F1407" s="278"/>
      <c r="G1407" s="278"/>
      <c r="H1407" s="278"/>
      <c r="I1407" s="278"/>
      <c r="J1407" s="278"/>
      <c r="K1407" s="278"/>
    </row>
    <row r="1408" spans="1:11" x14ac:dyDescent="0.15">
      <c r="A1408" s="278"/>
      <c r="B1408" s="278"/>
      <c r="C1408" s="278"/>
      <c r="D1408" s="278"/>
      <c r="E1408" s="278"/>
      <c r="F1408" s="278"/>
      <c r="G1408" s="278"/>
      <c r="H1408" s="278"/>
      <c r="I1408" s="278"/>
      <c r="J1408" s="278"/>
      <c r="K1408" s="278"/>
    </row>
    <row r="1409" spans="1:11" x14ac:dyDescent="0.15">
      <c r="A1409" s="278"/>
      <c r="B1409" s="278"/>
      <c r="C1409" s="278"/>
      <c r="D1409" s="278"/>
      <c r="E1409" s="278"/>
      <c r="F1409" s="278"/>
      <c r="G1409" s="278"/>
      <c r="H1409" s="278"/>
      <c r="I1409" s="278"/>
      <c r="J1409" s="278"/>
      <c r="K1409" s="278"/>
    </row>
    <row r="1410" spans="1:11" x14ac:dyDescent="0.15">
      <c r="A1410" s="278"/>
      <c r="B1410" s="278"/>
      <c r="C1410" s="278"/>
      <c r="D1410" s="278"/>
      <c r="E1410" s="278"/>
      <c r="F1410" s="278"/>
      <c r="G1410" s="278"/>
      <c r="H1410" s="278"/>
      <c r="I1410" s="278"/>
      <c r="J1410" s="278"/>
      <c r="K1410" s="278"/>
    </row>
    <row r="1411" spans="1:11" x14ac:dyDescent="0.15">
      <c r="A1411" s="278"/>
      <c r="B1411" s="278"/>
      <c r="C1411" s="278"/>
      <c r="D1411" s="278"/>
      <c r="E1411" s="278"/>
      <c r="F1411" s="278"/>
      <c r="G1411" s="278"/>
      <c r="H1411" s="278"/>
      <c r="I1411" s="278"/>
      <c r="J1411" s="278"/>
      <c r="K1411" s="278"/>
    </row>
    <row r="1412" spans="1:11" x14ac:dyDescent="0.15">
      <c r="A1412" s="278"/>
      <c r="B1412" s="278"/>
      <c r="C1412" s="278"/>
      <c r="D1412" s="278"/>
      <c r="E1412" s="278"/>
      <c r="F1412" s="278"/>
      <c r="G1412" s="278"/>
      <c r="H1412" s="278"/>
      <c r="I1412" s="278"/>
      <c r="J1412" s="278"/>
      <c r="K1412" s="278"/>
    </row>
    <row r="1413" spans="1:11" x14ac:dyDescent="0.15">
      <c r="A1413" s="278"/>
      <c r="B1413" s="278"/>
      <c r="C1413" s="278"/>
      <c r="D1413" s="278"/>
      <c r="E1413" s="278"/>
      <c r="F1413" s="278"/>
      <c r="G1413" s="278"/>
      <c r="H1413" s="278"/>
      <c r="I1413" s="278"/>
      <c r="J1413" s="278"/>
      <c r="K1413" s="278"/>
    </row>
    <row r="1414" spans="1:11" x14ac:dyDescent="0.15">
      <c r="A1414" s="278"/>
      <c r="B1414" s="278"/>
      <c r="C1414" s="278"/>
      <c r="D1414" s="278"/>
      <c r="E1414" s="278"/>
      <c r="F1414" s="278"/>
      <c r="G1414" s="278"/>
      <c r="H1414" s="278"/>
      <c r="I1414" s="278"/>
      <c r="J1414" s="278"/>
      <c r="K1414" s="278"/>
    </row>
    <row r="1415" spans="1:11" x14ac:dyDescent="0.15">
      <c r="A1415" s="278"/>
      <c r="B1415" s="278"/>
      <c r="C1415" s="278"/>
      <c r="D1415" s="278"/>
      <c r="E1415" s="278"/>
      <c r="F1415" s="278"/>
      <c r="G1415" s="278"/>
      <c r="H1415" s="278"/>
      <c r="I1415" s="278"/>
      <c r="J1415" s="278"/>
      <c r="K1415" s="278"/>
    </row>
    <row r="1416" spans="1:11" x14ac:dyDescent="0.15">
      <c r="A1416" s="278"/>
      <c r="B1416" s="278"/>
      <c r="C1416" s="278"/>
      <c r="D1416" s="278"/>
      <c r="E1416" s="278"/>
      <c r="F1416" s="278"/>
      <c r="G1416" s="278"/>
      <c r="H1416" s="278"/>
      <c r="I1416" s="278"/>
      <c r="J1416" s="278"/>
      <c r="K1416" s="278"/>
    </row>
    <row r="1417" spans="1:11" x14ac:dyDescent="0.15">
      <c r="A1417" s="278"/>
      <c r="B1417" s="278"/>
      <c r="C1417" s="278"/>
      <c r="D1417" s="278"/>
      <c r="E1417" s="278"/>
      <c r="F1417" s="278"/>
      <c r="G1417" s="278"/>
      <c r="H1417" s="278"/>
      <c r="I1417" s="278"/>
      <c r="J1417" s="278"/>
      <c r="K1417" s="278"/>
    </row>
    <row r="1418" spans="1:11" x14ac:dyDescent="0.15">
      <c r="A1418" s="278"/>
      <c r="B1418" s="278"/>
      <c r="C1418" s="278"/>
      <c r="D1418" s="278"/>
      <c r="E1418" s="278"/>
      <c r="F1418" s="278"/>
      <c r="G1418" s="278"/>
      <c r="H1418" s="278"/>
      <c r="I1418" s="278"/>
      <c r="J1418" s="278"/>
      <c r="K1418" s="278"/>
    </row>
    <row r="1419" spans="1:11" x14ac:dyDescent="0.15">
      <c r="A1419" s="278"/>
      <c r="B1419" s="278"/>
      <c r="C1419" s="278"/>
      <c r="D1419" s="278"/>
      <c r="E1419" s="278"/>
      <c r="F1419" s="278"/>
      <c r="G1419" s="278"/>
      <c r="H1419" s="278"/>
      <c r="I1419" s="278"/>
      <c r="J1419" s="278"/>
      <c r="K1419" s="278"/>
    </row>
    <row r="1420" spans="1:11" x14ac:dyDescent="0.15">
      <c r="A1420" s="278"/>
      <c r="B1420" s="278"/>
      <c r="C1420" s="278"/>
      <c r="D1420" s="278"/>
      <c r="E1420" s="278"/>
      <c r="F1420" s="278"/>
      <c r="G1420" s="278"/>
      <c r="H1420" s="278"/>
      <c r="I1420" s="278"/>
      <c r="J1420" s="278"/>
      <c r="K1420" s="278"/>
    </row>
    <row r="1421" spans="1:11" x14ac:dyDescent="0.15">
      <c r="A1421" s="278"/>
      <c r="B1421" s="278"/>
      <c r="C1421" s="278"/>
      <c r="D1421" s="278"/>
      <c r="E1421" s="278"/>
      <c r="F1421" s="278"/>
      <c r="G1421" s="278"/>
      <c r="H1421" s="278"/>
      <c r="I1421" s="278"/>
      <c r="J1421" s="278"/>
      <c r="K1421" s="278"/>
    </row>
    <row r="1422" spans="1:11" x14ac:dyDescent="0.15">
      <c r="A1422" s="278"/>
      <c r="B1422" s="278"/>
      <c r="C1422" s="278"/>
      <c r="D1422" s="278"/>
      <c r="E1422" s="278"/>
      <c r="F1422" s="278"/>
      <c r="G1422" s="278"/>
      <c r="H1422" s="278"/>
      <c r="I1422" s="278"/>
      <c r="J1422" s="278"/>
      <c r="K1422" s="278"/>
    </row>
    <row r="1423" spans="1:11" x14ac:dyDescent="0.15">
      <c r="A1423" s="278"/>
      <c r="B1423" s="278"/>
      <c r="C1423" s="278"/>
      <c r="D1423" s="278"/>
      <c r="E1423" s="278"/>
      <c r="F1423" s="278"/>
      <c r="G1423" s="278"/>
      <c r="H1423" s="278"/>
      <c r="I1423" s="278"/>
      <c r="J1423" s="278"/>
      <c r="K1423" s="278"/>
    </row>
    <row r="1424" spans="1:11" x14ac:dyDescent="0.15">
      <c r="A1424" s="278"/>
      <c r="B1424" s="278"/>
      <c r="C1424" s="278"/>
      <c r="D1424" s="278"/>
      <c r="E1424" s="278"/>
      <c r="F1424" s="278"/>
      <c r="G1424" s="278"/>
      <c r="H1424" s="278"/>
      <c r="I1424" s="278"/>
      <c r="J1424" s="278"/>
      <c r="K1424" s="278"/>
    </row>
    <row r="1425" spans="1:11" x14ac:dyDescent="0.15">
      <c r="A1425" s="278"/>
      <c r="B1425" s="278"/>
      <c r="C1425" s="278"/>
      <c r="D1425" s="278"/>
      <c r="E1425" s="278"/>
      <c r="F1425" s="278"/>
      <c r="G1425" s="278"/>
      <c r="H1425" s="278"/>
      <c r="I1425" s="278"/>
      <c r="J1425" s="278"/>
      <c r="K1425" s="278"/>
    </row>
    <row r="1426" spans="1:11" x14ac:dyDescent="0.15">
      <c r="A1426" s="278"/>
      <c r="B1426" s="278"/>
      <c r="C1426" s="278"/>
      <c r="D1426" s="278"/>
      <c r="E1426" s="278"/>
      <c r="F1426" s="278"/>
      <c r="G1426" s="278"/>
      <c r="H1426" s="278"/>
      <c r="I1426" s="278"/>
      <c r="J1426" s="278"/>
      <c r="K1426" s="278"/>
    </row>
    <row r="1427" spans="1:11" x14ac:dyDescent="0.15">
      <c r="A1427" s="278"/>
      <c r="B1427" s="278"/>
      <c r="C1427" s="278"/>
      <c r="D1427" s="278"/>
      <c r="E1427" s="278"/>
      <c r="F1427" s="278"/>
      <c r="G1427" s="278"/>
      <c r="H1427" s="278"/>
      <c r="I1427" s="278"/>
      <c r="J1427" s="278"/>
      <c r="K1427" s="278"/>
    </row>
    <row r="1428" spans="1:11" x14ac:dyDescent="0.15">
      <c r="A1428" s="278"/>
      <c r="B1428" s="278"/>
      <c r="C1428" s="278"/>
      <c r="D1428" s="278"/>
      <c r="E1428" s="278"/>
      <c r="F1428" s="278"/>
      <c r="G1428" s="278"/>
      <c r="H1428" s="278"/>
      <c r="I1428" s="278"/>
      <c r="J1428" s="278"/>
      <c r="K1428" s="278"/>
    </row>
    <row r="1429" spans="1:11" x14ac:dyDescent="0.15">
      <c r="A1429" s="278"/>
      <c r="B1429" s="278"/>
      <c r="C1429" s="278"/>
      <c r="D1429" s="278"/>
      <c r="E1429" s="278"/>
      <c r="F1429" s="278"/>
      <c r="G1429" s="278"/>
      <c r="H1429" s="278"/>
      <c r="I1429" s="278"/>
      <c r="J1429" s="278"/>
      <c r="K1429" s="278"/>
    </row>
    <row r="1430" spans="1:11" x14ac:dyDescent="0.15">
      <c r="A1430" s="278"/>
      <c r="B1430" s="278"/>
      <c r="C1430" s="278"/>
      <c r="D1430" s="278"/>
      <c r="E1430" s="278"/>
      <c r="F1430" s="278"/>
      <c r="G1430" s="278"/>
      <c r="H1430" s="278"/>
      <c r="I1430" s="278"/>
      <c r="J1430" s="278"/>
      <c r="K1430" s="278"/>
    </row>
    <row r="1431" spans="1:11" x14ac:dyDescent="0.15">
      <c r="A1431" s="278"/>
      <c r="B1431" s="278"/>
      <c r="C1431" s="278"/>
      <c r="D1431" s="278"/>
      <c r="E1431" s="278"/>
      <c r="F1431" s="278"/>
      <c r="G1431" s="278"/>
      <c r="H1431" s="278"/>
      <c r="I1431" s="278"/>
      <c r="J1431" s="278"/>
      <c r="K1431" s="278"/>
    </row>
    <row r="1432" spans="1:11" x14ac:dyDescent="0.15">
      <c r="A1432" s="278"/>
      <c r="B1432" s="278"/>
      <c r="C1432" s="278"/>
      <c r="D1432" s="278"/>
      <c r="E1432" s="278"/>
      <c r="F1432" s="278"/>
      <c r="G1432" s="278"/>
      <c r="H1432" s="278"/>
      <c r="I1432" s="278"/>
      <c r="J1432" s="278"/>
      <c r="K1432" s="278"/>
    </row>
    <row r="1433" spans="1:11" x14ac:dyDescent="0.15">
      <c r="A1433" s="278"/>
      <c r="B1433" s="278"/>
      <c r="C1433" s="278"/>
      <c r="D1433" s="278"/>
      <c r="E1433" s="278"/>
      <c r="F1433" s="278"/>
      <c r="G1433" s="278"/>
      <c r="H1433" s="278"/>
      <c r="I1433" s="278"/>
      <c r="J1433" s="278"/>
      <c r="K1433" s="278"/>
    </row>
    <row r="1434" spans="1:11" x14ac:dyDescent="0.15">
      <c r="A1434" s="278"/>
      <c r="B1434" s="278"/>
      <c r="C1434" s="278"/>
      <c r="D1434" s="278"/>
      <c r="E1434" s="278"/>
      <c r="F1434" s="278"/>
      <c r="G1434" s="278"/>
      <c r="H1434" s="278"/>
      <c r="I1434" s="278"/>
      <c r="J1434" s="278"/>
      <c r="K1434" s="278"/>
    </row>
    <row r="1435" spans="1:11" x14ac:dyDescent="0.15">
      <c r="A1435" s="278"/>
      <c r="B1435" s="278"/>
      <c r="C1435" s="278"/>
      <c r="D1435" s="278"/>
      <c r="E1435" s="278"/>
      <c r="F1435" s="278"/>
      <c r="G1435" s="278"/>
      <c r="H1435" s="278"/>
      <c r="I1435" s="278"/>
      <c r="J1435" s="278"/>
      <c r="K1435" s="278"/>
    </row>
    <row r="1436" spans="1:11" x14ac:dyDescent="0.15">
      <c r="A1436" s="278"/>
      <c r="B1436" s="278"/>
      <c r="C1436" s="278"/>
      <c r="D1436" s="278"/>
      <c r="E1436" s="278"/>
      <c r="F1436" s="278"/>
      <c r="G1436" s="278"/>
      <c r="H1436" s="278"/>
      <c r="I1436" s="278"/>
      <c r="J1436" s="278"/>
      <c r="K1436" s="278"/>
    </row>
    <row r="1437" spans="1:11" x14ac:dyDescent="0.15">
      <c r="A1437" s="278"/>
      <c r="B1437" s="278"/>
      <c r="C1437" s="278"/>
      <c r="D1437" s="278"/>
      <c r="E1437" s="278"/>
      <c r="F1437" s="278"/>
      <c r="G1437" s="278"/>
      <c r="H1437" s="278"/>
      <c r="I1437" s="278"/>
      <c r="J1437" s="278"/>
      <c r="K1437" s="278"/>
    </row>
    <row r="1438" spans="1:11" x14ac:dyDescent="0.15">
      <c r="A1438" s="278"/>
      <c r="B1438" s="278"/>
      <c r="C1438" s="278"/>
      <c r="D1438" s="278"/>
      <c r="E1438" s="278"/>
      <c r="F1438" s="278"/>
      <c r="G1438" s="278"/>
      <c r="H1438" s="278"/>
      <c r="I1438" s="278"/>
      <c r="J1438" s="278"/>
      <c r="K1438" s="278"/>
    </row>
    <row r="1439" spans="1:11" x14ac:dyDescent="0.15">
      <c r="A1439" s="278"/>
      <c r="B1439" s="278"/>
      <c r="C1439" s="278"/>
      <c r="D1439" s="278"/>
      <c r="E1439" s="278"/>
      <c r="F1439" s="278"/>
      <c r="G1439" s="278"/>
      <c r="H1439" s="278"/>
      <c r="I1439" s="278"/>
      <c r="J1439" s="278"/>
      <c r="K1439" s="278"/>
    </row>
    <row r="1440" spans="1:11" x14ac:dyDescent="0.15">
      <c r="A1440" s="278"/>
      <c r="B1440" s="278"/>
      <c r="C1440" s="278"/>
      <c r="D1440" s="278"/>
      <c r="E1440" s="278"/>
      <c r="F1440" s="278"/>
      <c r="G1440" s="278"/>
      <c r="H1440" s="278"/>
      <c r="I1440" s="278"/>
      <c r="J1440" s="278"/>
      <c r="K1440" s="278"/>
    </row>
    <row r="1441" spans="1:11" x14ac:dyDescent="0.15">
      <c r="A1441" s="278"/>
      <c r="B1441" s="278"/>
      <c r="C1441" s="278"/>
      <c r="D1441" s="278"/>
      <c r="E1441" s="278"/>
      <c r="F1441" s="278"/>
      <c r="G1441" s="278"/>
      <c r="H1441" s="278"/>
      <c r="I1441" s="278"/>
      <c r="J1441" s="278"/>
      <c r="K1441" s="278"/>
    </row>
    <row r="1442" spans="1:11" x14ac:dyDescent="0.15">
      <c r="A1442" s="278"/>
      <c r="B1442" s="278"/>
      <c r="C1442" s="278"/>
      <c r="D1442" s="278"/>
      <c r="E1442" s="278"/>
      <c r="F1442" s="278"/>
      <c r="G1442" s="278"/>
      <c r="H1442" s="278"/>
      <c r="I1442" s="278"/>
      <c r="J1442" s="278"/>
      <c r="K1442" s="278"/>
    </row>
    <row r="1443" spans="1:11" x14ac:dyDescent="0.15">
      <c r="A1443" s="278"/>
      <c r="B1443" s="278"/>
      <c r="C1443" s="278"/>
      <c r="D1443" s="278"/>
      <c r="E1443" s="278"/>
      <c r="F1443" s="278"/>
      <c r="G1443" s="278"/>
      <c r="H1443" s="278"/>
      <c r="I1443" s="278"/>
      <c r="J1443" s="278"/>
      <c r="K1443" s="278"/>
    </row>
    <row r="1444" spans="1:11" x14ac:dyDescent="0.15">
      <c r="A1444" s="278"/>
      <c r="B1444" s="278"/>
      <c r="C1444" s="278"/>
      <c r="D1444" s="278"/>
      <c r="E1444" s="278"/>
      <c r="F1444" s="278"/>
      <c r="G1444" s="278"/>
      <c r="H1444" s="278"/>
      <c r="I1444" s="278"/>
      <c r="J1444" s="278"/>
      <c r="K1444" s="278"/>
    </row>
    <row r="1445" spans="1:11" x14ac:dyDescent="0.15">
      <c r="A1445" s="278"/>
      <c r="B1445" s="278"/>
      <c r="C1445" s="278"/>
      <c r="D1445" s="278"/>
      <c r="E1445" s="278"/>
      <c r="F1445" s="278"/>
      <c r="G1445" s="278"/>
      <c r="H1445" s="278"/>
      <c r="I1445" s="278"/>
      <c r="J1445" s="278"/>
      <c r="K1445" s="278"/>
    </row>
    <row r="1446" spans="1:11" x14ac:dyDescent="0.15">
      <c r="A1446" s="278"/>
      <c r="B1446" s="278"/>
      <c r="C1446" s="278"/>
      <c r="D1446" s="278"/>
      <c r="E1446" s="278"/>
      <c r="F1446" s="278"/>
      <c r="G1446" s="278"/>
      <c r="H1446" s="278"/>
      <c r="I1446" s="278"/>
      <c r="J1446" s="278"/>
      <c r="K1446" s="278"/>
    </row>
    <row r="1447" spans="1:11" x14ac:dyDescent="0.15">
      <c r="A1447" s="278"/>
      <c r="B1447" s="278"/>
      <c r="C1447" s="278"/>
      <c r="D1447" s="278"/>
      <c r="E1447" s="278"/>
      <c r="F1447" s="278"/>
      <c r="G1447" s="278"/>
      <c r="H1447" s="278"/>
      <c r="I1447" s="278"/>
      <c r="J1447" s="278"/>
      <c r="K1447" s="278"/>
    </row>
    <row r="1448" spans="1:11" x14ac:dyDescent="0.15">
      <c r="A1448" s="278"/>
      <c r="B1448" s="278"/>
      <c r="C1448" s="278"/>
      <c r="D1448" s="278"/>
      <c r="E1448" s="278"/>
      <c r="F1448" s="278"/>
      <c r="G1448" s="278"/>
      <c r="H1448" s="278"/>
      <c r="I1448" s="278"/>
      <c r="J1448" s="278"/>
      <c r="K1448" s="278"/>
    </row>
    <row r="1449" spans="1:11" x14ac:dyDescent="0.15">
      <c r="A1449" s="278"/>
      <c r="B1449" s="278"/>
      <c r="C1449" s="278"/>
      <c r="D1449" s="278"/>
      <c r="E1449" s="278"/>
      <c r="F1449" s="278"/>
      <c r="G1449" s="278"/>
      <c r="H1449" s="278"/>
      <c r="I1449" s="278"/>
      <c r="J1449" s="278"/>
      <c r="K1449" s="278"/>
    </row>
    <row r="1450" spans="1:11" x14ac:dyDescent="0.15">
      <c r="A1450" s="278"/>
      <c r="B1450" s="278"/>
      <c r="C1450" s="278"/>
      <c r="D1450" s="278"/>
      <c r="E1450" s="278"/>
      <c r="F1450" s="278"/>
      <c r="G1450" s="278"/>
      <c r="H1450" s="278"/>
      <c r="I1450" s="278"/>
      <c r="J1450" s="278"/>
      <c r="K1450" s="278"/>
    </row>
    <row r="1451" spans="1:11" x14ac:dyDescent="0.15">
      <c r="A1451" s="278"/>
      <c r="B1451" s="278"/>
      <c r="C1451" s="278"/>
      <c r="D1451" s="278"/>
      <c r="E1451" s="278"/>
      <c r="F1451" s="278"/>
      <c r="G1451" s="278"/>
      <c r="H1451" s="278"/>
      <c r="I1451" s="278"/>
      <c r="J1451" s="278"/>
      <c r="K1451" s="278"/>
    </row>
    <row r="1452" spans="1:11" x14ac:dyDescent="0.15">
      <c r="A1452" s="278"/>
      <c r="B1452" s="278"/>
      <c r="C1452" s="278"/>
      <c r="D1452" s="278"/>
      <c r="E1452" s="278"/>
      <c r="F1452" s="278"/>
      <c r="G1452" s="278"/>
      <c r="H1452" s="278"/>
      <c r="I1452" s="278"/>
      <c r="J1452" s="278"/>
      <c r="K1452" s="278"/>
    </row>
    <row r="1453" spans="1:11" x14ac:dyDescent="0.15">
      <c r="A1453" s="278"/>
      <c r="B1453" s="278"/>
      <c r="C1453" s="278"/>
      <c r="D1453" s="278"/>
      <c r="E1453" s="278"/>
      <c r="F1453" s="278"/>
      <c r="G1453" s="278"/>
      <c r="H1453" s="278"/>
      <c r="I1453" s="278"/>
      <c r="J1453" s="278"/>
      <c r="K1453" s="278"/>
    </row>
    <row r="1454" spans="1:11" x14ac:dyDescent="0.15">
      <c r="A1454" s="278"/>
      <c r="B1454" s="278"/>
      <c r="C1454" s="278"/>
      <c r="D1454" s="278"/>
      <c r="E1454" s="278"/>
      <c r="F1454" s="278"/>
      <c r="G1454" s="278"/>
      <c r="H1454" s="278"/>
      <c r="I1454" s="278"/>
      <c r="J1454" s="278"/>
      <c r="K1454" s="278"/>
    </row>
    <row r="1455" spans="1:11" x14ac:dyDescent="0.15">
      <c r="A1455" s="278"/>
      <c r="B1455" s="278"/>
      <c r="C1455" s="278"/>
      <c r="D1455" s="278"/>
      <c r="E1455" s="278"/>
      <c r="F1455" s="278"/>
      <c r="G1455" s="278"/>
      <c r="H1455" s="278"/>
      <c r="I1455" s="278"/>
      <c r="J1455" s="278"/>
      <c r="K1455" s="278"/>
    </row>
    <row r="1456" spans="1:11" x14ac:dyDescent="0.15">
      <c r="A1456" s="278"/>
      <c r="B1456" s="278"/>
      <c r="C1456" s="278"/>
      <c r="D1456" s="278"/>
      <c r="E1456" s="278"/>
      <c r="F1456" s="278"/>
      <c r="G1456" s="278"/>
      <c r="H1456" s="278"/>
      <c r="I1456" s="278"/>
      <c r="J1456" s="278"/>
      <c r="K1456" s="278"/>
    </row>
    <row r="1457" spans="1:11" x14ac:dyDescent="0.15">
      <c r="A1457" s="278"/>
      <c r="B1457" s="278"/>
      <c r="C1457" s="278"/>
      <c r="D1457" s="278"/>
      <c r="E1457" s="278"/>
      <c r="F1457" s="278"/>
      <c r="G1457" s="278"/>
      <c r="H1457" s="278"/>
      <c r="I1457" s="278"/>
      <c r="J1457" s="278"/>
      <c r="K1457" s="278"/>
    </row>
    <row r="1458" spans="1:11" x14ac:dyDescent="0.15">
      <c r="A1458" s="278"/>
      <c r="B1458" s="278"/>
      <c r="C1458" s="278"/>
      <c r="D1458" s="278"/>
      <c r="E1458" s="278"/>
      <c r="F1458" s="278"/>
      <c r="G1458" s="278"/>
      <c r="H1458" s="278"/>
      <c r="I1458" s="278"/>
      <c r="J1458" s="278"/>
      <c r="K1458" s="278"/>
    </row>
    <row r="1459" spans="1:11" x14ac:dyDescent="0.15">
      <c r="A1459" s="278"/>
      <c r="B1459" s="278"/>
      <c r="C1459" s="278"/>
      <c r="D1459" s="278"/>
      <c r="E1459" s="278"/>
      <c r="F1459" s="278"/>
      <c r="G1459" s="278"/>
      <c r="H1459" s="278"/>
      <c r="I1459" s="278"/>
      <c r="J1459" s="278"/>
      <c r="K1459" s="278"/>
    </row>
    <row r="1460" spans="1:11" x14ac:dyDescent="0.15">
      <c r="A1460" s="278"/>
      <c r="B1460" s="278"/>
      <c r="C1460" s="278"/>
      <c r="D1460" s="278"/>
      <c r="E1460" s="278"/>
      <c r="F1460" s="278"/>
      <c r="G1460" s="278"/>
      <c r="H1460" s="278"/>
      <c r="I1460" s="278"/>
      <c r="J1460" s="278"/>
      <c r="K1460" s="278"/>
    </row>
    <row r="1461" spans="1:11" x14ac:dyDescent="0.15">
      <c r="A1461" s="278"/>
      <c r="B1461" s="278"/>
      <c r="C1461" s="278"/>
      <c r="D1461" s="278"/>
      <c r="E1461" s="278"/>
      <c r="F1461" s="278"/>
      <c r="G1461" s="278"/>
      <c r="H1461" s="278"/>
      <c r="I1461" s="278"/>
      <c r="J1461" s="278"/>
      <c r="K1461" s="278"/>
    </row>
    <row r="1462" spans="1:11" x14ac:dyDescent="0.15">
      <c r="A1462" s="278"/>
      <c r="B1462" s="278"/>
      <c r="C1462" s="278"/>
      <c r="D1462" s="278"/>
      <c r="E1462" s="278"/>
      <c r="F1462" s="278"/>
      <c r="G1462" s="278"/>
      <c r="H1462" s="278"/>
      <c r="I1462" s="278"/>
      <c r="J1462" s="278"/>
      <c r="K1462" s="278"/>
    </row>
    <row r="1463" spans="1:11" x14ac:dyDescent="0.15">
      <c r="A1463" s="278"/>
      <c r="B1463" s="278"/>
      <c r="C1463" s="278"/>
      <c r="D1463" s="278"/>
      <c r="E1463" s="278"/>
      <c r="F1463" s="278"/>
      <c r="G1463" s="278"/>
      <c r="H1463" s="278"/>
      <c r="I1463" s="278"/>
      <c r="J1463" s="278"/>
      <c r="K1463" s="278"/>
    </row>
    <row r="1464" spans="1:11" x14ac:dyDescent="0.15">
      <c r="A1464" s="278"/>
      <c r="B1464" s="278"/>
      <c r="C1464" s="278"/>
      <c r="D1464" s="278"/>
      <c r="E1464" s="278"/>
      <c r="F1464" s="278"/>
      <c r="G1464" s="278"/>
      <c r="H1464" s="278"/>
      <c r="I1464" s="278"/>
      <c r="J1464" s="278"/>
      <c r="K1464" s="278"/>
    </row>
    <row r="1465" spans="1:11" x14ac:dyDescent="0.15">
      <c r="A1465" s="278"/>
      <c r="B1465" s="278"/>
      <c r="C1465" s="278"/>
      <c r="D1465" s="278"/>
      <c r="E1465" s="278"/>
      <c r="F1465" s="278"/>
      <c r="G1465" s="278"/>
      <c r="H1465" s="278"/>
      <c r="I1465" s="278"/>
      <c r="J1465" s="278"/>
      <c r="K1465" s="278"/>
    </row>
    <row r="1466" spans="1:11" x14ac:dyDescent="0.15">
      <c r="A1466" s="278"/>
      <c r="B1466" s="278"/>
      <c r="C1466" s="278"/>
      <c r="D1466" s="278"/>
      <c r="E1466" s="278"/>
      <c r="F1466" s="278"/>
      <c r="G1466" s="278"/>
      <c r="H1466" s="278"/>
      <c r="I1466" s="278"/>
      <c r="J1466" s="278"/>
      <c r="K1466" s="278"/>
    </row>
    <row r="1467" spans="1:11" x14ac:dyDescent="0.15">
      <c r="A1467" s="278"/>
      <c r="B1467" s="278"/>
      <c r="C1467" s="278"/>
      <c r="D1467" s="278"/>
      <c r="E1467" s="278"/>
      <c r="F1467" s="278"/>
      <c r="G1467" s="278"/>
      <c r="H1467" s="278"/>
      <c r="I1467" s="278"/>
      <c r="J1467" s="278"/>
      <c r="K1467" s="278"/>
    </row>
    <row r="1468" spans="1:11" x14ac:dyDescent="0.15">
      <c r="A1468" s="278"/>
      <c r="B1468" s="278"/>
      <c r="C1468" s="278"/>
      <c r="D1468" s="278"/>
      <c r="E1468" s="278"/>
      <c r="F1468" s="278"/>
      <c r="G1468" s="278"/>
      <c r="H1468" s="278"/>
      <c r="I1468" s="278"/>
      <c r="J1468" s="278"/>
      <c r="K1468" s="278"/>
    </row>
    <row r="1469" spans="1:11" x14ac:dyDescent="0.15">
      <c r="A1469" s="278"/>
      <c r="B1469" s="278"/>
      <c r="C1469" s="278"/>
      <c r="D1469" s="278"/>
      <c r="E1469" s="278"/>
      <c r="F1469" s="278"/>
      <c r="G1469" s="278"/>
      <c r="H1469" s="278"/>
      <c r="I1469" s="278"/>
      <c r="J1469" s="278"/>
      <c r="K1469" s="278"/>
    </row>
    <row r="1470" spans="1:11" x14ac:dyDescent="0.15">
      <c r="A1470" s="278"/>
      <c r="B1470" s="278"/>
      <c r="C1470" s="278"/>
      <c r="D1470" s="278"/>
      <c r="E1470" s="278"/>
      <c r="F1470" s="278"/>
      <c r="G1470" s="278"/>
      <c r="H1470" s="278"/>
      <c r="I1470" s="278"/>
      <c r="J1470" s="278"/>
      <c r="K1470" s="278"/>
    </row>
    <row r="1471" spans="1:11" x14ac:dyDescent="0.15">
      <c r="A1471" s="278"/>
      <c r="B1471" s="278"/>
      <c r="C1471" s="278"/>
      <c r="D1471" s="278"/>
      <c r="E1471" s="278"/>
      <c r="F1471" s="278"/>
      <c r="G1471" s="278"/>
      <c r="H1471" s="278"/>
      <c r="I1471" s="278"/>
      <c r="J1471" s="278"/>
      <c r="K1471" s="278"/>
    </row>
    <row r="1472" spans="1:11" x14ac:dyDescent="0.15">
      <c r="A1472" s="278"/>
      <c r="B1472" s="278"/>
      <c r="C1472" s="278"/>
      <c r="D1472" s="278"/>
      <c r="E1472" s="278"/>
      <c r="F1472" s="278"/>
      <c r="G1472" s="278"/>
      <c r="H1472" s="278"/>
      <c r="I1472" s="278"/>
      <c r="J1472" s="278"/>
      <c r="K1472" s="278"/>
    </row>
    <row r="1473" spans="1:11" x14ac:dyDescent="0.15">
      <c r="A1473" s="278"/>
      <c r="B1473" s="278"/>
      <c r="C1473" s="278"/>
      <c r="D1473" s="278"/>
      <c r="E1473" s="278"/>
      <c r="F1473" s="278"/>
      <c r="G1473" s="278"/>
      <c r="H1473" s="278"/>
      <c r="I1473" s="278"/>
      <c r="J1473" s="278"/>
      <c r="K1473" s="278"/>
    </row>
    <row r="1474" spans="1:11" x14ac:dyDescent="0.15">
      <c r="A1474" s="278"/>
      <c r="B1474" s="278"/>
      <c r="C1474" s="278"/>
      <c r="D1474" s="278"/>
      <c r="E1474" s="278"/>
      <c r="F1474" s="278"/>
      <c r="G1474" s="278"/>
      <c r="H1474" s="278"/>
      <c r="I1474" s="278"/>
      <c r="J1474" s="278"/>
      <c r="K1474" s="278"/>
    </row>
    <row r="1475" spans="1:11" x14ac:dyDescent="0.15">
      <c r="A1475" s="278"/>
      <c r="B1475" s="278"/>
      <c r="C1475" s="278"/>
      <c r="D1475" s="278"/>
      <c r="E1475" s="278"/>
      <c r="F1475" s="278"/>
      <c r="G1475" s="278"/>
      <c r="H1475" s="278"/>
      <c r="I1475" s="278"/>
      <c r="J1475" s="278"/>
      <c r="K1475" s="278"/>
    </row>
    <row r="1476" spans="1:11" x14ac:dyDescent="0.15">
      <c r="A1476" s="278"/>
      <c r="B1476" s="278"/>
      <c r="C1476" s="278"/>
      <c r="D1476" s="278"/>
      <c r="E1476" s="278"/>
      <c r="F1476" s="278"/>
      <c r="G1476" s="278"/>
      <c r="H1476" s="278"/>
      <c r="I1476" s="278"/>
      <c r="J1476" s="278"/>
      <c r="K1476" s="278"/>
    </row>
    <row r="1477" spans="1:11" x14ac:dyDescent="0.15">
      <c r="A1477" s="278"/>
      <c r="B1477" s="278"/>
      <c r="C1477" s="278"/>
      <c r="D1477" s="278"/>
      <c r="E1477" s="278"/>
      <c r="F1477" s="278"/>
      <c r="G1477" s="278"/>
      <c r="H1477" s="278"/>
      <c r="I1477" s="278"/>
      <c r="J1477" s="278"/>
      <c r="K1477" s="278"/>
    </row>
    <row r="1478" spans="1:11" x14ac:dyDescent="0.15">
      <c r="A1478" s="278"/>
      <c r="B1478" s="278"/>
      <c r="C1478" s="278"/>
      <c r="D1478" s="278"/>
      <c r="E1478" s="278"/>
      <c r="F1478" s="278"/>
      <c r="G1478" s="278"/>
      <c r="H1478" s="278"/>
      <c r="I1478" s="278"/>
      <c r="J1478" s="278"/>
      <c r="K1478" s="278"/>
    </row>
    <row r="1479" spans="1:11" x14ac:dyDescent="0.15">
      <c r="A1479" s="278"/>
      <c r="B1479" s="278"/>
      <c r="C1479" s="278"/>
      <c r="D1479" s="278"/>
      <c r="E1479" s="278"/>
      <c r="F1479" s="278"/>
      <c r="G1479" s="278"/>
      <c r="H1479" s="278"/>
      <c r="I1479" s="278"/>
      <c r="J1479" s="278"/>
      <c r="K1479" s="278"/>
    </row>
    <row r="1480" spans="1:11" x14ac:dyDescent="0.15">
      <c r="A1480" s="278"/>
      <c r="B1480" s="278"/>
      <c r="C1480" s="278"/>
      <c r="D1480" s="278"/>
      <c r="E1480" s="278"/>
      <c r="F1480" s="278"/>
      <c r="G1480" s="278"/>
      <c r="H1480" s="278"/>
      <c r="I1480" s="278"/>
      <c r="J1480" s="278"/>
      <c r="K1480" s="278"/>
    </row>
    <row r="1481" spans="1:11" x14ac:dyDescent="0.15">
      <c r="A1481" s="278"/>
      <c r="B1481" s="278"/>
      <c r="C1481" s="278"/>
      <c r="D1481" s="278"/>
      <c r="E1481" s="278"/>
      <c r="F1481" s="278"/>
      <c r="G1481" s="278"/>
      <c r="H1481" s="278"/>
      <c r="I1481" s="278"/>
      <c r="J1481" s="278"/>
      <c r="K1481" s="278"/>
    </row>
    <row r="1482" spans="1:11" x14ac:dyDescent="0.15">
      <c r="A1482" s="278"/>
      <c r="B1482" s="278"/>
      <c r="C1482" s="278"/>
      <c r="D1482" s="278"/>
      <c r="E1482" s="278"/>
      <c r="F1482" s="278"/>
      <c r="G1482" s="278"/>
      <c r="H1482" s="278"/>
      <c r="I1482" s="278"/>
      <c r="J1482" s="278"/>
      <c r="K1482" s="278"/>
    </row>
    <row r="1483" spans="1:11" x14ac:dyDescent="0.15">
      <c r="A1483" s="278"/>
      <c r="B1483" s="278"/>
      <c r="C1483" s="278"/>
      <c r="D1483" s="278"/>
      <c r="E1483" s="278"/>
      <c r="F1483" s="278"/>
      <c r="G1483" s="278"/>
      <c r="H1483" s="278"/>
      <c r="I1483" s="278"/>
      <c r="J1483" s="278"/>
      <c r="K1483" s="278"/>
    </row>
    <row r="1484" spans="1:11" x14ac:dyDescent="0.15">
      <c r="A1484" s="278"/>
      <c r="B1484" s="278"/>
      <c r="C1484" s="278"/>
      <c r="D1484" s="278"/>
      <c r="E1484" s="278"/>
      <c r="F1484" s="278"/>
      <c r="G1484" s="278"/>
      <c r="H1484" s="278"/>
      <c r="I1484" s="278"/>
      <c r="J1484" s="278"/>
      <c r="K1484" s="278"/>
    </row>
    <row r="1485" spans="1:11" x14ac:dyDescent="0.15">
      <c r="A1485" s="278"/>
      <c r="B1485" s="278"/>
      <c r="C1485" s="278"/>
      <c r="D1485" s="278"/>
      <c r="E1485" s="278"/>
      <c r="F1485" s="278"/>
      <c r="G1485" s="278"/>
      <c r="H1485" s="278"/>
      <c r="I1485" s="278"/>
      <c r="J1485" s="278"/>
      <c r="K1485" s="278"/>
    </row>
    <row r="1486" spans="1:11" x14ac:dyDescent="0.15">
      <c r="A1486" s="278"/>
      <c r="B1486" s="278"/>
      <c r="C1486" s="278"/>
      <c r="D1486" s="278"/>
      <c r="E1486" s="278"/>
      <c r="F1486" s="278"/>
      <c r="G1486" s="278"/>
      <c r="H1486" s="278"/>
      <c r="I1486" s="278"/>
      <c r="J1486" s="278"/>
      <c r="K1486" s="278"/>
    </row>
    <row r="1487" spans="1:11" x14ac:dyDescent="0.15">
      <c r="A1487" s="278"/>
      <c r="B1487" s="278"/>
      <c r="C1487" s="278"/>
      <c r="D1487" s="278"/>
      <c r="E1487" s="278"/>
      <c r="F1487" s="278"/>
      <c r="G1487" s="278"/>
      <c r="H1487" s="278"/>
      <c r="I1487" s="278"/>
      <c r="J1487" s="278"/>
      <c r="K1487" s="278"/>
    </row>
    <row r="1488" spans="1:11" x14ac:dyDescent="0.15">
      <c r="A1488" s="278"/>
      <c r="B1488" s="278"/>
      <c r="C1488" s="278"/>
      <c r="D1488" s="278"/>
      <c r="E1488" s="278"/>
      <c r="F1488" s="278"/>
      <c r="G1488" s="278"/>
      <c r="H1488" s="278"/>
      <c r="I1488" s="278"/>
      <c r="J1488" s="278"/>
      <c r="K1488" s="278"/>
    </row>
    <row r="1489" spans="1:11" x14ac:dyDescent="0.15">
      <c r="A1489" s="278"/>
      <c r="B1489" s="278"/>
      <c r="C1489" s="278"/>
      <c r="D1489" s="278"/>
      <c r="E1489" s="278"/>
      <c r="F1489" s="278"/>
      <c r="G1489" s="278"/>
      <c r="H1489" s="278"/>
      <c r="I1489" s="278"/>
      <c r="J1489" s="278"/>
      <c r="K1489" s="278"/>
    </row>
    <row r="1490" spans="1:11" x14ac:dyDescent="0.15">
      <c r="A1490" s="278"/>
      <c r="B1490" s="278"/>
      <c r="C1490" s="278"/>
      <c r="D1490" s="278"/>
      <c r="E1490" s="278"/>
      <c r="F1490" s="278"/>
      <c r="G1490" s="278"/>
      <c r="H1490" s="278"/>
      <c r="I1490" s="278"/>
      <c r="J1490" s="278"/>
      <c r="K1490" s="278"/>
    </row>
    <row r="1491" spans="1:11" x14ac:dyDescent="0.15">
      <c r="A1491" s="278"/>
      <c r="B1491" s="278"/>
      <c r="C1491" s="278"/>
      <c r="D1491" s="278"/>
      <c r="E1491" s="278"/>
      <c r="F1491" s="278"/>
      <c r="G1491" s="278"/>
      <c r="H1491" s="278"/>
      <c r="I1491" s="278"/>
      <c r="J1491" s="278"/>
      <c r="K1491" s="278"/>
    </row>
    <row r="1492" spans="1:11" x14ac:dyDescent="0.15">
      <c r="A1492" s="278"/>
      <c r="B1492" s="278"/>
      <c r="C1492" s="278"/>
      <c r="D1492" s="278"/>
      <c r="E1492" s="278"/>
      <c r="F1492" s="278"/>
      <c r="G1492" s="278"/>
      <c r="H1492" s="278"/>
      <c r="I1492" s="278"/>
      <c r="J1492" s="278"/>
      <c r="K1492" s="278"/>
    </row>
    <row r="1493" spans="1:11" x14ac:dyDescent="0.15">
      <c r="A1493" s="278"/>
      <c r="B1493" s="278"/>
      <c r="C1493" s="278"/>
      <c r="D1493" s="278"/>
      <c r="E1493" s="278"/>
      <c r="F1493" s="278"/>
      <c r="G1493" s="278"/>
      <c r="H1493" s="278"/>
      <c r="I1493" s="278"/>
      <c r="J1493" s="278"/>
      <c r="K1493" s="278"/>
    </row>
    <row r="1494" spans="1:11" x14ac:dyDescent="0.15">
      <c r="A1494" s="278"/>
      <c r="B1494" s="278"/>
      <c r="C1494" s="278"/>
      <c r="D1494" s="278"/>
      <c r="E1494" s="278"/>
      <c r="F1494" s="278"/>
      <c r="G1494" s="278"/>
      <c r="H1494" s="278"/>
      <c r="I1494" s="278"/>
      <c r="J1494" s="278"/>
      <c r="K1494" s="278"/>
    </row>
    <row r="1495" spans="1:11" x14ac:dyDescent="0.15">
      <c r="A1495" s="278"/>
      <c r="B1495" s="278"/>
      <c r="C1495" s="278"/>
      <c r="D1495" s="278"/>
      <c r="E1495" s="278"/>
      <c r="F1495" s="278"/>
      <c r="G1495" s="278"/>
      <c r="H1495" s="278"/>
      <c r="I1495" s="278"/>
      <c r="J1495" s="278"/>
      <c r="K1495" s="278"/>
    </row>
    <row r="1496" spans="1:11" x14ac:dyDescent="0.15">
      <c r="A1496" s="278"/>
      <c r="B1496" s="278"/>
      <c r="C1496" s="278"/>
      <c r="D1496" s="278"/>
      <c r="E1496" s="278"/>
      <c r="F1496" s="278"/>
      <c r="G1496" s="278"/>
      <c r="H1496" s="278"/>
      <c r="I1496" s="278"/>
      <c r="J1496" s="278"/>
      <c r="K1496" s="278"/>
    </row>
    <row r="1497" spans="1:11" x14ac:dyDescent="0.15">
      <c r="A1497" s="278"/>
      <c r="B1497" s="278"/>
      <c r="C1497" s="278"/>
      <c r="D1497" s="278"/>
      <c r="E1497" s="278"/>
      <c r="F1497" s="278"/>
      <c r="G1497" s="278"/>
      <c r="H1497" s="278"/>
      <c r="I1497" s="278"/>
      <c r="J1497" s="278"/>
      <c r="K1497" s="278"/>
    </row>
    <row r="1498" spans="1:11" x14ac:dyDescent="0.15">
      <c r="A1498" s="278"/>
      <c r="B1498" s="278"/>
      <c r="C1498" s="278"/>
      <c r="D1498" s="278"/>
      <c r="E1498" s="278"/>
      <c r="F1498" s="278"/>
      <c r="G1498" s="278"/>
      <c r="H1498" s="278"/>
      <c r="I1498" s="278"/>
      <c r="J1498" s="278"/>
      <c r="K1498" s="278"/>
    </row>
    <row r="1499" spans="1:11" x14ac:dyDescent="0.15">
      <c r="A1499" s="278"/>
      <c r="B1499" s="278"/>
      <c r="C1499" s="278"/>
      <c r="D1499" s="278"/>
      <c r="E1499" s="278"/>
      <c r="F1499" s="278"/>
      <c r="G1499" s="278"/>
      <c r="H1499" s="278"/>
      <c r="I1499" s="278"/>
      <c r="J1499" s="278"/>
      <c r="K1499" s="278"/>
    </row>
    <row r="1500" spans="1:11" x14ac:dyDescent="0.15">
      <c r="A1500" s="278"/>
      <c r="B1500" s="278"/>
      <c r="C1500" s="278"/>
      <c r="D1500" s="278"/>
      <c r="E1500" s="278"/>
      <c r="F1500" s="278"/>
      <c r="G1500" s="278"/>
      <c r="H1500" s="278"/>
      <c r="I1500" s="278"/>
      <c r="J1500" s="278"/>
      <c r="K1500" s="278"/>
    </row>
    <row r="1501" spans="1:11" x14ac:dyDescent="0.15">
      <c r="A1501" s="278"/>
      <c r="B1501" s="278"/>
      <c r="C1501" s="278"/>
      <c r="D1501" s="278"/>
      <c r="E1501" s="278"/>
      <c r="F1501" s="278"/>
      <c r="G1501" s="278"/>
      <c r="H1501" s="278"/>
      <c r="I1501" s="278"/>
      <c r="J1501" s="278"/>
      <c r="K1501" s="278"/>
    </row>
    <row r="1502" spans="1:11" x14ac:dyDescent="0.15">
      <c r="A1502" s="278"/>
      <c r="B1502" s="278"/>
      <c r="C1502" s="278"/>
      <c r="D1502" s="278"/>
      <c r="E1502" s="278"/>
      <c r="F1502" s="278"/>
      <c r="G1502" s="278"/>
      <c r="H1502" s="278"/>
      <c r="I1502" s="278"/>
      <c r="J1502" s="278"/>
      <c r="K1502" s="278"/>
    </row>
    <row r="1503" spans="1:11" x14ac:dyDescent="0.15">
      <c r="A1503" s="278"/>
      <c r="B1503" s="278"/>
      <c r="C1503" s="278"/>
      <c r="D1503" s="278"/>
      <c r="E1503" s="278"/>
      <c r="F1503" s="278"/>
      <c r="G1503" s="278"/>
      <c r="H1503" s="278"/>
      <c r="I1503" s="278"/>
      <c r="J1503" s="278"/>
      <c r="K1503" s="278"/>
    </row>
    <row r="1504" spans="1:11" x14ac:dyDescent="0.15">
      <c r="A1504" s="278"/>
      <c r="B1504" s="278"/>
      <c r="C1504" s="278"/>
      <c r="D1504" s="278"/>
      <c r="E1504" s="278"/>
      <c r="F1504" s="278"/>
      <c r="G1504" s="278"/>
      <c r="H1504" s="278"/>
      <c r="I1504" s="278"/>
      <c r="J1504" s="278"/>
      <c r="K1504" s="278"/>
    </row>
    <row r="1505" spans="1:11" x14ac:dyDescent="0.15">
      <c r="A1505" s="278"/>
      <c r="B1505" s="278"/>
      <c r="C1505" s="278"/>
      <c r="D1505" s="278"/>
      <c r="E1505" s="278"/>
      <c r="F1505" s="278"/>
      <c r="G1505" s="278"/>
      <c r="H1505" s="278"/>
      <c r="I1505" s="278"/>
      <c r="J1505" s="278"/>
      <c r="K1505" s="278"/>
    </row>
    <row r="1506" spans="1:11" x14ac:dyDescent="0.15">
      <c r="A1506" s="278"/>
      <c r="B1506" s="278"/>
      <c r="C1506" s="278"/>
      <c r="D1506" s="278"/>
      <c r="E1506" s="278"/>
      <c r="F1506" s="278"/>
      <c r="G1506" s="278"/>
      <c r="H1506" s="278"/>
      <c r="I1506" s="278"/>
      <c r="J1506" s="278"/>
      <c r="K1506" s="278"/>
    </row>
    <row r="1507" spans="1:11" x14ac:dyDescent="0.15">
      <c r="A1507" s="278"/>
      <c r="B1507" s="278"/>
      <c r="C1507" s="278"/>
      <c r="D1507" s="278"/>
      <c r="E1507" s="278"/>
      <c r="F1507" s="278"/>
      <c r="G1507" s="278"/>
      <c r="H1507" s="278"/>
      <c r="I1507" s="278"/>
      <c r="J1507" s="278"/>
      <c r="K1507" s="278"/>
    </row>
    <row r="1508" spans="1:11" x14ac:dyDescent="0.15">
      <c r="A1508" s="278"/>
      <c r="B1508" s="278"/>
      <c r="C1508" s="278"/>
      <c r="D1508" s="278"/>
      <c r="E1508" s="278"/>
      <c r="F1508" s="278"/>
      <c r="G1508" s="278"/>
      <c r="H1508" s="278"/>
      <c r="I1508" s="278"/>
      <c r="J1508" s="278"/>
      <c r="K1508" s="278"/>
    </row>
    <row r="1509" spans="1:11" x14ac:dyDescent="0.15">
      <c r="A1509" s="278"/>
      <c r="B1509" s="278"/>
      <c r="C1509" s="278"/>
      <c r="D1509" s="278"/>
      <c r="E1509" s="278"/>
      <c r="F1509" s="278"/>
      <c r="G1509" s="278"/>
      <c r="H1509" s="278"/>
      <c r="I1509" s="278"/>
      <c r="J1509" s="278"/>
      <c r="K1509" s="278"/>
    </row>
    <row r="1510" spans="1:11" x14ac:dyDescent="0.15">
      <c r="A1510" s="278"/>
      <c r="B1510" s="278"/>
      <c r="C1510" s="278"/>
      <c r="D1510" s="278"/>
      <c r="E1510" s="278"/>
      <c r="F1510" s="278"/>
      <c r="G1510" s="278"/>
      <c r="H1510" s="278"/>
      <c r="I1510" s="278"/>
      <c r="J1510" s="278"/>
      <c r="K1510" s="278"/>
    </row>
    <row r="1511" spans="1:11" x14ac:dyDescent="0.15">
      <c r="A1511" s="278"/>
      <c r="B1511" s="278"/>
      <c r="C1511" s="278"/>
      <c r="D1511" s="278"/>
      <c r="E1511" s="278"/>
      <c r="F1511" s="278"/>
      <c r="G1511" s="278"/>
      <c r="H1511" s="278"/>
      <c r="I1511" s="278"/>
      <c r="J1511" s="278"/>
      <c r="K1511" s="278"/>
    </row>
    <row r="1512" spans="1:11" x14ac:dyDescent="0.15">
      <c r="A1512" s="278"/>
      <c r="B1512" s="278"/>
      <c r="C1512" s="278"/>
      <c r="D1512" s="278"/>
      <c r="E1512" s="278"/>
      <c r="F1512" s="278"/>
      <c r="G1512" s="278"/>
      <c r="H1512" s="278"/>
      <c r="I1512" s="278"/>
      <c r="J1512" s="278"/>
      <c r="K1512" s="278"/>
    </row>
    <row r="1513" spans="1:11" x14ac:dyDescent="0.15">
      <c r="A1513" s="278"/>
      <c r="B1513" s="278"/>
      <c r="C1513" s="278"/>
      <c r="D1513" s="278"/>
      <c r="E1513" s="278"/>
      <c r="F1513" s="278"/>
      <c r="G1513" s="278"/>
      <c r="H1513" s="278"/>
      <c r="I1513" s="278"/>
      <c r="J1513" s="278"/>
      <c r="K1513" s="278"/>
    </row>
    <row r="1514" spans="1:11" x14ac:dyDescent="0.15">
      <c r="A1514" s="278"/>
      <c r="B1514" s="278"/>
      <c r="C1514" s="278"/>
      <c r="D1514" s="278"/>
      <c r="E1514" s="278"/>
      <c r="F1514" s="278"/>
      <c r="G1514" s="278"/>
      <c r="H1514" s="278"/>
      <c r="I1514" s="278"/>
      <c r="J1514" s="278"/>
      <c r="K1514" s="278"/>
    </row>
    <row r="1515" spans="1:11" x14ac:dyDescent="0.15">
      <c r="A1515" s="278"/>
      <c r="B1515" s="278"/>
      <c r="C1515" s="278"/>
      <c r="D1515" s="278"/>
      <c r="E1515" s="278"/>
      <c r="F1515" s="278"/>
      <c r="G1515" s="278"/>
      <c r="H1515" s="278"/>
      <c r="I1515" s="278"/>
      <c r="J1515" s="278"/>
      <c r="K1515" s="278"/>
    </row>
    <row r="1516" spans="1:11" x14ac:dyDescent="0.15">
      <c r="A1516" s="278"/>
      <c r="B1516" s="278"/>
      <c r="C1516" s="278"/>
      <c r="D1516" s="278"/>
      <c r="E1516" s="278"/>
      <c r="F1516" s="278"/>
      <c r="G1516" s="278"/>
      <c r="H1516" s="278"/>
      <c r="I1516" s="278"/>
      <c r="J1516" s="278"/>
      <c r="K1516" s="278"/>
    </row>
    <row r="1517" spans="1:11" x14ac:dyDescent="0.15">
      <c r="A1517" s="278"/>
      <c r="B1517" s="278"/>
      <c r="C1517" s="278"/>
      <c r="D1517" s="278"/>
      <c r="E1517" s="278"/>
      <c r="F1517" s="278"/>
      <c r="G1517" s="278"/>
      <c r="H1517" s="278"/>
      <c r="I1517" s="278"/>
      <c r="J1517" s="278"/>
      <c r="K1517" s="278"/>
    </row>
    <row r="1518" spans="1:11" x14ac:dyDescent="0.15">
      <c r="A1518" s="278"/>
      <c r="B1518" s="278"/>
      <c r="C1518" s="278"/>
      <c r="D1518" s="278"/>
      <c r="E1518" s="278"/>
      <c r="F1518" s="278"/>
      <c r="G1518" s="278"/>
      <c r="H1518" s="278"/>
      <c r="I1518" s="278"/>
      <c r="J1518" s="278"/>
      <c r="K1518" s="278"/>
    </row>
    <row r="1519" spans="1:11" x14ac:dyDescent="0.15">
      <c r="A1519" s="278"/>
      <c r="B1519" s="278"/>
      <c r="C1519" s="278"/>
      <c r="D1519" s="278"/>
      <c r="E1519" s="278"/>
      <c r="F1519" s="278"/>
      <c r="G1519" s="278"/>
      <c r="H1519" s="278"/>
      <c r="I1519" s="278"/>
      <c r="J1519" s="278"/>
      <c r="K1519" s="278"/>
    </row>
    <row r="1520" spans="1:11" x14ac:dyDescent="0.15">
      <c r="A1520" s="278"/>
      <c r="B1520" s="278"/>
      <c r="C1520" s="278"/>
      <c r="D1520" s="278"/>
      <c r="E1520" s="278"/>
      <c r="F1520" s="278"/>
      <c r="G1520" s="278"/>
      <c r="H1520" s="278"/>
      <c r="I1520" s="278"/>
      <c r="J1520" s="278"/>
      <c r="K1520" s="278"/>
    </row>
    <row r="1521" spans="1:11" x14ac:dyDescent="0.15">
      <c r="A1521" s="278"/>
      <c r="B1521" s="278"/>
      <c r="C1521" s="278"/>
      <c r="D1521" s="278"/>
      <c r="E1521" s="278"/>
      <c r="F1521" s="278"/>
      <c r="G1521" s="278"/>
      <c r="H1521" s="278"/>
      <c r="I1521" s="278"/>
      <c r="J1521" s="278"/>
      <c r="K1521" s="278"/>
    </row>
    <row r="1522" spans="1:11" x14ac:dyDescent="0.15">
      <c r="A1522" s="278"/>
      <c r="B1522" s="278"/>
      <c r="C1522" s="278"/>
      <c r="D1522" s="278"/>
      <c r="E1522" s="278"/>
      <c r="F1522" s="278"/>
      <c r="G1522" s="278"/>
      <c r="H1522" s="278"/>
      <c r="I1522" s="278"/>
      <c r="J1522" s="278"/>
      <c r="K1522" s="278"/>
    </row>
    <row r="1523" spans="1:11" x14ac:dyDescent="0.15">
      <c r="A1523" s="278"/>
      <c r="B1523" s="278"/>
      <c r="C1523" s="278"/>
      <c r="D1523" s="278"/>
      <c r="E1523" s="278"/>
      <c r="F1523" s="278"/>
      <c r="G1523" s="278"/>
      <c r="H1523" s="278"/>
      <c r="I1523" s="278"/>
      <c r="J1523" s="278"/>
      <c r="K1523" s="278"/>
    </row>
    <row r="1524" spans="1:11" x14ac:dyDescent="0.15">
      <c r="A1524" s="278"/>
      <c r="B1524" s="278"/>
      <c r="C1524" s="278"/>
      <c r="D1524" s="278"/>
      <c r="E1524" s="278"/>
      <c r="F1524" s="278"/>
      <c r="G1524" s="278"/>
      <c r="H1524" s="278"/>
      <c r="I1524" s="278"/>
      <c r="J1524" s="278"/>
      <c r="K1524" s="278"/>
    </row>
    <row r="1525" spans="1:11" x14ac:dyDescent="0.15">
      <c r="A1525" s="278"/>
      <c r="B1525" s="278"/>
      <c r="C1525" s="278"/>
      <c r="D1525" s="278"/>
      <c r="E1525" s="278"/>
      <c r="F1525" s="278"/>
      <c r="G1525" s="278"/>
      <c r="H1525" s="278"/>
      <c r="I1525" s="278"/>
      <c r="J1525" s="278"/>
      <c r="K1525" s="278"/>
    </row>
    <row r="1526" spans="1:11" x14ac:dyDescent="0.15">
      <c r="A1526" s="278"/>
      <c r="B1526" s="278"/>
      <c r="C1526" s="278"/>
      <c r="D1526" s="278"/>
      <c r="E1526" s="278"/>
      <c r="F1526" s="278"/>
      <c r="G1526" s="278"/>
      <c r="H1526" s="278"/>
      <c r="I1526" s="278"/>
      <c r="J1526" s="278"/>
      <c r="K1526" s="278"/>
    </row>
    <row r="1527" spans="1:11" x14ac:dyDescent="0.15">
      <c r="A1527" s="278"/>
      <c r="B1527" s="278"/>
      <c r="C1527" s="278"/>
      <c r="D1527" s="278"/>
      <c r="E1527" s="278"/>
      <c r="F1527" s="278"/>
      <c r="G1527" s="278"/>
      <c r="H1527" s="278"/>
      <c r="I1527" s="278"/>
      <c r="J1527" s="278"/>
      <c r="K1527" s="278"/>
    </row>
    <row r="1528" spans="1:11" x14ac:dyDescent="0.15">
      <c r="A1528" s="278"/>
      <c r="B1528" s="278"/>
      <c r="C1528" s="278"/>
      <c r="D1528" s="278"/>
      <c r="E1528" s="278"/>
      <c r="F1528" s="278"/>
      <c r="G1528" s="278"/>
      <c r="H1528" s="278"/>
      <c r="I1528" s="278"/>
      <c r="J1528" s="278"/>
      <c r="K1528" s="278"/>
    </row>
    <row r="1529" spans="1:11" x14ac:dyDescent="0.15">
      <c r="A1529" s="278"/>
      <c r="B1529" s="278"/>
      <c r="C1529" s="278"/>
      <c r="D1529" s="278"/>
      <c r="E1529" s="278"/>
      <c r="F1529" s="278"/>
      <c r="G1529" s="278"/>
      <c r="H1529" s="278"/>
      <c r="I1529" s="278"/>
      <c r="J1529" s="278"/>
      <c r="K1529" s="278"/>
    </row>
    <row r="1530" spans="1:11" x14ac:dyDescent="0.15">
      <c r="A1530" s="278"/>
      <c r="B1530" s="278"/>
      <c r="C1530" s="278"/>
      <c r="D1530" s="278"/>
      <c r="E1530" s="278"/>
      <c r="F1530" s="278"/>
      <c r="G1530" s="278"/>
      <c r="H1530" s="278"/>
      <c r="I1530" s="278"/>
      <c r="J1530" s="278"/>
      <c r="K1530" s="278"/>
    </row>
    <row r="1531" spans="1:11" x14ac:dyDescent="0.15">
      <c r="A1531" s="278"/>
      <c r="B1531" s="278"/>
      <c r="C1531" s="278"/>
      <c r="D1531" s="278"/>
      <c r="E1531" s="278"/>
      <c r="F1531" s="278"/>
      <c r="G1531" s="278"/>
      <c r="H1531" s="278"/>
      <c r="I1531" s="278"/>
      <c r="J1531" s="278"/>
      <c r="K1531" s="278"/>
    </row>
    <row r="1532" spans="1:11" x14ac:dyDescent="0.15">
      <c r="A1532" s="278"/>
      <c r="B1532" s="278"/>
      <c r="C1532" s="278"/>
      <c r="D1532" s="278"/>
      <c r="E1532" s="278"/>
      <c r="F1532" s="278"/>
      <c r="G1532" s="278"/>
      <c r="H1532" s="278"/>
      <c r="I1532" s="278"/>
      <c r="J1532" s="278"/>
      <c r="K1532" s="278"/>
    </row>
    <row r="1533" spans="1:11" x14ac:dyDescent="0.15">
      <c r="A1533" s="278"/>
      <c r="B1533" s="278"/>
      <c r="C1533" s="278"/>
      <c r="D1533" s="278"/>
      <c r="E1533" s="278"/>
      <c r="F1533" s="278"/>
      <c r="G1533" s="278"/>
      <c r="H1533" s="278"/>
      <c r="I1533" s="278"/>
      <c r="J1533" s="278"/>
      <c r="K1533" s="278"/>
    </row>
    <row r="1534" spans="1:11" x14ac:dyDescent="0.15">
      <c r="A1534" s="278"/>
      <c r="B1534" s="278"/>
      <c r="C1534" s="278"/>
      <c r="D1534" s="278"/>
      <c r="E1534" s="278"/>
      <c r="F1534" s="278"/>
      <c r="G1534" s="278"/>
      <c r="H1534" s="278"/>
      <c r="I1534" s="278"/>
      <c r="J1534" s="278"/>
      <c r="K1534" s="278"/>
    </row>
    <row r="1535" spans="1:11" x14ac:dyDescent="0.15">
      <c r="A1535" s="278"/>
      <c r="B1535" s="278"/>
      <c r="C1535" s="278"/>
      <c r="D1535" s="278"/>
      <c r="E1535" s="278"/>
      <c r="F1535" s="278"/>
      <c r="G1535" s="278"/>
      <c r="H1535" s="278"/>
      <c r="I1535" s="278"/>
      <c r="J1535" s="278"/>
      <c r="K1535" s="278"/>
    </row>
    <row r="1536" spans="1:11" x14ac:dyDescent="0.15">
      <c r="A1536" s="278"/>
      <c r="B1536" s="278"/>
      <c r="C1536" s="278"/>
      <c r="D1536" s="278"/>
      <c r="E1536" s="278"/>
      <c r="F1536" s="278"/>
      <c r="G1536" s="278"/>
      <c r="H1536" s="278"/>
      <c r="I1536" s="278"/>
      <c r="J1536" s="278"/>
      <c r="K1536" s="278"/>
    </row>
    <row r="1537" spans="1:11" x14ac:dyDescent="0.15">
      <c r="A1537" s="278"/>
      <c r="B1537" s="278"/>
      <c r="C1537" s="278"/>
      <c r="D1537" s="278"/>
      <c r="E1537" s="278"/>
      <c r="F1537" s="278"/>
      <c r="G1537" s="278"/>
      <c r="H1537" s="278"/>
      <c r="I1537" s="278"/>
      <c r="J1537" s="278"/>
      <c r="K1537" s="278"/>
    </row>
    <row r="1538" spans="1:11" x14ac:dyDescent="0.15">
      <c r="A1538" s="278"/>
      <c r="B1538" s="278"/>
      <c r="C1538" s="278"/>
      <c r="D1538" s="278"/>
      <c r="E1538" s="278"/>
      <c r="F1538" s="278"/>
      <c r="G1538" s="278"/>
      <c r="H1538" s="278"/>
      <c r="I1538" s="278"/>
      <c r="J1538" s="278"/>
      <c r="K1538" s="278"/>
    </row>
    <row r="1539" spans="1:11" x14ac:dyDescent="0.15">
      <c r="A1539" s="278"/>
      <c r="B1539" s="278"/>
      <c r="C1539" s="278"/>
      <c r="D1539" s="278"/>
      <c r="E1539" s="278"/>
      <c r="F1539" s="278"/>
      <c r="G1539" s="278"/>
      <c r="H1539" s="278"/>
      <c r="I1539" s="278"/>
      <c r="J1539" s="278"/>
      <c r="K1539" s="278"/>
    </row>
    <row r="1540" spans="1:11" x14ac:dyDescent="0.15">
      <c r="A1540" s="278"/>
      <c r="B1540" s="278"/>
      <c r="C1540" s="278"/>
      <c r="D1540" s="278"/>
      <c r="E1540" s="278"/>
      <c r="F1540" s="278"/>
      <c r="G1540" s="278"/>
      <c r="H1540" s="278"/>
      <c r="I1540" s="278"/>
      <c r="J1540" s="278"/>
      <c r="K1540" s="278"/>
    </row>
    <row r="1541" spans="1:11" x14ac:dyDescent="0.15">
      <c r="A1541" s="278"/>
      <c r="B1541" s="278"/>
      <c r="C1541" s="278"/>
      <c r="D1541" s="278"/>
      <c r="E1541" s="278"/>
      <c r="F1541" s="278"/>
      <c r="G1541" s="278"/>
      <c r="H1541" s="278"/>
      <c r="I1541" s="278"/>
      <c r="J1541" s="278"/>
      <c r="K1541" s="278"/>
    </row>
    <row r="1542" spans="1:11" x14ac:dyDescent="0.15">
      <c r="A1542" s="278"/>
      <c r="B1542" s="278"/>
      <c r="C1542" s="278"/>
      <c r="D1542" s="278"/>
      <c r="E1542" s="278"/>
      <c r="F1542" s="278"/>
      <c r="G1542" s="278"/>
      <c r="H1542" s="278"/>
      <c r="I1542" s="278"/>
      <c r="J1542" s="278"/>
      <c r="K1542" s="278"/>
    </row>
    <row r="1543" spans="1:11" x14ac:dyDescent="0.15">
      <c r="A1543" s="278"/>
      <c r="B1543" s="278"/>
      <c r="C1543" s="278"/>
      <c r="D1543" s="278"/>
      <c r="E1543" s="278"/>
      <c r="F1543" s="278"/>
      <c r="G1543" s="278"/>
      <c r="H1543" s="278"/>
      <c r="I1543" s="278"/>
      <c r="J1543" s="278"/>
      <c r="K1543" s="278"/>
    </row>
    <row r="1544" spans="1:11" x14ac:dyDescent="0.15">
      <c r="A1544" s="278"/>
      <c r="B1544" s="278"/>
      <c r="C1544" s="278"/>
      <c r="D1544" s="278"/>
      <c r="E1544" s="278"/>
      <c r="F1544" s="278"/>
      <c r="G1544" s="278"/>
      <c r="H1544" s="278"/>
      <c r="I1544" s="278"/>
      <c r="J1544" s="278"/>
      <c r="K1544" s="278"/>
    </row>
    <row r="1545" spans="1:11" x14ac:dyDescent="0.15">
      <c r="A1545" s="278"/>
      <c r="B1545" s="278"/>
      <c r="C1545" s="278"/>
      <c r="D1545" s="278"/>
      <c r="E1545" s="278"/>
      <c r="F1545" s="278"/>
      <c r="G1545" s="278"/>
      <c r="H1545" s="278"/>
      <c r="I1545" s="278"/>
      <c r="J1545" s="278"/>
      <c r="K1545" s="278"/>
    </row>
    <row r="1546" spans="1:11" x14ac:dyDescent="0.15">
      <c r="A1546" s="278"/>
      <c r="B1546" s="278"/>
      <c r="C1546" s="278"/>
      <c r="D1546" s="278"/>
      <c r="E1546" s="278"/>
      <c r="F1546" s="278"/>
      <c r="G1546" s="278"/>
      <c r="H1546" s="278"/>
      <c r="I1546" s="278"/>
      <c r="J1546" s="278"/>
      <c r="K1546" s="278"/>
    </row>
    <row r="1547" spans="1:11" x14ac:dyDescent="0.15">
      <c r="A1547" s="278"/>
      <c r="B1547" s="278"/>
      <c r="C1547" s="278"/>
      <c r="D1547" s="278"/>
      <c r="E1547" s="278"/>
      <c r="F1547" s="278"/>
      <c r="G1547" s="278"/>
      <c r="H1547" s="278"/>
      <c r="I1547" s="278"/>
      <c r="J1547" s="278"/>
      <c r="K1547" s="278"/>
    </row>
    <row r="1548" spans="1:11" x14ac:dyDescent="0.15">
      <c r="A1548" s="278"/>
      <c r="B1548" s="278"/>
      <c r="C1548" s="278"/>
      <c r="D1548" s="278"/>
      <c r="E1548" s="278"/>
      <c r="F1548" s="278"/>
      <c r="G1548" s="278"/>
      <c r="H1548" s="278"/>
      <c r="I1548" s="278"/>
      <c r="J1548" s="278"/>
      <c r="K1548" s="278"/>
    </row>
    <row r="1549" spans="1:11" x14ac:dyDescent="0.15">
      <c r="A1549" s="278"/>
      <c r="B1549" s="278"/>
      <c r="C1549" s="278"/>
      <c r="D1549" s="278"/>
      <c r="E1549" s="278"/>
      <c r="F1549" s="278"/>
      <c r="G1549" s="278"/>
      <c r="H1549" s="278"/>
      <c r="I1549" s="278"/>
      <c r="J1549" s="278"/>
      <c r="K1549" s="278"/>
    </row>
    <row r="1550" spans="1:11" x14ac:dyDescent="0.15">
      <c r="A1550" s="278"/>
      <c r="B1550" s="278"/>
      <c r="C1550" s="278"/>
      <c r="D1550" s="278"/>
      <c r="E1550" s="278"/>
      <c r="F1550" s="278"/>
      <c r="G1550" s="278"/>
      <c r="H1550" s="278"/>
      <c r="I1550" s="278"/>
      <c r="J1550" s="278"/>
      <c r="K1550" s="278"/>
    </row>
    <row r="1551" spans="1:11" x14ac:dyDescent="0.15">
      <c r="A1551" s="278"/>
      <c r="B1551" s="278"/>
      <c r="C1551" s="278"/>
      <c r="D1551" s="278"/>
      <c r="E1551" s="278"/>
      <c r="F1551" s="278"/>
      <c r="G1551" s="278"/>
      <c r="H1551" s="278"/>
      <c r="I1551" s="278"/>
      <c r="J1551" s="278"/>
      <c r="K1551" s="278"/>
    </row>
    <row r="1552" spans="1:11" x14ac:dyDescent="0.15">
      <c r="A1552" s="278"/>
      <c r="B1552" s="278"/>
      <c r="C1552" s="278"/>
      <c r="D1552" s="278"/>
      <c r="E1552" s="278"/>
      <c r="F1552" s="278"/>
      <c r="G1552" s="278"/>
      <c r="H1552" s="278"/>
      <c r="I1552" s="278"/>
      <c r="J1552" s="278"/>
      <c r="K1552" s="278"/>
    </row>
    <row r="1553" spans="1:11" x14ac:dyDescent="0.15">
      <c r="A1553" s="278"/>
      <c r="B1553" s="278"/>
      <c r="C1553" s="278"/>
      <c r="D1553" s="278"/>
      <c r="E1553" s="278"/>
      <c r="F1553" s="278"/>
      <c r="G1553" s="278"/>
      <c r="H1553" s="278"/>
      <c r="I1553" s="278"/>
      <c r="J1553" s="278"/>
      <c r="K1553" s="278"/>
    </row>
    <row r="1554" spans="1:11" x14ac:dyDescent="0.15">
      <c r="A1554" s="278"/>
      <c r="B1554" s="278"/>
      <c r="C1554" s="278"/>
      <c r="D1554" s="278"/>
      <c r="E1554" s="278"/>
      <c r="F1554" s="278"/>
      <c r="G1554" s="278"/>
      <c r="H1554" s="278"/>
      <c r="I1554" s="278"/>
      <c r="J1554" s="278"/>
      <c r="K1554" s="278"/>
    </row>
    <row r="1555" spans="1:11" x14ac:dyDescent="0.15">
      <c r="A1555" s="278"/>
      <c r="B1555" s="278"/>
      <c r="C1555" s="278"/>
      <c r="D1555" s="278"/>
      <c r="E1555" s="278"/>
      <c r="F1555" s="278"/>
      <c r="G1555" s="278"/>
      <c r="H1555" s="278"/>
      <c r="I1555" s="278"/>
      <c r="J1555" s="278"/>
      <c r="K1555" s="278"/>
    </row>
    <row r="1556" spans="1:11" x14ac:dyDescent="0.15">
      <c r="A1556" s="278"/>
      <c r="B1556" s="278"/>
      <c r="C1556" s="278"/>
      <c r="D1556" s="278"/>
      <c r="E1556" s="278"/>
      <c r="F1556" s="278"/>
      <c r="G1556" s="278"/>
      <c r="H1556" s="278"/>
      <c r="I1556" s="278"/>
      <c r="J1556" s="278"/>
      <c r="K1556" s="278"/>
    </row>
    <row r="1557" spans="1:11" x14ac:dyDescent="0.15">
      <c r="A1557" s="278"/>
      <c r="B1557" s="278"/>
      <c r="C1557" s="278"/>
      <c r="D1557" s="278"/>
      <c r="E1557" s="278"/>
      <c r="F1557" s="278"/>
      <c r="G1557" s="278"/>
      <c r="H1557" s="278"/>
      <c r="I1557" s="278"/>
      <c r="J1557" s="278"/>
      <c r="K1557" s="278"/>
    </row>
    <row r="1558" spans="1:11" x14ac:dyDescent="0.15">
      <c r="A1558" s="278"/>
      <c r="B1558" s="278"/>
      <c r="C1558" s="278"/>
      <c r="D1558" s="278"/>
      <c r="E1558" s="278"/>
      <c r="F1558" s="278"/>
      <c r="G1558" s="278"/>
      <c r="H1558" s="278"/>
      <c r="I1558" s="278"/>
      <c r="J1558" s="278"/>
      <c r="K1558" s="278"/>
    </row>
    <row r="1559" spans="1:11" x14ac:dyDescent="0.15">
      <c r="A1559" s="278"/>
      <c r="B1559" s="278"/>
      <c r="C1559" s="278"/>
      <c r="D1559" s="278"/>
      <c r="E1559" s="278"/>
      <c r="F1559" s="278"/>
      <c r="G1559" s="278"/>
      <c r="H1559" s="278"/>
      <c r="I1559" s="278"/>
      <c r="J1559" s="278"/>
      <c r="K1559" s="278"/>
    </row>
    <row r="1560" spans="1:11" x14ac:dyDescent="0.15">
      <c r="A1560" s="278"/>
      <c r="B1560" s="278"/>
      <c r="C1560" s="278"/>
      <c r="D1560" s="278"/>
      <c r="E1560" s="278"/>
      <c r="F1560" s="278"/>
      <c r="G1560" s="278"/>
      <c r="H1560" s="278"/>
      <c r="I1560" s="278"/>
      <c r="J1560" s="278"/>
      <c r="K1560" s="278"/>
    </row>
    <row r="1561" spans="1:11" x14ac:dyDescent="0.15">
      <c r="A1561" s="278"/>
      <c r="B1561" s="278"/>
      <c r="C1561" s="278"/>
      <c r="D1561" s="278"/>
      <c r="E1561" s="278"/>
      <c r="F1561" s="278"/>
      <c r="G1561" s="278"/>
      <c r="H1561" s="278"/>
      <c r="I1561" s="278"/>
      <c r="J1561" s="278"/>
      <c r="K1561" s="278"/>
    </row>
    <row r="1562" spans="1:11" x14ac:dyDescent="0.15">
      <c r="A1562" s="278"/>
      <c r="B1562" s="278"/>
      <c r="C1562" s="278"/>
      <c r="D1562" s="278"/>
      <c r="E1562" s="278"/>
      <c r="F1562" s="278"/>
      <c r="G1562" s="278"/>
      <c r="H1562" s="278"/>
      <c r="I1562" s="278"/>
      <c r="J1562" s="278"/>
      <c r="K1562" s="278"/>
    </row>
    <row r="1563" spans="1:11" x14ac:dyDescent="0.15">
      <c r="A1563" s="278"/>
      <c r="B1563" s="278"/>
      <c r="C1563" s="278"/>
      <c r="D1563" s="278"/>
      <c r="E1563" s="278"/>
      <c r="F1563" s="278"/>
      <c r="G1563" s="278"/>
      <c r="H1563" s="278"/>
      <c r="I1563" s="278"/>
      <c r="J1563" s="278"/>
      <c r="K1563" s="278"/>
    </row>
    <row r="1564" spans="1:11" x14ac:dyDescent="0.15">
      <c r="A1564" s="278"/>
      <c r="B1564" s="278"/>
      <c r="C1564" s="278"/>
      <c r="D1564" s="278"/>
      <c r="E1564" s="278"/>
      <c r="F1564" s="278"/>
      <c r="G1564" s="278"/>
      <c r="H1564" s="278"/>
      <c r="I1564" s="278"/>
      <c r="J1564" s="278"/>
      <c r="K1564" s="278"/>
    </row>
    <row r="1565" spans="1:11" x14ac:dyDescent="0.15">
      <c r="A1565" s="278"/>
      <c r="B1565" s="278"/>
      <c r="C1565" s="278"/>
      <c r="D1565" s="278"/>
      <c r="E1565" s="278"/>
      <c r="F1565" s="278"/>
      <c r="G1565" s="278"/>
      <c r="H1565" s="278"/>
      <c r="I1565" s="278"/>
      <c r="J1565" s="278"/>
      <c r="K1565" s="278"/>
    </row>
    <row r="1566" spans="1:11" x14ac:dyDescent="0.15">
      <c r="A1566" s="278"/>
      <c r="B1566" s="278"/>
      <c r="C1566" s="278"/>
      <c r="D1566" s="278"/>
      <c r="E1566" s="278"/>
      <c r="F1566" s="278"/>
      <c r="G1566" s="278"/>
      <c r="H1566" s="278"/>
      <c r="I1566" s="278"/>
      <c r="J1566" s="278"/>
      <c r="K1566" s="278"/>
    </row>
    <row r="1567" spans="1:11" x14ac:dyDescent="0.15">
      <c r="A1567" s="278"/>
      <c r="B1567" s="278"/>
      <c r="C1567" s="278"/>
      <c r="D1567" s="278"/>
      <c r="E1567" s="278"/>
      <c r="F1567" s="278"/>
      <c r="G1567" s="278"/>
      <c r="H1567" s="278"/>
      <c r="I1567" s="278"/>
      <c r="J1567" s="278"/>
      <c r="K1567" s="278"/>
    </row>
    <row r="1568" spans="1:11" x14ac:dyDescent="0.15">
      <c r="A1568" s="278"/>
      <c r="B1568" s="278"/>
      <c r="C1568" s="278"/>
      <c r="D1568" s="278"/>
      <c r="E1568" s="278"/>
      <c r="F1568" s="278"/>
      <c r="G1568" s="278"/>
      <c r="H1568" s="278"/>
      <c r="I1568" s="278"/>
      <c r="J1568" s="278"/>
      <c r="K1568" s="278"/>
    </row>
    <row r="1569" spans="1:11" x14ac:dyDescent="0.15">
      <c r="A1569" s="278"/>
      <c r="B1569" s="278"/>
      <c r="C1569" s="278"/>
      <c r="D1569" s="278"/>
      <c r="E1569" s="278"/>
      <c r="F1569" s="278"/>
      <c r="G1569" s="278"/>
      <c r="H1569" s="278"/>
      <c r="I1569" s="278"/>
      <c r="J1569" s="278"/>
      <c r="K1569" s="278"/>
    </row>
    <row r="1570" spans="1:11" x14ac:dyDescent="0.15">
      <c r="A1570" s="278"/>
      <c r="B1570" s="278"/>
      <c r="C1570" s="278"/>
      <c r="D1570" s="278"/>
      <c r="E1570" s="278"/>
      <c r="F1570" s="278"/>
      <c r="G1570" s="278"/>
      <c r="H1570" s="278"/>
      <c r="I1570" s="278"/>
      <c r="J1570" s="278"/>
      <c r="K1570" s="278"/>
    </row>
    <row r="1571" spans="1:11" x14ac:dyDescent="0.15">
      <c r="A1571" s="278"/>
      <c r="B1571" s="278"/>
      <c r="C1571" s="278"/>
      <c r="D1571" s="278"/>
      <c r="E1571" s="278"/>
      <c r="F1571" s="278"/>
      <c r="G1571" s="278"/>
      <c r="H1571" s="278"/>
      <c r="I1571" s="278"/>
      <c r="J1571" s="278"/>
      <c r="K1571" s="278"/>
    </row>
    <row r="1572" spans="1:11" x14ac:dyDescent="0.15">
      <c r="A1572" s="278"/>
      <c r="B1572" s="278"/>
      <c r="C1572" s="278"/>
      <c r="D1572" s="278"/>
      <c r="E1572" s="278"/>
      <c r="F1572" s="278"/>
      <c r="G1572" s="278"/>
      <c r="H1572" s="278"/>
      <c r="I1572" s="278"/>
      <c r="J1572" s="278"/>
      <c r="K1572" s="278"/>
    </row>
    <row r="1573" spans="1:11" x14ac:dyDescent="0.15">
      <c r="A1573" s="278"/>
      <c r="B1573" s="278"/>
      <c r="C1573" s="278"/>
      <c r="D1573" s="278"/>
      <c r="E1573" s="278"/>
      <c r="F1573" s="278"/>
      <c r="G1573" s="278"/>
      <c r="H1573" s="278"/>
      <c r="I1573" s="278"/>
      <c r="J1573" s="278"/>
      <c r="K1573" s="278"/>
    </row>
    <row r="1574" spans="1:11" x14ac:dyDescent="0.15">
      <c r="A1574" s="278"/>
      <c r="B1574" s="278"/>
      <c r="C1574" s="278"/>
      <c r="D1574" s="278"/>
      <c r="E1574" s="278"/>
      <c r="F1574" s="278"/>
      <c r="G1574" s="278"/>
      <c r="H1574" s="278"/>
      <c r="I1574" s="278"/>
      <c r="J1574" s="278"/>
      <c r="K1574" s="278"/>
    </row>
    <row r="1575" spans="1:11" x14ac:dyDescent="0.15">
      <c r="A1575" s="278"/>
      <c r="B1575" s="278"/>
      <c r="C1575" s="278"/>
      <c r="D1575" s="278"/>
      <c r="E1575" s="278"/>
      <c r="F1575" s="278"/>
      <c r="G1575" s="278"/>
      <c r="H1575" s="278"/>
      <c r="I1575" s="278"/>
      <c r="J1575" s="278"/>
      <c r="K1575" s="278"/>
    </row>
    <row r="1576" spans="1:11" x14ac:dyDescent="0.15">
      <c r="A1576" s="278"/>
      <c r="B1576" s="278"/>
      <c r="C1576" s="278"/>
      <c r="D1576" s="278"/>
      <c r="E1576" s="278"/>
      <c r="F1576" s="278"/>
      <c r="G1576" s="278"/>
      <c r="H1576" s="278"/>
      <c r="I1576" s="278"/>
      <c r="J1576" s="278"/>
      <c r="K1576" s="278"/>
    </row>
    <row r="1577" spans="1:11" x14ac:dyDescent="0.15">
      <c r="A1577" s="278"/>
      <c r="B1577" s="278"/>
      <c r="C1577" s="278"/>
      <c r="D1577" s="278"/>
      <c r="E1577" s="278"/>
      <c r="F1577" s="278"/>
      <c r="G1577" s="278"/>
      <c r="H1577" s="278"/>
      <c r="I1577" s="278"/>
      <c r="J1577" s="278"/>
      <c r="K1577" s="278"/>
    </row>
    <row r="1578" spans="1:11" x14ac:dyDescent="0.15">
      <c r="A1578" s="278"/>
      <c r="B1578" s="278"/>
      <c r="C1578" s="278"/>
      <c r="D1578" s="278"/>
      <c r="E1578" s="278"/>
      <c r="F1578" s="278"/>
      <c r="G1578" s="278"/>
      <c r="H1578" s="278"/>
      <c r="I1578" s="278"/>
      <c r="J1578" s="278"/>
      <c r="K1578" s="278"/>
    </row>
    <row r="1579" spans="1:11" x14ac:dyDescent="0.15">
      <c r="A1579" s="278"/>
      <c r="B1579" s="278"/>
      <c r="C1579" s="278"/>
      <c r="D1579" s="278"/>
      <c r="E1579" s="278"/>
      <c r="F1579" s="278"/>
      <c r="G1579" s="278"/>
      <c r="H1579" s="278"/>
      <c r="I1579" s="278"/>
      <c r="J1579" s="278"/>
      <c r="K1579" s="278"/>
    </row>
    <row r="1580" spans="1:11" x14ac:dyDescent="0.15">
      <c r="A1580" s="278"/>
      <c r="B1580" s="278"/>
      <c r="C1580" s="278"/>
      <c r="D1580" s="278"/>
      <c r="E1580" s="278"/>
      <c r="F1580" s="278"/>
      <c r="G1580" s="278"/>
      <c r="H1580" s="278"/>
      <c r="I1580" s="278"/>
      <c r="J1580" s="278"/>
      <c r="K1580" s="278"/>
    </row>
    <row r="1581" spans="1:11" x14ac:dyDescent="0.15">
      <c r="A1581" s="278"/>
      <c r="B1581" s="278"/>
      <c r="C1581" s="278"/>
      <c r="D1581" s="278"/>
      <c r="E1581" s="278"/>
      <c r="F1581" s="278"/>
      <c r="G1581" s="278"/>
      <c r="H1581" s="278"/>
      <c r="I1581" s="278"/>
      <c r="J1581" s="278"/>
      <c r="K1581" s="278"/>
    </row>
    <row r="1582" spans="1:11" x14ac:dyDescent="0.15">
      <c r="A1582" s="278"/>
      <c r="B1582" s="278"/>
      <c r="C1582" s="278"/>
      <c r="D1582" s="278"/>
      <c r="E1582" s="278"/>
      <c r="F1582" s="278"/>
      <c r="G1582" s="278"/>
      <c r="H1582" s="278"/>
      <c r="I1582" s="278"/>
      <c r="J1582" s="278"/>
      <c r="K1582" s="278"/>
    </row>
    <row r="1583" spans="1:11" x14ac:dyDescent="0.15">
      <c r="A1583" s="278"/>
      <c r="B1583" s="278"/>
      <c r="C1583" s="278"/>
      <c r="D1583" s="278"/>
      <c r="E1583" s="278"/>
      <c r="F1583" s="278"/>
      <c r="G1583" s="278"/>
      <c r="H1583" s="278"/>
      <c r="I1583" s="278"/>
      <c r="J1583" s="278"/>
      <c r="K1583" s="278"/>
    </row>
    <row r="1584" spans="1:11" x14ac:dyDescent="0.15">
      <c r="A1584" s="278"/>
      <c r="B1584" s="278"/>
      <c r="C1584" s="278"/>
      <c r="D1584" s="278"/>
      <c r="E1584" s="278"/>
      <c r="F1584" s="278"/>
      <c r="G1584" s="278"/>
      <c r="H1584" s="278"/>
      <c r="I1584" s="278"/>
      <c r="J1584" s="278"/>
      <c r="K1584" s="278"/>
    </row>
    <row r="1585" spans="1:11" x14ac:dyDescent="0.15">
      <c r="A1585" s="278"/>
      <c r="B1585" s="278"/>
      <c r="C1585" s="278"/>
      <c r="D1585" s="278"/>
      <c r="E1585" s="278"/>
      <c r="F1585" s="278"/>
      <c r="G1585" s="278"/>
      <c r="H1585" s="278"/>
      <c r="I1585" s="278"/>
      <c r="J1585" s="278"/>
      <c r="K1585" s="278"/>
    </row>
    <row r="1586" spans="1:11" x14ac:dyDescent="0.15">
      <c r="A1586" s="278"/>
      <c r="B1586" s="278"/>
      <c r="C1586" s="278"/>
      <c r="D1586" s="278"/>
      <c r="E1586" s="278"/>
      <c r="F1586" s="278"/>
      <c r="G1586" s="278"/>
      <c r="H1586" s="278"/>
      <c r="I1586" s="278"/>
      <c r="J1586" s="278"/>
      <c r="K1586" s="278"/>
    </row>
    <row r="1587" spans="1:11" x14ac:dyDescent="0.15">
      <c r="A1587" s="278"/>
      <c r="B1587" s="278"/>
      <c r="C1587" s="278"/>
      <c r="D1587" s="278"/>
      <c r="E1587" s="278"/>
      <c r="F1587" s="278"/>
      <c r="G1587" s="278"/>
      <c r="H1587" s="278"/>
      <c r="I1587" s="278"/>
      <c r="J1587" s="278"/>
      <c r="K1587" s="278"/>
    </row>
    <row r="1588" spans="1:11" x14ac:dyDescent="0.15">
      <c r="A1588" s="278"/>
      <c r="B1588" s="278"/>
      <c r="C1588" s="278"/>
      <c r="D1588" s="278"/>
      <c r="E1588" s="278"/>
      <c r="F1588" s="278"/>
      <c r="G1588" s="278"/>
      <c r="H1588" s="278"/>
      <c r="I1588" s="278"/>
      <c r="J1588" s="278"/>
      <c r="K1588" s="278"/>
    </row>
    <row r="1589" spans="1:11" x14ac:dyDescent="0.15">
      <c r="A1589" s="278"/>
      <c r="B1589" s="278"/>
      <c r="C1589" s="278"/>
      <c r="D1589" s="278"/>
      <c r="E1589" s="278"/>
      <c r="F1589" s="278"/>
      <c r="G1589" s="278"/>
      <c r="H1589" s="278"/>
      <c r="I1589" s="278"/>
      <c r="J1589" s="278"/>
      <c r="K1589" s="278"/>
    </row>
    <row r="1590" spans="1:11" x14ac:dyDescent="0.15">
      <c r="A1590" s="278"/>
      <c r="B1590" s="278"/>
      <c r="C1590" s="278"/>
      <c r="D1590" s="278"/>
      <c r="E1590" s="278"/>
      <c r="F1590" s="278"/>
      <c r="G1590" s="278"/>
      <c r="H1590" s="278"/>
      <c r="I1590" s="278"/>
      <c r="J1590" s="278"/>
      <c r="K1590" s="278"/>
    </row>
    <row r="1591" spans="1:11" x14ac:dyDescent="0.15">
      <c r="A1591" s="278"/>
      <c r="B1591" s="278"/>
      <c r="C1591" s="278"/>
      <c r="D1591" s="278"/>
      <c r="E1591" s="278"/>
      <c r="F1591" s="278"/>
      <c r="G1591" s="278"/>
      <c r="H1591" s="278"/>
      <c r="I1591" s="278"/>
      <c r="J1591" s="278"/>
      <c r="K1591" s="278"/>
    </row>
    <row r="1592" spans="1:11" x14ac:dyDescent="0.15">
      <c r="A1592" s="278"/>
      <c r="B1592" s="278"/>
      <c r="C1592" s="278"/>
      <c r="D1592" s="278"/>
      <c r="E1592" s="278"/>
      <c r="F1592" s="278"/>
      <c r="G1592" s="278"/>
      <c r="H1592" s="278"/>
      <c r="I1592" s="278"/>
      <c r="J1592" s="278"/>
      <c r="K1592" s="278"/>
    </row>
    <row r="1593" spans="1:11" x14ac:dyDescent="0.15">
      <c r="A1593" s="278"/>
      <c r="B1593" s="278"/>
      <c r="C1593" s="278"/>
      <c r="D1593" s="278"/>
      <c r="E1593" s="278"/>
      <c r="F1593" s="278"/>
      <c r="G1593" s="278"/>
      <c r="H1593" s="278"/>
      <c r="I1593" s="278"/>
      <c r="J1593" s="278"/>
      <c r="K1593" s="278"/>
    </row>
    <row r="1594" spans="1:11" x14ac:dyDescent="0.15">
      <c r="A1594" s="278"/>
      <c r="B1594" s="278"/>
      <c r="C1594" s="278"/>
      <c r="D1594" s="278"/>
      <c r="E1594" s="278"/>
      <c r="F1594" s="278"/>
      <c r="G1594" s="278"/>
      <c r="H1594" s="278"/>
      <c r="I1594" s="278"/>
      <c r="J1594" s="278"/>
      <c r="K1594" s="278"/>
    </row>
    <row r="1595" spans="1:11" x14ac:dyDescent="0.15">
      <c r="A1595" s="278"/>
      <c r="B1595" s="278"/>
      <c r="C1595" s="278"/>
      <c r="D1595" s="278"/>
      <c r="E1595" s="278"/>
      <c r="F1595" s="278"/>
      <c r="G1595" s="278"/>
      <c r="H1595" s="278"/>
      <c r="I1595" s="278"/>
      <c r="J1595" s="278"/>
      <c r="K1595" s="278"/>
    </row>
    <row r="1596" spans="1:11" x14ac:dyDescent="0.15">
      <c r="A1596" s="278"/>
      <c r="B1596" s="278"/>
      <c r="C1596" s="278"/>
      <c r="D1596" s="278"/>
      <c r="E1596" s="278"/>
      <c r="F1596" s="278"/>
      <c r="G1596" s="278"/>
      <c r="H1596" s="278"/>
      <c r="I1596" s="278"/>
      <c r="J1596" s="278"/>
      <c r="K1596" s="278"/>
    </row>
    <row r="1597" spans="1:11" x14ac:dyDescent="0.15">
      <c r="A1597" s="278"/>
      <c r="B1597" s="278"/>
      <c r="C1597" s="278"/>
      <c r="D1597" s="278"/>
      <c r="E1597" s="278"/>
      <c r="F1597" s="278"/>
      <c r="G1597" s="278"/>
      <c r="H1597" s="278"/>
      <c r="I1597" s="278"/>
      <c r="J1597" s="278"/>
      <c r="K1597" s="278"/>
    </row>
    <row r="1598" spans="1:11" x14ac:dyDescent="0.15">
      <c r="A1598" s="278"/>
      <c r="B1598" s="278"/>
      <c r="C1598" s="278"/>
      <c r="D1598" s="278"/>
      <c r="E1598" s="278"/>
      <c r="F1598" s="278"/>
      <c r="G1598" s="278"/>
      <c r="H1598" s="278"/>
      <c r="I1598" s="278"/>
      <c r="J1598" s="278"/>
      <c r="K1598" s="278"/>
    </row>
    <row r="1599" spans="1:11" x14ac:dyDescent="0.15">
      <c r="A1599" s="278"/>
      <c r="B1599" s="278"/>
      <c r="C1599" s="278"/>
      <c r="D1599" s="278"/>
      <c r="E1599" s="278"/>
      <c r="F1599" s="278"/>
      <c r="G1599" s="278"/>
      <c r="H1599" s="278"/>
      <c r="I1599" s="278"/>
      <c r="J1599" s="278"/>
      <c r="K1599" s="278"/>
    </row>
    <row r="1600" spans="1:11" x14ac:dyDescent="0.15">
      <c r="A1600" s="278"/>
      <c r="B1600" s="278"/>
      <c r="C1600" s="278"/>
      <c r="D1600" s="278"/>
      <c r="E1600" s="278"/>
      <c r="F1600" s="278"/>
      <c r="G1600" s="278"/>
      <c r="H1600" s="278"/>
      <c r="I1600" s="278"/>
      <c r="J1600" s="278"/>
      <c r="K1600" s="278"/>
    </row>
    <row r="1601" spans="1:11" x14ac:dyDescent="0.15">
      <c r="A1601" s="278"/>
      <c r="B1601" s="278"/>
      <c r="C1601" s="278"/>
      <c r="D1601" s="278"/>
      <c r="E1601" s="278"/>
      <c r="F1601" s="278"/>
      <c r="G1601" s="278"/>
      <c r="H1601" s="278"/>
      <c r="I1601" s="278"/>
      <c r="J1601" s="278"/>
      <c r="K1601" s="278"/>
    </row>
    <row r="1602" spans="1:11" x14ac:dyDescent="0.15">
      <c r="A1602" s="278"/>
      <c r="B1602" s="278"/>
      <c r="C1602" s="278"/>
      <c r="D1602" s="278"/>
      <c r="E1602" s="278"/>
      <c r="F1602" s="278"/>
      <c r="G1602" s="278"/>
      <c r="H1602" s="278"/>
      <c r="I1602" s="278"/>
      <c r="J1602" s="278"/>
      <c r="K1602" s="278"/>
    </row>
    <row r="1603" spans="1:11" x14ac:dyDescent="0.15">
      <c r="A1603" s="278"/>
      <c r="B1603" s="278"/>
      <c r="C1603" s="278"/>
      <c r="D1603" s="278"/>
      <c r="E1603" s="278"/>
      <c r="F1603" s="278"/>
      <c r="G1603" s="278"/>
      <c r="H1603" s="278"/>
      <c r="I1603" s="278"/>
      <c r="J1603" s="278"/>
      <c r="K1603" s="278"/>
    </row>
    <row r="1604" spans="1:11" x14ac:dyDescent="0.15">
      <c r="A1604" s="278"/>
      <c r="B1604" s="278"/>
      <c r="C1604" s="278"/>
      <c r="D1604" s="278"/>
      <c r="E1604" s="278"/>
      <c r="F1604" s="278"/>
      <c r="G1604" s="278"/>
      <c r="H1604" s="278"/>
      <c r="I1604" s="278"/>
      <c r="J1604" s="278"/>
      <c r="K1604" s="278"/>
    </row>
    <row r="1605" spans="1:11" x14ac:dyDescent="0.15">
      <c r="A1605" s="278"/>
      <c r="B1605" s="278"/>
      <c r="C1605" s="278"/>
      <c r="D1605" s="278"/>
      <c r="E1605" s="278"/>
      <c r="F1605" s="278"/>
      <c r="G1605" s="278"/>
      <c r="H1605" s="278"/>
      <c r="I1605" s="278"/>
      <c r="J1605" s="278"/>
      <c r="K1605" s="278"/>
    </row>
    <row r="1606" spans="1:11" x14ac:dyDescent="0.15">
      <c r="A1606" s="278"/>
      <c r="B1606" s="278"/>
      <c r="C1606" s="278"/>
      <c r="D1606" s="278"/>
      <c r="E1606" s="278"/>
      <c r="F1606" s="278"/>
      <c r="G1606" s="278"/>
      <c r="H1606" s="278"/>
      <c r="I1606" s="278"/>
      <c r="J1606" s="278"/>
      <c r="K1606" s="278"/>
    </row>
    <row r="1607" spans="1:11" x14ac:dyDescent="0.15">
      <c r="A1607" s="278"/>
      <c r="B1607" s="278"/>
      <c r="C1607" s="278"/>
      <c r="D1607" s="278"/>
      <c r="E1607" s="278"/>
      <c r="F1607" s="278"/>
      <c r="G1607" s="278"/>
      <c r="H1607" s="278"/>
      <c r="I1607" s="278"/>
      <c r="J1607" s="278"/>
      <c r="K1607" s="278"/>
    </row>
    <row r="1608" spans="1:11" x14ac:dyDescent="0.15">
      <c r="A1608" s="278"/>
      <c r="B1608" s="278"/>
      <c r="C1608" s="278"/>
      <c r="D1608" s="278"/>
      <c r="E1608" s="278"/>
      <c r="F1608" s="278"/>
      <c r="G1608" s="278"/>
      <c r="H1608" s="278"/>
      <c r="I1608" s="278"/>
      <c r="J1608" s="278"/>
      <c r="K1608" s="278"/>
    </row>
    <row r="1609" spans="1:11" x14ac:dyDescent="0.15">
      <c r="A1609" s="278"/>
      <c r="B1609" s="278"/>
      <c r="C1609" s="278"/>
      <c r="D1609" s="278"/>
      <c r="E1609" s="278"/>
      <c r="F1609" s="278"/>
      <c r="G1609" s="278"/>
      <c r="H1609" s="278"/>
      <c r="I1609" s="278"/>
      <c r="J1609" s="278"/>
      <c r="K1609" s="278"/>
    </row>
    <row r="1610" spans="1:11" x14ac:dyDescent="0.15">
      <c r="A1610" s="278"/>
      <c r="B1610" s="278"/>
      <c r="C1610" s="278"/>
      <c r="D1610" s="278"/>
      <c r="E1610" s="278"/>
      <c r="F1610" s="278"/>
      <c r="G1610" s="278"/>
      <c r="H1610" s="278"/>
      <c r="I1610" s="278"/>
      <c r="J1610" s="278"/>
      <c r="K1610" s="278"/>
    </row>
    <row r="1611" spans="1:11" x14ac:dyDescent="0.15">
      <c r="A1611" s="278"/>
      <c r="B1611" s="278"/>
      <c r="C1611" s="278"/>
      <c r="D1611" s="278"/>
      <c r="E1611" s="278"/>
      <c r="F1611" s="278"/>
      <c r="G1611" s="278"/>
      <c r="H1611" s="278"/>
      <c r="I1611" s="278"/>
      <c r="J1611" s="278"/>
      <c r="K1611" s="278"/>
    </row>
    <row r="1612" spans="1:11" x14ac:dyDescent="0.15">
      <c r="A1612" s="278"/>
      <c r="B1612" s="278"/>
      <c r="C1612" s="278"/>
      <c r="D1612" s="278"/>
      <c r="E1612" s="278"/>
      <c r="F1612" s="278"/>
      <c r="G1612" s="278"/>
      <c r="H1612" s="278"/>
      <c r="I1612" s="278"/>
      <c r="J1612" s="278"/>
      <c r="K1612" s="278"/>
    </row>
    <row r="1613" spans="1:11" x14ac:dyDescent="0.15">
      <c r="A1613" s="278"/>
      <c r="B1613" s="278"/>
      <c r="C1613" s="278"/>
      <c r="D1613" s="278"/>
      <c r="E1613" s="278"/>
      <c r="F1613" s="278"/>
      <c r="G1613" s="278"/>
      <c r="H1613" s="278"/>
      <c r="I1613" s="278"/>
      <c r="J1613" s="278"/>
      <c r="K1613" s="278"/>
    </row>
    <row r="1614" spans="1:11" x14ac:dyDescent="0.15">
      <c r="A1614" s="278"/>
      <c r="B1614" s="278"/>
      <c r="C1614" s="278"/>
      <c r="D1614" s="278"/>
      <c r="E1614" s="278"/>
      <c r="F1614" s="278"/>
      <c r="G1614" s="278"/>
      <c r="H1614" s="278"/>
      <c r="I1614" s="278"/>
      <c r="J1614" s="278"/>
      <c r="K1614" s="278"/>
    </row>
    <row r="1615" spans="1:11" x14ac:dyDescent="0.15">
      <c r="A1615" s="278"/>
      <c r="B1615" s="278"/>
      <c r="C1615" s="278"/>
      <c r="D1615" s="278"/>
      <c r="E1615" s="278"/>
      <c r="F1615" s="278"/>
      <c r="G1615" s="278"/>
      <c r="H1615" s="278"/>
      <c r="I1615" s="278"/>
      <c r="J1615" s="278"/>
      <c r="K1615" s="278"/>
    </row>
    <row r="1616" spans="1:11" x14ac:dyDescent="0.15">
      <c r="A1616" s="278"/>
      <c r="B1616" s="278"/>
      <c r="C1616" s="278"/>
      <c r="D1616" s="278"/>
      <c r="E1616" s="278"/>
      <c r="F1616" s="278"/>
      <c r="G1616" s="278"/>
      <c r="H1616" s="278"/>
      <c r="I1616" s="278"/>
      <c r="J1616" s="278"/>
      <c r="K1616" s="278"/>
    </row>
    <row r="1617" spans="1:11" x14ac:dyDescent="0.15">
      <c r="A1617" s="278"/>
      <c r="B1617" s="278"/>
      <c r="C1617" s="278"/>
      <c r="D1617" s="278"/>
      <c r="E1617" s="278"/>
      <c r="F1617" s="278"/>
      <c r="G1617" s="278"/>
      <c r="H1617" s="278"/>
      <c r="I1617" s="278"/>
      <c r="J1617" s="278"/>
      <c r="K1617" s="278"/>
    </row>
    <row r="1618" spans="1:11" x14ac:dyDescent="0.15">
      <c r="A1618" s="278"/>
      <c r="B1618" s="278"/>
      <c r="C1618" s="278"/>
      <c r="D1618" s="278"/>
      <c r="E1618" s="278"/>
      <c r="F1618" s="278"/>
      <c r="G1618" s="278"/>
      <c r="H1618" s="278"/>
      <c r="I1618" s="278"/>
      <c r="J1618" s="278"/>
      <c r="K1618" s="278"/>
    </row>
    <row r="1619" spans="1:11" x14ac:dyDescent="0.15">
      <c r="A1619" s="278"/>
      <c r="B1619" s="278"/>
      <c r="C1619" s="278"/>
      <c r="D1619" s="278"/>
      <c r="E1619" s="278"/>
      <c r="F1619" s="278"/>
      <c r="G1619" s="278"/>
      <c r="H1619" s="278"/>
      <c r="I1619" s="278"/>
      <c r="J1619" s="278"/>
      <c r="K1619" s="278"/>
    </row>
    <row r="1620" spans="1:11" x14ac:dyDescent="0.15">
      <c r="A1620" s="278"/>
      <c r="B1620" s="278"/>
      <c r="C1620" s="278"/>
      <c r="D1620" s="278"/>
      <c r="E1620" s="278"/>
      <c r="F1620" s="278"/>
      <c r="G1620" s="278"/>
      <c r="H1620" s="278"/>
      <c r="I1620" s="278"/>
      <c r="J1620" s="278"/>
      <c r="K1620" s="278"/>
    </row>
    <row r="1621" spans="1:11" x14ac:dyDescent="0.15">
      <c r="A1621" s="278"/>
      <c r="B1621" s="278"/>
      <c r="C1621" s="278"/>
      <c r="D1621" s="278"/>
      <c r="E1621" s="278"/>
      <c r="F1621" s="278"/>
      <c r="G1621" s="278"/>
      <c r="H1621" s="278"/>
      <c r="I1621" s="278"/>
      <c r="J1621" s="278"/>
      <c r="K1621" s="278"/>
    </row>
    <row r="1622" spans="1:11" x14ac:dyDescent="0.15">
      <c r="A1622" s="278"/>
      <c r="B1622" s="278"/>
      <c r="C1622" s="278"/>
      <c r="D1622" s="278"/>
      <c r="E1622" s="278"/>
      <c r="F1622" s="278"/>
      <c r="G1622" s="278"/>
      <c r="H1622" s="278"/>
      <c r="I1622" s="278"/>
      <c r="J1622" s="278"/>
      <c r="K1622" s="278"/>
    </row>
    <row r="1623" spans="1:11" x14ac:dyDescent="0.15">
      <c r="A1623" s="278"/>
      <c r="B1623" s="278"/>
      <c r="C1623" s="278"/>
      <c r="D1623" s="278"/>
      <c r="E1623" s="278"/>
      <c r="F1623" s="278"/>
      <c r="G1623" s="278"/>
      <c r="H1623" s="278"/>
      <c r="I1623" s="278"/>
      <c r="J1623" s="278"/>
      <c r="K1623" s="278"/>
    </row>
    <row r="1624" spans="1:11" x14ac:dyDescent="0.15">
      <c r="A1624" s="278"/>
      <c r="B1624" s="278"/>
      <c r="C1624" s="278"/>
      <c r="D1624" s="278"/>
      <c r="E1624" s="278"/>
      <c r="F1624" s="278"/>
      <c r="G1624" s="278"/>
      <c r="H1624" s="278"/>
      <c r="I1624" s="278"/>
      <c r="J1624" s="278"/>
      <c r="K1624" s="278"/>
    </row>
    <row r="1625" spans="1:11" x14ac:dyDescent="0.15">
      <c r="A1625" s="278"/>
      <c r="B1625" s="278"/>
      <c r="C1625" s="278"/>
      <c r="D1625" s="278"/>
      <c r="E1625" s="278"/>
      <c r="F1625" s="278"/>
      <c r="G1625" s="278"/>
      <c r="H1625" s="278"/>
      <c r="I1625" s="278"/>
      <c r="J1625" s="278"/>
      <c r="K1625" s="278"/>
    </row>
    <row r="1626" spans="1:11" x14ac:dyDescent="0.15">
      <c r="A1626" s="278"/>
      <c r="B1626" s="278"/>
      <c r="C1626" s="278"/>
      <c r="D1626" s="278"/>
      <c r="E1626" s="278"/>
      <c r="F1626" s="278"/>
      <c r="G1626" s="278"/>
      <c r="H1626" s="278"/>
      <c r="I1626" s="278"/>
      <c r="J1626" s="278"/>
      <c r="K1626" s="278"/>
    </row>
    <row r="1627" spans="1:11" x14ac:dyDescent="0.15">
      <c r="A1627" s="278"/>
      <c r="B1627" s="278"/>
      <c r="C1627" s="278"/>
      <c r="D1627" s="278"/>
      <c r="E1627" s="278"/>
      <c r="F1627" s="278"/>
      <c r="G1627" s="278"/>
      <c r="H1627" s="278"/>
      <c r="I1627" s="278"/>
      <c r="J1627" s="278"/>
      <c r="K1627" s="278"/>
    </row>
    <row r="1628" spans="1:11" x14ac:dyDescent="0.15">
      <c r="A1628" s="278"/>
      <c r="B1628" s="278"/>
      <c r="C1628" s="278"/>
      <c r="D1628" s="278"/>
      <c r="E1628" s="278"/>
      <c r="F1628" s="278"/>
      <c r="G1628" s="278"/>
      <c r="H1628" s="278"/>
      <c r="I1628" s="278"/>
      <c r="J1628" s="278"/>
      <c r="K1628" s="278"/>
    </row>
    <row r="1629" spans="1:11" x14ac:dyDescent="0.15">
      <c r="A1629" s="278"/>
      <c r="B1629" s="278"/>
      <c r="C1629" s="278"/>
      <c r="D1629" s="278"/>
      <c r="E1629" s="278"/>
      <c r="F1629" s="278"/>
      <c r="G1629" s="278"/>
      <c r="H1629" s="278"/>
      <c r="I1629" s="278"/>
      <c r="J1629" s="278"/>
      <c r="K1629" s="278"/>
    </row>
    <row r="1630" spans="1:11" x14ac:dyDescent="0.15">
      <c r="A1630" s="278"/>
      <c r="B1630" s="278"/>
      <c r="C1630" s="278"/>
      <c r="D1630" s="278"/>
      <c r="E1630" s="278"/>
      <c r="F1630" s="278"/>
      <c r="G1630" s="278"/>
      <c r="H1630" s="278"/>
      <c r="I1630" s="278"/>
      <c r="J1630" s="278"/>
      <c r="K1630" s="278"/>
    </row>
    <row r="1631" spans="1:11" x14ac:dyDescent="0.15">
      <c r="A1631" s="278"/>
      <c r="B1631" s="278"/>
      <c r="C1631" s="278"/>
      <c r="D1631" s="278"/>
      <c r="E1631" s="278"/>
      <c r="F1631" s="278"/>
      <c r="G1631" s="278"/>
      <c r="H1631" s="278"/>
      <c r="I1631" s="278"/>
      <c r="J1631" s="278"/>
      <c r="K1631" s="278"/>
    </row>
    <row r="1632" spans="1:11" x14ac:dyDescent="0.15">
      <c r="A1632" s="278"/>
      <c r="B1632" s="278"/>
      <c r="C1632" s="278"/>
      <c r="D1632" s="278"/>
      <c r="E1632" s="278"/>
      <c r="F1632" s="278"/>
      <c r="G1632" s="278"/>
      <c r="H1632" s="278"/>
      <c r="I1632" s="278"/>
      <c r="J1632" s="278"/>
      <c r="K1632" s="278"/>
    </row>
    <row r="1633" spans="1:11" x14ac:dyDescent="0.15">
      <c r="A1633" s="278"/>
      <c r="B1633" s="278"/>
      <c r="C1633" s="278"/>
      <c r="D1633" s="278"/>
      <c r="E1633" s="278"/>
      <c r="F1633" s="278"/>
      <c r="G1633" s="278"/>
      <c r="H1633" s="278"/>
      <c r="I1633" s="278"/>
      <c r="J1633" s="278"/>
      <c r="K1633" s="278"/>
    </row>
    <row r="1634" spans="1:11" x14ac:dyDescent="0.15">
      <c r="A1634" s="278"/>
      <c r="B1634" s="278"/>
      <c r="C1634" s="278"/>
      <c r="D1634" s="278"/>
      <c r="E1634" s="278"/>
      <c r="F1634" s="278"/>
      <c r="G1634" s="278"/>
      <c r="H1634" s="278"/>
      <c r="I1634" s="278"/>
      <c r="J1634" s="278"/>
      <c r="K1634" s="278"/>
    </row>
    <row r="1635" spans="1:11" x14ac:dyDescent="0.15">
      <c r="A1635" s="278"/>
      <c r="B1635" s="278"/>
      <c r="C1635" s="278"/>
      <c r="D1635" s="278"/>
      <c r="E1635" s="278"/>
      <c r="F1635" s="278"/>
      <c r="G1635" s="278"/>
      <c r="H1635" s="278"/>
      <c r="I1635" s="278"/>
      <c r="J1635" s="278"/>
      <c r="K1635" s="278"/>
    </row>
    <row r="1636" spans="1:11" x14ac:dyDescent="0.15">
      <c r="A1636" s="278"/>
      <c r="B1636" s="278"/>
      <c r="C1636" s="278"/>
      <c r="D1636" s="278"/>
      <c r="E1636" s="278"/>
      <c r="F1636" s="278"/>
      <c r="G1636" s="278"/>
      <c r="H1636" s="278"/>
      <c r="I1636" s="278"/>
      <c r="J1636" s="278"/>
      <c r="K1636" s="278"/>
    </row>
    <row r="1637" spans="1:11" x14ac:dyDescent="0.15">
      <c r="A1637" s="278"/>
      <c r="B1637" s="278"/>
      <c r="C1637" s="278"/>
      <c r="D1637" s="278"/>
      <c r="E1637" s="278"/>
      <c r="F1637" s="278"/>
      <c r="G1637" s="278"/>
      <c r="H1637" s="278"/>
      <c r="I1637" s="278"/>
      <c r="J1637" s="278"/>
      <c r="K1637" s="278"/>
    </row>
    <row r="1638" spans="1:11" x14ac:dyDescent="0.15">
      <c r="A1638" s="278"/>
      <c r="B1638" s="278"/>
      <c r="C1638" s="278"/>
      <c r="D1638" s="278"/>
      <c r="E1638" s="278"/>
      <c r="F1638" s="278"/>
      <c r="G1638" s="278"/>
      <c r="H1638" s="278"/>
      <c r="I1638" s="278"/>
      <c r="J1638" s="278"/>
      <c r="K1638" s="278"/>
    </row>
    <row r="1639" spans="1:11" x14ac:dyDescent="0.15">
      <c r="A1639" s="278"/>
      <c r="B1639" s="278"/>
      <c r="C1639" s="278"/>
      <c r="D1639" s="278"/>
      <c r="E1639" s="278"/>
      <c r="F1639" s="278"/>
      <c r="G1639" s="278"/>
      <c r="H1639" s="278"/>
      <c r="I1639" s="278"/>
      <c r="J1639" s="278"/>
      <c r="K1639" s="278"/>
    </row>
    <row r="1640" spans="1:11" x14ac:dyDescent="0.15">
      <c r="A1640" s="278"/>
      <c r="B1640" s="278"/>
      <c r="C1640" s="278"/>
      <c r="D1640" s="278"/>
      <c r="E1640" s="278"/>
      <c r="F1640" s="278"/>
      <c r="G1640" s="278"/>
      <c r="H1640" s="278"/>
      <c r="I1640" s="278"/>
      <c r="J1640" s="278"/>
      <c r="K1640" s="278"/>
    </row>
    <row r="1641" spans="1:11" x14ac:dyDescent="0.15">
      <c r="A1641" s="278"/>
      <c r="B1641" s="278"/>
      <c r="C1641" s="278"/>
      <c r="D1641" s="278"/>
      <c r="E1641" s="278"/>
      <c r="F1641" s="278"/>
      <c r="G1641" s="278"/>
      <c r="H1641" s="278"/>
      <c r="I1641" s="278"/>
      <c r="J1641" s="278"/>
      <c r="K1641" s="278"/>
    </row>
    <row r="1642" spans="1:11" x14ac:dyDescent="0.15">
      <c r="A1642" s="278"/>
      <c r="B1642" s="278"/>
      <c r="C1642" s="278"/>
      <c r="D1642" s="278"/>
      <c r="E1642" s="278"/>
      <c r="F1642" s="278"/>
      <c r="G1642" s="278"/>
      <c r="H1642" s="278"/>
      <c r="I1642" s="278"/>
      <c r="J1642" s="278"/>
      <c r="K1642" s="278"/>
    </row>
    <row r="1643" spans="1:11" x14ac:dyDescent="0.15">
      <c r="A1643" s="278"/>
      <c r="B1643" s="278"/>
      <c r="C1643" s="278"/>
      <c r="D1643" s="278"/>
      <c r="E1643" s="278"/>
      <c r="F1643" s="278"/>
      <c r="G1643" s="278"/>
      <c r="H1643" s="278"/>
      <c r="I1643" s="278"/>
      <c r="J1643" s="278"/>
      <c r="K1643" s="278"/>
    </row>
    <row r="1644" spans="1:11" x14ac:dyDescent="0.15">
      <c r="A1644" s="278"/>
      <c r="B1644" s="278"/>
      <c r="C1644" s="278"/>
      <c r="D1644" s="278"/>
      <c r="E1644" s="278"/>
      <c r="F1644" s="278"/>
      <c r="G1644" s="278"/>
      <c r="H1644" s="278"/>
      <c r="I1644" s="278"/>
      <c r="J1644" s="278"/>
      <c r="K1644" s="278"/>
    </row>
    <row r="1645" spans="1:11" x14ac:dyDescent="0.15">
      <c r="A1645" s="278"/>
      <c r="B1645" s="278"/>
      <c r="C1645" s="278"/>
      <c r="D1645" s="278"/>
      <c r="E1645" s="278"/>
      <c r="F1645" s="278"/>
      <c r="G1645" s="278"/>
      <c r="H1645" s="278"/>
      <c r="I1645" s="278"/>
      <c r="J1645" s="278"/>
      <c r="K1645" s="278"/>
    </row>
    <row r="1646" spans="1:11" x14ac:dyDescent="0.15">
      <c r="A1646" s="278"/>
      <c r="B1646" s="278"/>
      <c r="C1646" s="278"/>
      <c r="D1646" s="278"/>
      <c r="E1646" s="278"/>
      <c r="F1646" s="278"/>
      <c r="G1646" s="278"/>
      <c r="H1646" s="278"/>
      <c r="I1646" s="278"/>
      <c r="J1646" s="278"/>
      <c r="K1646" s="278"/>
    </row>
    <row r="1647" spans="1:11" x14ac:dyDescent="0.15">
      <c r="A1647" s="278"/>
      <c r="B1647" s="278"/>
      <c r="C1647" s="278"/>
      <c r="D1647" s="278"/>
      <c r="E1647" s="278"/>
      <c r="F1647" s="278"/>
      <c r="G1647" s="278"/>
      <c r="H1647" s="278"/>
      <c r="I1647" s="278"/>
      <c r="J1647" s="278"/>
      <c r="K1647" s="278"/>
    </row>
    <row r="1648" spans="1:11" x14ac:dyDescent="0.15">
      <c r="A1648" s="278"/>
      <c r="B1648" s="278"/>
      <c r="C1648" s="278"/>
      <c r="D1648" s="278"/>
      <c r="E1648" s="278"/>
      <c r="F1648" s="278"/>
      <c r="G1648" s="278"/>
      <c r="H1648" s="278"/>
      <c r="I1648" s="278"/>
      <c r="J1648" s="278"/>
      <c r="K1648" s="278"/>
    </row>
    <row r="1649" spans="1:11" x14ac:dyDescent="0.15">
      <c r="A1649" s="278"/>
      <c r="B1649" s="278"/>
      <c r="C1649" s="278"/>
      <c r="D1649" s="278"/>
      <c r="E1649" s="278"/>
      <c r="F1649" s="278"/>
      <c r="G1649" s="278"/>
      <c r="H1649" s="278"/>
      <c r="I1649" s="278"/>
      <c r="J1649" s="278"/>
      <c r="K1649" s="278"/>
    </row>
    <row r="1650" spans="1:11" x14ac:dyDescent="0.15">
      <c r="A1650" s="278"/>
      <c r="B1650" s="278"/>
      <c r="C1650" s="278"/>
      <c r="D1650" s="278"/>
      <c r="E1650" s="278"/>
      <c r="F1650" s="278"/>
      <c r="G1650" s="278"/>
      <c r="H1650" s="278"/>
      <c r="I1650" s="278"/>
      <c r="J1650" s="278"/>
      <c r="K1650" s="278"/>
    </row>
    <row r="1651" spans="1:11" x14ac:dyDescent="0.15">
      <c r="A1651" s="278"/>
      <c r="B1651" s="278"/>
      <c r="C1651" s="278"/>
      <c r="D1651" s="278"/>
      <c r="E1651" s="278"/>
      <c r="F1651" s="278"/>
      <c r="G1651" s="278"/>
      <c r="H1651" s="278"/>
      <c r="I1651" s="278"/>
      <c r="J1651" s="278"/>
      <c r="K1651" s="278"/>
    </row>
    <row r="1652" spans="1:11" x14ac:dyDescent="0.15">
      <c r="A1652" s="278"/>
      <c r="B1652" s="278"/>
      <c r="C1652" s="278"/>
      <c r="D1652" s="278"/>
      <c r="E1652" s="278"/>
      <c r="F1652" s="278"/>
      <c r="G1652" s="278"/>
      <c r="H1652" s="278"/>
      <c r="I1652" s="278"/>
      <c r="J1652" s="278"/>
      <c r="K1652" s="278"/>
    </row>
    <row r="1653" spans="1:11" x14ac:dyDescent="0.15">
      <c r="A1653" s="278"/>
      <c r="B1653" s="278"/>
      <c r="C1653" s="278"/>
      <c r="D1653" s="278"/>
      <c r="E1653" s="278"/>
      <c r="F1653" s="278"/>
      <c r="G1653" s="278"/>
      <c r="H1653" s="278"/>
      <c r="I1653" s="278"/>
      <c r="J1653" s="278"/>
      <c r="K1653" s="278"/>
    </row>
    <row r="1654" spans="1:11" x14ac:dyDescent="0.15">
      <c r="A1654" s="278"/>
      <c r="B1654" s="278"/>
      <c r="C1654" s="278"/>
      <c r="D1654" s="278"/>
      <c r="E1654" s="278"/>
      <c r="F1654" s="278"/>
      <c r="G1654" s="278"/>
      <c r="H1654" s="278"/>
      <c r="I1654" s="278"/>
      <c r="J1654" s="278"/>
      <c r="K1654" s="278"/>
    </row>
    <row r="1655" spans="1:11" x14ac:dyDescent="0.15">
      <c r="A1655" s="278"/>
      <c r="B1655" s="278"/>
      <c r="C1655" s="278"/>
      <c r="D1655" s="278"/>
      <c r="E1655" s="278"/>
      <c r="F1655" s="278"/>
      <c r="G1655" s="278"/>
      <c r="H1655" s="278"/>
      <c r="I1655" s="278"/>
      <c r="J1655" s="278"/>
      <c r="K1655" s="278"/>
    </row>
    <row r="1656" spans="1:11" x14ac:dyDescent="0.15">
      <c r="A1656" s="278"/>
      <c r="B1656" s="278"/>
      <c r="C1656" s="278"/>
      <c r="D1656" s="278"/>
      <c r="E1656" s="278"/>
      <c r="F1656" s="278"/>
      <c r="G1656" s="278"/>
      <c r="H1656" s="278"/>
      <c r="I1656" s="278"/>
      <c r="J1656" s="278"/>
      <c r="K1656" s="278"/>
    </row>
    <row r="1657" spans="1:11" x14ac:dyDescent="0.15">
      <c r="A1657" s="278"/>
      <c r="B1657" s="278"/>
      <c r="C1657" s="278"/>
      <c r="D1657" s="278"/>
      <c r="E1657" s="278"/>
      <c r="F1657" s="278"/>
      <c r="G1657" s="278"/>
      <c r="H1657" s="278"/>
      <c r="I1657" s="278"/>
      <c r="J1657" s="278"/>
      <c r="K1657" s="278"/>
    </row>
    <row r="1658" spans="1:11" x14ac:dyDescent="0.15">
      <c r="A1658" s="278"/>
      <c r="B1658" s="278"/>
      <c r="C1658" s="278"/>
      <c r="D1658" s="278"/>
      <c r="E1658" s="278"/>
      <c r="F1658" s="278"/>
      <c r="G1658" s="278"/>
      <c r="H1658" s="278"/>
      <c r="I1658" s="278"/>
      <c r="J1658" s="278"/>
      <c r="K1658" s="278"/>
    </row>
    <row r="1659" spans="1:11" x14ac:dyDescent="0.15">
      <c r="A1659" s="278"/>
      <c r="B1659" s="278"/>
      <c r="C1659" s="278"/>
      <c r="D1659" s="278"/>
      <c r="E1659" s="278"/>
      <c r="F1659" s="278"/>
      <c r="G1659" s="278"/>
      <c r="H1659" s="278"/>
      <c r="I1659" s="278"/>
      <c r="J1659" s="278"/>
      <c r="K1659" s="278"/>
    </row>
    <row r="1660" spans="1:11" x14ac:dyDescent="0.15">
      <c r="A1660" s="278"/>
      <c r="B1660" s="278"/>
      <c r="C1660" s="278"/>
      <c r="D1660" s="278"/>
      <c r="E1660" s="278"/>
      <c r="F1660" s="278"/>
      <c r="G1660" s="278"/>
      <c r="H1660" s="278"/>
      <c r="I1660" s="278"/>
      <c r="J1660" s="278"/>
      <c r="K1660" s="278"/>
    </row>
    <row r="1661" spans="1:11" x14ac:dyDescent="0.15">
      <c r="A1661" s="278"/>
      <c r="B1661" s="278"/>
      <c r="C1661" s="278"/>
      <c r="D1661" s="278"/>
      <c r="E1661" s="278"/>
      <c r="F1661" s="278"/>
      <c r="G1661" s="278"/>
      <c r="H1661" s="278"/>
      <c r="I1661" s="278"/>
      <c r="J1661" s="278"/>
      <c r="K1661" s="278"/>
    </row>
    <row r="1662" spans="1:11" x14ac:dyDescent="0.15">
      <c r="A1662" s="278"/>
      <c r="B1662" s="278"/>
      <c r="C1662" s="278"/>
      <c r="D1662" s="278"/>
      <c r="E1662" s="278"/>
      <c r="F1662" s="278"/>
      <c r="G1662" s="278"/>
      <c r="H1662" s="278"/>
      <c r="I1662" s="278"/>
      <c r="J1662" s="278"/>
      <c r="K1662" s="278"/>
    </row>
    <row r="1663" spans="1:11" x14ac:dyDescent="0.15">
      <c r="A1663" s="278"/>
      <c r="B1663" s="278"/>
      <c r="C1663" s="278"/>
      <c r="D1663" s="278"/>
      <c r="E1663" s="278"/>
      <c r="F1663" s="278"/>
      <c r="G1663" s="278"/>
      <c r="H1663" s="278"/>
      <c r="I1663" s="278"/>
      <c r="J1663" s="278"/>
      <c r="K1663" s="278"/>
    </row>
    <row r="1664" spans="1:11" x14ac:dyDescent="0.15">
      <c r="A1664" s="278"/>
      <c r="B1664" s="278"/>
      <c r="C1664" s="278"/>
      <c r="D1664" s="278"/>
      <c r="E1664" s="278"/>
      <c r="F1664" s="278"/>
      <c r="G1664" s="278"/>
      <c r="H1664" s="278"/>
      <c r="I1664" s="278"/>
      <c r="J1664" s="278"/>
      <c r="K1664" s="278"/>
    </row>
    <row r="1665" spans="1:11" x14ac:dyDescent="0.15">
      <c r="A1665" s="278"/>
      <c r="B1665" s="278"/>
      <c r="C1665" s="278"/>
      <c r="D1665" s="278"/>
      <c r="E1665" s="278"/>
      <c r="F1665" s="278"/>
      <c r="G1665" s="278"/>
      <c r="H1665" s="278"/>
      <c r="I1665" s="278"/>
      <c r="J1665" s="278"/>
      <c r="K1665" s="278"/>
    </row>
    <row r="1666" spans="1:11" x14ac:dyDescent="0.15">
      <c r="A1666" s="278"/>
      <c r="B1666" s="278"/>
      <c r="C1666" s="278"/>
      <c r="D1666" s="278"/>
      <c r="E1666" s="278"/>
      <c r="F1666" s="278"/>
      <c r="G1666" s="278"/>
      <c r="H1666" s="278"/>
      <c r="I1666" s="278"/>
      <c r="J1666" s="278"/>
      <c r="K1666" s="278"/>
    </row>
    <row r="1667" spans="1:11" x14ac:dyDescent="0.15">
      <c r="A1667" s="278"/>
      <c r="B1667" s="278"/>
      <c r="C1667" s="278"/>
      <c r="D1667" s="278"/>
      <c r="E1667" s="278"/>
      <c r="F1667" s="278"/>
      <c r="G1667" s="278"/>
      <c r="H1667" s="278"/>
      <c r="I1667" s="278"/>
      <c r="J1667" s="278"/>
      <c r="K1667" s="278"/>
    </row>
    <row r="1668" spans="1:11" x14ac:dyDescent="0.15">
      <c r="A1668" s="278"/>
      <c r="B1668" s="278"/>
      <c r="C1668" s="278"/>
      <c r="D1668" s="278"/>
      <c r="E1668" s="278"/>
      <c r="F1668" s="278"/>
      <c r="G1668" s="278"/>
      <c r="H1668" s="278"/>
      <c r="I1668" s="278"/>
      <c r="J1668" s="278"/>
      <c r="K1668" s="278"/>
    </row>
    <row r="1669" spans="1:11" x14ac:dyDescent="0.15">
      <c r="A1669" s="278"/>
      <c r="B1669" s="278"/>
      <c r="C1669" s="278"/>
      <c r="D1669" s="278"/>
      <c r="E1669" s="278"/>
      <c r="F1669" s="278"/>
      <c r="G1669" s="278"/>
      <c r="H1669" s="278"/>
      <c r="I1669" s="278"/>
      <c r="J1669" s="278"/>
      <c r="K1669" s="278"/>
    </row>
    <row r="1670" spans="1:11" x14ac:dyDescent="0.15">
      <c r="A1670" s="278"/>
      <c r="B1670" s="278"/>
      <c r="C1670" s="278"/>
      <c r="D1670" s="278"/>
      <c r="E1670" s="278"/>
      <c r="F1670" s="278"/>
      <c r="G1670" s="278"/>
      <c r="H1670" s="278"/>
      <c r="I1670" s="278"/>
      <c r="J1670" s="278"/>
      <c r="K1670" s="278"/>
    </row>
    <row r="1671" spans="1:11" x14ac:dyDescent="0.15">
      <c r="A1671" s="278"/>
      <c r="B1671" s="278"/>
      <c r="C1671" s="278"/>
      <c r="D1671" s="278"/>
      <c r="E1671" s="278"/>
      <c r="F1671" s="278"/>
      <c r="G1671" s="278"/>
      <c r="H1671" s="278"/>
      <c r="I1671" s="278"/>
      <c r="J1671" s="278"/>
      <c r="K1671" s="278"/>
    </row>
    <row r="1672" spans="1:11" x14ac:dyDescent="0.15">
      <c r="A1672" s="278"/>
      <c r="B1672" s="278"/>
      <c r="C1672" s="278"/>
      <c r="D1672" s="278"/>
      <c r="E1672" s="278"/>
      <c r="F1672" s="278"/>
      <c r="G1672" s="278"/>
      <c r="H1672" s="278"/>
      <c r="I1672" s="278"/>
      <c r="J1672" s="278"/>
      <c r="K1672" s="278"/>
    </row>
    <row r="1673" spans="1:11" x14ac:dyDescent="0.15">
      <c r="A1673" s="278"/>
      <c r="B1673" s="278"/>
      <c r="C1673" s="278"/>
      <c r="D1673" s="278"/>
      <c r="E1673" s="278"/>
      <c r="F1673" s="278"/>
      <c r="G1673" s="278"/>
      <c r="H1673" s="278"/>
      <c r="I1673" s="278"/>
      <c r="J1673" s="278"/>
      <c r="K1673" s="278"/>
    </row>
    <row r="1674" spans="1:11" x14ac:dyDescent="0.15">
      <c r="A1674" s="278"/>
      <c r="B1674" s="278"/>
      <c r="C1674" s="278"/>
      <c r="D1674" s="278"/>
      <c r="E1674" s="278"/>
      <c r="F1674" s="278"/>
      <c r="G1674" s="278"/>
      <c r="H1674" s="278"/>
      <c r="I1674" s="278"/>
      <c r="J1674" s="278"/>
      <c r="K1674" s="278"/>
    </row>
    <row r="1675" spans="1:11" x14ac:dyDescent="0.15">
      <c r="A1675" s="278"/>
      <c r="B1675" s="278"/>
      <c r="C1675" s="278"/>
      <c r="D1675" s="278"/>
      <c r="E1675" s="278"/>
      <c r="F1675" s="278"/>
      <c r="G1675" s="278"/>
      <c r="H1675" s="278"/>
      <c r="I1675" s="278"/>
      <c r="J1675" s="278"/>
      <c r="K1675" s="278"/>
    </row>
    <row r="1676" spans="1:11" x14ac:dyDescent="0.15">
      <c r="A1676" s="278"/>
      <c r="B1676" s="278"/>
      <c r="C1676" s="278"/>
      <c r="D1676" s="278"/>
      <c r="E1676" s="278"/>
      <c r="F1676" s="278"/>
      <c r="G1676" s="278"/>
      <c r="H1676" s="278"/>
      <c r="I1676" s="278"/>
      <c r="J1676" s="278"/>
      <c r="K1676" s="278"/>
    </row>
    <row r="1677" spans="1:11" x14ac:dyDescent="0.15">
      <c r="A1677" s="278"/>
      <c r="B1677" s="278"/>
      <c r="C1677" s="278"/>
      <c r="D1677" s="278"/>
      <c r="E1677" s="278"/>
      <c r="F1677" s="278"/>
      <c r="G1677" s="278"/>
      <c r="H1677" s="278"/>
      <c r="I1677" s="278"/>
      <c r="J1677" s="278"/>
      <c r="K1677" s="278"/>
    </row>
    <row r="1678" spans="1:11" x14ac:dyDescent="0.15">
      <c r="A1678" s="278"/>
      <c r="B1678" s="278"/>
      <c r="C1678" s="278"/>
      <c r="D1678" s="278"/>
      <c r="E1678" s="278"/>
      <c r="F1678" s="278"/>
      <c r="G1678" s="278"/>
      <c r="H1678" s="278"/>
      <c r="I1678" s="278"/>
      <c r="J1678" s="278"/>
      <c r="K1678" s="278"/>
    </row>
    <row r="1679" spans="1:11" x14ac:dyDescent="0.15">
      <c r="A1679" s="278"/>
      <c r="B1679" s="278"/>
      <c r="C1679" s="278"/>
      <c r="D1679" s="278"/>
      <c r="E1679" s="278"/>
      <c r="F1679" s="278"/>
      <c r="G1679" s="278"/>
      <c r="H1679" s="278"/>
      <c r="I1679" s="278"/>
      <c r="J1679" s="278"/>
      <c r="K1679" s="278"/>
    </row>
    <row r="1680" spans="1:11" x14ac:dyDescent="0.15">
      <c r="A1680" s="278"/>
      <c r="B1680" s="278"/>
      <c r="C1680" s="278"/>
      <c r="D1680" s="278"/>
      <c r="E1680" s="278"/>
      <c r="F1680" s="278"/>
      <c r="G1680" s="278"/>
      <c r="H1680" s="278"/>
      <c r="I1680" s="278"/>
      <c r="J1680" s="278"/>
      <c r="K1680" s="278"/>
    </row>
    <row r="1681" spans="1:11" x14ac:dyDescent="0.15">
      <c r="A1681" s="278"/>
      <c r="B1681" s="278"/>
      <c r="C1681" s="278"/>
      <c r="D1681" s="278"/>
      <c r="E1681" s="278"/>
      <c r="F1681" s="278"/>
      <c r="G1681" s="278"/>
      <c r="H1681" s="278"/>
      <c r="I1681" s="278"/>
      <c r="J1681" s="278"/>
      <c r="K1681" s="278"/>
    </row>
    <row r="1682" spans="1:11" x14ac:dyDescent="0.15">
      <c r="A1682" s="278"/>
      <c r="B1682" s="278"/>
      <c r="C1682" s="278"/>
      <c r="D1682" s="278"/>
      <c r="E1682" s="278"/>
      <c r="F1682" s="278"/>
      <c r="G1682" s="278"/>
      <c r="H1682" s="278"/>
      <c r="I1682" s="278"/>
      <c r="J1682" s="278"/>
      <c r="K1682" s="278"/>
    </row>
    <row r="1683" spans="1:11" x14ac:dyDescent="0.15">
      <c r="A1683" s="278"/>
      <c r="B1683" s="278"/>
      <c r="C1683" s="278"/>
      <c r="D1683" s="278"/>
      <c r="E1683" s="278"/>
      <c r="F1683" s="278"/>
      <c r="G1683" s="278"/>
      <c r="H1683" s="278"/>
      <c r="I1683" s="278"/>
      <c r="J1683" s="278"/>
      <c r="K1683" s="278"/>
    </row>
    <row r="1684" spans="1:11" x14ac:dyDescent="0.15">
      <c r="A1684" s="278"/>
      <c r="B1684" s="278"/>
      <c r="C1684" s="278"/>
      <c r="D1684" s="278"/>
      <c r="E1684" s="278"/>
      <c r="F1684" s="278"/>
      <c r="G1684" s="278"/>
      <c r="H1684" s="278"/>
      <c r="I1684" s="278"/>
      <c r="J1684" s="278"/>
      <c r="K1684" s="278"/>
    </row>
    <row r="1685" spans="1:11" x14ac:dyDescent="0.15">
      <c r="A1685" s="278"/>
      <c r="B1685" s="278"/>
      <c r="C1685" s="278"/>
      <c r="D1685" s="278"/>
      <c r="E1685" s="278"/>
      <c r="F1685" s="278"/>
      <c r="G1685" s="278"/>
      <c r="H1685" s="278"/>
      <c r="I1685" s="278"/>
      <c r="J1685" s="278"/>
      <c r="K1685" s="278"/>
    </row>
    <row r="1686" spans="1:11" x14ac:dyDescent="0.15">
      <c r="A1686" s="278"/>
      <c r="B1686" s="278"/>
      <c r="C1686" s="278"/>
      <c r="D1686" s="278"/>
      <c r="E1686" s="278"/>
      <c r="F1686" s="278"/>
      <c r="G1686" s="278"/>
      <c r="H1686" s="278"/>
      <c r="I1686" s="278"/>
      <c r="J1686" s="278"/>
      <c r="K1686" s="278"/>
    </row>
    <row r="1687" spans="1:11" x14ac:dyDescent="0.15">
      <c r="A1687" s="278"/>
      <c r="B1687" s="278"/>
      <c r="C1687" s="278"/>
      <c r="D1687" s="278"/>
      <c r="E1687" s="278"/>
      <c r="F1687" s="278"/>
      <c r="G1687" s="278"/>
      <c r="H1687" s="278"/>
      <c r="I1687" s="278"/>
      <c r="J1687" s="278"/>
      <c r="K1687" s="278"/>
    </row>
    <row r="1688" spans="1:11" x14ac:dyDescent="0.15">
      <c r="A1688" s="278"/>
      <c r="B1688" s="278"/>
      <c r="C1688" s="278"/>
      <c r="D1688" s="278"/>
      <c r="E1688" s="278"/>
      <c r="F1688" s="278"/>
      <c r="G1688" s="278"/>
      <c r="H1688" s="278"/>
      <c r="I1688" s="278"/>
      <c r="J1688" s="278"/>
      <c r="K1688" s="278"/>
    </row>
    <row r="1689" spans="1:11" x14ac:dyDescent="0.15">
      <c r="A1689" s="278"/>
      <c r="B1689" s="278"/>
      <c r="C1689" s="278"/>
      <c r="D1689" s="278"/>
      <c r="E1689" s="278"/>
      <c r="F1689" s="278"/>
      <c r="G1689" s="278"/>
      <c r="H1689" s="278"/>
      <c r="I1689" s="278"/>
      <c r="J1689" s="278"/>
      <c r="K1689" s="278"/>
    </row>
    <row r="1690" spans="1:11" x14ac:dyDescent="0.15">
      <c r="A1690" s="278"/>
      <c r="B1690" s="278"/>
      <c r="C1690" s="278"/>
      <c r="D1690" s="278"/>
      <c r="E1690" s="278"/>
      <c r="F1690" s="278"/>
      <c r="G1690" s="278"/>
      <c r="H1690" s="278"/>
      <c r="I1690" s="278"/>
      <c r="J1690" s="278"/>
      <c r="K1690" s="278"/>
    </row>
    <row r="1691" spans="1:11" x14ac:dyDescent="0.15">
      <c r="A1691" s="278"/>
      <c r="B1691" s="278"/>
      <c r="C1691" s="278"/>
      <c r="D1691" s="278"/>
      <c r="E1691" s="278"/>
      <c r="F1691" s="278"/>
      <c r="G1691" s="278"/>
      <c r="H1691" s="278"/>
      <c r="I1691" s="278"/>
      <c r="J1691" s="278"/>
      <c r="K1691" s="278"/>
    </row>
    <row r="1692" spans="1:11" x14ac:dyDescent="0.15">
      <c r="A1692" s="278"/>
      <c r="B1692" s="278"/>
      <c r="C1692" s="278"/>
      <c r="D1692" s="278"/>
      <c r="E1692" s="278"/>
      <c r="F1692" s="278"/>
      <c r="G1692" s="278"/>
      <c r="H1692" s="278"/>
      <c r="I1692" s="278"/>
      <c r="J1692" s="278"/>
      <c r="K1692" s="278"/>
    </row>
    <row r="1693" spans="1:11" x14ac:dyDescent="0.15">
      <c r="A1693" s="278"/>
      <c r="B1693" s="278"/>
      <c r="C1693" s="278"/>
      <c r="D1693" s="278"/>
      <c r="E1693" s="278"/>
      <c r="F1693" s="278"/>
      <c r="G1693" s="278"/>
      <c r="H1693" s="278"/>
      <c r="I1693" s="278"/>
      <c r="J1693" s="278"/>
      <c r="K1693" s="278"/>
    </row>
    <row r="1694" spans="1:11" x14ac:dyDescent="0.15">
      <c r="A1694" s="278"/>
      <c r="B1694" s="278"/>
      <c r="C1694" s="278"/>
      <c r="D1694" s="278"/>
      <c r="E1694" s="278"/>
      <c r="F1694" s="278"/>
      <c r="G1694" s="278"/>
      <c r="H1694" s="278"/>
      <c r="I1694" s="278"/>
      <c r="J1694" s="278"/>
      <c r="K1694" s="278"/>
    </row>
    <row r="1695" spans="1:11" x14ac:dyDescent="0.15">
      <c r="A1695" s="278"/>
      <c r="B1695" s="278"/>
      <c r="C1695" s="278"/>
      <c r="D1695" s="278"/>
      <c r="E1695" s="278"/>
      <c r="F1695" s="278"/>
      <c r="G1695" s="278"/>
      <c r="H1695" s="278"/>
      <c r="I1695" s="278"/>
      <c r="J1695" s="278"/>
      <c r="K1695" s="278"/>
    </row>
    <row r="1696" spans="1:11" x14ac:dyDescent="0.15">
      <c r="A1696" s="278"/>
      <c r="B1696" s="278"/>
      <c r="C1696" s="278"/>
      <c r="D1696" s="278"/>
      <c r="E1696" s="278"/>
      <c r="F1696" s="278"/>
      <c r="G1696" s="278"/>
      <c r="H1696" s="278"/>
      <c r="I1696" s="278"/>
      <c r="J1696" s="278"/>
      <c r="K1696" s="278"/>
    </row>
    <row r="1697" spans="1:11" x14ac:dyDescent="0.15">
      <c r="A1697" s="278"/>
      <c r="B1697" s="278"/>
      <c r="C1697" s="278"/>
      <c r="D1697" s="278"/>
      <c r="E1697" s="278"/>
      <c r="F1697" s="278"/>
      <c r="G1697" s="278"/>
      <c r="H1697" s="278"/>
      <c r="I1697" s="278"/>
      <c r="J1697" s="278"/>
      <c r="K1697" s="278"/>
    </row>
    <row r="1698" spans="1:11" x14ac:dyDescent="0.15">
      <c r="A1698" s="278"/>
      <c r="B1698" s="278"/>
      <c r="C1698" s="278"/>
      <c r="D1698" s="278"/>
      <c r="E1698" s="278"/>
      <c r="F1698" s="278"/>
      <c r="G1698" s="278"/>
      <c r="H1698" s="278"/>
      <c r="I1698" s="278"/>
      <c r="J1698" s="278"/>
      <c r="K1698" s="278"/>
    </row>
    <row r="1699" spans="1:11" x14ac:dyDescent="0.15">
      <c r="A1699" s="278"/>
      <c r="B1699" s="278"/>
      <c r="C1699" s="278"/>
      <c r="D1699" s="278"/>
      <c r="E1699" s="278"/>
      <c r="F1699" s="278"/>
      <c r="G1699" s="278"/>
      <c r="H1699" s="278"/>
      <c r="I1699" s="278"/>
      <c r="J1699" s="278"/>
      <c r="K1699" s="278"/>
    </row>
    <row r="1700" spans="1:11" x14ac:dyDescent="0.15">
      <c r="A1700" s="278"/>
      <c r="B1700" s="278"/>
      <c r="C1700" s="278"/>
      <c r="D1700" s="278"/>
      <c r="E1700" s="278"/>
      <c r="F1700" s="278"/>
      <c r="G1700" s="278"/>
      <c r="H1700" s="278"/>
      <c r="I1700" s="278"/>
      <c r="J1700" s="278"/>
      <c r="K1700" s="278"/>
    </row>
    <row r="1701" spans="1:11" x14ac:dyDescent="0.15">
      <c r="A1701" s="278"/>
      <c r="B1701" s="278"/>
      <c r="C1701" s="278"/>
      <c r="D1701" s="278"/>
      <c r="E1701" s="278"/>
      <c r="F1701" s="278"/>
      <c r="G1701" s="278"/>
      <c r="H1701" s="278"/>
      <c r="I1701" s="278"/>
      <c r="J1701" s="278"/>
      <c r="K1701" s="278"/>
    </row>
    <row r="1702" spans="1:11" x14ac:dyDescent="0.15">
      <c r="A1702" s="278"/>
      <c r="B1702" s="278"/>
      <c r="C1702" s="278"/>
      <c r="D1702" s="278"/>
      <c r="E1702" s="278"/>
      <c r="F1702" s="278"/>
      <c r="G1702" s="278"/>
      <c r="H1702" s="278"/>
      <c r="I1702" s="278"/>
      <c r="J1702" s="278"/>
      <c r="K1702" s="278"/>
    </row>
    <row r="1703" spans="1:11" x14ac:dyDescent="0.15">
      <c r="A1703" s="278"/>
      <c r="B1703" s="278"/>
      <c r="C1703" s="278"/>
      <c r="D1703" s="278"/>
      <c r="E1703" s="278"/>
      <c r="F1703" s="278"/>
      <c r="G1703" s="278"/>
      <c r="H1703" s="278"/>
      <c r="I1703" s="278"/>
      <c r="J1703" s="278"/>
      <c r="K1703" s="278"/>
    </row>
    <row r="1704" spans="1:11" x14ac:dyDescent="0.15">
      <c r="A1704" s="278"/>
      <c r="B1704" s="278"/>
      <c r="C1704" s="278"/>
      <c r="D1704" s="278"/>
      <c r="E1704" s="278"/>
      <c r="F1704" s="278"/>
      <c r="G1704" s="278"/>
      <c r="H1704" s="278"/>
      <c r="I1704" s="278"/>
      <c r="J1704" s="278"/>
      <c r="K1704" s="278"/>
    </row>
    <row r="1705" spans="1:11" x14ac:dyDescent="0.15">
      <c r="A1705" s="278"/>
      <c r="B1705" s="278"/>
      <c r="C1705" s="278"/>
      <c r="D1705" s="278"/>
      <c r="E1705" s="278"/>
      <c r="F1705" s="278"/>
      <c r="G1705" s="278"/>
      <c r="H1705" s="278"/>
      <c r="I1705" s="278"/>
      <c r="J1705" s="278"/>
      <c r="K1705" s="278"/>
    </row>
    <row r="1706" spans="1:11" x14ac:dyDescent="0.15">
      <c r="A1706" s="278"/>
      <c r="B1706" s="278"/>
      <c r="C1706" s="278"/>
      <c r="D1706" s="278"/>
      <c r="E1706" s="278"/>
      <c r="F1706" s="278"/>
      <c r="G1706" s="278"/>
      <c r="H1706" s="278"/>
      <c r="I1706" s="278"/>
      <c r="J1706" s="278"/>
      <c r="K1706" s="278"/>
    </row>
    <row r="1707" spans="1:11" x14ac:dyDescent="0.15">
      <c r="A1707" s="278"/>
      <c r="B1707" s="278"/>
      <c r="C1707" s="278"/>
      <c r="D1707" s="278"/>
      <c r="E1707" s="278"/>
      <c r="F1707" s="278"/>
      <c r="G1707" s="278"/>
      <c r="H1707" s="278"/>
      <c r="I1707" s="278"/>
      <c r="J1707" s="278"/>
      <c r="K1707" s="278"/>
    </row>
    <row r="1708" spans="1:11" x14ac:dyDescent="0.15">
      <c r="A1708" s="278"/>
      <c r="B1708" s="278"/>
      <c r="C1708" s="278"/>
      <c r="D1708" s="278"/>
      <c r="E1708" s="278"/>
      <c r="F1708" s="278"/>
      <c r="G1708" s="278"/>
      <c r="H1708" s="278"/>
      <c r="I1708" s="278"/>
      <c r="J1708" s="278"/>
      <c r="K1708" s="278"/>
    </row>
    <row r="1709" spans="1:11" x14ac:dyDescent="0.15">
      <c r="A1709" s="278"/>
      <c r="B1709" s="278"/>
      <c r="C1709" s="278"/>
      <c r="D1709" s="278"/>
      <c r="E1709" s="278"/>
      <c r="F1709" s="278"/>
      <c r="G1709" s="278"/>
      <c r="H1709" s="278"/>
      <c r="I1709" s="278"/>
      <c r="J1709" s="278"/>
      <c r="K1709" s="278"/>
    </row>
    <row r="1710" spans="1:11" x14ac:dyDescent="0.15">
      <c r="A1710" s="278"/>
      <c r="B1710" s="278"/>
      <c r="C1710" s="278"/>
      <c r="D1710" s="278"/>
      <c r="E1710" s="278"/>
      <c r="F1710" s="278"/>
      <c r="G1710" s="278"/>
      <c r="H1710" s="278"/>
      <c r="I1710" s="278"/>
      <c r="J1710" s="278"/>
      <c r="K1710" s="278"/>
    </row>
    <row r="1711" spans="1:11" x14ac:dyDescent="0.15">
      <c r="A1711" s="278"/>
      <c r="B1711" s="278"/>
      <c r="C1711" s="278"/>
      <c r="D1711" s="278"/>
      <c r="E1711" s="278"/>
      <c r="F1711" s="278"/>
      <c r="G1711" s="278"/>
      <c r="H1711" s="278"/>
      <c r="I1711" s="278"/>
      <c r="J1711" s="278"/>
      <c r="K1711" s="278"/>
    </row>
    <row r="1712" spans="1:11" x14ac:dyDescent="0.15">
      <c r="A1712" s="278"/>
      <c r="B1712" s="278"/>
      <c r="C1712" s="278"/>
      <c r="D1712" s="278"/>
      <c r="E1712" s="278"/>
      <c r="F1712" s="278"/>
      <c r="G1712" s="278"/>
      <c r="H1712" s="278"/>
      <c r="I1712" s="278"/>
      <c r="J1712" s="278"/>
      <c r="K1712" s="278"/>
    </row>
    <row r="1713" spans="1:11" x14ac:dyDescent="0.15">
      <c r="A1713" s="278"/>
      <c r="B1713" s="278"/>
      <c r="C1713" s="278"/>
      <c r="D1713" s="278"/>
      <c r="E1713" s="278"/>
      <c r="F1713" s="278"/>
      <c r="G1713" s="278"/>
      <c r="H1713" s="278"/>
      <c r="I1713" s="278"/>
      <c r="J1713" s="278"/>
      <c r="K1713" s="278"/>
    </row>
    <row r="1714" spans="1:11" x14ac:dyDescent="0.15">
      <c r="A1714" s="278"/>
      <c r="B1714" s="278"/>
      <c r="C1714" s="278"/>
      <c r="D1714" s="278"/>
      <c r="E1714" s="278"/>
      <c r="F1714" s="278"/>
      <c r="G1714" s="278"/>
      <c r="H1714" s="278"/>
      <c r="I1714" s="278"/>
      <c r="J1714" s="278"/>
      <c r="K1714" s="278"/>
    </row>
    <row r="1715" spans="1:11" x14ac:dyDescent="0.15">
      <c r="A1715" s="278"/>
      <c r="B1715" s="278"/>
      <c r="C1715" s="278"/>
      <c r="D1715" s="278"/>
      <c r="E1715" s="278"/>
      <c r="F1715" s="278"/>
      <c r="G1715" s="278"/>
      <c r="H1715" s="278"/>
      <c r="I1715" s="278"/>
      <c r="J1715" s="278"/>
      <c r="K1715" s="278"/>
    </row>
    <row r="1716" spans="1:11" x14ac:dyDescent="0.15">
      <c r="A1716" s="278"/>
      <c r="B1716" s="278"/>
      <c r="C1716" s="278"/>
      <c r="D1716" s="278"/>
      <c r="E1716" s="278"/>
      <c r="F1716" s="278"/>
      <c r="G1716" s="278"/>
      <c r="H1716" s="278"/>
      <c r="I1716" s="278"/>
      <c r="J1716" s="278"/>
      <c r="K1716" s="278"/>
    </row>
    <row r="1717" spans="1:11" x14ac:dyDescent="0.15">
      <c r="A1717" s="278"/>
      <c r="B1717" s="278"/>
      <c r="C1717" s="278"/>
      <c r="D1717" s="278"/>
      <c r="E1717" s="278"/>
      <c r="F1717" s="278"/>
      <c r="G1717" s="278"/>
      <c r="H1717" s="278"/>
      <c r="I1717" s="278"/>
      <c r="J1717" s="278"/>
      <c r="K1717" s="278"/>
    </row>
    <row r="1718" spans="1:11" x14ac:dyDescent="0.15">
      <c r="A1718" s="278"/>
      <c r="B1718" s="278"/>
      <c r="C1718" s="278"/>
      <c r="D1718" s="278"/>
      <c r="E1718" s="278"/>
      <c r="F1718" s="278"/>
      <c r="G1718" s="278"/>
      <c r="H1718" s="278"/>
      <c r="I1718" s="278"/>
      <c r="J1718" s="278"/>
      <c r="K1718" s="278"/>
    </row>
    <row r="1719" spans="1:11" x14ac:dyDescent="0.15">
      <c r="A1719" s="278"/>
      <c r="B1719" s="278"/>
      <c r="C1719" s="278"/>
      <c r="D1719" s="278"/>
      <c r="E1719" s="278"/>
      <c r="F1719" s="278"/>
      <c r="G1719" s="278"/>
      <c r="H1719" s="278"/>
      <c r="I1719" s="278"/>
      <c r="J1719" s="278"/>
      <c r="K1719" s="278"/>
    </row>
    <row r="1720" spans="1:11" x14ac:dyDescent="0.15">
      <c r="A1720" s="278"/>
      <c r="B1720" s="278"/>
      <c r="C1720" s="278"/>
      <c r="D1720" s="278"/>
      <c r="E1720" s="278"/>
      <c r="F1720" s="278"/>
      <c r="G1720" s="278"/>
      <c r="H1720" s="278"/>
      <c r="I1720" s="278"/>
      <c r="J1720" s="278"/>
      <c r="K1720" s="278"/>
    </row>
    <row r="1721" spans="1:11" x14ac:dyDescent="0.15">
      <c r="A1721" s="278"/>
      <c r="B1721" s="278"/>
      <c r="C1721" s="278"/>
      <c r="D1721" s="278"/>
      <c r="E1721" s="278"/>
      <c r="F1721" s="278"/>
      <c r="G1721" s="278"/>
      <c r="H1721" s="278"/>
      <c r="I1721" s="278"/>
      <c r="J1721" s="278"/>
      <c r="K1721" s="278"/>
    </row>
    <row r="1722" spans="1:11" x14ac:dyDescent="0.15">
      <c r="A1722" s="278"/>
      <c r="B1722" s="278"/>
      <c r="C1722" s="278"/>
      <c r="D1722" s="278"/>
      <c r="E1722" s="278"/>
      <c r="F1722" s="278"/>
      <c r="G1722" s="278"/>
      <c r="H1722" s="278"/>
      <c r="I1722" s="278"/>
      <c r="J1722" s="278"/>
      <c r="K1722" s="278"/>
    </row>
    <row r="1723" spans="1:11" x14ac:dyDescent="0.15">
      <c r="A1723" s="278"/>
      <c r="B1723" s="278"/>
      <c r="C1723" s="278"/>
      <c r="D1723" s="278"/>
      <c r="E1723" s="278"/>
      <c r="F1723" s="278"/>
      <c r="G1723" s="278"/>
      <c r="H1723" s="278"/>
      <c r="I1723" s="278"/>
      <c r="J1723" s="278"/>
      <c r="K1723" s="278"/>
    </row>
    <row r="1724" spans="1:11" x14ac:dyDescent="0.15">
      <c r="A1724" s="278"/>
      <c r="B1724" s="278"/>
      <c r="C1724" s="278"/>
      <c r="D1724" s="278"/>
      <c r="E1724" s="278"/>
      <c r="F1724" s="278"/>
      <c r="G1724" s="278"/>
      <c r="H1724" s="278"/>
      <c r="I1724" s="278"/>
      <c r="J1724" s="278"/>
      <c r="K1724" s="278"/>
    </row>
    <row r="1725" spans="1:11" x14ac:dyDescent="0.15">
      <c r="A1725" s="278"/>
      <c r="B1725" s="278"/>
      <c r="C1725" s="278"/>
      <c r="D1725" s="278"/>
      <c r="E1725" s="278"/>
      <c r="F1725" s="278"/>
      <c r="G1725" s="278"/>
      <c r="H1725" s="278"/>
      <c r="I1725" s="278"/>
      <c r="J1725" s="278"/>
      <c r="K1725" s="278"/>
    </row>
    <row r="1726" spans="1:11" x14ac:dyDescent="0.15">
      <c r="A1726" s="278"/>
      <c r="B1726" s="278"/>
      <c r="C1726" s="278"/>
      <c r="D1726" s="278"/>
      <c r="E1726" s="278"/>
      <c r="F1726" s="278"/>
      <c r="G1726" s="278"/>
      <c r="H1726" s="278"/>
      <c r="I1726" s="278"/>
      <c r="J1726" s="278"/>
      <c r="K1726" s="278"/>
    </row>
    <row r="1727" spans="1:11" x14ac:dyDescent="0.15">
      <c r="A1727" s="278"/>
      <c r="B1727" s="278"/>
      <c r="C1727" s="278"/>
      <c r="D1727" s="278"/>
      <c r="E1727" s="278"/>
      <c r="F1727" s="278"/>
      <c r="G1727" s="278"/>
      <c r="H1727" s="278"/>
      <c r="I1727" s="278"/>
      <c r="J1727" s="278"/>
      <c r="K1727" s="278"/>
    </row>
    <row r="1728" spans="1:11" x14ac:dyDescent="0.15">
      <c r="A1728" s="278"/>
      <c r="B1728" s="278"/>
      <c r="C1728" s="278"/>
      <c r="D1728" s="278"/>
      <c r="E1728" s="278"/>
      <c r="F1728" s="278"/>
      <c r="G1728" s="278"/>
      <c r="H1728" s="278"/>
      <c r="I1728" s="278"/>
      <c r="J1728" s="278"/>
      <c r="K1728" s="278"/>
    </row>
    <row r="1729" spans="1:11" x14ac:dyDescent="0.15">
      <c r="A1729" s="278"/>
      <c r="B1729" s="278"/>
      <c r="C1729" s="278"/>
      <c r="D1729" s="278"/>
      <c r="E1729" s="278"/>
      <c r="F1729" s="278"/>
      <c r="G1729" s="278"/>
      <c r="H1729" s="278"/>
      <c r="I1729" s="278"/>
      <c r="J1729" s="278"/>
      <c r="K1729" s="278"/>
    </row>
    <row r="1730" spans="1:11" x14ac:dyDescent="0.15">
      <c r="A1730" s="278"/>
      <c r="B1730" s="278"/>
      <c r="C1730" s="278"/>
      <c r="D1730" s="278"/>
      <c r="E1730" s="278"/>
      <c r="F1730" s="278"/>
      <c r="G1730" s="278"/>
      <c r="H1730" s="278"/>
      <c r="I1730" s="278"/>
      <c r="J1730" s="278"/>
      <c r="K1730" s="278"/>
    </row>
    <row r="1731" spans="1:11" x14ac:dyDescent="0.15">
      <c r="A1731" s="278"/>
      <c r="B1731" s="278"/>
      <c r="C1731" s="278"/>
      <c r="D1731" s="278"/>
      <c r="E1731" s="278"/>
      <c r="F1731" s="278"/>
      <c r="G1731" s="278"/>
      <c r="H1731" s="278"/>
      <c r="I1731" s="278"/>
      <c r="J1731" s="278"/>
      <c r="K1731" s="278"/>
    </row>
    <row r="1732" spans="1:11" x14ac:dyDescent="0.15">
      <c r="A1732" s="278"/>
      <c r="B1732" s="278"/>
      <c r="C1732" s="278"/>
      <c r="D1732" s="278"/>
      <c r="E1732" s="278"/>
      <c r="F1732" s="278"/>
      <c r="G1732" s="278"/>
      <c r="H1732" s="278"/>
      <c r="I1732" s="278"/>
      <c r="J1732" s="278"/>
      <c r="K1732" s="278"/>
    </row>
    <row r="1733" spans="1:11" x14ac:dyDescent="0.15">
      <c r="A1733" s="278"/>
      <c r="B1733" s="278"/>
      <c r="C1733" s="278"/>
      <c r="D1733" s="278"/>
      <c r="E1733" s="278"/>
      <c r="F1733" s="278"/>
      <c r="G1733" s="278"/>
      <c r="H1733" s="278"/>
      <c r="I1733" s="278"/>
      <c r="J1733" s="278"/>
      <c r="K1733" s="278"/>
    </row>
    <row r="1734" spans="1:11" x14ac:dyDescent="0.15">
      <c r="A1734" s="278"/>
      <c r="B1734" s="278"/>
      <c r="C1734" s="278"/>
      <c r="D1734" s="278"/>
      <c r="E1734" s="278"/>
      <c r="F1734" s="278"/>
      <c r="G1734" s="278"/>
      <c r="H1734" s="278"/>
      <c r="I1734" s="278"/>
      <c r="J1734" s="278"/>
      <c r="K1734" s="278"/>
    </row>
    <row r="1735" spans="1:11" x14ac:dyDescent="0.15">
      <c r="A1735" s="278"/>
      <c r="B1735" s="278"/>
      <c r="C1735" s="278"/>
      <c r="D1735" s="278"/>
      <c r="E1735" s="278"/>
      <c r="F1735" s="278"/>
      <c r="G1735" s="278"/>
      <c r="H1735" s="278"/>
      <c r="I1735" s="278"/>
      <c r="J1735" s="278"/>
      <c r="K1735" s="278"/>
    </row>
    <row r="1736" spans="1:11" x14ac:dyDescent="0.15">
      <c r="A1736" s="278"/>
      <c r="B1736" s="278"/>
      <c r="C1736" s="278"/>
      <c r="D1736" s="278"/>
      <c r="E1736" s="278"/>
      <c r="F1736" s="278"/>
      <c r="G1736" s="278"/>
      <c r="H1736" s="278"/>
      <c r="I1736" s="278"/>
      <c r="J1736" s="278"/>
      <c r="K1736" s="278"/>
    </row>
    <row r="1737" spans="1:11" x14ac:dyDescent="0.15">
      <c r="A1737" s="278"/>
      <c r="B1737" s="278"/>
      <c r="C1737" s="278"/>
      <c r="D1737" s="278"/>
      <c r="E1737" s="278"/>
      <c r="F1737" s="278"/>
      <c r="G1737" s="278"/>
      <c r="H1737" s="278"/>
      <c r="I1737" s="278"/>
      <c r="J1737" s="278"/>
      <c r="K1737" s="278"/>
    </row>
    <row r="1738" spans="1:11" x14ac:dyDescent="0.15">
      <c r="A1738" s="278"/>
      <c r="B1738" s="278"/>
      <c r="C1738" s="278"/>
      <c r="D1738" s="278"/>
      <c r="E1738" s="278"/>
      <c r="F1738" s="278"/>
      <c r="G1738" s="278"/>
      <c r="H1738" s="278"/>
      <c r="I1738" s="278"/>
      <c r="J1738" s="278"/>
      <c r="K1738" s="278"/>
    </row>
    <row r="1739" spans="1:11" x14ac:dyDescent="0.15">
      <c r="A1739" s="278"/>
      <c r="B1739" s="278"/>
      <c r="C1739" s="278"/>
      <c r="D1739" s="278"/>
      <c r="E1739" s="278"/>
      <c r="F1739" s="278"/>
      <c r="G1739" s="278"/>
      <c r="H1739" s="278"/>
      <c r="I1739" s="278"/>
      <c r="J1739" s="278"/>
      <c r="K1739" s="278"/>
    </row>
    <row r="1740" spans="1:11" x14ac:dyDescent="0.15">
      <c r="A1740" s="278"/>
      <c r="B1740" s="278"/>
      <c r="C1740" s="278"/>
      <c r="D1740" s="278"/>
      <c r="E1740" s="278"/>
      <c r="F1740" s="278"/>
      <c r="G1740" s="278"/>
      <c r="H1740" s="278"/>
      <c r="I1740" s="278"/>
      <c r="J1740" s="278"/>
      <c r="K1740" s="278"/>
    </row>
    <row r="1741" spans="1:11" x14ac:dyDescent="0.15">
      <c r="A1741" s="278"/>
      <c r="B1741" s="278"/>
      <c r="C1741" s="278"/>
      <c r="D1741" s="278"/>
      <c r="E1741" s="278"/>
      <c r="F1741" s="278"/>
      <c r="G1741" s="278"/>
      <c r="H1741" s="278"/>
      <c r="I1741" s="278"/>
      <c r="J1741" s="278"/>
      <c r="K1741" s="278"/>
    </row>
    <row r="1742" spans="1:11" x14ac:dyDescent="0.15">
      <c r="A1742" s="278"/>
      <c r="B1742" s="278"/>
      <c r="C1742" s="278"/>
      <c r="D1742" s="278"/>
      <c r="E1742" s="278"/>
      <c r="F1742" s="278"/>
      <c r="G1742" s="278"/>
      <c r="H1742" s="278"/>
      <c r="I1742" s="278"/>
      <c r="J1742" s="278"/>
      <c r="K1742" s="278"/>
    </row>
    <row r="1743" spans="1:11" x14ac:dyDescent="0.15">
      <c r="A1743" s="278"/>
      <c r="B1743" s="278"/>
      <c r="C1743" s="278"/>
      <c r="D1743" s="278"/>
      <c r="E1743" s="278"/>
      <c r="F1743" s="278"/>
      <c r="G1743" s="278"/>
      <c r="H1743" s="278"/>
      <c r="I1743" s="278"/>
      <c r="J1743" s="278"/>
      <c r="K1743" s="278"/>
    </row>
    <row r="1744" spans="1:11" x14ac:dyDescent="0.15">
      <c r="A1744" s="278"/>
      <c r="B1744" s="278"/>
      <c r="C1744" s="278"/>
      <c r="D1744" s="278"/>
      <c r="E1744" s="278"/>
      <c r="F1744" s="278"/>
      <c r="G1744" s="278"/>
      <c r="H1744" s="278"/>
      <c r="I1744" s="278"/>
      <c r="J1744" s="278"/>
      <c r="K1744" s="278"/>
    </row>
    <row r="1745" spans="1:11" x14ac:dyDescent="0.15">
      <c r="A1745" s="278"/>
      <c r="B1745" s="278"/>
      <c r="C1745" s="278"/>
      <c r="D1745" s="278"/>
      <c r="E1745" s="278"/>
      <c r="F1745" s="278"/>
      <c r="G1745" s="278"/>
      <c r="H1745" s="278"/>
      <c r="I1745" s="278"/>
      <c r="J1745" s="278"/>
      <c r="K1745" s="278"/>
    </row>
    <row r="1746" spans="1:11" x14ac:dyDescent="0.15">
      <c r="A1746" s="278"/>
      <c r="B1746" s="278"/>
      <c r="C1746" s="278"/>
      <c r="D1746" s="278"/>
      <c r="E1746" s="278"/>
      <c r="F1746" s="278"/>
      <c r="G1746" s="278"/>
      <c r="H1746" s="278"/>
      <c r="I1746" s="278"/>
      <c r="J1746" s="278"/>
      <c r="K1746" s="278"/>
    </row>
    <row r="1747" spans="1:11" x14ac:dyDescent="0.15">
      <c r="A1747" s="278"/>
      <c r="B1747" s="278"/>
      <c r="C1747" s="278"/>
      <c r="D1747" s="278"/>
      <c r="E1747" s="278"/>
      <c r="F1747" s="278"/>
      <c r="G1747" s="278"/>
      <c r="H1747" s="278"/>
      <c r="I1747" s="278"/>
      <c r="J1747" s="278"/>
      <c r="K1747" s="278"/>
    </row>
    <row r="1748" spans="1:11" x14ac:dyDescent="0.15">
      <c r="A1748" s="278"/>
      <c r="B1748" s="278"/>
      <c r="C1748" s="278"/>
      <c r="D1748" s="278"/>
      <c r="E1748" s="278"/>
      <c r="F1748" s="278"/>
      <c r="G1748" s="278"/>
      <c r="H1748" s="278"/>
      <c r="I1748" s="278"/>
      <c r="J1748" s="278"/>
      <c r="K1748" s="278"/>
    </row>
    <row r="1749" spans="1:11" x14ac:dyDescent="0.15">
      <c r="A1749" s="278"/>
      <c r="B1749" s="278"/>
      <c r="C1749" s="278"/>
      <c r="D1749" s="278"/>
      <c r="E1749" s="278"/>
      <c r="F1749" s="278"/>
      <c r="G1749" s="278"/>
      <c r="H1749" s="278"/>
      <c r="I1749" s="278"/>
      <c r="J1749" s="278"/>
      <c r="K1749" s="278"/>
    </row>
    <row r="1750" spans="1:11" x14ac:dyDescent="0.15">
      <c r="A1750" s="278"/>
      <c r="B1750" s="278"/>
      <c r="C1750" s="278"/>
      <c r="D1750" s="278"/>
      <c r="E1750" s="278"/>
      <c r="F1750" s="278"/>
      <c r="G1750" s="278"/>
      <c r="H1750" s="278"/>
      <c r="I1750" s="278"/>
      <c r="J1750" s="278"/>
      <c r="K1750" s="278"/>
    </row>
    <row r="1751" spans="1:11" x14ac:dyDescent="0.15">
      <c r="A1751" s="278"/>
      <c r="B1751" s="278"/>
      <c r="C1751" s="278"/>
      <c r="D1751" s="278"/>
      <c r="E1751" s="278"/>
      <c r="F1751" s="278"/>
      <c r="G1751" s="278"/>
      <c r="H1751" s="278"/>
      <c r="I1751" s="278"/>
      <c r="J1751" s="278"/>
      <c r="K1751" s="278"/>
    </row>
    <row r="1752" spans="1:11" x14ac:dyDescent="0.15">
      <c r="A1752" s="278"/>
      <c r="B1752" s="278"/>
      <c r="C1752" s="278"/>
      <c r="D1752" s="278"/>
      <c r="E1752" s="278"/>
      <c r="F1752" s="278"/>
      <c r="G1752" s="278"/>
      <c r="H1752" s="278"/>
      <c r="I1752" s="278"/>
      <c r="J1752" s="278"/>
      <c r="K1752" s="278"/>
    </row>
    <row r="1753" spans="1:11" x14ac:dyDescent="0.15">
      <c r="A1753" s="278"/>
      <c r="B1753" s="278"/>
      <c r="C1753" s="278"/>
      <c r="D1753" s="278"/>
      <c r="E1753" s="278"/>
      <c r="F1753" s="278"/>
      <c r="G1753" s="278"/>
      <c r="H1753" s="278"/>
      <c r="I1753" s="278"/>
      <c r="J1753" s="278"/>
      <c r="K1753" s="278"/>
    </row>
    <row r="1754" spans="1:11" x14ac:dyDescent="0.15">
      <c r="A1754" s="278"/>
      <c r="B1754" s="278"/>
      <c r="C1754" s="278"/>
      <c r="D1754" s="278"/>
      <c r="E1754" s="278"/>
      <c r="F1754" s="278"/>
      <c r="G1754" s="278"/>
      <c r="H1754" s="278"/>
      <c r="I1754" s="278"/>
      <c r="J1754" s="278"/>
      <c r="K1754" s="278"/>
    </row>
    <row r="1755" spans="1:11" x14ac:dyDescent="0.15">
      <c r="A1755" s="278"/>
      <c r="B1755" s="278"/>
      <c r="C1755" s="278"/>
      <c r="D1755" s="278"/>
      <c r="E1755" s="278"/>
      <c r="F1755" s="278"/>
      <c r="G1755" s="278"/>
      <c r="H1755" s="278"/>
      <c r="I1755" s="278"/>
      <c r="J1755" s="278"/>
      <c r="K1755" s="278"/>
    </row>
    <row r="1756" spans="1:11" x14ac:dyDescent="0.15">
      <c r="A1756" s="278"/>
      <c r="B1756" s="278"/>
      <c r="C1756" s="278"/>
      <c r="D1756" s="278"/>
      <c r="E1756" s="278"/>
      <c r="F1756" s="278"/>
      <c r="G1756" s="278"/>
      <c r="H1756" s="278"/>
      <c r="I1756" s="278"/>
      <c r="J1756" s="278"/>
      <c r="K1756" s="278"/>
    </row>
    <row r="1757" spans="1:11" x14ac:dyDescent="0.15">
      <c r="A1757" s="278"/>
      <c r="B1757" s="278"/>
      <c r="C1757" s="278"/>
      <c r="D1757" s="278"/>
      <c r="E1757" s="278"/>
      <c r="F1757" s="278"/>
      <c r="G1757" s="278"/>
      <c r="H1757" s="278"/>
      <c r="I1757" s="278"/>
      <c r="J1757" s="278"/>
      <c r="K1757" s="278"/>
    </row>
    <row r="1758" spans="1:11" x14ac:dyDescent="0.15">
      <c r="A1758" s="278"/>
      <c r="B1758" s="278"/>
      <c r="C1758" s="278"/>
      <c r="D1758" s="278"/>
      <c r="E1758" s="278"/>
      <c r="F1758" s="278"/>
      <c r="G1758" s="278"/>
      <c r="H1758" s="278"/>
      <c r="I1758" s="278"/>
      <c r="J1758" s="278"/>
      <c r="K1758" s="278"/>
    </row>
    <row r="1759" spans="1:11" x14ac:dyDescent="0.15">
      <c r="A1759" s="278"/>
      <c r="B1759" s="278"/>
      <c r="C1759" s="278"/>
      <c r="D1759" s="278"/>
      <c r="E1759" s="278"/>
      <c r="F1759" s="278"/>
      <c r="G1759" s="278"/>
      <c r="H1759" s="278"/>
      <c r="I1759" s="278"/>
      <c r="J1759" s="278"/>
      <c r="K1759" s="278"/>
    </row>
    <row r="1760" spans="1:11" x14ac:dyDescent="0.15">
      <c r="A1760" s="278"/>
      <c r="B1760" s="278"/>
      <c r="C1760" s="278"/>
      <c r="D1760" s="278"/>
      <c r="E1760" s="278"/>
      <c r="F1760" s="278"/>
      <c r="G1760" s="278"/>
      <c r="H1760" s="278"/>
      <c r="I1760" s="278"/>
      <c r="J1760" s="278"/>
      <c r="K1760" s="278"/>
    </row>
    <row r="1761" spans="1:11" x14ac:dyDescent="0.15">
      <c r="A1761" s="278"/>
      <c r="B1761" s="278"/>
      <c r="C1761" s="278"/>
      <c r="D1761" s="278"/>
      <c r="E1761" s="278"/>
      <c r="F1761" s="278"/>
      <c r="G1761" s="278"/>
      <c r="H1761" s="278"/>
      <c r="I1761" s="278"/>
      <c r="J1761" s="278"/>
      <c r="K1761" s="278"/>
    </row>
    <row r="1762" spans="1:11" x14ac:dyDescent="0.15">
      <c r="A1762" s="278"/>
      <c r="B1762" s="278"/>
      <c r="C1762" s="278"/>
      <c r="D1762" s="278"/>
      <c r="E1762" s="278"/>
      <c r="F1762" s="278"/>
      <c r="G1762" s="278"/>
      <c r="H1762" s="278"/>
      <c r="I1762" s="278"/>
      <c r="J1762" s="278"/>
      <c r="K1762" s="278"/>
    </row>
    <row r="1763" spans="1:11" x14ac:dyDescent="0.15">
      <c r="A1763" s="278"/>
      <c r="B1763" s="278"/>
      <c r="C1763" s="278"/>
      <c r="D1763" s="278"/>
      <c r="E1763" s="278"/>
      <c r="F1763" s="278"/>
      <c r="G1763" s="278"/>
      <c r="H1763" s="278"/>
      <c r="I1763" s="278"/>
      <c r="J1763" s="278"/>
      <c r="K1763" s="278"/>
    </row>
    <row r="1764" spans="1:11" x14ac:dyDescent="0.15">
      <c r="A1764" s="278"/>
      <c r="B1764" s="278"/>
      <c r="C1764" s="278"/>
      <c r="D1764" s="278"/>
      <c r="E1764" s="278"/>
      <c r="F1764" s="278"/>
      <c r="G1764" s="278"/>
      <c r="H1764" s="278"/>
      <c r="I1764" s="278"/>
      <c r="J1764" s="278"/>
      <c r="K1764" s="278"/>
    </row>
    <row r="1765" spans="1:11" x14ac:dyDescent="0.15">
      <c r="A1765" s="278"/>
      <c r="B1765" s="278"/>
      <c r="C1765" s="278"/>
      <c r="D1765" s="278"/>
      <c r="E1765" s="278"/>
      <c r="F1765" s="278"/>
      <c r="G1765" s="278"/>
      <c r="H1765" s="278"/>
      <c r="I1765" s="278"/>
      <c r="J1765" s="278"/>
      <c r="K1765" s="278"/>
    </row>
    <row r="1766" spans="1:11" x14ac:dyDescent="0.15">
      <c r="A1766" s="278"/>
      <c r="B1766" s="278"/>
      <c r="C1766" s="278"/>
      <c r="D1766" s="278"/>
      <c r="E1766" s="278"/>
      <c r="F1766" s="278"/>
      <c r="G1766" s="278"/>
      <c r="H1766" s="278"/>
      <c r="I1766" s="278"/>
      <c r="J1766" s="278"/>
      <c r="K1766" s="278"/>
    </row>
    <row r="1767" spans="1:11" x14ac:dyDescent="0.15">
      <c r="A1767" s="278"/>
      <c r="B1767" s="278"/>
      <c r="C1767" s="278"/>
      <c r="D1767" s="278"/>
      <c r="E1767" s="278"/>
      <c r="F1767" s="278"/>
      <c r="G1767" s="278"/>
      <c r="H1767" s="278"/>
      <c r="I1767" s="278"/>
      <c r="J1767" s="278"/>
      <c r="K1767" s="278"/>
    </row>
    <row r="1768" spans="1:11" x14ac:dyDescent="0.15">
      <c r="A1768" s="278"/>
      <c r="B1768" s="278"/>
      <c r="C1768" s="278"/>
      <c r="D1768" s="278"/>
      <c r="E1768" s="278"/>
      <c r="F1768" s="278"/>
      <c r="G1768" s="278"/>
      <c r="H1768" s="278"/>
      <c r="I1768" s="278"/>
      <c r="J1768" s="278"/>
      <c r="K1768" s="278"/>
    </row>
    <row r="1769" spans="1:11" x14ac:dyDescent="0.15">
      <c r="A1769" s="278"/>
      <c r="B1769" s="278"/>
      <c r="C1769" s="278"/>
      <c r="D1769" s="278"/>
      <c r="E1769" s="278"/>
      <c r="F1769" s="278"/>
      <c r="G1769" s="278"/>
      <c r="H1769" s="278"/>
      <c r="I1769" s="278"/>
      <c r="J1769" s="278"/>
      <c r="K1769" s="278"/>
    </row>
    <row r="1770" spans="1:11" x14ac:dyDescent="0.15">
      <c r="A1770" s="278"/>
      <c r="B1770" s="278"/>
      <c r="C1770" s="278"/>
      <c r="D1770" s="278"/>
      <c r="E1770" s="278"/>
      <c r="F1770" s="278"/>
      <c r="G1770" s="278"/>
      <c r="H1770" s="278"/>
      <c r="I1770" s="278"/>
      <c r="J1770" s="278"/>
      <c r="K1770" s="278"/>
    </row>
    <row r="1771" spans="1:11" x14ac:dyDescent="0.15">
      <c r="A1771" s="278"/>
      <c r="B1771" s="278"/>
      <c r="C1771" s="278"/>
      <c r="D1771" s="278"/>
      <c r="E1771" s="278"/>
      <c r="F1771" s="278"/>
      <c r="G1771" s="278"/>
      <c r="H1771" s="278"/>
      <c r="I1771" s="278"/>
      <c r="J1771" s="278"/>
      <c r="K1771" s="278"/>
    </row>
    <row r="1772" spans="1:11" x14ac:dyDescent="0.15">
      <c r="A1772" s="278"/>
      <c r="B1772" s="278"/>
      <c r="C1772" s="278"/>
      <c r="D1772" s="278"/>
      <c r="E1772" s="278"/>
      <c r="F1772" s="278"/>
      <c r="G1772" s="278"/>
      <c r="H1772" s="278"/>
      <c r="I1772" s="278"/>
      <c r="J1772" s="278"/>
      <c r="K1772" s="278"/>
    </row>
    <row r="1773" spans="1:11" x14ac:dyDescent="0.15">
      <c r="A1773" s="278"/>
      <c r="B1773" s="278"/>
      <c r="C1773" s="278"/>
      <c r="D1773" s="278"/>
      <c r="E1773" s="278"/>
      <c r="F1773" s="278"/>
      <c r="G1773" s="278"/>
      <c r="H1773" s="278"/>
      <c r="I1773" s="278"/>
      <c r="J1773" s="278"/>
      <c r="K1773" s="278"/>
    </row>
    <row r="1774" spans="1:11" x14ac:dyDescent="0.15">
      <c r="A1774" s="278"/>
      <c r="B1774" s="278"/>
      <c r="C1774" s="278"/>
      <c r="D1774" s="278"/>
      <c r="E1774" s="278"/>
      <c r="F1774" s="278"/>
      <c r="G1774" s="278"/>
      <c r="H1774" s="278"/>
      <c r="I1774" s="278"/>
      <c r="J1774" s="278"/>
      <c r="K1774" s="278"/>
    </row>
    <row r="1775" spans="1:11" x14ac:dyDescent="0.15">
      <c r="A1775" s="278"/>
      <c r="B1775" s="278"/>
      <c r="C1775" s="278"/>
      <c r="D1775" s="278"/>
      <c r="E1775" s="278"/>
      <c r="F1775" s="278"/>
      <c r="G1775" s="278"/>
      <c r="H1775" s="278"/>
      <c r="I1775" s="278"/>
      <c r="J1775" s="278"/>
      <c r="K1775" s="278"/>
    </row>
    <row r="1776" spans="1:11" x14ac:dyDescent="0.15">
      <c r="A1776" s="278"/>
      <c r="B1776" s="278"/>
      <c r="C1776" s="278"/>
      <c r="D1776" s="278"/>
      <c r="E1776" s="278"/>
      <c r="F1776" s="278"/>
      <c r="G1776" s="278"/>
      <c r="H1776" s="278"/>
      <c r="I1776" s="278"/>
      <c r="J1776" s="278"/>
      <c r="K1776" s="278"/>
    </row>
    <row r="1777" spans="1:11" x14ac:dyDescent="0.15">
      <c r="A1777" s="278"/>
      <c r="B1777" s="278"/>
      <c r="C1777" s="278"/>
      <c r="D1777" s="278"/>
      <c r="E1777" s="278"/>
      <c r="F1777" s="278"/>
      <c r="G1777" s="278"/>
      <c r="H1777" s="278"/>
      <c r="I1777" s="278"/>
      <c r="J1777" s="278"/>
      <c r="K1777" s="278"/>
    </row>
    <row r="1778" spans="1:11" x14ac:dyDescent="0.15">
      <c r="A1778" s="278"/>
      <c r="B1778" s="278"/>
      <c r="C1778" s="278"/>
      <c r="D1778" s="278"/>
      <c r="E1778" s="278"/>
      <c r="F1778" s="278"/>
      <c r="G1778" s="278"/>
      <c r="H1778" s="278"/>
      <c r="I1778" s="278"/>
      <c r="J1778" s="278"/>
      <c r="K1778" s="278"/>
    </row>
    <row r="1779" spans="1:11" x14ac:dyDescent="0.15">
      <c r="A1779" s="278"/>
      <c r="B1779" s="278"/>
      <c r="C1779" s="278"/>
      <c r="D1779" s="278"/>
      <c r="E1779" s="278"/>
      <c r="F1779" s="278"/>
      <c r="G1779" s="278"/>
      <c r="H1779" s="278"/>
      <c r="I1779" s="278"/>
      <c r="J1779" s="278"/>
      <c r="K1779" s="278"/>
    </row>
    <row r="1780" spans="1:11" x14ac:dyDescent="0.15">
      <c r="A1780" s="278"/>
      <c r="B1780" s="278"/>
      <c r="C1780" s="278"/>
      <c r="D1780" s="278"/>
      <c r="E1780" s="278"/>
      <c r="F1780" s="278"/>
      <c r="G1780" s="278"/>
      <c r="H1780" s="278"/>
      <c r="I1780" s="278"/>
      <c r="J1780" s="278"/>
      <c r="K1780" s="278"/>
    </row>
    <row r="1781" spans="1:11" x14ac:dyDescent="0.15">
      <c r="A1781" s="278"/>
      <c r="B1781" s="278"/>
      <c r="C1781" s="278"/>
      <c r="D1781" s="278"/>
      <c r="E1781" s="278"/>
      <c r="F1781" s="278"/>
      <c r="G1781" s="278"/>
      <c r="H1781" s="278"/>
      <c r="I1781" s="278"/>
      <c r="J1781" s="278"/>
      <c r="K1781" s="278"/>
    </row>
    <row r="1782" spans="1:11" x14ac:dyDescent="0.15">
      <c r="A1782" s="278"/>
      <c r="B1782" s="278"/>
      <c r="C1782" s="278"/>
      <c r="D1782" s="278"/>
      <c r="E1782" s="278"/>
      <c r="F1782" s="278"/>
      <c r="G1782" s="278"/>
      <c r="H1782" s="278"/>
      <c r="I1782" s="278"/>
      <c r="J1782" s="278"/>
      <c r="K1782" s="278"/>
    </row>
    <row r="1783" spans="1:11" x14ac:dyDescent="0.15">
      <c r="A1783" s="278"/>
      <c r="B1783" s="278"/>
      <c r="C1783" s="278"/>
      <c r="D1783" s="278"/>
      <c r="E1783" s="278"/>
      <c r="F1783" s="278"/>
      <c r="G1783" s="278"/>
      <c r="H1783" s="278"/>
      <c r="I1783" s="278"/>
      <c r="J1783" s="278"/>
      <c r="K1783" s="278"/>
    </row>
    <row r="1784" spans="1:11" x14ac:dyDescent="0.15">
      <c r="A1784" s="278"/>
      <c r="B1784" s="278"/>
      <c r="C1784" s="278"/>
      <c r="D1784" s="278"/>
      <c r="E1784" s="278"/>
      <c r="F1784" s="278"/>
      <c r="G1784" s="278"/>
      <c r="H1784" s="278"/>
      <c r="I1784" s="278"/>
      <c r="J1784" s="278"/>
      <c r="K1784" s="278"/>
    </row>
    <row r="1785" spans="1:11" x14ac:dyDescent="0.15">
      <c r="A1785" s="278"/>
      <c r="B1785" s="278"/>
      <c r="C1785" s="278"/>
      <c r="D1785" s="278"/>
      <c r="E1785" s="278"/>
      <c r="F1785" s="278"/>
      <c r="G1785" s="278"/>
      <c r="H1785" s="278"/>
      <c r="I1785" s="278"/>
      <c r="J1785" s="278"/>
      <c r="K1785" s="278"/>
    </row>
    <row r="1786" spans="1:11" x14ac:dyDescent="0.15">
      <c r="A1786" s="278"/>
      <c r="B1786" s="278"/>
      <c r="C1786" s="278"/>
      <c r="D1786" s="278"/>
      <c r="E1786" s="278"/>
      <c r="F1786" s="278"/>
      <c r="G1786" s="278"/>
      <c r="H1786" s="278"/>
      <c r="I1786" s="278"/>
      <c r="J1786" s="278"/>
      <c r="K1786" s="278"/>
    </row>
    <row r="1787" spans="1:11" x14ac:dyDescent="0.15">
      <c r="A1787" s="278"/>
      <c r="B1787" s="278"/>
      <c r="C1787" s="278"/>
      <c r="D1787" s="278"/>
      <c r="E1787" s="278"/>
      <c r="F1787" s="278"/>
      <c r="G1787" s="278"/>
      <c r="H1787" s="278"/>
      <c r="I1787" s="278"/>
      <c r="J1787" s="278"/>
      <c r="K1787" s="278"/>
    </row>
    <row r="1788" spans="1:11" x14ac:dyDescent="0.15">
      <c r="A1788" s="278"/>
      <c r="B1788" s="278"/>
      <c r="C1788" s="278"/>
      <c r="D1788" s="278"/>
      <c r="E1788" s="278"/>
      <c r="F1788" s="278"/>
      <c r="G1788" s="278"/>
      <c r="H1788" s="278"/>
      <c r="I1788" s="278"/>
      <c r="J1788" s="278"/>
      <c r="K1788" s="278"/>
    </row>
    <row r="1789" spans="1:11" x14ac:dyDescent="0.15">
      <c r="A1789" s="278"/>
      <c r="B1789" s="278"/>
      <c r="C1789" s="278"/>
      <c r="D1789" s="278"/>
      <c r="E1789" s="278"/>
      <c r="F1789" s="278"/>
      <c r="G1789" s="278"/>
      <c r="H1789" s="278"/>
      <c r="I1789" s="278"/>
      <c r="J1789" s="278"/>
      <c r="K1789" s="278"/>
    </row>
    <row r="1790" spans="1:11" x14ac:dyDescent="0.15">
      <c r="A1790" s="278"/>
      <c r="B1790" s="278"/>
      <c r="C1790" s="278"/>
      <c r="D1790" s="278"/>
      <c r="E1790" s="278"/>
      <c r="F1790" s="278"/>
      <c r="G1790" s="278"/>
      <c r="H1790" s="278"/>
      <c r="I1790" s="278"/>
      <c r="J1790" s="278"/>
      <c r="K1790" s="278"/>
    </row>
    <row r="1791" spans="1:11" x14ac:dyDescent="0.15">
      <c r="A1791" s="278"/>
      <c r="B1791" s="278"/>
      <c r="C1791" s="278"/>
      <c r="D1791" s="278"/>
      <c r="E1791" s="278"/>
      <c r="F1791" s="278"/>
      <c r="G1791" s="278"/>
      <c r="H1791" s="278"/>
      <c r="I1791" s="278"/>
      <c r="J1791" s="278"/>
      <c r="K1791" s="278"/>
    </row>
    <row r="1792" spans="1:11" x14ac:dyDescent="0.15">
      <c r="A1792" s="278"/>
      <c r="B1792" s="278"/>
      <c r="C1792" s="278"/>
      <c r="D1792" s="278"/>
      <c r="E1792" s="278"/>
      <c r="F1792" s="278"/>
      <c r="G1792" s="278"/>
      <c r="H1792" s="278"/>
      <c r="I1792" s="278"/>
      <c r="J1792" s="278"/>
      <c r="K1792" s="278"/>
    </row>
    <row r="1793" spans="1:11" x14ac:dyDescent="0.15">
      <c r="A1793" s="278"/>
      <c r="B1793" s="278"/>
      <c r="C1793" s="278"/>
      <c r="D1793" s="278"/>
      <c r="E1793" s="278"/>
      <c r="F1793" s="278"/>
      <c r="G1793" s="278"/>
      <c r="H1793" s="278"/>
      <c r="I1793" s="278"/>
      <c r="J1793" s="278"/>
      <c r="K1793" s="278"/>
    </row>
    <row r="1794" spans="1:11" x14ac:dyDescent="0.15">
      <c r="A1794" s="278"/>
      <c r="B1794" s="278"/>
      <c r="C1794" s="278"/>
      <c r="D1794" s="278"/>
      <c r="E1794" s="278"/>
      <c r="F1794" s="278"/>
      <c r="G1794" s="278"/>
      <c r="H1794" s="278"/>
      <c r="I1794" s="278"/>
      <c r="J1794" s="278"/>
      <c r="K1794" s="278"/>
    </row>
    <row r="1795" spans="1:11" x14ac:dyDescent="0.15">
      <c r="A1795" s="278"/>
      <c r="B1795" s="278"/>
      <c r="C1795" s="278"/>
      <c r="D1795" s="278"/>
      <c r="E1795" s="278"/>
      <c r="F1795" s="278"/>
      <c r="G1795" s="278"/>
      <c r="H1795" s="278"/>
      <c r="I1795" s="278"/>
      <c r="J1795" s="278"/>
      <c r="K1795" s="278"/>
    </row>
    <row r="1796" spans="1:11" x14ac:dyDescent="0.15">
      <c r="A1796" s="278"/>
      <c r="B1796" s="278"/>
      <c r="C1796" s="278"/>
      <c r="D1796" s="278"/>
      <c r="E1796" s="278"/>
      <c r="F1796" s="278"/>
      <c r="G1796" s="278"/>
      <c r="H1796" s="278"/>
      <c r="I1796" s="278"/>
      <c r="J1796" s="278"/>
      <c r="K1796" s="278"/>
    </row>
    <row r="1797" spans="1:11" x14ac:dyDescent="0.15">
      <c r="A1797" s="278"/>
      <c r="B1797" s="278"/>
      <c r="C1797" s="278"/>
      <c r="D1797" s="278"/>
      <c r="E1797" s="278"/>
      <c r="F1797" s="278"/>
      <c r="G1797" s="278"/>
      <c r="H1797" s="278"/>
      <c r="I1797" s="278"/>
      <c r="J1797" s="278"/>
      <c r="K1797" s="278"/>
    </row>
    <row r="1798" spans="1:11" x14ac:dyDescent="0.15">
      <c r="A1798" s="278"/>
      <c r="B1798" s="278"/>
      <c r="C1798" s="278"/>
      <c r="D1798" s="278"/>
      <c r="E1798" s="278"/>
      <c r="F1798" s="278"/>
      <c r="G1798" s="278"/>
      <c r="H1798" s="278"/>
      <c r="I1798" s="278"/>
      <c r="J1798" s="278"/>
      <c r="K1798" s="278"/>
    </row>
    <row r="1799" spans="1:11" x14ac:dyDescent="0.15">
      <c r="A1799" s="278"/>
      <c r="B1799" s="278"/>
      <c r="C1799" s="278"/>
      <c r="D1799" s="278"/>
      <c r="E1799" s="278"/>
      <c r="F1799" s="278"/>
      <c r="G1799" s="278"/>
      <c r="H1799" s="278"/>
      <c r="I1799" s="278"/>
      <c r="J1799" s="278"/>
      <c r="K1799" s="278"/>
    </row>
    <row r="1800" spans="1:11" x14ac:dyDescent="0.15">
      <c r="A1800" s="278"/>
      <c r="B1800" s="278"/>
      <c r="C1800" s="278"/>
      <c r="D1800" s="278"/>
      <c r="E1800" s="278"/>
      <c r="F1800" s="278"/>
      <c r="G1800" s="278"/>
      <c r="H1800" s="278"/>
      <c r="I1800" s="278"/>
      <c r="J1800" s="278"/>
      <c r="K1800" s="278"/>
    </row>
    <row r="1801" spans="1:11" x14ac:dyDescent="0.15">
      <c r="A1801" s="278"/>
      <c r="B1801" s="278"/>
      <c r="C1801" s="278"/>
      <c r="D1801" s="278"/>
      <c r="E1801" s="278"/>
      <c r="F1801" s="278"/>
      <c r="G1801" s="278"/>
      <c r="H1801" s="278"/>
      <c r="I1801" s="278"/>
      <c r="J1801" s="278"/>
      <c r="K1801" s="278"/>
    </row>
    <row r="1802" spans="1:11" x14ac:dyDescent="0.15">
      <c r="A1802" s="278"/>
      <c r="B1802" s="278"/>
      <c r="C1802" s="278"/>
      <c r="D1802" s="278"/>
      <c r="E1802" s="278"/>
      <c r="F1802" s="278"/>
      <c r="G1802" s="278"/>
      <c r="H1802" s="278"/>
      <c r="I1802" s="278"/>
      <c r="J1802" s="278"/>
      <c r="K1802" s="278"/>
    </row>
    <row r="1803" spans="1:11" x14ac:dyDescent="0.15">
      <c r="A1803" s="278"/>
      <c r="B1803" s="278"/>
      <c r="C1803" s="278"/>
      <c r="D1803" s="278"/>
      <c r="E1803" s="278"/>
      <c r="F1803" s="278"/>
      <c r="G1803" s="278"/>
      <c r="H1803" s="278"/>
      <c r="I1803" s="278"/>
      <c r="J1803" s="278"/>
      <c r="K1803" s="278"/>
    </row>
    <row r="1804" spans="1:11" x14ac:dyDescent="0.15">
      <c r="A1804" s="278"/>
      <c r="B1804" s="278"/>
      <c r="C1804" s="278"/>
      <c r="D1804" s="278"/>
      <c r="E1804" s="278"/>
      <c r="F1804" s="278"/>
      <c r="G1804" s="278"/>
      <c r="H1804" s="278"/>
      <c r="I1804" s="278"/>
      <c r="J1804" s="278"/>
      <c r="K1804" s="278"/>
    </row>
    <row r="1805" spans="1:11" x14ac:dyDescent="0.15">
      <c r="A1805" s="278"/>
      <c r="B1805" s="278"/>
      <c r="C1805" s="278"/>
      <c r="D1805" s="278"/>
      <c r="E1805" s="278"/>
      <c r="F1805" s="278"/>
      <c r="G1805" s="278"/>
      <c r="H1805" s="278"/>
      <c r="I1805" s="278"/>
      <c r="J1805" s="278"/>
      <c r="K1805" s="278"/>
    </row>
    <row r="1806" spans="1:11" x14ac:dyDescent="0.15">
      <c r="A1806" s="278"/>
      <c r="B1806" s="278"/>
      <c r="C1806" s="278"/>
      <c r="D1806" s="278"/>
      <c r="E1806" s="278"/>
      <c r="F1806" s="278"/>
      <c r="G1806" s="278"/>
      <c r="H1806" s="278"/>
      <c r="I1806" s="278"/>
      <c r="J1806" s="278"/>
      <c r="K1806" s="278"/>
    </row>
    <row r="1807" spans="1:11" x14ac:dyDescent="0.15">
      <c r="A1807" s="278"/>
      <c r="B1807" s="278"/>
      <c r="C1807" s="278"/>
      <c r="D1807" s="278"/>
      <c r="E1807" s="278"/>
      <c r="F1807" s="278"/>
      <c r="G1807" s="278"/>
      <c r="H1807" s="278"/>
      <c r="I1807" s="278"/>
      <c r="J1807" s="278"/>
      <c r="K1807" s="278"/>
    </row>
    <row r="1808" spans="1:11" x14ac:dyDescent="0.15">
      <c r="A1808" s="278"/>
      <c r="B1808" s="278"/>
      <c r="C1808" s="278"/>
      <c r="D1808" s="278"/>
      <c r="E1808" s="278"/>
      <c r="F1808" s="278"/>
      <c r="G1808" s="278"/>
      <c r="H1808" s="278"/>
      <c r="I1808" s="278"/>
      <c r="J1808" s="278"/>
      <c r="K1808" s="278"/>
    </row>
    <row r="1809" spans="1:11" x14ac:dyDescent="0.15">
      <c r="A1809" s="278"/>
      <c r="B1809" s="278"/>
      <c r="C1809" s="278"/>
      <c r="D1809" s="278"/>
      <c r="E1809" s="278"/>
      <c r="F1809" s="278"/>
      <c r="G1809" s="278"/>
      <c r="H1809" s="278"/>
      <c r="I1809" s="278"/>
      <c r="J1809" s="278"/>
      <c r="K1809" s="278"/>
    </row>
    <row r="1810" spans="1:11" x14ac:dyDescent="0.15">
      <c r="A1810" s="278"/>
      <c r="B1810" s="278"/>
      <c r="C1810" s="278"/>
      <c r="D1810" s="278"/>
      <c r="E1810" s="278"/>
      <c r="F1810" s="278"/>
      <c r="G1810" s="278"/>
      <c r="H1810" s="278"/>
      <c r="I1810" s="278"/>
      <c r="J1810" s="278"/>
      <c r="K1810" s="278"/>
    </row>
    <row r="1811" spans="1:11" x14ac:dyDescent="0.15">
      <c r="A1811" s="278"/>
      <c r="B1811" s="278"/>
      <c r="C1811" s="278"/>
      <c r="D1811" s="278"/>
      <c r="E1811" s="278"/>
      <c r="F1811" s="278"/>
      <c r="G1811" s="278"/>
      <c r="H1811" s="278"/>
      <c r="I1811" s="278"/>
      <c r="J1811" s="278"/>
      <c r="K1811" s="278"/>
    </row>
    <row r="1812" spans="1:11" x14ac:dyDescent="0.15">
      <c r="A1812" s="278"/>
      <c r="B1812" s="278"/>
      <c r="C1812" s="278"/>
      <c r="D1812" s="278"/>
      <c r="E1812" s="278"/>
      <c r="F1812" s="278"/>
      <c r="G1812" s="278"/>
      <c r="H1812" s="278"/>
      <c r="I1812" s="278"/>
      <c r="J1812" s="278"/>
      <c r="K1812" s="278"/>
    </row>
    <row r="1813" spans="1:11" x14ac:dyDescent="0.15">
      <c r="A1813" s="278"/>
      <c r="B1813" s="278"/>
      <c r="C1813" s="278"/>
      <c r="D1813" s="278"/>
      <c r="E1813" s="278"/>
      <c r="F1813" s="278"/>
      <c r="G1813" s="278"/>
      <c r="H1813" s="278"/>
      <c r="I1813" s="278"/>
      <c r="J1813" s="278"/>
      <c r="K1813" s="278"/>
    </row>
    <row r="1814" spans="1:11" x14ac:dyDescent="0.15">
      <c r="A1814" s="278"/>
      <c r="B1814" s="278"/>
      <c r="C1814" s="278"/>
      <c r="D1814" s="278"/>
      <c r="E1814" s="278"/>
      <c r="F1814" s="278"/>
      <c r="G1814" s="278"/>
      <c r="H1814" s="278"/>
      <c r="I1814" s="278"/>
      <c r="J1814" s="278"/>
      <c r="K1814" s="278"/>
    </row>
    <row r="1815" spans="1:11" x14ac:dyDescent="0.15">
      <c r="A1815" s="278"/>
      <c r="B1815" s="278"/>
      <c r="C1815" s="278"/>
      <c r="D1815" s="278"/>
      <c r="E1815" s="278"/>
      <c r="F1815" s="278"/>
      <c r="G1815" s="278"/>
      <c r="H1815" s="278"/>
      <c r="I1815" s="278"/>
      <c r="J1815" s="278"/>
      <c r="K1815" s="278"/>
    </row>
    <row r="1816" spans="1:11" x14ac:dyDescent="0.15">
      <c r="A1816" s="278"/>
      <c r="B1816" s="278"/>
      <c r="C1816" s="278"/>
      <c r="D1816" s="278"/>
      <c r="E1816" s="278"/>
      <c r="F1816" s="278"/>
      <c r="G1816" s="278"/>
      <c r="H1816" s="278"/>
      <c r="I1816" s="278"/>
      <c r="J1816" s="278"/>
      <c r="K1816" s="278"/>
    </row>
    <row r="1817" spans="1:11" x14ac:dyDescent="0.15">
      <c r="A1817" s="278"/>
      <c r="B1817" s="278"/>
      <c r="C1817" s="278"/>
      <c r="D1817" s="278"/>
      <c r="E1817" s="278"/>
      <c r="F1817" s="278"/>
      <c r="G1817" s="278"/>
      <c r="H1817" s="278"/>
      <c r="I1817" s="278"/>
      <c r="J1817" s="278"/>
      <c r="K1817" s="278"/>
    </row>
    <row r="1818" spans="1:11" x14ac:dyDescent="0.15">
      <c r="A1818" s="278"/>
      <c r="B1818" s="278"/>
      <c r="C1818" s="278"/>
      <c r="D1818" s="278"/>
      <c r="E1818" s="278"/>
      <c r="F1818" s="278"/>
      <c r="G1818" s="278"/>
      <c r="H1818" s="278"/>
      <c r="I1818" s="278"/>
      <c r="J1818" s="278"/>
      <c r="K1818" s="278"/>
    </row>
    <row r="1819" spans="1:11" x14ac:dyDescent="0.15">
      <c r="A1819" s="278"/>
      <c r="B1819" s="278"/>
      <c r="C1819" s="278"/>
      <c r="D1819" s="278"/>
      <c r="E1819" s="278"/>
      <c r="F1819" s="278"/>
      <c r="G1819" s="278"/>
      <c r="H1819" s="278"/>
      <c r="I1819" s="278"/>
      <c r="J1819" s="278"/>
      <c r="K1819" s="278"/>
    </row>
    <row r="1820" spans="1:11" x14ac:dyDescent="0.15">
      <c r="A1820" s="278"/>
      <c r="B1820" s="278"/>
      <c r="C1820" s="278"/>
      <c r="D1820" s="278"/>
      <c r="E1820" s="278"/>
      <c r="F1820" s="278"/>
      <c r="G1820" s="278"/>
      <c r="H1820" s="278"/>
      <c r="I1820" s="278"/>
      <c r="J1820" s="278"/>
      <c r="K1820" s="278"/>
    </row>
    <row r="1821" spans="1:11" x14ac:dyDescent="0.15">
      <c r="A1821" s="278"/>
      <c r="B1821" s="278"/>
      <c r="C1821" s="278"/>
      <c r="D1821" s="278"/>
      <c r="E1821" s="278"/>
      <c r="F1821" s="278"/>
      <c r="G1821" s="278"/>
      <c r="H1821" s="278"/>
      <c r="I1821" s="278"/>
      <c r="J1821" s="278"/>
      <c r="K1821" s="278"/>
    </row>
    <row r="1822" spans="1:11" x14ac:dyDescent="0.15">
      <c r="A1822" s="278"/>
      <c r="B1822" s="278"/>
      <c r="C1822" s="278"/>
      <c r="D1822" s="278"/>
      <c r="E1822" s="278"/>
      <c r="F1822" s="278"/>
      <c r="G1822" s="278"/>
      <c r="H1822" s="278"/>
      <c r="I1822" s="278"/>
      <c r="J1822" s="278"/>
      <c r="K1822" s="278"/>
    </row>
    <row r="1823" spans="1:11" x14ac:dyDescent="0.15">
      <c r="A1823" s="278"/>
      <c r="B1823" s="278"/>
      <c r="C1823" s="278"/>
      <c r="D1823" s="278"/>
      <c r="E1823" s="278"/>
      <c r="F1823" s="278"/>
      <c r="G1823" s="278"/>
      <c r="H1823" s="278"/>
      <c r="I1823" s="278"/>
      <c r="J1823" s="278"/>
      <c r="K1823" s="278"/>
    </row>
    <row r="1824" spans="1:11" x14ac:dyDescent="0.15">
      <c r="A1824" s="278"/>
      <c r="B1824" s="278"/>
      <c r="C1824" s="278"/>
      <c r="D1824" s="278"/>
      <c r="E1824" s="278"/>
      <c r="F1824" s="278"/>
      <c r="G1824" s="278"/>
      <c r="H1824" s="278"/>
      <c r="I1824" s="278"/>
      <c r="J1824" s="278"/>
      <c r="K1824" s="278"/>
    </row>
    <row r="1825" spans="1:11" x14ac:dyDescent="0.15">
      <c r="A1825" s="278"/>
      <c r="B1825" s="278"/>
      <c r="C1825" s="278"/>
      <c r="D1825" s="278"/>
      <c r="E1825" s="278"/>
      <c r="F1825" s="278"/>
      <c r="G1825" s="278"/>
      <c r="H1825" s="278"/>
      <c r="I1825" s="278"/>
      <c r="J1825" s="278"/>
      <c r="K1825" s="278"/>
    </row>
    <row r="1826" spans="1:11" x14ac:dyDescent="0.15">
      <c r="A1826" s="278"/>
      <c r="B1826" s="278"/>
      <c r="C1826" s="278"/>
      <c r="D1826" s="278"/>
      <c r="E1826" s="278"/>
      <c r="F1826" s="278"/>
      <c r="G1826" s="278"/>
      <c r="H1826" s="278"/>
      <c r="I1826" s="278"/>
      <c r="J1826" s="278"/>
      <c r="K1826" s="278"/>
    </row>
    <row r="1827" spans="1:11" x14ac:dyDescent="0.15">
      <c r="A1827" s="278"/>
      <c r="B1827" s="278"/>
      <c r="C1827" s="278"/>
      <c r="D1827" s="278"/>
      <c r="E1827" s="278"/>
      <c r="F1827" s="278"/>
      <c r="G1827" s="278"/>
      <c r="H1827" s="278"/>
      <c r="I1827" s="278"/>
      <c r="J1827" s="278"/>
      <c r="K1827" s="278"/>
    </row>
    <row r="1828" spans="1:11" x14ac:dyDescent="0.15">
      <c r="A1828" s="278"/>
      <c r="B1828" s="278"/>
      <c r="C1828" s="278"/>
      <c r="D1828" s="278"/>
      <c r="E1828" s="278"/>
      <c r="F1828" s="278"/>
      <c r="G1828" s="278"/>
      <c r="H1828" s="278"/>
      <c r="I1828" s="278"/>
      <c r="J1828" s="278"/>
      <c r="K1828" s="278"/>
    </row>
    <row r="1829" spans="1:11" x14ac:dyDescent="0.15">
      <c r="A1829" s="278"/>
      <c r="B1829" s="278"/>
      <c r="C1829" s="278"/>
      <c r="D1829" s="278"/>
      <c r="E1829" s="278"/>
      <c r="F1829" s="278"/>
      <c r="G1829" s="278"/>
      <c r="H1829" s="278"/>
      <c r="I1829" s="278"/>
      <c r="J1829" s="278"/>
      <c r="K1829" s="278"/>
    </row>
    <row r="1830" spans="1:11" x14ac:dyDescent="0.15">
      <c r="A1830" s="278"/>
      <c r="B1830" s="278"/>
      <c r="C1830" s="278"/>
      <c r="D1830" s="278"/>
      <c r="E1830" s="278"/>
      <c r="F1830" s="278"/>
      <c r="G1830" s="278"/>
      <c r="H1830" s="278"/>
      <c r="I1830" s="278"/>
      <c r="J1830" s="278"/>
      <c r="K1830" s="278"/>
    </row>
    <row r="1831" spans="1:11" x14ac:dyDescent="0.15">
      <c r="A1831" s="278"/>
      <c r="B1831" s="278"/>
      <c r="C1831" s="278"/>
      <c r="D1831" s="278"/>
      <c r="E1831" s="278"/>
      <c r="F1831" s="278"/>
      <c r="G1831" s="278"/>
      <c r="H1831" s="278"/>
      <c r="I1831" s="278"/>
      <c r="J1831" s="278"/>
      <c r="K1831" s="278"/>
    </row>
    <row r="1832" spans="1:11" x14ac:dyDescent="0.15">
      <c r="A1832" s="278"/>
      <c r="B1832" s="278"/>
      <c r="C1832" s="278"/>
      <c r="D1832" s="278"/>
      <c r="E1832" s="278"/>
      <c r="F1832" s="278"/>
      <c r="G1832" s="278"/>
      <c r="H1832" s="278"/>
      <c r="I1832" s="278"/>
      <c r="J1832" s="278"/>
      <c r="K1832" s="278"/>
    </row>
    <row r="1833" spans="1:11" x14ac:dyDescent="0.15">
      <c r="A1833" s="278"/>
      <c r="B1833" s="278"/>
      <c r="C1833" s="278"/>
      <c r="D1833" s="278"/>
      <c r="E1833" s="278"/>
      <c r="F1833" s="278"/>
      <c r="G1833" s="278"/>
      <c r="H1833" s="278"/>
      <c r="I1833" s="278"/>
      <c r="J1833" s="278"/>
      <c r="K1833" s="278"/>
    </row>
    <row r="1834" spans="1:11" x14ac:dyDescent="0.15">
      <c r="A1834" s="278"/>
      <c r="B1834" s="278"/>
      <c r="C1834" s="278"/>
      <c r="D1834" s="278"/>
      <c r="E1834" s="278"/>
      <c r="F1834" s="278"/>
      <c r="G1834" s="278"/>
      <c r="H1834" s="278"/>
      <c r="I1834" s="278"/>
      <c r="J1834" s="278"/>
      <c r="K1834" s="278"/>
    </row>
    <row r="1835" spans="1:11" x14ac:dyDescent="0.15">
      <c r="A1835" s="278"/>
      <c r="B1835" s="278"/>
      <c r="C1835" s="278"/>
      <c r="D1835" s="278"/>
      <c r="E1835" s="278"/>
      <c r="F1835" s="278"/>
      <c r="G1835" s="278"/>
      <c r="H1835" s="278"/>
      <c r="I1835" s="278"/>
      <c r="J1835" s="278"/>
      <c r="K1835" s="278"/>
    </row>
    <row r="1836" spans="1:11" x14ac:dyDescent="0.15">
      <c r="A1836" s="278"/>
      <c r="B1836" s="278"/>
      <c r="C1836" s="278"/>
      <c r="D1836" s="278"/>
      <c r="E1836" s="278"/>
      <c r="F1836" s="278"/>
      <c r="G1836" s="278"/>
      <c r="H1836" s="278"/>
      <c r="I1836" s="278"/>
      <c r="J1836" s="278"/>
      <c r="K1836" s="278"/>
    </row>
    <row r="1837" spans="1:11" x14ac:dyDescent="0.15">
      <c r="A1837" s="278"/>
      <c r="B1837" s="278"/>
      <c r="C1837" s="278"/>
      <c r="D1837" s="278"/>
      <c r="E1837" s="278"/>
      <c r="F1837" s="278"/>
      <c r="G1837" s="278"/>
      <c r="H1837" s="278"/>
      <c r="I1837" s="278"/>
      <c r="J1837" s="278"/>
      <c r="K1837" s="278"/>
    </row>
    <row r="1838" spans="1:11" x14ac:dyDescent="0.15">
      <c r="A1838" s="278"/>
      <c r="B1838" s="278"/>
      <c r="C1838" s="278"/>
      <c r="D1838" s="278"/>
      <c r="E1838" s="278"/>
      <c r="F1838" s="278"/>
      <c r="G1838" s="278"/>
      <c r="H1838" s="278"/>
      <c r="I1838" s="278"/>
      <c r="J1838" s="278"/>
      <c r="K1838" s="278"/>
    </row>
    <row r="1839" spans="1:11" x14ac:dyDescent="0.15">
      <c r="A1839" s="278"/>
      <c r="B1839" s="278"/>
      <c r="C1839" s="278"/>
      <c r="D1839" s="278"/>
      <c r="E1839" s="278"/>
      <c r="F1839" s="278"/>
      <c r="G1839" s="278"/>
      <c r="H1839" s="278"/>
      <c r="I1839" s="278"/>
      <c r="J1839" s="278"/>
      <c r="K1839" s="278"/>
    </row>
    <row r="1840" spans="1:11" x14ac:dyDescent="0.15">
      <c r="A1840" s="278"/>
      <c r="B1840" s="278"/>
      <c r="C1840" s="278"/>
      <c r="D1840" s="278"/>
      <c r="E1840" s="278"/>
      <c r="F1840" s="278"/>
      <c r="G1840" s="278"/>
      <c r="H1840" s="278"/>
      <c r="I1840" s="278"/>
      <c r="J1840" s="278"/>
      <c r="K1840" s="278"/>
    </row>
    <row r="1841" spans="1:11" x14ac:dyDescent="0.15">
      <c r="A1841" s="278"/>
      <c r="B1841" s="278"/>
      <c r="C1841" s="278"/>
      <c r="D1841" s="278"/>
      <c r="E1841" s="278"/>
      <c r="F1841" s="278"/>
      <c r="G1841" s="278"/>
      <c r="H1841" s="278"/>
      <c r="I1841" s="278"/>
      <c r="J1841" s="278"/>
      <c r="K1841" s="278"/>
    </row>
    <row r="1842" spans="1:11" x14ac:dyDescent="0.15">
      <c r="A1842" s="278"/>
      <c r="B1842" s="278"/>
      <c r="C1842" s="278"/>
      <c r="D1842" s="278"/>
      <c r="E1842" s="278"/>
      <c r="F1842" s="278"/>
      <c r="G1842" s="278"/>
      <c r="H1842" s="278"/>
      <c r="I1842" s="278"/>
      <c r="J1842" s="278"/>
      <c r="K1842" s="278"/>
    </row>
    <row r="1843" spans="1:11" x14ac:dyDescent="0.15">
      <c r="A1843" s="278"/>
      <c r="B1843" s="278"/>
      <c r="C1843" s="278"/>
      <c r="D1843" s="278"/>
      <c r="E1843" s="278"/>
      <c r="F1843" s="278"/>
      <c r="G1843" s="278"/>
      <c r="H1843" s="278"/>
      <c r="I1843" s="278"/>
      <c r="J1843" s="278"/>
      <c r="K1843" s="278"/>
    </row>
    <row r="1844" spans="1:11" x14ac:dyDescent="0.15">
      <c r="A1844" s="278"/>
      <c r="B1844" s="278"/>
      <c r="C1844" s="278"/>
      <c r="D1844" s="278"/>
      <c r="E1844" s="278"/>
      <c r="F1844" s="278"/>
      <c r="G1844" s="278"/>
      <c r="H1844" s="278"/>
      <c r="I1844" s="278"/>
      <c r="J1844" s="278"/>
      <c r="K1844" s="278"/>
    </row>
    <row r="1845" spans="1:11" x14ac:dyDescent="0.15">
      <c r="A1845" s="278"/>
      <c r="B1845" s="278"/>
      <c r="C1845" s="278"/>
      <c r="D1845" s="278"/>
      <c r="E1845" s="278"/>
      <c r="F1845" s="278"/>
      <c r="G1845" s="278"/>
      <c r="H1845" s="278"/>
      <c r="I1845" s="278"/>
      <c r="J1845" s="278"/>
      <c r="K1845" s="278"/>
    </row>
    <row r="1846" spans="1:11" x14ac:dyDescent="0.15">
      <c r="A1846" s="278"/>
      <c r="B1846" s="278"/>
      <c r="C1846" s="278"/>
      <c r="D1846" s="278"/>
      <c r="E1846" s="278"/>
      <c r="F1846" s="278"/>
      <c r="G1846" s="278"/>
      <c r="H1846" s="278"/>
      <c r="I1846" s="278"/>
      <c r="J1846" s="278"/>
      <c r="K1846" s="278"/>
    </row>
    <row r="1847" spans="1:11" x14ac:dyDescent="0.15">
      <c r="A1847" s="278"/>
      <c r="B1847" s="278"/>
      <c r="C1847" s="278"/>
      <c r="D1847" s="278"/>
      <c r="E1847" s="278"/>
      <c r="F1847" s="278"/>
      <c r="G1847" s="278"/>
      <c r="H1847" s="278"/>
      <c r="I1847" s="278"/>
      <c r="J1847" s="278"/>
      <c r="K1847" s="278"/>
    </row>
    <row r="1848" spans="1:11" x14ac:dyDescent="0.15">
      <c r="A1848" s="278"/>
      <c r="B1848" s="278"/>
      <c r="C1848" s="278"/>
      <c r="D1848" s="278"/>
      <c r="E1848" s="278"/>
      <c r="F1848" s="278"/>
      <c r="G1848" s="278"/>
      <c r="H1848" s="278"/>
      <c r="I1848" s="278"/>
      <c r="J1848" s="278"/>
      <c r="K1848" s="278"/>
    </row>
    <row r="1849" spans="1:11" x14ac:dyDescent="0.15">
      <c r="A1849" s="278"/>
      <c r="B1849" s="278"/>
      <c r="C1849" s="278"/>
      <c r="D1849" s="278"/>
      <c r="E1849" s="278"/>
      <c r="F1849" s="278"/>
      <c r="G1849" s="278"/>
      <c r="H1849" s="278"/>
      <c r="I1849" s="278"/>
      <c r="J1849" s="278"/>
      <c r="K1849" s="278"/>
    </row>
    <row r="1850" spans="1:11" x14ac:dyDescent="0.15">
      <c r="A1850" s="278"/>
      <c r="B1850" s="278"/>
      <c r="C1850" s="278"/>
      <c r="D1850" s="278"/>
      <c r="E1850" s="278"/>
      <c r="F1850" s="278"/>
      <c r="G1850" s="278"/>
      <c r="H1850" s="278"/>
      <c r="I1850" s="278"/>
      <c r="J1850" s="278"/>
      <c r="K1850" s="278"/>
    </row>
    <row r="1851" spans="1:11" x14ac:dyDescent="0.15">
      <c r="A1851" s="278"/>
      <c r="B1851" s="278"/>
      <c r="C1851" s="278"/>
      <c r="D1851" s="278"/>
      <c r="E1851" s="278"/>
      <c r="F1851" s="278"/>
      <c r="G1851" s="278"/>
      <c r="H1851" s="278"/>
      <c r="I1851" s="278"/>
      <c r="J1851" s="278"/>
      <c r="K1851" s="278"/>
    </row>
    <row r="1852" spans="1:11" x14ac:dyDescent="0.15">
      <c r="A1852" s="278"/>
      <c r="B1852" s="278"/>
      <c r="C1852" s="278"/>
      <c r="D1852" s="278"/>
      <c r="E1852" s="278"/>
      <c r="F1852" s="278"/>
      <c r="G1852" s="278"/>
      <c r="H1852" s="278"/>
      <c r="I1852" s="278"/>
      <c r="J1852" s="278"/>
      <c r="K1852" s="278"/>
    </row>
    <row r="1853" spans="1:11" x14ac:dyDescent="0.15">
      <c r="A1853" s="278"/>
      <c r="B1853" s="278"/>
      <c r="C1853" s="278"/>
      <c r="D1853" s="278"/>
      <c r="E1853" s="278"/>
      <c r="F1853" s="278"/>
      <c r="G1853" s="278"/>
      <c r="H1853" s="278"/>
      <c r="I1853" s="278"/>
      <c r="J1853" s="278"/>
      <c r="K1853" s="278"/>
    </row>
    <row r="1854" spans="1:11" x14ac:dyDescent="0.15">
      <c r="A1854" s="278"/>
      <c r="B1854" s="278"/>
      <c r="C1854" s="278"/>
      <c r="D1854" s="278"/>
      <c r="E1854" s="278"/>
      <c r="F1854" s="278"/>
      <c r="G1854" s="278"/>
      <c r="H1854" s="278"/>
      <c r="I1854" s="278"/>
      <c r="J1854" s="278"/>
      <c r="K1854" s="278"/>
    </row>
    <row r="1855" spans="1:11" x14ac:dyDescent="0.15">
      <c r="A1855" s="278"/>
      <c r="B1855" s="278"/>
      <c r="C1855" s="278"/>
      <c r="D1855" s="278"/>
      <c r="E1855" s="278"/>
      <c r="F1855" s="278"/>
      <c r="G1855" s="278"/>
      <c r="H1855" s="278"/>
      <c r="I1855" s="278"/>
      <c r="J1855" s="278"/>
      <c r="K1855" s="278"/>
    </row>
    <row r="1856" spans="1:11" x14ac:dyDescent="0.15">
      <c r="A1856" s="278"/>
      <c r="B1856" s="278"/>
      <c r="C1856" s="278"/>
      <c r="D1856" s="278"/>
      <c r="E1856" s="278"/>
      <c r="F1856" s="278"/>
      <c r="G1856" s="278"/>
      <c r="H1856" s="278"/>
      <c r="I1856" s="278"/>
      <c r="J1856" s="278"/>
      <c r="K1856" s="278"/>
    </row>
    <row r="1857" spans="1:11" x14ac:dyDescent="0.15">
      <c r="A1857" s="278"/>
      <c r="B1857" s="278"/>
      <c r="C1857" s="278"/>
      <c r="D1857" s="278"/>
      <c r="E1857" s="278"/>
      <c r="F1857" s="278"/>
      <c r="G1857" s="278"/>
      <c r="H1857" s="278"/>
      <c r="I1857" s="278"/>
      <c r="J1857" s="278"/>
      <c r="K1857" s="278"/>
    </row>
    <row r="1858" spans="1:11" x14ac:dyDescent="0.15">
      <c r="A1858" s="278"/>
      <c r="B1858" s="278"/>
      <c r="C1858" s="278"/>
      <c r="D1858" s="278"/>
      <c r="E1858" s="278"/>
      <c r="F1858" s="278"/>
      <c r="G1858" s="278"/>
      <c r="H1858" s="278"/>
      <c r="I1858" s="278"/>
      <c r="J1858" s="278"/>
      <c r="K1858" s="278"/>
    </row>
    <row r="1859" spans="1:11" x14ac:dyDescent="0.15">
      <c r="A1859" s="278"/>
      <c r="B1859" s="278"/>
      <c r="C1859" s="278"/>
      <c r="D1859" s="278"/>
      <c r="E1859" s="278"/>
      <c r="F1859" s="278"/>
      <c r="G1859" s="278"/>
      <c r="H1859" s="278"/>
      <c r="I1859" s="278"/>
      <c r="J1859" s="278"/>
      <c r="K1859" s="278"/>
    </row>
    <row r="1860" spans="1:11" x14ac:dyDescent="0.15">
      <c r="A1860" s="278"/>
      <c r="B1860" s="278"/>
      <c r="C1860" s="278"/>
      <c r="D1860" s="278"/>
      <c r="E1860" s="278"/>
      <c r="F1860" s="278"/>
      <c r="G1860" s="278"/>
      <c r="H1860" s="278"/>
      <c r="I1860" s="278"/>
      <c r="J1860" s="278"/>
      <c r="K1860" s="278"/>
    </row>
    <row r="1861" spans="1:11" x14ac:dyDescent="0.15">
      <c r="A1861" s="278"/>
      <c r="B1861" s="278"/>
      <c r="C1861" s="278"/>
      <c r="D1861" s="278"/>
      <c r="E1861" s="278"/>
      <c r="F1861" s="278"/>
      <c r="G1861" s="278"/>
      <c r="H1861" s="278"/>
      <c r="I1861" s="278"/>
      <c r="J1861" s="278"/>
      <c r="K1861" s="278"/>
    </row>
    <row r="1862" spans="1:11" x14ac:dyDescent="0.15">
      <c r="A1862" s="278"/>
      <c r="B1862" s="278"/>
      <c r="C1862" s="278"/>
      <c r="D1862" s="278"/>
      <c r="E1862" s="278"/>
      <c r="F1862" s="278"/>
      <c r="G1862" s="278"/>
      <c r="H1862" s="278"/>
      <c r="I1862" s="278"/>
      <c r="J1862" s="278"/>
      <c r="K1862" s="278"/>
    </row>
    <row r="1863" spans="1:11" x14ac:dyDescent="0.15">
      <c r="A1863" s="278"/>
      <c r="B1863" s="278"/>
      <c r="C1863" s="278"/>
      <c r="D1863" s="278"/>
      <c r="E1863" s="278"/>
      <c r="F1863" s="278"/>
      <c r="G1863" s="278"/>
      <c r="H1863" s="278"/>
      <c r="I1863" s="278"/>
      <c r="J1863" s="278"/>
      <c r="K1863" s="278"/>
    </row>
    <row r="1864" spans="1:11" x14ac:dyDescent="0.15">
      <c r="A1864" s="278"/>
      <c r="B1864" s="278"/>
      <c r="C1864" s="278"/>
      <c r="D1864" s="278"/>
      <c r="E1864" s="278"/>
      <c r="F1864" s="278"/>
      <c r="G1864" s="278"/>
      <c r="H1864" s="278"/>
      <c r="I1864" s="278"/>
      <c r="J1864" s="278"/>
      <c r="K1864" s="278"/>
    </row>
    <row r="1865" spans="1:11" x14ac:dyDescent="0.15">
      <c r="A1865" s="278"/>
      <c r="B1865" s="278"/>
      <c r="C1865" s="278"/>
      <c r="D1865" s="278"/>
      <c r="E1865" s="278"/>
      <c r="F1865" s="278"/>
      <c r="G1865" s="278"/>
      <c r="H1865" s="278"/>
      <c r="I1865" s="278"/>
      <c r="J1865" s="278"/>
      <c r="K1865" s="278"/>
    </row>
    <row r="1866" spans="1:11" x14ac:dyDescent="0.15">
      <c r="A1866" s="278"/>
      <c r="B1866" s="278"/>
      <c r="C1866" s="278"/>
      <c r="D1866" s="278"/>
      <c r="E1866" s="278"/>
      <c r="F1866" s="278"/>
      <c r="G1866" s="278"/>
      <c r="H1866" s="278"/>
      <c r="I1866" s="278"/>
      <c r="J1866" s="278"/>
      <c r="K1866" s="278"/>
    </row>
    <row r="1867" spans="1:11" x14ac:dyDescent="0.15">
      <c r="A1867" s="278"/>
      <c r="B1867" s="278"/>
      <c r="C1867" s="278"/>
      <c r="D1867" s="278"/>
      <c r="E1867" s="278"/>
      <c r="F1867" s="278"/>
      <c r="G1867" s="278"/>
      <c r="H1867" s="278"/>
      <c r="I1867" s="278"/>
      <c r="J1867" s="278"/>
      <c r="K1867" s="278"/>
    </row>
    <row r="1868" spans="1:11" x14ac:dyDescent="0.15">
      <c r="A1868" s="278"/>
      <c r="B1868" s="278"/>
      <c r="C1868" s="278"/>
      <c r="D1868" s="278"/>
      <c r="E1868" s="278"/>
      <c r="F1868" s="278"/>
      <c r="G1868" s="278"/>
      <c r="H1868" s="278"/>
      <c r="I1868" s="278"/>
      <c r="J1868" s="278"/>
      <c r="K1868" s="278"/>
    </row>
    <row r="1869" spans="1:11" x14ac:dyDescent="0.15">
      <c r="A1869" s="278"/>
      <c r="B1869" s="278"/>
      <c r="C1869" s="278"/>
      <c r="D1869" s="278"/>
      <c r="E1869" s="278"/>
      <c r="F1869" s="278"/>
      <c r="G1869" s="278"/>
      <c r="H1869" s="278"/>
      <c r="I1869" s="278"/>
      <c r="J1869" s="278"/>
      <c r="K1869" s="278"/>
    </row>
    <row r="1870" spans="1:11" x14ac:dyDescent="0.15">
      <c r="A1870" s="278"/>
      <c r="B1870" s="278"/>
      <c r="C1870" s="278"/>
      <c r="D1870" s="278"/>
      <c r="E1870" s="278"/>
      <c r="F1870" s="278"/>
      <c r="G1870" s="278"/>
      <c r="H1870" s="278"/>
      <c r="I1870" s="278"/>
      <c r="J1870" s="278"/>
      <c r="K1870" s="278"/>
    </row>
    <row r="1871" spans="1:11" x14ac:dyDescent="0.15">
      <c r="A1871" s="278"/>
      <c r="B1871" s="278"/>
      <c r="C1871" s="278"/>
      <c r="D1871" s="278"/>
      <c r="E1871" s="278"/>
      <c r="F1871" s="278"/>
      <c r="G1871" s="278"/>
      <c r="H1871" s="278"/>
      <c r="I1871" s="278"/>
      <c r="J1871" s="278"/>
      <c r="K1871" s="278"/>
    </row>
    <row r="1872" spans="1:11" x14ac:dyDescent="0.15">
      <c r="A1872" s="278"/>
      <c r="B1872" s="278"/>
      <c r="C1872" s="278"/>
      <c r="D1872" s="278"/>
      <c r="E1872" s="278"/>
      <c r="F1872" s="278"/>
      <c r="G1872" s="278"/>
      <c r="H1872" s="278"/>
      <c r="I1872" s="278"/>
      <c r="J1872" s="278"/>
      <c r="K1872" s="278"/>
    </row>
    <row r="1873" spans="1:11" x14ac:dyDescent="0.15">
      <c r="A1873" s="278"/>
      <c r="B1873" s="278"/>
      <c r="C1873" s="278"/>
      <c r="D1873" s="278"/>
      <c r="E1873" s="278"/>
      <c r="F1873" s="278"/>
      <c r="G1873" s="278"/>
      <c r="H1873" s="278"/>
      <c r="I1873" s="278"/>
      <c r="J1873" s="278"/>
      <c r="K1873" s="278"/>
    </row>
    <row r="1874" spans="1:11" x14ac:dyDescent="0.15">
      <c r="A1874" s="278"/>
      <c r="B1874" s="278"/>
      <c r="C1874" s="278"/>
      <c r="D1874" s="278"/>
      <c r="E1874" s="278"/>
      <c r="F1874" s="278"/>
      <c r="G1874" s="278"/>
      <c r="H1874" s="278"/>
      <c r="I1874" s="278"/>
      <c r="J1874" s="278"/>
      <c r="K1874" s="278"/>
    </row>
    <row r="1875" spans="1:11" x14ac:dyDescent="0.15">
      <c r="A1875" s="278"/>
      <c r="B1875" s="278"/>
      <c r="C1875" s="278"/>
      <c r="D1875" s="278"/>
      <c r="E1875" s="278"/>
      <c r="F1875" s="278"/>
      <c r="G1875" s="278"/>
      <c r="H1875" s="278"/>
      <c r="I1875" s="278"/>
      <c r="J1875" s="278"/>
      <c r="K1875" s="278"/>
    </row>
    <row r="1876" spans="1:11" x14ac:dyDescent="0.15">
      <c r="A1876" s="278"/>
      <c r="B1876" s="278"/>
      <c r="C1876" s="278"/>
      <c r="D1876" s="278"/>
      <c r="E1876" s="278"/>
      <c r="F1876" s="278"/>
      <c r="G1876" s="278"/>
      <c r="H1876" s="278"/>
      <c r="I1876" s="278"/>
      <c r="J1876" s="278"/>
      <c r="K1876" s="278"/>
    </row>
    <row r="1877" spans="1:11" x14ac:dyDescent="0.15">
      <c r="A1877" s="278"/>
      <c r="B1877" s="278"/>
      <c r="C1877" s="278"/>
      <c r="D1877" s="278"/>
      <c r="E1877" s="278"/>
      <c r="F1877" s="278"/>
      <c r="G1877" s="278"/>
      <c r="H1877" s="278"/>
      <c r="I1877" s="278"/>
      <c r="J1877" s="278"/>
      <c r="K1877" s="278"/>
    </row>
    <row r="1878" spans="1:11" x14ac:dyDescent="0.15">
      <c r="A1878" s="278"/>
      <c r="B1878" s="278"/>
      <c r="C1878" s="278"/>
      <c r="D1878" s="278"/>
      <c r="E1878" s="278"/>
      <c r="F1878" s="278"/>
      <c r="G1878" s="278"/>
      <c r="H1878" s="278"/>
      <c r="I1878" s="278"/>
      <c r="J1878" s="278"/>
      <c r="K1878" s="278"/>
    </row>
    <row r="1879" spans="1:11" x14ac:dyDescent="0.15">
      <c r="A1879" s="278"/>
      <c r="B1879" s="278"/>
      <c r="C1879" s="278"/>
      <c r="D1879" s="278"/>
      <c r="E1879" s="278"/>
      <c r="F1879" s="278"/>
      <c r="G1879" s="278"/>
      <c r="H1879" s="278"/>
      <c r="I1879" s="278"/>
      <c r="J1879" s="278"/>
      <c r="K1879" s="278"/>
    </row>
    <row r="1880" spans="1:11" x14ac:dyDescent="0.15">
      <c r="A1880" s="278"/>
      <c r="B1880" s="278"/>
      <c r="C1880" s="278"/>
      <c r="D1880" s="278"/>
      <c r="E1880" s="278"/>
      <c r="F1880" s="278"/>
      <c r="G1880" s="278"/>
      <c r="H1880" s="278"/>
      <c r="I1880" s="278"/>
      <c r="J1880" s="278"/>
      <c r="K1880" s="278"/>
    </row>
    <row r="1881" spans="1:11" x14ac:dyDescent="0.15">
      <c r="A1881" s="278"/>
      <c r="B1881" s="278"/>
      <c r="C1881" s="278"/>
      <c r="D1881" s="278"/>
      <c r="E1881" s="278"/>
      <c r="F1881" s="278"/>
      <c r="G1881" s="278"/>
      <c r="H1881" s="278"/>
      <c r="I1881" s="278"/>
      <c r="J1881" s="278"/>
      <c r="K1881" s="278"/>
    </row>
    <row r="1882" spans="1:11" x14ac:dyDescent="0.15">
      <c r="A1882" s="278"/>
      <c r="B1882" s="278"/>
      <c r="C1882" s="278"/>
      <c r="D1882" s="278"/>
      <c r="E1882" s="278"/>
      <c r="F1882" s="278"/>
      <c r="G1882" s="278"/>
      <c r="H1882" s="278"/>
      <c r="I1882" s="278"/>
      <c r="J1882" s="278"/>
      <c r="K1882" s="278"/>
    </row>
    <row r="1883" spans="1:11" x14ac:dyDescent="0.15">
      <c r="A1883" s="278"/>
      <c r="B1883" s="278"/>
      <c r="C1883" s="278"/>
      <c r="D1883" s="278"/>
      <c r="E1883" s="278"/>
      <c r="F1883" s="278"/>
      <c r="G1883" s="278"/>
      <c r="H1883" s="278"/>
      <c r="I1883" s="278"/>
      <c r="J1883" s="278"/>
      <c r="K1883" s="278"/>
    </row>
    <row r="1884" spans="1:11" x14ac:dyDescent="0.15">
      <c r="A1884" s="278"/>
      <c r="B1884" s="278"/>
      <c r="C1884" s="278"/>
      <c r="D1884" s="278"/>
      <c r="E1884" s="278"/>
      <c r="F1884" s="278"/>
      <c r="G1884" s="278"/>
      <c r="H1884" s="278"/>
      <c r="I1884" s="278"/>
      <c r="J1884" s="278"/>
      <c r="K1884" s="278"/>
    </row>
    <row r="1885" spans="1:11" x14ac:dyDescent="0.15">
      <c r="A1885" s="278"/>
      <c r="B1885" s="278"/>
      <c r="C1885" s="278"/>
      <c r="D1885" s="278"/>
      <c r="E1885" s="278"/>
      <c r="F1885" s="278"/>
      <c r="G1885" s="278"/>
      <c r="H1885" s="278"/>
      <c r="I1885" s="278"/>
      <c r="J1885" s="278"/>
      <c r="K1885" s="278"/>
    </row>
    <row r="1886" spans="1:11" x14ac:dyDescent="0.15">
      <c r="A1886" s="278"/>
      <c r="B1886" s="278"/>
      <c r="C1886" s="278"/>
      <c r="D1886" s="278"/>
      <c r="E1886" s="278"/>
      <c r="F1886" s="278"/>
      <c r="G1886" s="278"/>
      <c r="H1886" s="278"/>
      <c r="I1886" s="278"/>
      <c r="J1886" s="278"/>
      <c r="K1886" s="278"/>
    </row>
    <row r="1887" spans="1:11" x14ac:dyDescent="0.15">
      <c r="A1887" s="278"/>
      <c r="B1887" s="278"/>
      <c r="C1887" s="278"/>
      <c r="D1887" s="278"/>
      <c r="E1887" s="278"/>
      <c r="F1887" s="278"/>
      <c r="G1887" s="278"/>
      <c r="H1887" s="278"/>
      <c r="I1887" s="278"/>
      <c r="J1887" s="278"/>
      <c r="K1887" s="278"/>
    </row>
    <row r="1888" spans="1:11" x14ac:dyDescent="0.15">
      <c r="A1888" s="278"/>
      <c r="B1888" s="278"/>
      <c r="C1888" s="278"/>
      <c r="D1888" s="278"/>
      <c r="E1888" s="278"/>
      <c r="F1888" s="278"/>
      <c r="G1888" s="278"/>
      <c r="H1888" s="278"/>
      <c r="I1888" s="278"/>
      <c r="J1888" s="278"/>
      <c r="K1888" s="278"/>
    </row>
    <row r="1889" spans="1:11" x14ac:dyDescent="0.15">
      <c r="A1889" s="278"/>
      <c r="B1889" s="278"/>
      <c r="C1889" s="278"/>
      <c r="D1889" s="278"/>
      <c r="E1889" s="278"/>
      <c r="F1889" s="278"/>
      <c r="G1889" s="278"/>
      <c r="H1889" s="278"/>
      <c r="I1889" s="278"/>
      <c r="J1889" s="278"/>
      <c r="K1889" s="278"/>
    </row>
    <row r="1890" spans="1:11" x14ac:dyDescent="0.15">
      <c r="A1890" s="278"/>
      <c r="B1890" s="278"/>
      <c r="C1890" s="278"/>
      <c r="D1890" s="278"/>
      <c r="E1890" s="278"/>
      <c r="F1890" s="278"/>
      <c r="G1890" s="278"/>
      <c r="H1890" s="278"/>
      <c r="I1890" s="278"/>
      <c r="J1890" s="278"/>
      <c r="K1890" s="278"/>
    </row>
    <row r="1891" spans="1:11" x14ac:dyDescent="0.15">
      <c r="A1891" s="278"/>
      <c r="B1891" s="278"/>
      <c r="C1891" s="278"/>
      <c r="D1891" s="278"/>
      <c r="E1891" s="278"/>
      <c r="F1891" s="278"/>
      <c r="G1891" s="278"/>
      <c r="H1891" s="278"/>
      <c r="I1891" s="278"/>
      <c r="J1891" s="278"/>
      <c r="K1891" s="278"/>
    </row>
    <row r="1892" spans="1:11" x14ac:dyDescent="0.15">
      <c r="A1892" s="278"/>
      <c r="B1892" s="278"/>
      <c r="C1892" s="278"/>
      <c r="D1892" s="278"/>
      <c r="E1892" s="278"/>
      <c r="F1892" s="278"/>
      <c r="G1892" s="278"/>
      <c r="H1892" s="278"/>
      <c r="I1892" s="278"/>
      <c r="J1892" s="278"/>
      <c r="K1892" s="278"/>
    </row>
    <row r="1893" spans="1:11" x14ac:dyDescent="0.15">
      <c r="A1893" s="278"/>
      <c r="B1893" s="278"/>
      <c r="C1893" s="278"/>
      <c r="D1893" s="278"/>
      <c r="E1893" s="278"/>
      <c r="F1893" s="278"/>
      <c r="G1893" s="278"/>
      <c r="H1893" s="278"/>
      <c r="I1893" s="278"/>
      <c r="J1893" s="278"/>
      <c r="K1893" s="278"/>
    </row>
    <row r="1894" spans="1:11" x14ac:dyDescent="0.15">
      <c r="A1894" s="278"/>
      <c r="B1894" s="278"/>
      <c r="C1894" s="278"/>
      <c r="D1894" s="278"/>
      <c r="E1894" s="278"/>
      <c r="F1894" s="278"/>
      <c r="G1894" s="278"/>
      <c r="H1894" s="278"/>
      <c r="I1894" s="278"/>
      <c r="J1894" s="278"/>
      <c r="K1894" s="278"/>
    </row>
    <row r="1895" spans="1:11" x14ac:dyDescent="0.15">
      <c r="A1895" s="278"/>
      <c r="B1895" s="278"/>
      <c r="C1895" s="278"/>
      <c r="D1895" s="278"/>
      <c r="E1895" s="278"/>
      <c r="F1895" s="278"/>
      <c r="G1895" s="278"/>
      <c r="H1895" s="278"/>
      <c r="I1895" s="278"/>
      <c r="J1895" s="278"/>
      <c r="K1895" s="278"/>
    </row>
    <row r="1896" spans="1:11" x14ac:dyDescent="0.15">
      <c r="A1896" s="278"/>
      <c r="B1896" s="278"/>
      <c r="C1896" s="278"/>
      <c r="D1896" s="278"/>
      <c r="E1896" s="278"/>
      <c r="F1896" s="278"/>
      <c r="G1896" s="278"/>
      <c r="H1896" s="278"/>
      <c r="I1896" s="278"/>
      <c r="J1896" s="278"/>
      <c r="K1896" s="278"/>
    </row>
    <row r="1897" spans="1:11" x14ac:dyDescent="0.15">
      <c r="A1897" s="278"/>
      <c r="B1897" s="278"/>
      <c r="C1897" s="278"/>
      <c r="D1897" s="278"/>
      <c r="E1897" s="278"/>
      <c r="F1897" s="278"/>
      <c r="G1897" s="278"/>
      <c r="H1897" s="278"/>
      <c r="I1897" s="278"/>
      <c r="J1897" s="278"/>
      <c r="K1897" s="278"/>
    </row>
    <row r="1898" spans="1:11" x14ac:dyDescent="0.15">
      <c r="A1898" s="278"/>
      <c r="B1898" s="278"/>
      <c r="C1898" s="278"/>
      <c r="D1898" s="278"/>
      <c r="E1898" s="278"/>
      <c r="F1898" s="278"/>
      <c r="G1898" s="278"/>
      <c r="H1898" s="278"/>
      <c r="I1898" s="278"/>
      <c r="J1898" s="278"/>
      <c r="K1898" s="278"/>
    </row>
    <row r="1899" spans="1:11" x14ac:dyDescent="0.15">
      <c r="A1899" s="278"/>
      <c r="B1899" s="278"/>
      <c r="C1899" s="278"/>
      <c r="D1899" s="278"/>
      <c r="E1899" s="278"/>
      <c r="F1899" s="278"/>
      <c r="G1899" s="278"/>
      <c r="H1899" s="278"/>
      <c r="I1899" s="278"/>
      <c r="J1899" s="278"/>
      <c r="K1899" s="278"/>
    </row>
    <row r="1900" spans="1:11" x14ac:dyDescent="0.15">
      <c r="A1900" s="278"/>
      <c r="B1900" s="278"/>
      <c r="C1900" s="278"/>
      <c r="D1900" s="278"/>
      <c r="E1900" s="278"/>
      <c r="F1900" s="278"/>
      <c r="G1900" s="278"/>
      <c r="H1900" s="278"/>
      <c r="I1900" s="278"/>
      <c r="J1900" s="278"/>
      <c r="K1900" s="278"/>
    </row>
    <row r="1901" spans="1:11" x14ac:dyDescent="0.15">
      <c r="A1901" s="278"/>
      <c r="B1901" s="278"/>
      <c r="C1901" s="278"/>
      <c r="D1901" s="278"/>
      <c r="E1901" s="278"/>
      <c r="F1901" s="278"/>
      <c r="G1901" s="278"/>
      <c r="H1901" s="278"/>
      <c r="I1901" s="278"/>
      <c r="J1901" s="278"/>
      <c r="K1901" s="278"/>
    </row>
    <row r="1902" spans="1:11" x14ac:dyDescent="0.15">
      <c r="A1902" s="278"/>
      <c r="B1902" s="278"/>
      <c r="C1902" s="278"/>
      <c r="D1902" s="278"/>
      <c r="E1902" s="278"/>
      <c r="F1902" s="278"/>
      <c r="G1902" s="278"/>
      <c r="H1902" s="278"/>
      <c r="I1902" s="278"/>
      <c r="J1902" s="278"/>
      <c r="K1902" s="278"/>
    </row>
    <row r="1903" spans="1:11" x14ac:dyDescent="0.15">
      <c r="A1903" s="278"/>
      <c r="B1903" s="278"/>
      <c r="C1903" s="278"/>
      <c r="D1903" s="278"/>
      <c r="E1903" s="278"/>
      <c r="F1903" s="278"/>
      <c r="G1903" s="278"/>
      <c r="H1903" s="278"/>
      <c r="I1903" s="278"/>
      <c r="J1903" s="278"/>
      <c r="K1903" s="278"/>
    </row>
    <row r="1904" spans="1:11" x14ac:dyDescent="0.15">
      <c r="A1904" s="278"/>
      <c r="B1904" s="278"/>
      <c r="C1904" s="278"/>
      <c r="D1904" s="278"/>
      <c r="E1904" s="278"/>
      <c r="F1904" s="278"/>
      <c r="G1904" s="278"/>
      <c r="H1904" s="278"/>
      <c r="I1904" s="278"/>
      <c r="J1904" s="278"/>
      <c r="K1904" s="278"/>
    </row>
    <row r="1905" spans="1:11" x14ac:dyDescent="0.15">
      <c r="A1905" s="278"/>
      <c r="B1905" s="278"/>
      <c r="C1905" s="278"/>
      <c r="D1905" s="278"/>
      <c r="E1905" s="278"/>
      <c r="F1905" s="278"/>
      <c r="G1905" s="278"/>
      <c r="H1905" s="278"/>
      <c r="I1905" s="278"/>
      <c r="J1905" s="278"/>
      <c r="K1905" s="278"/>
    </row>
    <row r="1906" spans="1:11" x14ac:dyDescent="0.15">
      <c r="A1906" s="278"/>
      <c r="B1906" s="278"/>
      <c r="C1906" s="278"/>
      <c r="D1906" s="278"/>
      <c r="E1906" s="278"/>
      <c r="F1906" s="278"/>
      <c r="G1906" s="278"/>
      <c r="H1906" s="278"/>
      <c r="I1906" s="278"/>
      <c r="J1906" s="278"/>
      <c r="K1906" s="278"/>
    </row>
    <row r="1907" spans="1:11" x14ac:dyDescent="0.15">
      <c r="A1907" s="278"/>
      <c r="B1907" s="278"/>
      <c r="C1907" s="278"/>
      <c r="D1907" s="278"/>
      <c r="E1907" s="278"/>
      <c r="F1907" s="278"/>
      <c r="G1907" s="278"/>
      <c r="H1907" s="278"/>
      <c r="I1907" s="278"/>
      <c r="J1907" s="278"/>
      <c r="K1907" s="278"/>
    </row>
    <row r="1908" spans="1:11" x14ac:dyDescent="0.15">
      <c r="A1908" s="278"/>
      <c r="B1908" s="278"/>
      <c r="C1908" s="278"/>
      <c r="D1908" s="278"/>
      <c r="E1908" s="278"/>
      <c r="F1908" s="278"/>
      <c r="G1908" s="278"/>
      <c r="H1908" s="278"/>
      <c r="I1908" s="278"/>
      <c r="J1908" s="278"/>
      <c r="K1908" s="278"/>
    </row>
    <row r="1909" spans="1:11" x14ac:dyDescent="0.15">
      <c r="A1909" s="278"/>
      <c r="B1909" s="278"/>
      <c r="C1909" s="278"/>
      <c r="D1909" s="278"/>
      <c r="E1909" s="278"/>
      <c r="F1909" s="278"/>
      <c r="G1909" s="278"/>
      <c r="H1909" s="278"/>
      <c r="I1909" s="278"/>
      <c r="J1909" s="278"/>
      <c r="K1909" s="278"/>
    </row>
    <row r="1910" spans="1:11" x14ac:dyDescent="0.15">
      <c r="A1910" s="278"/>
      <c r="B1910" s="278"/>
      <c r="C1910" s="278"/>
      <c r="D1910" s="278"/>
      <c r="E1910" s="278"/>
      <c r="F1910" s="278"/>
      <c r="G1910" s="278"/>
      <c r="H1910" s="278"/>
      <c r="I1910" s="278"/>
      <c r="J1910" s="278"/>
      <c r="K1910" s="278"/>
    </row>
    <row r="1911" spans="1:11" x14ac:dyDescent="0.15">
      <c r="A1911" s="278"/>
      <c r="B1911" s="278"/>
      <c r="C1911" s="278"/>
      <c r="D1911" s="278"/>
      <c r="E1911" s="278"/>
      <c r="F1911" s="278"/>
      <c r="G1911" s="278"/>
      <c r="H1911" s="278"/>
      <c r="I1911" s="278"/>
      <c r="J1911" s="278"/>
      <c r="K1911" s="278"/>
    </row>
    <row r="1912" spans="1:11" x14ac:dyDescent="0.15">
      <c r="A1912" s="278"/>
      <c r="B1912" s="278"/>
      <c r="C1912" s="278"/>
      <c r="D1912" s="278"/>
      <c r="E1912" s="278"/>
      <c r="F1912" s="278"/>
      <c r="G1912" s="278"/>
      <c r="H1912" s="278"/>
      <c r="I1912" s="278"/>
      <c r="J1912" s="278"/>
      <c r="K1912" s="278"/>
    </row>
    <row r="1913" spans="1:11" x14ac:dyDescent="0.15">
      <c r="A1913" s="278"/>
      <c r="B1913" s="278"/>
      <c r="C1913" s="278"/>
      <c r="D1913" s="278"/>
      <c r="E1913" s="278"/>
      <c r="F1913" s="278"/>
      <c r="G1913" s="278"/>
      <c r="H1913" s="278"/>
      <c r="I1913" s="278"/>
      <c r="J1913" s="278"/>
      <c r="K1913" s="278"/>
    </row>
    <row r="1914" spans="1:11" x14ac:dyDescent="0.15">
      <c r="A1914" s="278"/>
      <c r="B1914" s="278"/>
      <c r="C1914" s="278"/>
      <c r="D1914" s="278"/>
      <c r="E1914" s="278"/>
      <c r="F1914" s="278"/>
      <c r="G1914" s="278"/>
      <c r="H1914" s="278"/>
      <c r="I1914" s="278"/>
      <c r="J1914" s="278"/>
      <c r="K1914" s="278"/>
    </row>
    <row r="1915" spans="1:11" x14ac:dyDescent="0.15">
      <c r="A1915" s="278"/>
      <c r="B1915" s="278"/>
      <c r="C1915" s="278"/>
      <c r="D1915" s="278"/>
      <c r="E1915" s="278"/>
      <c r="F1915" s="278"/>
      <c r="G1915" s="278"/>
      <c r="H1915" s="278"/>
      <c r="I1915" s="278"/>
      <c r="J1915" s="278"/>
      <c r="K1915" s="278"/>
    </row>
    <row r="1916" spans="1:11" x14ac:dyDescent="0.15">
      <c r="A1916" s="278"/>
      <c r="B1916" s="278"/>
      <c r="C1916" s="278"/>
      <c r="D1916" s="278"/>
      <c r="E1916" s="278"/>
      <c r="F1916" s="278"/>
      <c r="G1916" s="278"/>
      <c r="H1916" s="278"/>
      <c r="I1916" s="278"/>
      <c r="J1916" s="278"/>
      <c r="K1916" s="278"/>
    </row>
    <row r="1917" spans="1:11" x14ac:dyDescent="0.15">
      <c r="A1917" s="278"/>
      <c r="B1917" s="278"/>
      <c r="C1917" s="278"/>
      <c r="D1917" s="278"/>
      <c r="E1917" s="278"/>
      <c r="F1917" s="278"/>
      <c r="G1917" s="278"/>
      <c r="H1917" s="278"/>
      <c r="I1917" s="278"/>
      <c r="J1917" s="278"/>
      <c r="K1917" s="278"/>
    </row>
    <row r="1918" spans="1:11" x14ac:dyDescent="0.15">
      <c r="A1918" s="278"/>
      <c r="B1918" s="278"/>
      <c r="C1918" s="278"/>
      <c r="D1918" s="278"/>
      <c r="E1918" s="278"/>
      <c r="F1918" s="278"/>
      <c r="G1918" s="278"/>
      <c r="H1918" s="278"/>
      <c r="I1918" s="278"/>
      <c r="J1918" s="278"/>
      <c r="K1918" s="278"/>
    </row>
    <row r="1919" spans="1:11" x14ac:dyDescent="0.15">
      <c r="A1919" s="278"/>
      <c r="B1919" s="278"/>
      <c r="C1919" s="278"/>
      <c r="D1919" s="278"/>
      <c r="E1919" s="278"/>
      <c r="F1919" s="278"/>
      <c r="G1919" s="278"/>
      <c r="H1919" s="278"/>
      <c r="I1919" s="278"/>
      <c r="J1919" s="278"/>
      <c r="K1919" s="278"/>
    </row>
    <row r="1920" spans="1:11" x14ac:dyDescent="0.15">
      <c r="A1920" s="278"/>
      <c r="B1920" s="278"/>
      <c r="C1920" s="278"/>
      <c r="D1920" s="278"/>
      <c r="E1920" s="278"/>
      <c r="F1920" s="278"/>
      <c r="G1920" s="278"/>
      <c r="H1920" s="278"/>
      <c r="I1920" s="278"/>
      <c r="J1920" s="278"/>
      <c r="K1920" s="278"/>
    </row>
    <row r="1921" spans="1:11" x14ac:dyDescent="0.15">
      <c r="A1921" s="278"/>
      <c r="B1921" s="278"/>
      <c r="C1921" s="278"/>
      <c r="D1921" s="278"/>
      <c r="E1921" s="278"/>
      <c r="F1921" s="278"/>
      <c r="G1921" s="278"/>
      <c r="H1921" s="278"/>
      <c r="I1921" s="278"/>
      <c r="J1921" s="278"/>
      <c r="K1921" s="278"/>
    </row>
    <row r="1922" spans="1:11" x14ac:dyDescent="0.15">
      <c r="A1922" s="278"/>
      <c r="B1922" s="278"/>
      <c r="C1922" s="278"/>
      <c r="D1922" s="278"/>
      <c r="E1922" s="278"/>
      <c r="F1922" s="278"/>
      <c r="G1922" s="278"/>
      <c r="H1922" s="278"/>
      <c r="I1922" s="278"/>
      <c r="J1922" s="278"/>
      <c r="K1922" s="278"/>
    </row>
    <row r="1923" spans="1:11" x14ac:dyDescent="0.15">
      <c r="A1923" s="278"/>
      <c r="B1923" s="278"/>
      <c r="C1923" s="278"/>
      <c r="D1923" s="278"/>
      <c r="E1923" s="278"/>
      <c r="F1923" s="278"/>
      <c r="G1923" s="278"/>
      <c r="H1923" s="278"/>
      <c r="I1923" s="278"/>
      <c r="J1923" s="278"/>
      <c r="K1923" s="278"/>
    </row>
    <row r="1924" spans="1:11" x14ac:dyDescent="0.15">
      <c r="A1924" s="278"/>
      <c r="B1924" s="278"/>
      <c r="C1924" s="278"/>
      <c r="D1924" s="278"/>
      <c r="E1924" s="278"/>
      <c r="F1924" s="278"/>
      <c r="G1924" s="278"/>
      <c r="H1924" s="278"/>
      <c r="I1924" s="278"/>
      <c r="J1924" s="278"/>
      <c r="K1924" s="278"/>
    </row>
    <row r="1925" spans="1:11" x14ac:dyDescent="0.15">
      <c r="A1925" s="278"/>
      <c r="B1925" s="278"/>
      <c r="C1925" s="278"/>
      <c r="D1925" s="278"/>
      <c r="E1925" s="278"/>
      <c r="F1925" s="278"/>
      <c r="G1925" s="278"/>
      <c r="H1925" s="278"/>
      <c r="I1925" s="278"/>
      <c r="J1925" s="278"/>
      <c r="K1925" s="278"/>
    </row>
    <row r="1926" spans="1:11" x14ac:dyDescent="0.15">
      <c r="A1926" s="278"/>
      <c r="B1926" s="278"/>
      <c r="C1926" s="278"/>
      <c r="D1926" s="278"/>
      <c r="E1926" s="278"/>
      <c r="F1926" s="278"/>
      <c r="G1926" s="278"/>
      <c r="H1926" s="278"/>
      <c r="I1926" s="278"/>
      <c r="J1926" s="278"/>
      <c r="K1926" s="278"/>
    </row>
    <row r="1927" spans="1:11" x14ac:dyDescent="0.15">
      <c r="A1927" s="278"/>
      <c r="B1927" s="278"/>
      <c r="C1927" s="278"/>
      <c r="D1927" s="278"/>
      <c r="E1927" s="278"/>
      <c r="F1927" s="278"/>
      <c r="G1927" s="278"/>
      <c r="H1927" s="278"/>
      <c r="I1927" s="278"/>
      <c r="J1927" s="278"/>
      <c r="K1927" s="278"/>
    </row>
    <row r="1928" spans="1:11" x14ac:dyDescent="0.15">
      <c r="A1928" s="278"/>
      <c r="B1928" s="278"/>
      <c r="C1928" s="278"/>
      <c r="D1928" s="278"/>
      <c r="E1928" s="278"/>
      <c r="F1928" s="278"/>
      <c r="G1928" s="278"/>
      <c r="H1928" s="278"/>
      <c r="I1928" s="278"/>
      <c r="J1928" s="278"/>
      <c r="K1928" s="278"/>
    </row>
    <row r="1929" spans="1:11" x14ac:dyDescent="0.15">
      <c r="A1929" s="278"/>
      <c r="B1929" s="278"/>
      <c r="C1929" s="278"/>
      <c r="D1929" s="278"/>
      <c r="E1929" s="278"/>
      <c r="F1929" s="278"/>
      <c r="G1929" s="278"/>
      <c r="H1929" s="278"/>
      <c r="I1929" s="278"/>
      <c r="J1929" s="278"/>
      <c r="K1929" s="278"/>
    </row>
    <row r="1930" spans="1:11" x14ac:dyDescent="0.15">
      <c r="A1930" s="278"/>
      <c r="B1930" s="278"/>
      <c r="C1930" s="278"/>
      <c r="D1930" s="278"/>
      <c r="E1930" s="278"/>
      <c r="F1930" s="278"/>
      <c r="G1930" s="278"/>
      <c r="H1930" s="278"/>
      <c r="I1930" s="278"/>
      <c r="J1930" s="278"/>
      <c r="K1930" s="278"/>
    </row>
    <row r="1931" spans="1:11" x14ac:dyDescent="0.15">
      <c r="A1931" s="278"/>
      <c r="B1931" s="278"/>
      <c r="C1931" s="278"/>
      <c r="D1931" s="278"/>
      <c r="E1931" s="278"/>
      <c r="F1931" s="278"/>
      <c r="G1931" s="278"/>
      <c r="H1931" s="278"/>
      <c r="I1931" s="278"/>
      <c r="J1931" s="278"/>
      <c r="K1931" s="278"/>
    </row>
    <row r="1932" spans="1:11" x14ac:dyDescent="0.15">
      <c r="A1932" s="278"/>
      <c r="B1932" s="278"/>
      <c r="C1932" s="278"/>
      <c r="D1932" s="278"/>
      <c r="E1932" s="278"/>
      <c r="F1932" s="278"/>
      <c r="G1932" s="278"/>
      <c r="H1932" s="278"/>
      <c r="I1932" s="278"/>
      <c r="J1932" s="278"/>
      <c r="K1932" s="278"/>
    </row>
    <row r="1933" spans="1:11" x14ac:dyDescent="0.15">
      <c r="A1933" s="278"/>
      <c r="B1933" s="278"/>
      <c r="C1933" s="278"/>
      <c r="D1933" s="278"/>
      <c r="E1933" s="278"/>
      <c r="F1933" s="278"/>
      <c r="G1933" s="278"/>
      <c r="H1933" s="278"/>
      <c r="I1933" s="278"/>
      <c r="J1933" s="278"/>
      <c r="K1933" s="278"/>
    </row>
    <row r="1934" spans="1:11" x14ac:dyDescent="0.15">
      <c r="A1934" s="278"/>
      <c r="B1934" s="278"/>
      <c r="C1934" s="278"/>
      <c r="D1934" s="278"/>
      <c r="E1934" s="278"/>
      <c r="F1934" s="278"/>
      <c r="G1934" s="278"/>
      <c r="H1934" s="278"/>
      <c r="I1934" s="278"/>
      <c r="J1934" s="278"/>
      <c r="K1934" s="278"/>
    </row>
    <row r="1935" spans="1:11" x14ac:dyDescent="0.15">
      <c r="A1935" s="278"/>
      <c r="B1935" s="278"/>
      <c r="C1935" s="278"/>
      <c r="D1935" s="278"/>
      <c r="E1935" s="278"/>
      <c r="F1935" s="278"/>
      <c r="G1935" s="278"/>
      <c r="H1935" s="278"/>
      <c r="I1935" s="278"/>
      <c r="J1935" s="278"/>
      <c r="K1935" s="278"/>
    </row>
    <row r="1936" spans="1:11" x14ac:dyDescent="0.15">
      <c r="A1936" s="278"/>
      <c r="B1936" s="278"/>
      <c r="C1936" s="278"/>
      <c r="D1936" s="278"/>
      <c r="E1936" s="278"/>
      <c r="F1936" s="278"/>
      <c r="G1936" s="278"/>
      <c r="H1936" s="278"/>
      <c r="I1936" s="278"/>
      <c r="J1936" s="278"/>
      <c r="K1936" s="278"/>
    </row>
    <row r="1937" spans="1:11" x14ac:dyDescent="0.15">
      <c r="A1937" s="278"/>
      <c r="B1937" s="278"/>
      <c r="C1937" s="278"/>
      <c r="D1937" s="278"/>
      <c r="E1937" s="278"/>
      <c r="F1937" s="278"/>
      <c r="G1937" s="278"/>
      <c r="H1937" s="278"/>
      <c r="I1937" s="278"/>
      <c r="J1937" s="278"/>
      <c r="K1937" s="278"/>
    </row>
    <row r="1938" spans="1:11" x14ac:dyDescent="0.15">
      <c r="A1938" s="278"/>
      <c r="B1938" s="278"/>
      <c r="C1938" s="278"/>
      <c r="D1938" s="278"/>
      <c r="E1938" s="278"/>
      <c r="F1938" s="278"/>
      <c r="G1938" s="278"/>
      <c r="H1938" s="278"/>
      <c r="I1938" s="278"/>
      <c r="J1938" s="278"/>
      <c r="K1938" s="278"/>
    </row>
    <row r="1939" spans="1:11" x14ac:dyDescent="0.15">
      <c r="A1939" s="278"/>
      <c r="B1939" s="278"/>
      <c r="C1939" s="278"/>
      <c r="D1939" s="278"/>
      <c r="E1939" s="278"/>
      <c r="F1939" s="278"/>
      <c r="G1939" s="278"/>
      <c r="H1939" s="278"/>
      <c r="I1939" s="278"/>
      <c r="J1939" s="278"/>
      <c r="K1939" s="278"/>
    </row>
    <row r="1940" spans="1:11" x14ac:dyDescent="0.15">
      <c r="A1940" s="278"/>
      <c r="B1940" s="278"/>
      <c r="C1940" s="278"/>
      <c r="D1940" s="278"/>
      <c r="E1940" s="278"/>
      <c r="F1940" s="278"/>
      <c r="G1940" s="278"/>
      <c r="H1940" s="278"/>
      <c r="I1940" s="278"/>
      <c r="J1940" s="278"/>
      <c r="K1940" s="278"/>
    </row>
    <row r="1941" spans="1:11" x14ac:dyDescent="0.15">
      <c r="A1941" s="278"/>
      <c r="B1941" s="278"/>
      <c r="C1941" s="278"/>
      <c r="D1941" s="278"/>
      <c r="E1941" s="278"/>
      <c r="F1941" s="278"/>
      <c r="G1941" s="278"/>
      <c r="H1941" s="278"/>
      <c r="I1941" s="278"/>
      <c r="J1941" s="278"/>
      <c r="K1941" s="278"/>
    </row>
    <row r="1942" spans="1:11" x14ac:dyDescent="0.15">
      <c r="A1942" s="278"/>
      <c r="B1942" s="278"/>
      <c r="C1942" s="278"/>
      <c r="D1942" s="278"/>
      <c r="E1942" s="278"/>
      <c r="F1942" s="278"/>
      <c r="G1942" s="278"/>
      <c r="H1942" s="278"/>
      <c r="I1942" s="278"/>
      <c r="J1942" s="278"/>
      <c r="K1942" s="278"/>
    </row>
    <row r="1943" spans="1:11" x14ac:dyDescent="0.15">
      <c r="A1943" s="278"/>
      <c r="B1943" s="278"/>
      <c r="C1943" s="278"/>
      <c r="D1943" s="278"/>
      <c r="E1943" s="278"/>
      <c r="F1943" s="278"/>
      <c r="G1943" s="278"/>
      <c r="H1943" s="278"/>
      <c r="I1943" s="278"/>
      <c r="J1943" s="278"/>
      <c r="K1943" s="278"/>
    </row>
    <row r="1944" spans="1:11" x14ac:dyDescent="0.15">
      <c r="A1944" s="278"/>
      <c r="B1944" s="278"/>
      <c r="C1944" s="278"/>
      <c r="D1944" s="278"/>
      <c r="E1944" s="278"/>
      <c r="F1944" s="278"/>
      <c r="G1944" s="278"/>
      <c r="H1944" s="278"/>
      <c r="I1944" s="278"/>
      <c r="J1944" s="278"/>
      <c r="K1944" s="278"/>
    </row>
    <row r="1945" spans="1:11" x14ac:dyDescent="0.15">
      <c r="A1945" s="278"/>
      <c r="B1945" s="278"/>
      <c r="C1945" s="278"/>
      <c r="D1945" s="278"/>
      <c r="E1945" s="278"/>
      <c r="F1945" s="278"/>
      <c r="G1945" s="278"/>
      <c r="H1945" s="278"/>
      <c r="I1945" s="278"/>
      <c r="J1945" s="278"/>
      <c r="K1945" s="278"/>
    </row>
    <row r="1946" spans="1:11" x14ac:dyDescent="0.15">
      <c r="A1946" s="278"/>
      <c r="B1946" s="278"/>
      <c r="C1946" s="278"/>
      <c r="D1946" s="278"/>
      <c r="E1946" s="278"/>
      <c r="F1946" s="278"/>
      <c r="G1946" s="278"/>
      <c r="H1946" s="278"/>
      <c r="I1946" s="278"/>
      <c r="J1946" s="278"/>
      <c r="K1946" s="278"/>
    </row>
    <row r="1947" spans="1:11" x14ac:dyDescent="0.15">
      <c r="A1947" s="278"/>
      <c r="B1947" s="278"/>
      <c r="C1947" s="278"/>
      <c r="D1947" s="278"/>
      <c r="E1947" s="278"/>
      <c r="F1947" s="278"/>
      <c r="G1947" s="278"/>
      <c r="H1947" s="278"/>
      <c r="I1947" s="278"/>
      <c r="J1947" s="278"/>
      <c r="K1947" s="278"/>
    </row>
    <row r="1948" spans="1:11" x14ac:dyDescent="0.15">
      <c r="A1948" s="278"/>
      <c r="B1948" s="278"/>
      <c r="C1948" s="278"/>
      <c r="D1948" s="278"/>
      <c r="E1948" s="278"/>
      <c r="F1948" s="278"/>
      <c r="G1948" s="278"/>
      <c r="H1948" s="278"/>
      <c r="I1948" s="278"/>
      <c r="J1948" s="278"/>
      <c r="K1948" s="278"/>
    </row>
    <row r="1949" spans="1:11" x14ac:dyDescent="0.15">
      <c r="A1949" s="278"/>
      <c r="B1949" s="278"/>
      <c r="C1949" s="278"/>
      <c r="D1949" s="278"/>
      <c r="E1949" s="278"/>
      <c r="F1949" s="278"/>
      <c r="G1949" s="278"/>
      <c r="H1949" s="278"/>
      <c r="I1949" s="278"/>
      <c r="J1949" s="278"/>
      <c r="K1949" s="278"/>
    </row>
    <row r="1950" spans="1:11" x14ac:dyDescent="0.15">
      <c r="A1950" s="278"/>
      <c r="B1950" s="278"/>
      <c r="C1950" s="278"/>
      <c r="D1950" s="278"/>
      <c r="E1950" s="278"/>
      <c r="F1950" s="278"/>
      <c r="G1950" s="278"/>
      <c r="H1950" s="278"/>
      <c r="I1950" s="278"/>
      <c r="J1950" s="278"/>
      <c r="K1950" s="278"/>
    </row>
    <row r="1951" spans="1:11" x14ac:dyDescent="0.15">
      <c r="A1951" s="278"/>
      <c r="B1951" s="278"/>
      <c r="C1951" s="278"/>
      <c r="D1951" s="278"/>
      <c r="E1951" s="278"/>
      <c r="F1951" s="278"/>
      <c r="G1951" s="278"/>
      <c r="H1951" s="278"/>
      <c r="I1951" s="278"/>
      <c r="J1951" s="278"/>
      <c r="K1951" s="278"/>
    </row>
    <row r="1952" spans="1:11" x14ac:dyDescent="0.15">
      <c r="A1952" s="278"/>
      <c r="B1952" s="278"/>
      <c r="C1952" s="278"/>
      <c r="D1952" s="278"/>
      <c r="E1952" s="278"/>
      <c r="F1952" s="278"/>
      <c r="G1952" s="278"/>
      <c r="H1952" s="278"/>
      <c r="I1952" s="278"/>
      <c r="J1952" s="278"/>
      <c r="K1952" s="278"/>
    </row>
    <row r="1953" spans="1:11" x14ac:dyDescent="0.15">
      <c r="A1953" s="278"/>
      <c r="B1953" s="278"/>
      <c r="C1953" s="278"/>
      <c r="D1953" s="278"/>
      <c r="E1953" s="278"/>
      <c r="F1953" s="278"/>
      <c r="G1953" s="278"/>
      <c r="H1953" s="278"/>
      <c r="I1953" s="278"/>
      <c r="J1953" s="278"/>
      <c r="K1953" s="278"/>
    </row>
    <row r="1954" spans="1:11" x14ac:dyDescent="0.15">
      <c r="A1954" s="278"/>
      <c r="B1954" s="278"/>
      <c r="C1954" s="278"/>
      <c r="D1954" s="278"/>
      <c r="E1954" s="278"/>
      <c r="F1954" s="278"/>
      <c r="G1954" s="278"/>
      <c r="H1954" s="278"/>
      <c r="I1954" s="278"/>
      <c r="J1954" s="278"/>
      <c r="K1954" s="278"/>
    </row>
    <row r="1955" spans="1:11" x14ac:dyDescent="0.15">
      <c r="A1955" s="278"/>
      <c r="B1955" s="278"/>
      <c r="C1955" s="278"/>
      <c r="D1955" s="278"/>
      <c r="E1955" s="278"/>
      <c r="F1955" s="278"/>
      <c r="G1955" s="278"/>
      <c r="H1955" s="278"/>
      <c r="I1955" s="278"/>
      <c r="J1955" s="278"/>
      <c r="K1955" s="278"/>
    </row>
    <row r="1956" spans="1:11" x14ac:dyDescent="0.15">
      <c r="A1956" s="278"/>
      <c r="B1956" s="278"/>
      <c r="C1956" s="278"/>
      <c r="D1956" s="278"/>
      <c r="E1956" s="278"/>
      <c r="F1956" s="278"/>
      <c r="G1956" s="278"/>
      <c r="H1956" s="278"/>
      <c r="I1956" s="278"/>
      <c r="J1956" s="278"/>
      <c r="K1956" s="278"/>
    </row>
    <row r="1957" spans="1:11" x14ac:dyDescent="0.15">
      <c r="A1957" s="278"/>
      <c r="B1957" s="278"/>
      <c r="C1957" s="278"/>
      <c r="D1957" s="278"/>
      <c r="E1957" s="278"/>
      <c r="F1957" s="278"/>
      <c r="G1957" s="278"/>
      <c r="H1957" s="278"/>
      <c r="I1957" s="278"/>
      <c r="J1957" s="278"/>
      <c r="K1957" s="278"/>
    </row>
    <row r="1958" spans="1:11" x14ac:dyDescent="0.15">
      <c r="A1958" s="278"/>
      <c r="B1958" s="278"/>
      <c r="C1958" s="278"/>
      <c r="D1958" s="278"/>
      <c r="E1958" s="278"/>
      <c r="F1958" s="278"/>
      <c r="G1958" s="278"/>
      <c r="H1958" s="278"/>
      <c r="I1958" s="278"/>
      <c r="J1958" s="278"/>
      <c r="K1958" s="278"/>
    </row>
    <row r="1959" spans="1:11" x14ac:dyDescent="0.15">
      <c r="A1959" s="278"/>
      <c r="B1959" s="278"/>
      <c r="C1959" s="278"/>
      <c r="D1959" s="278"/>
      <c r="E1959" s="278"/>
      <c r="F1959" s="278"/>
      <c r="G1959" s="278"/>
      <c r="H1959" s="278"/>
      <c r="I1959" s="278"/>
      <c r="J1959" s="278"/>
      <c r="K1959" s="278"/>
    </row>
    <row r="1960" spans="1:11" x14ac:dyDescent="0.15">
      <c r="A1960" s="278"/>
      <c r="B1960" s="278"/>
      <c r="C1960" s="278"/>
      <c r="D1960" s="278"/>
      <c r="E1960" s="278"/>
      <c r="F1960" s="278"/>
      <c r="G1960" s="278"/>
      <c r="H1960" s="278"/>
      <c r="I1960" s="278"/>
      <c r="J1960" s="278"/>
      <c r="K1960" s="278"/>
    </row>
    <row r="1961" spans="1:11" x14ac:dyDescent="0.15">
      <c r="A1961" s="278"/>
      <c r="B1961" s="278"/>
      <c r="C1961" s="278"/>
      <c r="D1961" s="278"/>
      <c r="E1961" s="278"/>
      <c r="F1961" s="278"/>
      <c r="G1961" s="278"/>
      <c r="H1961" s="278"/>
      <c r="I1961" s="278"/>
      <c r="J1961" s="278"/>
      <c r="K1961" s="278"/>
    </row>
    <row r="1962" spans="1:11" x14ac:dyDescent="0.15">
      <c r="A1962" s="278"/>
      <c r="B1962" s="278"/>
      <c r="C1962" s="278"/>
      <c r="D1962" s="278"/>
      <c r="E1962" s="278"/>
      <c r="F1962" s="278"/>
      <c r="G1962" s="278"/>
      <c r="H1962" s="278"/>
      <c r="I1962" s="278"/>
      <c r="J1962" s="278"/>
      <c r="K1962" s="278"/>
    </row>
    <row r="1963" spans="1:11" x14ac:dyDescent="0.15">
      <c r="A1963" s="278"/>
      <c r="B1963" s="278"/>
      <c r="C1963" s="278"/>
      <c r="D1963" s="278"/>
      <c r="E1963" s="278"/>
      <c r="F1963" s="278"/>
      <c r="G1963" s="278"/>
      <c r="H1963" s="278"/>
      <c r="I1963" s="278"/>
      <c r="J1963" s="278"/>
      <c r="K1963" s="278"/>
    </row>
    <row r="1964" spans="1:11" x14ac:dyDescent="0.15">
      <c r="A1964" s="278"/>
      <c r="B1964" s="278"/>
      <c r="C1964" s="278"/>
      <c r="D1964" s="278"/>
      <c r="E1964" s="278"/>
      <c r="F1964" s="278"/>
      <c r="G1964" s="278"/>
      <c r="H1964" s="278"/>
      <c r="I1964" s="278"/>
      <c r="J1964" s="278"/>
      <c r="K1964" s="278"/>
    </row>
    <row r="1965" spans="1:11" x14ac:dyDescent="0.15">
      <c r="A1965" s="278"/>
      <c r="B1965" s="278"/>
      <c r="C1965" s="278"/>
      <c r="D1965" s="278"/>
      <c r="E1965" s="278"/>
      <c r="F1965" s="278"/>
      <c r="G1965" s="278"/>
      <c r="H1965" s="278"/>
      <c r="I1965" s="278"/>
      <c r="J1965" s="278"/>
      <c r="K1965" s="278"/>
    </row>
    <row r="1966" spans="1:11" x14ac:dyDescent="0.15">
      <c r="A1966" s="278"/>
      <c r="B1966" s="278"/>
      <c r="C1966" s="278"/>
      <c r="D1966" s="278"/>
      <c r="E1966" s="278"/>
      <c r="F1966" s="278"/>
      <c r="G1966" s="278"/>
      <c r="H1966" s="278"/>
      <c r="I1966" s="278"/>
      <c r="J1966" s="278"/>
      <c r="K1966" s="278"/>
    </row>
    <row r="1967" spans="1:11" x14ac:dyDescent="0.15">
      <c r="A1967" s="278"/>
      <c r="B1967" s="278"/>
      <c r="C1967" s="278"/>
      <c r="D1967" s="278"/>
      <c r="E1967" s="278"/>
      <c r="F1967" s="278"/>
      <c r="G1967" s="278"/>
      <c r="H1967" s="278"/>
      <c r="I1967" s="278"/>
      <c r="J1967" s="278"/>
      <c r="K1967" s="278"/>
    </row>
    <row r="1968" spans="1:11" x14ac:dyDescent="0.15">
      <c r="A1968" s="278"/>
      <c r="B1968" s="278"/>
      <c r="C1968" s="278"/>
      <c r="D1968" s="278"/>
      <c r="E1968" s="278"/>
      <c r="F1968" s="278"/>
      <c r="G1968" s="278"/>
      <c r="H1968" s="278"/>
      <c r="I1968" s="278"/>
      <c r="J1968" s="278"/>
      <c r="K1968" s="278"/>
    </row>
    <row r="1969" spans="1:11" x14ac:dyDescent="0.15">
      <c r="A1969" s="278"/>
      <c r="B1969" s="278"/>
      <c r="C1969" s="278"/>
      <c r="D1969" s="278"/>
      <c r="E1969" s="278"/>
      <c r="F1969" s="278"/>
      <c r="G1969" s="278"/>
      <c r="H1969" s="278"/>
      <c r="I1969" s="278"/>
      <c r="J1969" s="278"/>
      <c r="K1969" s="278"/>
    </row>
    <row r="1970" spans="1:11" x14ac:dyDescent="0.15">
      <c r="A1970" s="278"/>
      <c r="B1970" s="278"/>
      <c r="C1970" s="278"/>
      <c r="D1970" s="278"/>
      <c r="E1970" s="278"/>
      <c r="F1970" s="278"/>
      <c r="G1970" s="278"/>
      <c r="H1970" s="278"/>
      <c r="I1970" s="278"/>
      <c r="J1970" s="278"/>
      <c r="K1970" s="278"/>
    </row>
    <row r="1971" spans="1:11" x14ac:dyDescent="0.15">
      <c r="A1971" s="278"/>
      <c r="B1971" s="278"/>
      <c r="C1971" s="278"/>
      <c r="D1971" s="278"/>
      <c r="E1971" s="278"/>
      <c r="F1971" s="278"/>
      <c r="G1971" s="278"/>
      <c r="H1971" s="278"/>
      <c r="I1971" s="278"/>
      <c r="J1971" s="278"/>
      <c r="K1971" s="278"/>
    </row>
    <row r="1972" spans="1:11" x14ac:dyDescent="0.15">
      <c r="A1972" s="278"/>
      <c r="B1972" s="278"/>
      <c r="C1972" s="278"/>
      <c r="D1972" s="278"/>
      <c r="E1972" s="278"/>
      <c r="F1972" s="278"/>
      <c r="G1972" s="278"/>
      <c r="H1972" s="278"/>
      <c r="I1972" s="278"/>
      <c r="J1972" s="278"/>
      <c r="K1972" s="278"/>
    </row>
    <row r="1973" spans="1:11" x14ac:dyDescent="0.15">
      <c r="A1973" s="278"/>
      <c r="B1973" s="278"/>
      <c r="C1973" s="278"/>
      <c r="D1973" s="278"/>
      <c r="E1973" s="278"/>
      <c r="F1973" s="278"/>
      <c r="G1973" s="278"/>
      <c r="H1973" s="278"/>
      <c r="I1973" s="278"/>
      <c r="J1973" s="278"/>
      <c r="K1973" s="278"/>
    </row>
    <row r="1974" spans="1:11" x14ac:dyDescent="0.15">
      <c r="A1974" s="278"/>
      <c r="B1974" s="278"/>
      <c r="C1974" s="278"/>
      <c r="D1974" s="278"/>
      <c r="E1974" s="278"/>
      <c r="F1974" s="278"/>
      <c r="G1974" s="278"/>
      <c r="H1974" s="278"/>
      <c r="I1974" s="278"/>
      <c r="J1974" s="278"/>
      <c r="K1974" s="278"/>
    </row>
    <row r="1975" spans="1:11" x14ac:dyDescent="0.15">
      <c r="A1975" s="278"/>
      <c r="B1975" s="278"/>
      <c r="C1975" s="278"/>
      <c r="D1975" s="278"/>
      <c r="E1975" s="278"/>
      <c r="F1975" s="278"/>
      <c r="G1975" s="278"/>
      <c r="H1975" s="278"/>
      <c r="I1975" s="278"/>
      <c r="J1975" s="278"/>
      <c r="K1975" s="278"/>
    </row>
    <row r="1976" spans="1:11" x14ac:dyDescent="0.15">
      <c r="A1976" s="278"/>
      <c r="B1976" s="278"/>
      <c r="C1976" s="278"/>
      <c r="D1976" s="278"/>
      <c r="E1976" s="278"/>
      <c r="F1976" s="278"/>
      <c r="G1976" s="278"/>
      <c r="H1976" s="278"/>
      <c r="I1976" s="278"/>
      <c r="J1976" s="278"/>
      <c r="K1976" s="278"/>
    </row>
    <row r="1977" spans="1:11" x14ac:dyDescent="0.15">
      <c r="A1977" s="278"/>
      <c r="B1977" s="278"/>
      <c r="C1977" s="278"/>
      <c r="D1977" s="278"/>
      <c r="E1977" s="278"/>
      <c r="F1977" s="278"/>
      <c r="G1977" s="278"/>
      <c r="H1977" s="278"/>
      <c r="I1977" s="278"/>
      <c r="J1977" s="278"/>
      <c r="K1977" s="278"/>
    </row>
    <row r="1978" spans="1:11" x14ac:dyDescent="0.15">
      <c r="A1978" s="278"/>
      <c r="B1978" s="278"/>
      <c r="C1978" s="278"/>
      <c r="D1978" s="278"/>
      <c r="E1978" s="278"/>
      <c r="F1978" s="278"/>
      <c r="G1978" s="278"/>
      <c r="H1978" s="278"/>
      <c r="I1978" s="278"/>
      <c r="J1978" s="278"/>
      <c r="K1978" s="278"/>
    </row>
    <row r="1979" spans="1:11" x14ac:dyDescent="0.15">
      <c r="A1979" s="278"/>
      <c r="B1979" s="278"/>
      <c r="C1979" s="278"/>
      <c r="D1979" s="278"/>
      <c r="E1979" s="278"/>
      <c r="F1979" s="278"/>
      <c r="G1979" s="278"/>
      <c r="H1979" s="278"/>
      <c r="I1979" s="278"/>
      <c r="J1979" s="278"/>
      <c r="K1979" s="278"/>
    </row>
    <row r="1980" spans="1:11" x14ac:dyDescent="0.15">
      <c r="A1980" s="278"/>
      <c r="B1980" s="278"/>
      <c r="C1980" s="278"/>
      <c r="D1980" s="278"/>
      <c r="E1980" s="278"/>
      <c r="F1980" s="278"/>
      <c r="G1980" s="278"/>
      <c r="H1980" s="278"/>
      <c r="I1980" s="278"/>
      <c r="J1980" s="278"/>
      <c r="K1980" s="278"/>
    </row>
    <row r="1981" spans="1:11" x14ac:dyDescent="0.15">
      <c r="A1981" s="278"/>
      <c r="B1981" s="278"/>
      <c r="C1981" s="278"/>
      <c r="D1981" s="278"/>
      <c r="E1981" s="278"/>
      <c r="F1981" s="278"/>
      <c r="G1981" s="278"/>
      <c r="H1981" s="278"/>
      <c r="I1981" s="278"/>
      <c r="J1981" s="278"/>
      <c r="K1981" s="278"/>
    </row>
    <row r="1982" spans="1:11" x14ac:dyDescent="0.15">
      <c r="A1982" s="278"/>
      <c r="B1982" s="278"/>
      <c r="C1982" s="278"/>
      <c r="D1982" s="278"/>
      <c r="E1982" s="278"/>
      <c r="F1982" s="278"/>
      <c r="G1982" s="278"/>
      <c r="H1982" s="278"/>
      <c r="I1982" s="278"/>
      <c r="J1982" s="278"/>
      <c r="K1982" s="278"/>
    </row>
    <row r="1983" spans="1:11" x14ac:dyDescent="0.15">
      <c r="A1983" s="278"/>
      <c r="B1983" s="278"/>
      <c r="C1983" s="278"/>
      <c r="D1983" s="278"/>
      <c r="E1983" s="278"/>
      <c r="F1983" s="278"/>
      <c r="G1983" s="278"/>
      <c r="H1983" s="278"/>
      <c r="I1983" s="278"/>
      <c r="J1983" s="278"/>
      <c r="K1983" s="278"/>
    </row>
    <row r="1984" spans="1:11" x14ac:dyDescent="0.15">
      <c r="A1984" s="278"/>
      <c r="B1984" s="278"/>
      <c r="C1984" s="278"/>
      <c r="D1984" s="278"/>
      <c r="E1984" s="278"/>
      <c r="F1984" s="278"/>
      <c r="G1984" s="278"/>
      <c r="H1984" s="278"/>
      <c r="I1984" s="278"/>
      <c r="J1984" s="278"/>
      <c r="K1984" s="278"/>
    </row>
    <row r="1985" spans="1:11" x14ac:dyDescent="0.15">
      <c r="A1985" s="278"/>
      <c r="B1985" s="278"/>
      <c r="C1985" s="278"/>
      <c r="D1985" s="278"/>
      <c r="E1985" s="278"/>
      <c r="F1985" s="278"/>
      <c r="G1985" s="278"/>
      <c r="H1985" s="278"/>
      <c r="I1985" s="278"/>
      <c r="J1985" s="278"/>
      <c r="K1985" s="278"/>
    </row>
    <row r="1986" spans="1:11" x14ac:dyDescent="0.15">
      <c r="A1986" s="278"/>
      <c r="B1986" s="278"/>
      <c r="C1986" s="278"/>
      <c r="D1986" s="278"/>
      <c r="E1986" s="278"/>
      <c r="F1986" s="278"/>
      <c r="G1986" s="278"/>
      <c r="H1986" s="278"/>
      <c r="I1986" s="278"/>
      <c r="J1986" s="278"/>
      <c r="K1986" s="278"/>
    </row>
    <row r="1987" spans="1:11" x14ac:dyDescent="0.15">
      <c r="A1987" s="278"/>
      <c r="B1987" s="278"/>
      <c r="C1987" s="278"/>
      <c r="D1987" s="278"/>
      <c r="E1987" s="278"/>
      <c r="F1987" s="278"/>
      <c r="G1987" s="278"/>
      <c r="H1987" s="278"/>
      <c r="I1987" s="278"/>
      <c r="J1987" s="278"/>
      <c r="K1987" s="278"/>
    </row>
    <row r="1988" spans="1:11" x14ac:dyDescent="0.15">
      <c r="A1988" s="278"/>
      <c r="B1988" s="278"/>
      <c r="C1988" s="278"/>
      <c r="D1988" s="278"/>
      <c r="E1988" s="278"/>
      <c r="F1988" s="278"/>
      <c r="G1988" s="278"/>
      <c r="H1988" s="278"/>
      <c r="I1988" s="278"/>
      <c r="J1988" s="278"/>
      <c r="K1988" s="278"/>
    </row>
    <row r="1989" spans="1:11" x14ac:dyDescent="0.15">
      <c r="A1989" s="278"/>
      <c r="B1989" s="278"/>
      <c r="C1989" s="278"/>
      <c r="D1989" s="278"/>
      <c r="E1989" s="278"/>
      <c r="F1989" s="278"/>
      <c r="G1989" s="278"/>
      <c r="H1989" s="278"/>
      <c r="I1989" s="278"/>
      <c r="J1989" s="278"/>
      <c r="K1989" s="278"/>
    </row>
    <row r="1990" spans="1:11" x14ac:dyDescent="0.15">
      <c r="A1990" s="278"/>
      <c r="B1990" s="278"/>
      <c r="C1990" s="278"/>
      <c r="D1990" s="278"/>
      <c r="E1990" s="278"/>
      <c r="F1990" s="278"/>
      <c r="G1990" s="278"/>
      <c r="H1990" s="278"/>
      <c r="I1990" s="278"/>
      <c r="J1990" s="278"/>
      <c r="K1990" s="278"/>
    </row>
    <row r="1991" spans="1:11" x14ac:dyDescent="0.15">
      <c r="A1991" s="278"/>
      <c r="B1991" s="278"/>
      <c r="C1991" s="278"/>
      <c r="D1991" s="278"/>
      <c r="E1991" s="278"/>
      <c r="F1991" s="278"/>
      <c r="G1991" s="278"/>
      <c r="H1991" s="278"/>
      <c r="I1991" s="278"/>
      <c r="J1991" s="278"/>
      <c r="K1991" s="278"/>
    </row>
    <row r="1992" spans="1:11" x14ac:dyDescent="0.15">
      <c r="A1992" s="278"/>
      <c r="B1992" s="278"/>
      <c r="C1992" s="278"/>
      <c r="D1992" s="278"/>
      <c r="E1992" s="278"/>
      <c r="F1992" s="278"/>
      <c r="G1992" s="278"/>
      <c r="H1992" s="278"/>
      <c r="I1992" s="278"/>
      <c r="J1992" s="278"/>
      <c r="K1992" s="278"/>
    </row>
    <row r="1993" spans="1:11" x14ac:dyDescent="0.15">
      <c r="A1993" s="278"/>
      <c r="B1993" s="278"/>
      <c r="C1993" s="278"/>
      <c r="D1993" s="278"/>
      <c r="E1993" s="278"/>
      <c r="F1993" s="278"/>
      <c r="G1993" s="278"/>
      <c r="H1993" s="278"/>
      <c r="I1993" s="278"/>
      <c r="J1993" s="278"/>
      <c r="K1993" s="278"/>
    </row>
    <row r="1994" spans="1:11" x14ac:dyDescent="0.15">
      <c r="A1994" s="278"/>
      <c r="B1994" s="278"/>
      <c r="C1994" s="278"/>
      <c r="D1994" s="278"/>
      <c r="E1994" s="278"/>
      <c r="F1994" s="278"/>
      <c r="G1994" s="278"/>
      <c r="H1994" s="278"/>
      <c r="I1994" s="278"/>
      <c r="J1994" s="278"/>
      <c r="K1994" s="278"/>
    </row>
    <row r="1995" spans="1:11" x14ac:dyDescent="0.15">
      <c r="A1995" s="278"/>
      <c r="B1995" s="278"/>
      <c r="C1995" s="278"/>
      <c r="D1995" s="278"/>
      <c r="E1995" s="278"/>
      <c r="F1995" s="278"/>
      <c r="G1995" s="278"/>
      <c r="H1995" s="278"/>
      <c r="I1995" s="278"/>
      <c r="J1995" s="278"/>
      <c r="K1995" s="278"/>
    </row>
    <row r="1996" spans="1:11" x14ac:dyDescent="0.15">
      <c r="A1996" s="278"/>
      <c r="B1996" s="278"/>
      <c r="C1996" s="278"/>
      <c r="D1996" s="278"/>
      <c r="E1996" s="278"/>
      <c r="F1996" s="278"/>
      <c r="G1996" s="278"/>
      <c r="H1996" s="278"/>
      <c r="I1996" s="278"/>
      <c r="J1996" s="278"/>
      <c r="K1996" s="278"/>
    </row>
    <row r="1997" spans="1:11" x14ac:dyDescent="0.15">
      <c r="A1997" s="278"/>
      <c r="B1997" s="278"/>
      <c r="C1997" s="278"/>
      <c r="D1997" s="278"/>
      <c r="E1997" s="278"/>
      <c r="F1997" s="278"/>
      <c r="G1997" s="278"/>
      <c r="H1997" s="278"/>
      <c r="I1997" s="278"/>
      <c r="J1997" s="278"/>
      <c r="K1997" s="278"/>
    </row>
    <row r="1998" spans="1:11" x14ac:dyDescent="0.15">
      <c r="A1998" s="278"/>
      <c r="B1998" s="278"/>
      <c r="C1998" s="278"/>
      <c r="D1998" s="278"/>
      <c r="E1998" s="278"/>
      <c r="F1998" s="278"/>
      <c r="G1998" s="278"/>
      <c r="H1998" s="278"/>
      <c r="I1998" s="278"/>
      <c r="J1998" s="278"/>
      <c r="K1998" s="278"/>
    </row>
    <row r="1999" spans="1:11" x14ac:dyDescent="0.15">
      <c r="A1999" s="278"/>
      <c r="B1999" s="278"/>
      <c r="C1999" s="278"/>
      <c r="D1999" s="278"/>
      <c r="E1999" s="278"/>
      <c r="F1999" s="278"/>
      <c r="G1999" s="278"/>
      <c r="H1999" s="278"/>
      <c r="I1999" s="278"/>
      <c r="J1999" s="278"/>
      <c r="K1999" s="278"/>
    </row>
    <row r="2000" spans="1:11" x14ac:dyDescent="0.15">
      <c r="A2000" s="278"/>
      <c r="B2000" s="278"/>
      <c r="C2000" s="278"/>
      <c r="D2000" s="278"/>
      <c r="E2000" s="278"/>
      <c r="F2000" s="278"/>
      <c r="G2000" s="278"/>
      <c r="H2000" s="278"/>
      <c r="I2000" s="278"/>
      <c r="J2000" s="278"/>
      <c r="K2000" s="278"/>
    </row>
    <row r="2001" spans="1:11" x14ac:dyDescent="0.15">
      <c r="A2001" s="278"/>
      <c r="B2001" s="278"/>
      <c r="C2001" s="278"/>
      <c r="D2001" s="278"/>
      <c r="E2001" s="278"/>
      <c r="F2001" s="278"/>
      <c r="G2001" s="278"/>
      <c r="H2001" s="278"/>
      <c r="I2001" s="278"/>
      <c r="J2001" s="278"/>
      <c r="K2001" s="278"/>
    </row>
    <row r="2002" spans="1:11" x14ac:dyDescent="0.15">
      <c r="A2002" s="278"/>
      <c r="B2002" s="278"/>
      <c r="C2002" s="278"/>
      <c r="D2002" s="278"/>
      <c r="E2002" s="278"/>
      <c r="F2002" s="278"/>
      <c r="G2002" s="278"/>
      <c r="H2002" s="278"/>
      <c r="I2002" s="278"/>
      <c r="J2002" s="278"/>
      <c r="K2002" s="278"/>
    </row>
    <row r="2003" spans="1:11" x14ac:dyDescent="0.15">
      <c r="A2003" s="278"/>
      <c r="B2003" s="278"/>
      <c r="C2003" s="278"/>
      <c r="D2003" s="278"/>
      <c r="E2003" s="278"/>
      <c r="F2003" s="278"/>
      <c r="G2003" s="278"/>
      <c r="H2003" s="278"/>
      <c r="I2003" s="278"/>
      <c r="J2003" s="278"/>
      <c r="K2003" s="278"/>
    </row>
    <row r="2004" spans="1:11" x14ac:dyDescent="0.15">
      <c r="A2004" s="278"/>
      <c r="B2004" s="278"/>
      <c r="C2004" s="278"/>
      <c r="D2004" s="278"/>
      <c r="E2004" s="278"/>
      <c r="F2004" s="278"/>
      <c r="G2004" s="278"/>
      <c r="H2004" s="278"/>
      <c r="I2004" s="278"/>
      <c r="J2004" s="278"/>
      <c r="K2004" s="278"/>
    </row>
    <row r="2005" spans="1:11" x14ac:dyDescent="0.15">
      <c r="A2005" s="278"/>
      <c r="B2005" s="278"/>
      <c r="C2005" s="278"/>
      <c r="D2005" s="278"/>
      <c r="E2005" s="278"/>
      <c r="F2005" s="278"/>
      <c r="G2005" s="278"/>
      <c r="H2005" s="278"/>
      <c r="I2005" s="278"/>
      <c r="J2005" s="278"/>
      <c r="K2005" s="278"/>
    </row>
    <row r="2006" spans="1:11" x14ac:dyDescent="0.15">
      <c r="A2006" s="278"/>
      <c r="B2006" s="278"/>
      <c r="C2006" s="278"/>
      <c r="D2006" s="278"/>
      <c r="E2006" s="278"/>
      <c r="F2006" s="278"/>
      <c r="G2006" s="278"/>
      <c r="H2006" s="278"/>
      <c r="I2006" s="278"/>
      <c r="J2006" s="278"/>
      <c r="K2006" s="278"/>
    </row>
    <row r="2007" spans="1:11" x14ac:dyDescent="0.15">
      <c r="A2007" s="278"/>
      <c r="B2007" s="278"/>
      <c r="C2007" s="278"/>
      <c r="D2007" s="278"/>
      <c r="E2007" s="278"/>
      <c r="F2007" s="278"/>
      <c r="G2007" s="278"/>
      <c r="H2007" s="278"/>
      <c r="I2007" s="278"/>
      <c r="J2007" s="278"/>
      <c r="K2007" s="278"/>
    </row>
    <row r="2008" spans="1:11" x14ac:dyDescent="0.15">
      <c r="A2008" s="278"/>
      <c r="B2008" s="278"/>
      <c r="C2008" s="278"/>
      <c r="D2008" s="278"/>
      <c r="E2008" s="278"/>
      <c r="F2008" s="278"/>
      <c r="G2008" s="278"/>
      <c r="H2008" s="278"/>
      <c r="I2008" s="278"/>
      <c r="J2008" s="278"/>
      <c r="K2008" s="278"/>
    </row>
    <row r="2009" spans="1:11" x14ac:dyDescent="0.15">
      <c r="A2009" s="278"/>
      <c r="B2009" s="278"/>
      <c r="C2009" s="278"/>
      <c r="D2009" s="278"/>
      <c r="E2009" s="278"/>
      <c r="F2009" s="278"/>
      <c r="G2009" s="278"/>
      <c r="H2009" s="278"/>
      <c r="I2009" s="278"/>
      <c r="J2009" s="278"/>
      <c r="K2009" s="278"/>
    </row>
    <row r="2010" spans="1:11" x14ac:dyDescent="0.15">
      <c r="A2010" s="278"/>
      <c r="B2010" s="278"/>
      <c r="C2010" s="278"/>
      <c r="D2010" s="278"/>
      <c r="E2010" s="278"/>
      <c r="F2010" s="278"/>
      <c r="G2010" s="278"/>
      <c r="H2010" s="278"/>
      <c r="I2010" s="278"/>
      <c r="J2010" s="278"/>
      <c r="K2010" s="278"/>
    </row>
    <row r="2011" spans="1:11" x14ac:dyDescent="0.15">
      <c r="A2011" s="278"/>
      <c r="B2011" s="278"/>
      <c r="C2011" s="278"/>
      <c r="D2011" s="278"/>
      <c r="E2011" s="278"/>
      <c r="F2011" s="278"/>
      <c r="G2011" s="278"/>
      <c r="H2011" s="278"/>
      <c r="I2011" s="278"/>
      <c r="J2011" s="278"/>
      <c r="K2011" s="278"/>
    </row>
    <row r="2012" spans="1:11" x14ac:dyDescent="0.15">
      <c r="A2012" s="278"/>
      <c r="B2012" s="278"/>
      <c r="C2012" s="278"/>
      <c r="D2012" s="278"/>
      <c r="E2012" s="278"/>
      <c r="F2012" s="278"/>
      <c r="G2012" s="278"/>
      <c r="H2012" s="278"/>
      <c r="I2012" s="278"/>
      <c r="J2012" s="278"/>
      <c r="K2012" s="278"/>
    </row>
    <row r="2013" spans="1:11" x14ac:dyDescent="0.15">
      <c r="A2013" s="278"/>
      <c r="B2013" s="278"/>
      <c r="C2013" s="278"/>
      <c r="D2013" s="278"/>
      <c r="E2013" s="278"/>
      <c r="F2013" s="278"/>
      <c r="G2013" s="278"/>
      <c r="H2013" s="278"/>
      <c r="I2013" s="278"/>
      <c r="J2013" s="278"/>
      <c r="K2013" s="278"/>
    </row>
    <row r="2014" spans="1:11" x14ac:dyDescent="0.15">
      <c r="A2014" s="278"/>
      <c r="B2014" s="278"/>
      <c r="C2014" s="278"/>
      <c r="D2014" s="278"/>
      <c r="E2014" s="278"/>
      <c r="F2014" s="278"/>
      <c r="G2014" s="278"/>
      <c r="H2014" s="278"/>
      <c r="I2014" s="278"/>
      <c r="J2014" s="278"/>
      <c r="K2014" s="278"/>
    </row>
    <row r="2015" spans="1:11" x14ac:dyDescent="0.15">
      <c r="A2015" s="278"/>
      <c r="B2015" s="278"/>
      <c r="C2015" s="278"/>
      <c r="D2015" s="278"/>
      <c r="E2015" s="278"/>
      <c r="F2015" s="278"/>
      <c r="G2015" s="278"/>
      <c r="H2015" s="278"/>
      <c r="I2015" s="278"/>
      <c r="J2015" s="278"/>
      <c r="K2015" s="278"/>
    </row>
    <row r="2016" spans="1:11" x14ac:dyDescent="0.15">
      <c r="A2016" s="278"/>
      <c r="B2016" s="278"/>
      <c r="C2016" s="278"/>
      <c r="D2016" s="278"/>
      <c r="E2016" s="278"/>
      <c r="F2016" s="278"/>
      <c r="G2016" s="278"/>
      <c r="H2016" s="278"/>
      <c r="I2016" s="278"/>
      <c r="J2016" s="278"/>
      <c r="K2016" s="278"/>
    </row>
    <row r="2017" spans="1:11" x14ac:dyDescent="0.15">
      <c r="A2017" s="278"/>
      <c r="B2017" s="278"/>
      <c r="C2017" s="278"/>
      <c r="D2017" s="278"/>
      <c r="E2017" s="278"/>
      <c r="F2017" s="278"/>
      <c r="G2017" s="278"/>
      <c r="H2017" s="278"/>
      <c r="I2017" s="278"/>
      <c r="J2017" s="278"/>
      <c r="K2017" s="278"/>
    </row>
    <row r="2018" spans="1:11" x14ac:dyDescent="0.15">
      <c r="A2018" s="278"/>
      <c r="B2018" s="278"/>
      <c r="C2018" s="278"/>
      <c r="D2018" s="278"/>
      <c r="E2018" s="278"/>
      <c r="F2018" s="278"/>
      <c r="G2018" s="278"/>
      <c r="H2018" s="278"/>
      <c r="I2018" s="278"/>
      <c r="J2018" s="278"/>
      <c r="K2018" s="278"/>
    </row>
    <row r="2019" spans="1:11" x14ac:dyDescent="0.15">
      <c r="A2019" s="278"/>
      <c r="B2019" s="278"/>
      <c r="C2019" s="278"/>
      <c r="D2019" s="278"/>
      <c r="E2019" s="278"/>
      <c r="F2019" s="278"/>
      <c r="G2019" s="278"/>
      <c r="H2019" s="278"/>
      <c r="I2019" s="278"/>
      <c r="J2019" s="278"/>
      <c r="K2019" s="278"/>
    </row>
    <row r="2020" spans="1:11" x14ac:dyDescent="0.15">
      <c r="A2020" s="278"/>
      <c r="B2020" s="278"/>
      <c r="C2020" s="278"/>
      <c r="D2020" s="278"/>
      <c r="E2020" s="278"/>
      <c r="F2020" s="278"/>
      <c r="G2020" s="278"/>
      <c r="H2020" s="278"/>
      <c r="I2020" s="278"/>
      <c r="J2020" s="278"/>
      <c r="K2020" s="278"/>
    </row>
    <row r="2021" spans="1:11" x14ac:dyDescent="0.15">
      <c r="A2021" s="278"/>
      <c r="B2021" s="278"/>
      <c r="C2021" s="278"/>
      <c r="D2021" s="278"/>
      <c r="E2021" s="278"/>
      <c r="F2021" s="278"/>
      <c r="G2021" s="278"/>
      <c r="H2021" s="278"/>
      <c r="I2021" s="278"/>
      <c r="J2021" s="278"/>
      <c r="K2021" s="278"/>
    </row>
    <row r="2022" spans="1:11" x14ac:dyDescent="0.15">
      <c r="A2022" s="278"/>
      <c r="B2022" s="278"/>
      <c r="C2022" s="278"/>
      <c r="D2022" s="278"/>
      <c r="E2022" s="278"/>
      <c r="F2022" s="278"/>
      <c r="G2022" s="278"/>
      <c r="H2022" s="278"/>
      <c r="I2022" s="278"/>
      <c r="J2022" s="278"/>
      <c r="K2022" s="278"/>
    </row>
    <row r="2023" spans="1:11" x14ac:dyDescent="0.15">
      <c r="A2023" s="278"/>
      <c r="B2023" s="278"/>
      <c r="C2023" s="278"/>
      <c r="D2023" s="278"/>
      <c r="E2023" s="278"/>
      <c r="F2023" s="278"/>
      <c r="G2023" s="278"/>
      <c r="H2023" s="278"/>
      <c r="I2023" s="278"/>
      <c r="J2023" s="278"/>
      <c r="K2023" s="278"/>
    </row>
    <row r="2024" spans="1:11" x14ac:dyDescent="0.15">
      <c r="A2024" s="278"/>
      <c r="B2024" s="278"/>
      <c r="C2024" s="278"/>
      <c r="D2024" s="278"/>
      <c r="E2024" s="278"/>
      <c r="F2024" s="278"/>
      <c r="G2024" s="278"/>
      <c r="H2024" s="278"/>
      <c r="I2024" s="278"/>
      <c r="J2024" s="278"/>
      <c r="K2024" s="278"/>
    </row>
    <row r="2025" spans="1:11" x14ac:dyDescent="0.15">
      <c r="A2025" s="278"/>
      <c r="B2025" s="278"/>
      <c r="C2025" s="278"/>
      <c r="D2025" s="278"/>
      <c r="E2025" s="278"/>
      <c r="F2025" s="278"/>
      <c r="G2025" s="278"/>
      <c r="H2025" s="278"/>
      <c r="I2025" s="278"/>
      <c r="J2025" s="278"/>
      <c r="K2025" s="278"/>
    </row>
    <row r="2026" spans="1:11" x14ac:dyDescent="0.15">
      <c r="A2026" s="278"/>
      <c r="B2026" s="278"/>
      <c r="C2026" s="278"/>
      <c r="D2026" s="278"/>
      <c r="E2026" s="278"/>
      <c r="F2026" s="278"/>
      <c r="G2026" s="278"/>
      <c r="H2026" s="278"/>
      <c r="I2026" s="278"/>
      <c r="J2026" s="278"/>
      <c r="K2026" s="278"/>
    </row>
    <row r="2027" spans="1:11" x14ac:dyDescent="0.15">
      <c r="A2027" s="278"/>
      <c r="B2027" s="278"/>
      <c r="C2027" s="278"/>
      <c r="D2027" s="278"/>
      <c r="E2027" s="278"/>
      <c r="F2027" s="278"/>
      <c r="G2027" s="278"/>
      <c r="H2027" s="278"/>
      <c r="I2027" s="278"/>
      <c r="J2027" s="278"/>
      <c r="K2027" s="278"/>
    </row>
    <row r="2028" spans="1:11" x14ac:dyDescent="0.15">
      <c r="A2028" s="278"/>
      <c r="B2028" s="278"/>
      <c r="C2028" s="278"/>
      <c r="D2028" s="278"/>
      <c r="E2028" s="278"/>
      <c r="F2028" s="278"/>
      <c r="G2028" s="278"/>
      <c r="H2028" s="278"/>
      <c r="I2028" s="278"/>
      <c r="J2028" s="278"/>
      <c r="K2028" s="278"/>
    </row>
    <row r="2029" spans="1:11" x14ac:dyDescent="0.15">
      <c r="A2029" s="278"/>
      <c r="B2029" s="278"/>
      <c r="C2029" s="278"/>
      <c r="D2029" s="278"/>
      <c r="E2029" s="278"/>
      <c r="F2029" s="278"/>
      <c r="G2029" s="278"/>
      <c r="H2029" s="278"/>
      <c r="I2029" s="278"/>
      <c r="J2029" s="278"/>
      <c r="K2029" s="278"/>
    </row>
    <row r="2030" spans="1:11" x14ac:dyDescent="0.15">
      <c r="A2030" s="278"/>
      <c r="B2030" s="278"/>
      <c r="C2030" s="278"/>
      <c r="D2030" s="278"/>
      <c r="E2030" s="278"/>
      <c r="F2030" s="278"/>
      <c r="G2030" s="278"/>
      <c r="H2030" s="278"/>
      <c r="I2030" s="278"/>
      <c r="J2030" s="278"/>
      <c r="K2030" s="278"/>
    </row>
    <row r="2031" spans="1:11" x14ac:dyDescent="0.15">
      <c r="A2031" s="278"/>
      <c r="B2031" s="278"/>
      <c r="C2031" s="278"/>
      <c r="D2031" s="278"/>
      <c r="E2031" s="278"/>
      <c r="F2031" s="278"/>
      <c r="G2031" s="278"/>
      <c r="H2031" s="278"/>
      <c r="I2031" s="278"/>
      <c r="J2031" s="278"/>
      <c r="K2031" s="278"/>
    </row>
    <row r="2032" spans="1:11" x14ac:dyDescent="0.15">
      <c r="A2032" s="278"/>
      <c r="B2032" s="278"/>
      <c r="C2032" s="278"/>
      <c r="D2032" s="278"/>
      <c r="E2032" s="278"/>
      <c r="F2032" s="278"/>
      <c r="G2032" s="278"/>
      <c r="H2032" s="278"/>
      <c r="I2032" s="278"/>
      <c r="J2032" s="278"/>
      <c r="K2032" s="278"/>
    </row>
    <row r="2033" spans="1:11" x14ac:dyDescent="0.15">
      <c r="A2033" s="278"/>
      <c r="B2033" s="278"/>
      <c r="C2033" s="278"/>
      <c r="D2033" s="278"/>
      <c r="E2033" s="278"/>
      <c r="F2033" s="278"/>
      <c r="G2033" s="278"/>
      <c r="H2033" s="278"/>
      <c r="I2033" s="278"/>
      <c r="J2033" s="278"/>
      <c r="K2033" s="278"/>
    </row>
    <row r="2034" spans="1:11" x14ac:dyDescent="0.15">
      <c r="A2034" s="278"/>
      <c r="B2034" s="278"/>
      <c r="C2034" s="278"/>
      <c r="D2034" s="278"/>
      <c r="E2034" s="278"/>
      <c r="F2034" s="278"/>
      <c r="G2034" s="278"/>
      <c r="H2034" s="278"/>
      <c r="I2034" s="278"/>
      <c r="J2034" s="278"/>
      <c r="K2034" s="278"/>
    </row>
    <row r="2035" spans="1:11" x14ac:dyDescent="0.15">
      <c r="A2035" s="278"/>
      <c r="B2035" s="278"/>
      <c r="C2035" s="278"/>
      <c r="D2035" s="278"/>
      <c r="E2035" s="278"/>
      <c r="F2035" s="278"/>
      <c r="G2035" s="278"/>
      <c r="H2035" s="278"/>
      <c r="I2035" s="278"/>
      <c r="J2035" s="278"/>
      <c r="K2035" s="278"/>
    </row>
    <row r="2036" spans="1:11" x14ac:dyDescent="0.15">
      <c r="A2036" s="278"/>
      <c r="B2036" s="278"/>
      <c r="C2036" s="278"/>
      <c r="D2036" s="278"/>
      <c r="E2036" s="278"/>
      <c r="F2036" s="278"/>
      <c r="G2036" s="278"/>
      <c r="H2036" s="278"/>
      <c r="I2036" s="278"/>
      <c r="J2036" s="278"/>
      <c r="K2036" s="278"/>
    </row>
    <row r="2037" spans="1:11" x14ac:dyDescent="0.15">
      <c r="A2037" s="278"/>
      <c r="B2037" s="278"/>
      <c r="C2037" s="278"/>
      <c r="D2037" s="278"/>
      <c r="E2037" s="278"/>
      <c r="F2037" s="278"/>
      <c r="G2037" s="278"/>
      <c r="H2037" s="278"/>
      <c r="I2037" s="278"/>
      <c r="J2037" s="278"/>
      <c r="K2037" s="278"/>
    </row>
    <row r="2038" spans="1:11" x14ac:dyDescent="0.15">
      <c r="A2038" s="278"/>
      <c r="B2038" s="278"/>
      <c r="C2038" s="278"/>
      <c r="D2038" s="278"/>
      <c r="E2038" s="278"/>
      <c r="F2038" s="278"/>
      <c r="G2038" s="278"/>
      <c r="H2038" s="278"/>
      <c r="I2038" s="278"/>
      <c r="J2038" s="278"/>
      <c r="K2038" s="278"/>
    </row>
    <row r="2039" spans="1:11" x14ac:dyDescent="0.15">
      <c r="A2039" s="278"/>
      <c r="B2039" s="278"/>
      <c r="C2039" s="278"/>
      <c r="D2039" s="278"/>
      <c r="E2039" s="278"/>
      <c r="F2039" s="278"/>
      <c r="G2039" s="278"/>
      <c r="H2039" s="278"/>
      <c r="I2039" s="278"/>
      <c r="J2039" s="278"/>
      <c r="K2039" s="278"/>
    </row>
    <row r="2040" spans="1:11" x14ac:dyDescent="0.15">
      <c r="A2040" s="278"/>
      <c r="B2040" s="278"/>
      <c r="C2040" s="278"/>
      <c r="D2040" s="278"/>
      <c r="E2040" s="278"/>
      <c r="F2040" s="278"/>
      <c r="G2040" s="278"/>
      <c r="H2040" s="278"/>
      <c r="I2040" s="278"/>
      <c r="J2040" s="278"/>
      <c r="K2040" s="278"/>
    </row>
    <row r="2041" spans="1:11" x14ac:dyDescent="0.15">
      <c r="A2041" s="278"/>
      <c r="B2041" s="278"/>
      <c r="C2041" s="278"/>
      <c r="D2041" s="278"/>
      <c r="E2041" s="278"/>
      <c r="F2041" s="278"/>
      <c r="G2041" s="278"/>
      <c r="H2041" s="278"/>
      <c r="I2041" s="278"/>
      <c r="J2041" s="278"/>
      <c r="K2041" s="278"/>
    </row>
    <row r="2042" spans="1:11" x14ac:dyDescent="0.15">
      <c r="A2042" s="278"/>
      <c r="B2042" s="278"/>
      <c r="C2042" s="278"/>
      <c r="D2042" s="278"/>
      <c r="E2042" s="278"/>
      <c r="F2042" s="278"/>
      <c r="G2042" s="278"/>
      <c r="H2042" s="278"/>
      <c r="I2042" s="278"/>
      <c r="J2042" s="278"/>
      <c r="K2042" s="278"/>
    </row>
    <row r="2043" spans="1:11" x14ac:dyDescent="0.15">
      <c r="A2043" s="278"/>
      <c r="B2043" s="278"/>
      <c r="C2043" s="278"/>
      <c r="D2043" s="278"/>
      <c r="E2043" s="278"/>
      <c r="F2043" s="278"/>
      <c r="G2043" s="278"/>
      <c r="H2043" s="278"/>
      <c r="I2043" s="278"/>
      <c r="J2043" s="278"/>
      <c r="K2043" s="278"/>
    </row>
    <row r="2044" spans="1:11" x14ac:dyDescent="0.15">
      <c r="A2044" s="278"/>
      <c r="B2044" s="278"/>
      <c r="C2044" s="278"/>
      <c r="D2044" s="278"/>
      <c r="E2044" s="278"/>
      <c r="F2044" s="278"/>
      <c r="G2044" s="278"/>
      <c r="H2044" s="278"/>
      <c r="I2044" s="278"/>
      <c r="J2044" s="278"/>
      <c r="K2044" s="278"/>
    </row>
    <row r="2045" spans="1:11" x14ac:dyDescent="0.15">
      <c r="A2045" s="278"/>
      <c r="B2045" s="278"/>
      <c r="C2045" s="278"/>
      <c r="D2045" s="278"/>
      <c r="E2045" s="278"/>
      <c r="F2045" s="278"/>
      <c r="G2045" s="278"/>
      <c r="H2045" s="278"/>
      <c r="I2045" s="278"/>
      <c r="J2045" s="278"/>
      <c r="K2045" s="278"/>
    </row>
    <row r="2046" spans="1:11" x14ac:dyDescent="0.15">
      <c r="A2046" s="278"/>
      <c r="B2046" s="278"/>
      <c r="C2046" s="278"/>
      <c r="D2046" s="278"/>
      <c r="E2046" s="278"/>
      <c r="F2046" s="278"/>
      <c r="G2046" s="278"/>
      <c r="H2046" s="278"/>
      <c r="I2046" s="278"/>
      <c r="J2046" s="278"/>
      <c r="K2046" s="278"/>
    </row>
    <row r="2047" spans="1:11" x14ac:dyDescent="0.15">
      <c r="A2047" s="278"/>
      <c r="B2047" s="278"/>
      <c r="C2047" s="278"/>
      <c r="D2047" s="278"/>
      <c r="E2047" s="278"/>
      <c r="F2047" s="278"/>
      <c r="G2047" s="278"/>
      <c r="H2047" s="278"/>
      <c r="I2047" s="278"/>
      <c r="J2047" s="278"/>
      <c r="K2047" s="278"/>
    </row>
    <row r="2048" spans="1:11" x14ac:dyDescent="0.15">
      <c r="A2048" s="278"/>
      <c r="B2048" s="278"/>
      <c r="C2048" s="278"/>
      <c r="D2048" s="278"/>
      <c r="E2048" s="278"/>
      <c r="F2048" s="278"/>
      <c r="G2048" s="278"/>
      <c r="H2048" s="278"/>
      <c r="I2048" s="278"/>
      <c r="J2048" s="278"/>
      <c r="K2048" s="278"/>
    </row>
    <row r="2049" spans="1:11" x14ac:dyDescent="0.15">
      <c r="A2049" s="278"/>
      <c r="B2049" s="278"/>
      <c r="C2049" s="278"/>
      <c r="D2049" s="278"/>
      <c r="E2049" s="278"/>
      <c r="F2049" s="278"/>
      <c r="G2049" s="278"/>
      <c r="H2049" s="278"/>
      <c r="I2049" s="278"/>
      <c r="J2049" s="278"/>
      <c r="K2049" s="278"/>
    </row>
    <row r="2050" spans="1:11" x14ac:dyDescent="0.15">
      <c r="A2050" s="278"/>
      <c r="B2050" s="278"/>
      <c r="C2050" s="278"/>
      <c r="D2050" s="278"/>
      <c r="E2050" s="278"/>
      <c r="F2050" s="278"/>
      <c r="G2050" s="278"/>
      <c r="H2050" s="278"/>
      <c r="I2050" s="278"/>
      <c r="J2050" s="278"/>
      <c r="K2050" s="278"/>
    </row>
    <row r="2051" spans="1:11" x14ac:dyDescent="0.15">
      <c r="A2051" s="278"/>
      <c r="B2051" s="278"/>
      <c r="C2051" s="278"/>
      <c r="D2051" s="278"/>
      <c r="E2051" s="278"/>
      <c r="F2051" s="278"/>
      <c r="G2051" s="278"/>
      <c r="H2051" s="278"/>
      <c r="I2051" s="278"/>
      <c r="J2051" s="278"/>
      <c r="K2051" s="278"/>
    </row>
    <row r="2052" spans="1:11" x14ac:dyDescent="0.15">
      <c r="A2052" s="278"/>
      <c r="B2052" s="278"/>
      <c r="C2052" s="278"/>
      <c r="D2052" s="278"/>
      <c r="E2052" s="278"/>
      <c r="F2052" s="278"/>
      <c r="G2052" s="278"/>
      <c r="H2052" s="278"/>
      <c r="I2052" s="278"/>
      <c r="J2052" s="278"/>
      <c r="K2052" s="278"/>
    </row>
    <row r="2053" spans="1:11" x14ac:dyDescent="0.15">
      <c r="A2053" s="278"/>
      <c r="B2053" s="278"/>
      <c r="C2053" s="278"/>
      <c r="D2053" s="278"/>
      <c r="E2053" s="278"/>
      <c r="F2053" s="278"/>
      <c r="G2053" s="278"/>
      <c r="H2053" s="278"/>
      <c r="I2053" s="278"/>
      <c r="J2053" s="278"/>
      <c r="K2053" s="278"/>
    </row>
    <row r="2054" spans="1:11" x14ac:dyDescent="0.15">
      <c r="A2054" s="278"/>
      <c r="B2054" s="278"/>
      <c r="C2054" s="278"/>
      <c r="D2054" s="278"/>
      <c r="E2054" s="278"/>
      <c r="F2054" s="278"/>
      <c r="G2054" s="278"/>
      <c r="H2054" s="278"/>
      <c r="I2054" s="278"/>
      <c r="J2054" s="278"/>
      <c r="K2054" s="278"/>
    </row>
    <row r="2055" spans="1:11" x14ac:dyDescent="0.15">
      <c r="A2055" s="278"/>
      <c r="B2055" s="278"/>
      <c r="C2055" s="278"/>
      <c r="D2055" s="278"/>
      <c r="E2055" s="278"/>
      <c r="F2055" s="278"/>
      <c r="G2055" s="278"/>
      <c r="H2055" s="278"/>
      <c r="I2055" s="278"/>
      <c r="J2055" s="278"/>
      <c r="K2055" s="278"/>
    </row>
    <row r="2056" spans="1:11" x14ac:dyDescent="0.15">
      <c r="A2056" s="278"/>
      <c r="B2056" s="278"/>
      <c r="C2056" s="278"/>
      <c r="D2056" s="278"/>
      <c r="E2056" s="278"/>
      <c r="F2056" s="278"/>
      <c r="G2056" s="278"/>
      <c r="H2056" s="278"/>
      <c r="I2056" s="278"/>
      <c r="J2056" s="278"/>
      <c r="K2056" s="278"/>
    </row>
    <row r="2057" spans="1:11" x14ac:dyDescent="0.15">
      <c r="A2057" s="278"/>
      <c r="B2057" s="278"/>
      <c r="C2057" s="278"/>
      <c r="D2057" s="278"/>
      <c r="E2057" s="278"/>
      <c r="F2057" s="278"/>
      <c r="G2057" s="278"/>
      <c r="H2057" s="278"/>
      <c r="I2057" s="278"/>
      <c r="J2057" s="278"/>
      <c r="K2057" s="278"/>
    </row>
    <row r="2058" spans="1:11" x14ac:dyDescent="0.15">
      <c r="A2058" s="278"/>
      <c r="B2058" s="278"/>
      <c r="C2058" s="278"/>
      <c r="D2058" s="278"/>
      <c r="E2058" s="278"/>
      <c r="F2058" s="278"/>
      <c r="G2058" s="278"/>
      <c r="H2058" s="278"/>
      <c r="I2058" s="278"/>
      <c r="J2058" s="278"/>
      <c r="K2058" s="278"/>
    </row>
    <row r="2059" spans="1:11" x14ac:dyDescent="0.15">
      <c r="A2059" s="278"/>
      <c r="B2059" s="278"/>
      <c r="C2059" s="278"/>
      <c r="D2059" s="278"/>
      <c r="E2059" s="278"/>
      <c r="F2059" s="278"/>
      <c r="G2059" s="278"/>
      <c r="H2059" s="278"/>
      <c r="I2059" s="278"/>
      <c r="J2059" s="278"/>
      <c r="K2059" s="278"/>
    </row>
    <row r="2060" spans="1:11" x14ac:dyDescent="0.15">
      <c r="A2060" s="278"/>
      <c r="B2060" s="278"/>
      <c r="C2060" s="278"/>
      <c r="D2060" s="278"/>
      <c r="E2060" s="278"/>
      <c r="F2060" s="278"/>
      <c r="G2060" s="278"/>
      <c r="H2060" s="278"/>
      <c r="I2060" s="278"/>
      <c r="J2060" s="278"/>
      <c r="K2060" s="278"/>
    </row>
    <row r="2061" spans="1:11" x14ac:dyDescent="0.15">
      <c r="A2061" s="278"/>
      <c r="B2061" s="278"/>
      <c r="C2061" s="278"/>
      <c r="D2061" s="278"/>
      <c r="E2061" s="278"/>
      <c r="F2061" s="278"/>
      <c r="G2061" s="278"/>
      <c r="H2061" s="278"/>
      <c r="I2061" s="278"/>
      <c r="J2061" s="278"/>
      <c r="K2061" s="278"/>
    </row>
    <row r="2062" spans="1:11" x14ac:dyDescent="0.15">
      <c r="A2062" s="278"/>
      <c r="B2062" s="278"/>
      <c r="C2062" s="278"/>
      <c r="D2062" s="278"/>
      <c r="E2062" s="278"/>
      <c r="F2062" s="278"/>
      <c r="G2062" s="278"/>
      <c r="H2062" s="278"/>
      <c r="I2062" s="278"/>
      <c r="J2062" s="278"/>
      <c r="K2062" s="278"/>
    </row>
    <row r="2063" spans="1:11" x14ac:dyDescent="0.15">
      <c r="A2063" s="278"/>
      <c r="B2063" s="278"/>
      <c r="C2063" s="278"/>
      <c r="D2063" s="278"/>
      <c r="E2063" s="278"/>
      <c r="F2063" s="278"/>
      <c r="G2063" s="278"/>
      <c r="H2063" s="278"/>
      <c r="I2063" s="278"/>
      <c r="J2063" s="278"/>
      <c r="K2063" s="278"/>
    </row>
    <row r="2064" spans="1:11" x14ac:dyDescent="0.15">
      <c r="A2064" s="278"/>
      <c r="B2064" s="278"/>
      <c r="C2064" s="278"/>
      <c r="D2064" s="278"/>
      <c r="E2064" s="278"/>
      <c r="F2064" s="278"/>
      <c r="G2064" s="278"/>
      <c r="H2064" s="278"/>
      <c r="I2064" s="278"/>
      <c r="J2064" s="278"/>
      <c r="K2064" s="278"/>
    </row>
    <row r="2065" spans="1:11" x14ac:dyDescent="0.15">
      <c r="A2065" s="278"/>
      <c r="B2065" s="278"/>
      <c r="C2065" s="278"/>
      <c r="D2065" s="278"/>
      <c r="E2065" s="278"/>
      <c r="F2065" s="278"/>
      <c r="G2065" s="278"/>
      <c r="H2065" s="278"/>
      <c r="I2065" s="278"/>
      <c r="J2065" s="278"/>
      <c r="K2065" s="278"/>
    </row>
    <row r="2066" spans="1:11" x14ac:dyDescent="0.15">
      <c r="A2066" s="278"/>
      <c r="B2066" s="278"/>
      <c r="C2066" s="278"/>
      <c r="D2066" s="278"/>
      <c r="E2066" s="278"/>
      <c r="F2066" s="278"/>
      <c r="G2066" s="278"/>
      <c r="H2066" s="278"/>
      <c r="I2066" s="278"/>
      <c r="J2066" s="278"/>
      <c r="K2066" s="278"/>
    </row>
    <row r="2067" spans="1:11" x14ac:dyDescent="0.15">
      <c r="A2067" s="278"/>
      <c r="B2067" s="278"/>
      <c r="C2067" s="278"/>
      <c r="D2067" s="278"/>
      <c r="E2067" s="278"/>
      <c r="F2067" s="278"/>
      <c r="G2067" s="278"/>
      <c r="H2067" s="278"/>
      <c r="I2067" s="278"/>
      <c r="J2067" s="278"/>
      <c r="K2067" s="278"/>
    </row>
    <row r="2068" spans="1:11" x14ac:dyDescent="0.15">
      <c r="A2068" s="278"/>
      <c r="B2068" s="278"/>
      <c r="C2068" s="278"/>
      <c r="D2068" s="278"/>
      <c r="E2068" s="278"/>
      <c r="F2068" s="278"/>
      <c r="G2068" s="278"/>
      <c r="H2068" s="278"/>
      <c r="I2068" s="278"/>
      <c r="J2068" s="278"/>
      <c r="K2068" s="278"/>
    </row>
    <row r="2069" spans="1:11" x14ac:dyDescent="0.15">
      <c r="A2069" s="278"/>
      <c r="B2069" s="278"/>
      <c r="C2069" s="278"/>
      <c r="D2069" s="278"/>
      <c r="E2069" s="278"/>
      <c r="F2069" s="278"/>
      <c r="G2069" s="278"/>
      <c r="H2069" s="278"/>
      <c r="I2069" s="278"/>
      <c r="J2069" s="278"/>
      <c r="K2069" s="278"/>
    </row>
    <row r="2070" spans="1:11" x14ac:dyDescent="0.15">
      <c r="A2070" s="278"/>
      <c r="B2070" s="278"/>
      <c r="C2070" s="278"/>
      <c r="D2070" s="278"/>
      <c r="E2070" s="278"/>
      <c r="F2070" s="278"/>
      <c r="G2070" s="278"/>
      <c r="H2070" s="278"/>
      <c r="I2070" s="278"/>
      <c r="J2070" s="278"/>
      <c r="K2070" s="278"/>
    </row>
    <row r="2071" spans="1:11" x14ac:dyDescent="0.15">
      <c r="A2071" s="278"/>
      <c r="B2071" s="278"/>
      <c r="C2071" s="278"/>
      <c r="D2071" s="278"/>
      <c r="E2071" s="278"/>
      <c r="F2071" s="278"/>
      <c r="G2071" s="278"/>
      <c r="H2071" s="278"/>
      <c r="I2071" s="278"/>
      <c r="J2071" s="278"/>
      <c r="K2071" s="278"/>
    </row>
    <row r="2072" spans="1:11" x14ac:dyDescent="0.15">
      <c r="A2072" s="278"/>
      <c r="B2072" s="278"/>
      <c r="C2072" s="278"/>
      <c r="D2072" s="278"/>
      <c r="E2072" s="278"/>
      <c r="F2072" s="278"/>
      <c r="G2072" s="278"/>
      <c r="H2072" s="278"/>
      <c r="I2072" s="278"/>
      <c r="J2072" s="278"/>
      <c r="K2072" s="278"/>
    </row>
    <row r="2073" spans="1:11" x14ac:dyDescent="0.15">
      <c r="A2073" s="278"/>
      <c r="B2073" s="278"/>
      <c r="C2073" s="278"/>
      <c r="D2073" s="278"/>
      <c r="E2073" s="278"/>
      <c r="F2073" s="278"/>
      <c r="G2073" s="278"/>
      <c r="H2073" s="278"/>
      <c r="I2073" s="278"/>
      <c r="J2073" s="278"/>
      <c r="K2073" s="278"/>
    </row>
    <row r="2074" spans="1:11" x14ac:dyDescent="0.15">
      <c r="A2074" s="278"/>
      <c r="B2074" s="278"/>
      <c r="C2074" s="278"/>
      <c r="D2074" s="278"/>
      <c r="E2074" s="278"/>
      <c r="F2074" s="278"/>
      <c r="G2074" s="278"/>
      <c r="H2074" s="278"/>
      <c r="I2074" s="278"/>
      <c r="J2074" s="278"/>
      <c r="K2074" s="278"/>
    </row>
    <row r="2075" spans="1:11" x14ac:dyDescent="0.15">
      <c r="A2075" s="278"/>
      <c r="B2075" s="278"/>
      <c r="C2075" s="278"/>
      <c r="D2075" s="278"/>
      <c r="E2075" s="278"/>
      <c r="F2075" s="278"/>
      <c r="G2075" s="278"/>
      <c r="H2075" s="278"/>
      <c r="I2075" s="278"/>
      <c r="J2075" s="278"/>
      <c r="K2075" s="278"/>
    </row>
    <row r="2076" spans="1:11" x14ac:dyDescent="0.15">
      <c r="A2076" s="278"/>
      <c r="B2076" s="278"/>
      <c r="C2076" s="278"/>
      <c r="D2076" s="278"/>
      <c r="E2076" s="278"/>
      <c r="F2076" s="278"/>
      <c r="G2076" s="278"/>
      <c r="H2076" s="278"/>
      <c r="I2076" s="278"/>
      <c r="J2076" s="278"/>
      <c r="K2076" s="278"/>
    </row>
    <row r="2077" spans="1:11" x14ac:dyDescent="0.15">
      <c r="A2077" s="278"/>
      <c r="B2077" s="278"/>
      <c r="C2077" s="278"/>
      <c r="D2077" s="278"/>
      <c r="E2077" s="278"/>
      <c r="F2077" s="278"/>
      <c r="G2077" s="278"/>
      <c r="H2077" s="278"/>
      <c r="I2077" s="278"/>
      <c r="J2077" s="278"/>
      <c r="K2077" s="278"/>
    </row>
    <row r="2078" spans="1:11" x14ac:dyDescent="0.15">
      <c r="A2078" s="278"/>
      <c r="B2078" s="278"/>
      <c r="C2078" s="278"/>
      <c r="D2078" s="278"/>
      <c r="E2078" s="278"/>
      <c r="F2078" s="278"/>
      <c r="G2078" s="278"/>
      <c r="H2078" s="278"/>
      <c r="I2078" s="278"/>
      <c r="J2078" s="278"/>
      <c r="K2078" s="278"/>
    </row>
    <row r="2079" spans="1:11" x14ac:dyDescent="0.15">
      <c r="A2079" s="278"/>
      <c r="B2079" s="278"/>
      <c r="C2079" s="278"/>
      <c r="D2079" s="278"/>
      <c r="E2079" s="278"/>
      <c r="F2079" s="278"/>
      <c r="G2079" s="278"/>
      <c r="H2079" s="278"/>
      <c r="I2079" s="278"/>
      <c r="J2079" s="278"/>
      <c r="K2079" s="278"/>
    </row>
    <row r="2080" spans="1:11" x14ac:dyDescent="0.15">
      <c r="A2080" s="278"/>
      <c r="B2080" s="278"/>
      <c r="C2080" s="278"/>
      <c r="D2080" s="278"/>
      <c r="E2080" s="278"/>
      <c r="F2080" s="278"/>
      <c r="G2080" s="278"/>
      <c r="H2080" s="278"/>
      <c r="I2080" s="278"/>
      <c r="J2080" s="278"/>
      <c r="K2080" s="278"/>
    </row>
    <row r="2081" spans="1:11" x14ac:dyDescent="0.15">
      <c r="A2081" s="278"/>
      <c r="B2081" s="278"/>
      <c r="C2081" s="278"/>
      <c r="D2081" s="278"/>
      <c r="E2081" s="278"/>
      <c r="F2081" s="278"/>
      <c r="G2081" s="278"/>
      <c r="H2081" s="278"/>
      <c r="I2081" s="278"/>
      <c r="J2081" s="278"/>
      <c r="K2081" s="278"/>
    </row>
    <row r="2082" spans="1:11" x14ac:dyDescent="0.15">
      <c r="A2082" s="278"/>
      <c r="B2082" s="278"/>
      <c r="C2082" s="278"/>
      <c r="D2082" s="278"/>
      <c r="E2082" s="278"/>
      <c r="F2082" s="278"/>
      <c r="G2082" s="278"/>
      <c r="H2082" s="278"/>
      <c r="I2082" s="278"/>
      <c r="J2082" s="278"/>
      <c r="K2082" s="278"/>
    </row>
    <row r="2083" spans="1:11" x14ac:dyDescent="0.15">
      <c r="A2083" s="278"/>
      <c r="B2083" s="278"/>
      <c r="C2083" s="278"/>
      <c r="D2083" s="278"/>
      <c r="E2083" s="278"/>
      <c r="F2083" s="278"/>
      <c r="G2083" s="278"/>
      <c r="H2083" s="278"/>
      <c r="I2083" s="278"/>
      <c r="J2083" s="278"/>
      <c r="K2083" s="278"/>
    </row>
    <row r="2084" spans="1:11" x14ac:dyDescent="0.15">
      <c r="A2084" s="278"/>
      <c r="B2084" s="278"/>
      <c r="C2084" s="278"/>
      <c r="D2084" s="278"/>
      <c r="E2084" s="278"/>
      <c r="F2084" s="278"/>
      <c r="G2084" s="278"/>
      <c r="H2084" s="278"/>
      <c r="I2084" s="278"/>
      <c r="J2084" s="278"/>
      <c r="K2084" s="278"/>
    </row>
    <row r="2085" spans="1:11" x14ac:dyDescent="0.15">
      <c r="A2085" s="278"/>
      <c r="B2085" s="278"/>
      <c r="C2085" s="278"/>
      <c r="D2085" s="278"/>
      <c r="E2085" s="278"/>
      <c r="F2085" s="278"/>
      <c r="G2085" s="278"/>
      <c r="H2085" s="278"/>
      <c r="I2085" s="278"/>
      <c r="J2085" s="278"/>
      <c r="K2085" s="278"/>
    </row>
    <row r="2086" spans="1:11" x14ac:dyDescent="0.15">
      <c r="A2086" s="278"/>
      <c r="B2086" s="278"/>
      <c r="C2086" s="278"/>
      <c r="D2086" s="278"/>
      <c r="E2086" s="278"/>
      <c r="F2086" s="278"/>
      <c r="G2086" s="278"/>
      <c r="H2086" s="278"/>
      <c r="I2086" s="278"/>
      <c r="J2086" s="278"/>
      <c r="K2086" s="278"/>
    </row>
    <row r="2087" spans="1:11" x14ac:dyDescent="0.15">
      <c r="A2087" s="278"/>
      <c r="B2087" s="278"/>
      <c r="C2087" s="278"/>
      <c r="D2087" s="278"/>
      <c r="E2087" s="278"/>
      <c r="F2087" s="278"/>
      <c r="G2087" s="278"/>
      <c r="H2087" s="278"/>
      <c r="I2087" s="278"/>
      <c r="J2087" s="278"/>
      <c r="K2087" s="278"/>
    </row>
    <row r="2088" spans="1:11" x14ac:dyDescent="0.15">
      <c r="A2088" s="278"/>
      <c r="B2088" s="278"/>
      <c r="C2088" s="278"/>
      <c r="D2088" s="278"/>
      <c r="E2088" s="278"/>
      <c r="F2088" s="278"/>
      <c r="G2088" s="278"/>
      <c r="H2088" s="278"/>
      <c r="I2088" s="278"/>
      <c r="J2088" s="278"/>
      <c r="K2088" s="278"/>
    </row>
    <row r="2089" spans="1:11" x14ac:dyDescent="0.15">
      <c r="A2089" s="278"/>
      <c r="B2089" s="278"/>
      <c r="C2089" s="278"/>
      <c r="D2089" s="278"/>
      <c r="E2089" s="278"/>
      <c r="F2089" s="278"/>
      <c r="G2089" s="278"/>
      <c r="H2089" s="278"/>
      <c r="I2089" s="278"/>
      <c r="J2089" s="278"/>
      <c r="K2089" s="278"/>
    </row>
    <row r="2090" spans="1:11" x14ac:dyDescent="0.15">
      <c r="A2090" s="278"/>
      <c r="B2090" s="278"/>
      <c r="C2090" s="278"/>
      <c r="D2090" s="278"/>
      <c r="E2090" s="278"/>
      <c r="F2090" s="278"/>
      <c r="G2090" s="278"/>
      <c r="H2090" s="278"/>
      <c r="I2090" s="278"/>
      <c r="J2090" s="278"/>
      <c r="K2090" s="278"/>
    </row>
    <row r="2091" spans="1:11" x14ac:dyDescent="0.15">
      <c r="A2091" s="278"/>
      <c r="B2091" s="278"/>
      <c r="C2091" s="278"/>
      <c r="D2091" s="278"/>
      <c r="E2091" s="278"/>
      <c r="F2091" s="278"/>
      <c r="G2091" s="278"/>
      <c r="H2091" s="278"/>
      <c r="I2091" s="278"/>
      <c r="J2091" s="278"/>
      <c r="K2091" s="278"/>
    </row>
    <row r="2092" spans="1:11" x14ac:dyDescent="0.15">
      <c r="A2092" s="278"/>
      <c r="B2092" s="278"/>
      <c r="C2092" s="278"/>
      <c r="D2092" s="278"/>
      <c r="E2092" s="278"/>
      <c r="F2092" s="278"/>
      <c r="G2092" s="278"/>
      <c r="H2092" s="278"/>
      <c r="I2092" s="278"/>
      <c r="J2092" s="278"/>
      <c r="K2092" s="278"/>
    </row>
    <row r="2093" spans="1:11" x14ac:dyDescent="0.15">
      <c r="A2093" s="278"/>
      <c r="B2093" s="278"/>
      <c r="C2093" s="278"/>
      <c r="D2093" s="278"/>
      <c r="E2093" s="278"/>
      <c r="F2093" s="278"/>
      <c r="G2093" s="278"/>
      <c r="H2093" s="278"/>
      <c r="I2093" s="278"/>
      <c r="J2093" s="278"/>
      <c r="K2093" s="278"/>
    </row>
    <row r="2094" spans="1:11" x14ac:dyDescent="0.15">
      <c r="A2094" s="278"/>
      <c r="B2094" s="278"/>
      <c r="C2094" s="278"/>
      <c r="D2094" s="278"/>
      <c r="E2094" s="278"/>
      <c r="F2094" s="278"/>
      <c r="G2094" s="278"/>
      <c r="H2094" s="278"/>
      <c r="I2094" s="278"/>
      <c r="J2094" s="278"/>
      <c r="K2094" s="278"/>
    </row>
    <row r="2095" spans="1:11" x14ac:dyDescent="0.15">
      <c r="A2095" s="278"/>
      <c r="B2095" s="278"/>
      <c r="C2095" s="278"/>
      <c r="D2095" s="278"/>
      <c r="E2095" s="278"/>
      <c r="F2095" s="278"/>
      <c r="G2095" s="278"/>
      <c r="H2095" s="278"/>
      <c r="I2095" s="278"/>
      <c r="J2095" s="278"/>
      <c r="K2095" s="278"/>
    </row>
    <row r="2096" spans="1:11" x14ac:dyDescent="0.15">
      <c r="A2096" s="278"/>
      <c r="B2096" s="278"/>
      <c r="C2096" s="278"/>
      <c r="D2096" s="278"/>
      <c r="E2096" s="278"/>
      <c r="F2096" s="278"/>
      <c r="G2096" s="278"/>
      <c r="H2096" s="278"/>
      <c r="I2096" s="278"/>
      <c r="J2096" s="278"/>
      <c r="K2096" s="278"/>
    </row>
    <row r="2097" spans="1:11" x14ac:dyDescent="0.15">
      <c r="A2097" s="278"/>
      <c r="B2097" s="278"/>
      <c r="C2097" s="278"/>
      <c r="D2097" s="278"/>
      <c r="E2097" s="278"/>
      <c r="F2097" s="278"/>
      <c r="G2097" s="278"/>
      <c r="H2097" s="278"/>
      <c r="I2097" s="278"/>
      <c r="J2097" s="278"/>
      <c r="K2097" s="278"/>
    </row>
    <row r="2098" spans="1:11" x14ac:dyDescent="0.15">
      <c r="A2098" s="278"/>
      <c r="B2098" s="278"/>
      <c r="C2098" s="278"/>
      <c r="D2098" s="278"/>
      <c r="E2098" s="278"/>
      <c r="F2098" s="278"/>
      <c r="G2098" s="278"/>
      <c r="H2098" s="278"/>
      <c r="I2098" s="278"/>
      <c r="J2098" s="278"/>
      <c r="K2098" s="278"/>
    </row>
    <row r="2099" spans="1:11" x14ac:dyDescent="0.15">
      <c r="A2099" s="278"/>
      <c r="B2099" s="278"/>
      <c r="C2099" s="278"/>
      <c r="D2099" s="278"/>
      <c r="E2099" s="278"/>
      <c r="F2099" s="278"/>
      <c r="G2099" s="278"/>
      <c r="H2099" s="278"/>
      <c r="I2099" s="278"/>
      <c r="J2099" s="278"/>
      <c r="K2099" s="278"/>
    </row>
    <row r="2100" spans="1:11" x14ac:dyDescent="0.15">
      <c r="A2100" s="278"/>
      <c r="B2100" s="278"/>
      <c r="C2100" s="278"/>
      <c r="D2100" s="278"/>
      <c r="E2100" s="278"/>
      <c r="F2100" s="278"/>
      <c r="G2100" s="278"/>
      <c r="H2100" s="278"/>
      <c r="I2100" s="278"/>
      <c r="J2100" s="278"/>
      <c r="K2100" s="278"/>
    </row>
    <row r="2101" spans="1:11" x14ac:dyDescent="0.15">
      <c r="A2101" s="278"/>
      <c r="B2101" s="278"/>
      <c r="C2101" s="278"/>
      <c r="D2101" s="278"/>
      <c r="E2101" s="278"/>
      <c r="F2101" s="278"/>
      <c r="G2101" s="278"/>
      <c r="H2101" s="278"/>
      <c r="I2101" s="278"/>
      <c r="J2101" s="278"/>
      <c r="K2101" s="278"/>
    </row>
    <row r="2102" spans="1:11" x14ac:dyDescent="0.15">
      <c r="A2102" s="278"/>
      <c r="B2102" s="278"/>
      <c r="C2102" s="278"/>
      <c r="D2102" s="278"/>
      <c r="E2102" s="278"/>
      <c r="F2102" s="278"/>
      <c r="G2102" s="278"/>
      <c r="H2102" s="278"/>
      <c r="I2102" s="278"/>
      <c r="J2102" s="278"/>
      <c r="K2102" s="278"/>
    </row>
    <row r="2103" spans="1:11" x14ac:dyDescent="0.15">
      <c r="A2103" s="278"/>
      <c r="B2103" s="278"/>
      <c r="C2103" s="278"/>
      <c r="D2103" s="278"/>
      <c r="E2103" s="278"/>
      <c r="F2103" s="278"/>
      <c r="G2103" s="278"/>
      <c r="H2103" s="278"/>
      <c r="I2103" s="278"/>
      <c r="J2103" s="278"/>
      <c r="K2103" s="278"/>
    </row>
    <row r="2104" spans="1:11" x14ac:dyDescent="0.15">
      <c r="A2104" s="278"/>
      <c r="B2104" s="278"/>
      <c r="C2104" s="278"/>
      <c r="D2104" s="278"/>
      <c r="E2104" s="278"/>
      <c r="F2104" s="278"/>
      <c r="G2104" s="278"/>
      <c r="H2104" s="278"/>
      <c r="I2104" s="278"/>
      <c r="J2104" s="278"/>
      <c r="K2104" s="278"/>
    </row>
    <row r="2105" spans="1:11" x14ac:dyDescent="0.15">
      <c r="A2105" s="278"/>
      <c r="B2105" s="278"/>
      <c r="C2105" s="278"/>
      <c r="D2105" s="278"/>
      <c r="E2105" s="278"/>
      <c r="F2105" s="278"/>
      <c r="G2105" s="278"/>
      <c r="H2105" s="278"/>
      <c r="I2105" s="278"/>
      <c r="J2105" s="278"/>
      <c r="K2105" s="278"/>
    </row>
    <row r="2106" spans="1:11" x14ac:dyDescent="0.15">
      <c r="A2106" s="278"/>
      <c r="B2106" s="278"/>
      <c r="C2106" s="278"/>
      <c r="D2106" s="278"/>
      <c r="E2106" s="278"/>
      <c r="F2106" s="278"/>
      <c r="G2106" s="278"/>
      <c r="H2106" s="278"/>
      <c r="I2106" s="278"/>
      <c r="J2106" s="278"/>
      <c r="K2106" s="278"/>
    </row>
    <row r="2107" spans="1:11" x14ac:dyDescent="0.15">
      <c r="A2107" s="278"/>
      <c r="B2107" s="278"/>
      <c r="C2107" s="278"/>
      <c r="D2107" s="278"/>
      <c r="E2107" s="278"/>
      <c r="F2107" s="278"/>
      <c r="G2107" s="278"/>
      <c r="H2107" s="278"/>
      <c r="I2107" s="278"/>
      <c r="J2107" s="278"/>
      <c r="K2107" s="278"/>
    </row>
    <row r="2108" spans="1:11" x14ac:dyDescent="0.15">
      <c r="A2108" s="278"/>
      <c r="B2108" s="278"/>
      <c r="C2108" s="278"/>
      <c r="D2108" s="278"/>
      <c r="E2108" s="278"/>
      <c r="F2108" s="278"/>
      <c r="G2108" s="278"/>
      <c r="H2108" s="278"/>
      <c r="I2108" s="278"/>
      <c r="J2108" s="278"/>
      <c r="K2108" s="278"/>
    </row>
    <row r="2109" spans="1:11" x14ac:dyDescent="0.15">
      <c r="A2109" s="278"/>
      <c r="B2109" s="278"/>
      <c r="C2109" s="278"/>
      <c r="D2109" s="278"/>
      <c r="E2109" s="278"/>
      <c r="F2109" s="278"/>
      <c r="G2109" s="278"/>
      <c r="H2109" s="278"/>
      <c r="I2109" s="278"/>
      <c r="J2109" s="278"/>
      <c r="K2109" s="278"/>
    </row>
    <row r="2110" spans="1:11" x14ac:dyDescent="0.15">
      <c r="A2110" s="278"/>
      <c r="B2110" s="278"/>
      <c r="C2110" s="278"/>
      <c r="D2110" s="278"/>
      <c r="E2110" s="278"/>
      <c r="F2110" s="278"/>
      <c r="G2110" s="278"/>
      <c r="H2110" s="278"/>
      <c r="I2110" s="278"/>
      <c r="J2110" s="278"/>
      <c r="K2110" s="278"/>
    </row>
    <row r="2111" spans="1:11" x14ac:dyDescent="0.15">
      <c r="A2111" s="278"/>
      <c r="B2111" s="278"/>
      <c r="C2111" s="278"/>
      <c r="D2111" s="278"/>
      <c r="E2111" s="278"/>
      <c r="F2111" s="278"/>
      <c r="G2111" s="278"/>
      <c r="H2111" s="278"/>
      <c r="I2111" s="278"/>
      <c r="J2111" s="278"/>
      <c r="K2111" s="278"/>
    </row>
    <row r="2112" spans="1:11" x14ac:dyDescent="0.15">
      <c r="A2112" s="278"/>
      <c r="B2112" s="278"/>
      <c r="C2112" s="278"/>
      <c r="D2112" s="278"/>
      <c r="E2112" s="278"/>
      <c r="F2112" s="278"/>
      <c r="G2112" s="278"/>
      <c r="H2112" s="278"/>
      <c r="I2112" s="278"/>
      <c r="J2112" s="278"/>
      <c r="K2112" s="278"/>
    </row>
    <row r="2113" spans="1:11" x14ac:dyDescent="0.15">
      <c r="A2113" s="278"/>
      <c r="B2113" s="278"/>
      <c r="C2113" s="278"/>
      <c r="D2113" s="278"/>
      <c r="E2113" s="278"/>
      <c r="F2113" s="278"/>
      <c r="G2113" s="278"/>
      <c r="H2113" s="278"/>
      <c r="I2113" s="278"/>
      <c r="J2113" s="278"/>
      <c r="K2113" s="278"/>
    </row>
    <row r="2114" spans="1:11" x14ac:dyDescent="0.15">
      <c r="A2114" s="278"/>
      <c r="B2114" s="278"/>
      <c r="C2114" s="278"/>
      <c r="D2114" s="278"/>
      <c r="E2114" s="278"/>
      <c r="F2114" s="278"/>
      <c r="G2114" s="278"/>
      <c r="H2114" s="278"/>
      <c r="I2114" s="278"/>
      <c r="J2114" s="278"/>
      <c r="K2114" s="278"/>
    </row>
    <row r="2115" spans="1:11" x14ac:dyDescent="0.15">
      <c r="A2115" s="278"/>
      <c r="B2115" s="278"/>
      <c r="C2115" s="278"/>
      <c r="D2115" s="278"/>
      <c r="E2115" s="278"/>
      <c r="F2115" s="278"/>
      <c r="G2115" s="278"/>
      <c r="H2115" s="278"/>
      <c r="I2115" s="278"/>
      <c r="J2115" s="278"/>
      <c r="K2115" s="278"/>
    </row>
    <row r="2116" spans="1:11" x14ac:dyDescent="0.15">
      <c r="A2116" s="278"/>
      <c r="B2116" s="278"/>
      <c r="C2116" s="278"/>
      <c r="D2116" s="278"/>
      <c r="E2116" s="278"/>
      <c r="F2116" s="278"/>
      <c r="G2116" s="278"/>
      <c r="H2116" s="278"/>
      <c r="I2116" s="278"/>
      <c r="J2116" s="278"/>
      <c r="K2116" s="278"/>
    </row>
    <row r="2117" spans="1:11" x14ac:dyDescent="0.15">
      <c r="A2117" s="278"/>
      <c r="B2117" s="278"/>
      <c r="C2117" s="278"/>
      <c r="D2117" s="278"/>
      <c r="E2117" s="278"/>
      <c r="F2117" s="278"/>
      <c r="G2117" s="278"/>
      <c r="H2117" s="278"/>
      <c r="I2117" s="278"/>
      <c r="J2117" s="278"/>
      <c r="K2117" s="278"/>
    </row>
    <row r="2118" spans="1:11" x14ac:dyDescent="0.15">
      <c r="A2118" s="278"/>
      <c r="B2118" s="278"/>
      <c r="C2118" s="278"/>
      <c r="D2118" s="278"/>
      <c r="E2118" s="278"/>
      <c r="F2118" s="278"/>
      <c r="G2118" s="278"/>
      <c r="H2118" s="278"/>
      <c r="I2118" s="278"/>
      <c r="J2118" s="278"/>
      <c r="K2118" s="278"/>
    </row>
    <row r="2119" spans="1:11" x14ac:dyDescent="0.15">
      <c r="A2119" s="278"/>
      <c r="B2119" s="278"/>
      <c r="C2119" s="278"/>
      <c r="D2119" s="278"/>
      <c r="E2119" s="278"/>
      <c r="F2119" s="278"/>
      <c r="G2119" s="278"/>
      <c r="H2119" s="278"/>
      <c r="I2119" s="278"/>
      <c r="J2119" s="278"/>
      <c r="K2119" s="278"/>
    </row>
    <row r="2120" spans="1:11" x14ac:dyDescent="0.15">
      <c r="A2120" s="278"/>
      <c r="B2120" s="278"/>
      <c r="C2120" s="278"/>
      <c r="D2120" s="278"/>
      <c r="E2120" s="278"/>
      <c r="F2120" s="278"/>
      <c r="G2120" s="278"/>
      <c r="H2120" s="278"/>
      <c r="I2120" s="278"/>
      <c r="J2120" s="278"/>
      <c r="K2120" s="278"/>
    </row>
    <row r="2121" spans="1:11" x14ac:dyDescent="0.15">
      <c r="A2121" s="278"/>
      <c r="B2121" s="278"/>
      <c r="C2121" s="278"/>
      <c r="D2121" s="278"/>
      <c r="E2121" s="278"/>
      <c r="F2121" s="278"/>
      <c r="G2121" s="278"/>
      <c r="H2121" s="278"/>
      <c r="I2121" s="278"/>
      <c r="J2121" s="278"/>
      <c r="K2121" s="278"/>
    </row>
    <row r="2122" spans="1:11" x14ac:dyDescent="0.15">
      <c r="A2122" s="278"/>
      <c r="B2122" s="278"/>
      <c r="C2122" s="278"/>
      <c r="D2122" s="278"/>
      <c r="E2122" s="278"/>
      <c r="F2122" s="278"/>
      <c r="G2122" s="278"/>
      <c r="H2122" s="278"/>
      <c r="I2122" s="278"/>
      <c r="J2122" s="278"/>
      <c r="K2122" s="278"/>
    </row>
    <row r="2123" spans="1:11" x14ac:dyDescent="0.15">
      <c r="A2123" s="278"/>
      <c r="B2123" s="278"/>
      <c r="C2123" s="278"/>
      <c r="D2123" s="278"/>
      <c r="E2123" s="278"/>
      <c r="F2123" s="278"/>
      <c r="G2123" s="278"/>
      <c r="H2123" s="278"/>
      <c r="I2123" s="278"/>
      <c r="J2123" s="278"/>
      <c r="K2123" s="278"/>
    </row>
    <row r="2124" spans="1:11" x14ac:dyDescent="0.15">
      <c r="A2124" s="278"/>
      <c r="B2124" s="278"/>
      <c r="C2124" s="278"/>
      <c r="D2124" s="278"/>
      <c r="E2124" s="278"/>
      <c r="F2124" s="278"/>
      <c r="G2124" s="278"/>
      <c r="H2124" s="278"/>
      <c r="I2124" s="278"/>
      <c r="J2124" s="278"/>
      <c r="K2124" s="278"/>
    </row>
    <row r="2125" spans="1:11" x14ac:dyDescent="0.15">
      <c r="A2125" s="278"/>
      <c r="B2125" s="278"/>
      <c r="C2125" s="278"/>
      <c r="D2125" s="278"/>
      <c r="E2125" s="278"/>
      <c r="F2125" s="278"/>
      <c r="G2125" s="278"/>
      <c r="H2125" s="278"/>
      <c r="I2125" s="278"/>
      <c r="J2125" s="278"/>
      <c r="K2125" s="278"/>
    </row>
    <row r="2126" spans="1:11" x14ac:dyDescent="0.15">
      <c r="A2126" s="278"/>
      <c r="B2126" s="278"/>
      <c r="C2126" s="278"/>
      <c r="D2126" s="278"/>
      <c r="E2126" s="278"/>
      <c r="F2126" s="278"/>
      <c r="G2126" s="278"/>
      <c r="H2126" s="278"/>
      <c r="I2126" s="278"/>
      <c r="J2126" s="278"/>
      <c r="K2126" s="278"/>
    </row>
    <row r="2127" spans="1:11" x14ac:dyDescent="0.15">
      <c r="A2127" s="278"/>
      <c r="B2127" s="278"/>
      <c r="C2127" s="278"/>
      <c r="D2127" s="278"/>
      <c r="E2127" s="278"/>
      <c r="F2127" s="278"/>
      <c r="G2127" s="278"/>
      <c r="H2127" s="278"/>
      <c r="I2127" s="278"/>
      <c r="J2127" s="278"/>
      <c r="K2127" s="278"/>
    </row>
    <row r="2128" spans="1:11" x14ac:dyDescent="0.15">
      <c r="A2128" s="278"/>
      <c r="B2128" s="278"/>
      <c r="C2128" s="278"/>
      <c r="D2128" s="278"/>
      <c r="E2128" s="278"/>
      <c r="F2128" s="278"/>
      <c r="G2128" s="278"/>
      <c r="H2128" s="278"/>
      <c r="I2128" s="278"/>
      <c r="J2128" s="278"/>
      <c r="K2128" s="278"/>
    </row>
    <row r="2129" spans="1:11" x14ac:dyDescent="0.15">
      <c r="A2129" s="278"/>
      <c r="B2129" s="278"/>
      <c r="C2129" s="278"/>
      <c r="D2129" s="278"/>
      <c r="E2129" s="278"/>
      <c r="F2129" s="278"/>
      <c r="G2129" s="278"/>
      <c r="H2129" s="278"/>
      <c r="I2129" s="278"/>
      <c r="J2129" s="278"/>
      <c r="K2129" s="278"/>
    </row>
    <row r="2130" spans="1:11" x14ac:dyDescent="0.15">
      <c r="A2130" s="278"/>
      <c r="B2130" s="278"/>
      <c r="C2130" s="278"/>
      <c r="D2130" s="278"/>
      <c r="E2130" s="278"/>
      <c r="F2130" s="278"/>
      <c r="G2130" s="278"/>
      <c r="H2130" s="278"/>
      <c r="I2130" s="278"/>
      <c r="J2130" s="278"/>
      <c r="K2130" s="278"/>
    </row>
    <row r="2131" spans="1:11" x14ac:dyDescent="0.15">
      <c r="A2131" s="278"/>
      <c r="B2131" s="278"/>
      <c r="C2131" s="278"/>
      <c r="D2131" s="278"/>
      <c r="E2131" s="278"/>
      <c r="F2131" s="278"/>
      <c r="G2131" s="278"/>
      <c r="H2131" s="278"/>
      <c r="I2131" s="278"/>
      <c r="J2131" s="278"/>
      <c r="K2131" s="278"/>
    </row>
    <row r="2132" spans="1:11" x14ac:dyDescent="0.15">
      <c r="A2132" s="278"/>
      <c r="B2132" s="278"/>
      <c r="C2132" s="278"/>
      <c r="D2132" s="278"/>
      <c r="E2132" s="278"/>
      <c r="F2132" s="278"/>
      <c r="G2132" s="278"/>
      <c r="H2132" s="278"/>
      <c r="I2132" s="278"/>
      <c r="J2132" s="278"/>
      <c r="K2132" s="278"/>
    </row>
    <row r="2133" spans="1:11" x14ac:dyDescent="0.15">
      <c r="A2133" s="278"/>
      <c r="B2133" s="278"/>
      <c r="C2133" s="278"/>
      <c r="D2133" s="278"/>
      <c r="E2133" s="278"/>
      <c r="F2133" s="278"/>
      <c r="G2133" s="278"/>
      <c r="H2133" s="278"/>
      <c r="I2133" s="278"/>
      <c r="J2133" s="278"/>
      <c r="K2133" s="278"/>
    </row>
    <row r="2134" spans="1:11" x14ac:dyDescent="0.15">
      <c r="A2134" s="278"/>
      <c r="B2134" s="278"/>
      <c r="C2134" s="278"/>
      <c r="D2134" s="278"/>
      <c r="E2134" s="278"/>
      <c r="F2134" s="278"/>
      <c r="G2134" s="278"/>
      <c r="H2134" s="278"/>
      <c r="I2134" s="278"/>
      <c r="J2134" s="278"/>
      <c r="K2134" s="278"/>
    </row>
    <row r="2135" spans="1:11" x14ac:dyDescent="0.15">
      <c r="A2135" s="278"/>
      <c r="B2135" s="278"/>
      <c r="C2135" s="278"/>
      <c r="D2135" s="278"/>
      <c r="E2135" s="278"/>
      <c r="F2135" s="278"/>
      <c r="G2135" s="278"/>
      <c r="H2135" s="278"/>
      <c r="I2135" s="278"/>
      <c r="J2135" s="278"/>
      <c r="K2135" s="278"/>
    </row>
    <row r="2136" spans="1:11" x14ac:dyDescent="0.15">
      <c r="A2136" s="278"/>
      <c r="B2136" s="278"/>
      <c r="C2136" s="278"/>
      <c r="D2136" s="278"/>
      <c r="E2136" s="278"/>
      <c r="F2136" s="278"/>
      <c r="G2136" s="278"/>
      <c r="H2136" s="278"/>
      <c r="I2136" s="278"/>
      <c r="J2136" s="278"/>
      <c r="K2136" s="278"/>
    </row>
    <row r="2137" spans="1:11" x14ac:dyDescent="0.15">
      <c r="A2137" s="278"/>
      <c r="B2137" s="278"/>
      <c r="C2137" s="278"/>
      <c r="D2137" s="278"/>
      <c r="E2137" s="278"/>
      <c r="F2137" s="278"/>
      <c r="G2137" s="278"/>
      <c r="H2137" s="278"/>
      <c r="I2137" s="278"/>
      <c r="J2137" s="278"/>
      <c r="K2137" s="278"/>
    </row>
    <row r="2138" spans="1:11" x14ac:dyDescent="0.15">
      <c r="A2138" s="278"/>
      <c r="B2138" s="278"/>
      <c r="C2138" s="278"/>
      <c r="D2138" s="278"/>
      <c r="E2138" s="278"/>
      <c r="F2138" s="278"/>
      <c r="G2138" s="278"/>
      <c r="H2138" s="278"/>
      <c r="I2138" s="278"/>
      <c r="J2138" s="278"/>
      <c r="K2138" s="278"/>
    </row>
    <row r="2139" spans="1:11" x14ac:dyDescent="0.15">
      <c r="A2139" s="278"/>
      <c r="B2139" s="278"/>
      <c r="C2139" s="278"/>
      <c r="D2139" s="278"/>
      <c r="E2139" s="278"/>
      <c r="F2139" s="278"/>
      <c r="G2139" s="278"/>
      <c r="H2139" s="278"/>
      <c r="I2139" s="278"/>
      <c r="J2139" s="278"/>
      <c r="K2139" s="278"/>
    </row>
    <row r="2140" spans="1:11" x14ac:dyDescent="0.15">
      <c r="A2140" s="278"/>
      <c r="B2140" s="278"/>
      <c r="C2140" s="278"/>
      <c r="D2140" s="278"/>
      <c r="E2140" s="278"/>
      <c r="F2140" s="278"/>
      <c r="G2140" s="278"/>
      <c r="H2140" s="278"/>
      <c r="I2140" s="278"/>
      <c r="J2140" s="278"/>
      <c r="K2140" s="278"/>
    </row>
    <row r="2141" spans="1:11" x14ac:dyDescent="0.15">
      <c r="A2141" s="278"/>
      <c r="B2141" s="278"/>
      <c r="C2141" s="278"/>
      <c r="D2141" s="278"/>
      <c r="E2141" s="278"/>
      <c r="F2141" s="278"/>
      <c r="G2141" s="278"/>
      <c r="H2141" s="278"/>
      <c r="I2141" s="278"/>
      <c r="J2141" s="278"/>
      <c r="K2141" s="278"/>
    </row>
    <row r="2142" spans="1:11" x14ac:dyDescent="0.15">
      <c r="A2142" s="278"/>
      <c r="B2142" s="278"/>
      <c r="C2142" s="278"/>
      <c r="D2142" s="278"/>
      <c r="E2142" s="278"/>
      <c r="F2142" s="278"/>
      <c r="G2142" s="278"/>
      <c r="H2142" s="278"/>
      <c r="I2142" s="278"/>
      <c r="J2142" s="278"/>
      <c r="K2142" s="278"/>
    </row>
    <row r="2143" spans="1:11" x14ac:dyDescent="0.15">
      <c r="A2143" s="278"/>
      <c r="B2143" s="278"/>
      <c r="C2143" s="278"/>
      <c r="D2143" s="278"/>
      <c r="E2143" s="278"/>
      <c r="F2143" s="278"/>
      <c r="G2143" s="278"/>
      <c r="H2143" s="278"/>
      <c r="I2143" s="278"/>
      <c r="J2143" s="278"/>
      <c r="K2143" s="278"/>
    </row>
    <row r="2144" spans="1:11" x14ac:dyDescent="0.15">
      <c r="A2144" s="278"/>
      <c r="B2144" s="278"/>
      <c r="C2144" s="278"/>
      <c r="D2144" s="278"/>
      <c r="E2144" s="278"/>
      <c r="F2144" s="278"/>
      <c r="G2144" s="278"/>
      <c r="H2144" s="278"/>
      <c r="I2144" s="278"/>
      <c r="J2144" s="278"/>
      <c r="K2144" s="278"/>
    </row>
    <row r="2145" spans="1:11" x14ac:dyDescent="0.15">
      <c r="A2145" s="278"/>
      <c r="B2145" s="278"/>
      <c r="C2145" s="278"/>
      <c r="D2145" s="278"/>
      <c r="E2145" s="278"/>
      <c r="F2145" s="278"/>
      <c r="G2145" s="278"/>
      <c r="H2145" s="278"/>
      <c r="I2145" s="278"/>
      <c r="J2145" s="278"/>
      <c r="K2145" s="278"/>
    </row>
    <row r="2146" spans="1:11" x14ac:dyDescent="0.15">
      <c r="A2146" s="278"/>
      <c r="B2146" s="278"/>
      <c r="C2146" s="278"/>
      <c r="D2146" s="278"/>
      <c r="E2146" s="278"/>
      <c r="F2146" s="278"/>
      <c r="G2146" s="278"/>
      <c r="H2146" s="278"/>
      <c r="I2146" s="278"/>
      <c r="J2146" s="278"/>
      <c r="K2146" s="278"/>
    </row>
    <row r="2147" spans="1:11" x14ac:dyDescent="0.15">
      <c r="A2147" s="278"/>
      <c r="B2147" s="278"/>
      <c r="C2147" s="278"/>
      <c r="D2147" s="278"/>
      <c r="E2147" s="278"/>
      <c r="F2147" s="278"/>
      <c r="G2147" s="278"/>
      <c r="H2147" s="278"/>
      <c r="I2147" s="278"/>
      <c r="J2147" s="278"/>
      <c r="K2147" s="278"/>
    </row>
    <row r="2148" spans="1:11" x14ac:dyDescent="0.15">
      <c r="A2148" s="278"/>
      <c r="B2148" s="278"/>
      <c r="C2148" s="278"/>
      <c r="D2148" s="278"/>
      <c r="E2148" s="278"/>
      <c r="F2148" s="278"/>
      <c r="G2148" s="278"/>
      <c r="H2148" s="278"/>
      <c r="I2148" s="278"/>
      <c r="J2148" s="278"/>
      <c r="K2148" s="278"/>
    </row>
    <row r="2149" spans="1:11" x14ac:dyDescent="0.15">
      <c r="A2149" s="278"/>
      <c r="B2149" s="278"/>
      <c r="C2149" s="278"/>
      <c r="D2149" s="278"/>
      <c r="E2149" s="278"/>
      <c r="F2149" s="278"/>
      <c r="G2149" s="278"/>
      <c r="H2149" s="278"/>
      <c r="I2149" s="278"/>
      <c r="J2149" s="278"/>
      <c r="K2149" s="278"/>
    </row>
    <row r="2150" spans="1:11" x14ac:dyDescent="0.15">
      <c r="A2150" s="278"/>
      <c r="B2150" s="278"/>
      <c r="C2150" s="278"/>
      <c r="D2150" s="278"/>
      <c r="E2150" s="278"/>
      <c r="F2150" s="278"/>
      <c r="G2150" s="278"/>
      <c r="H2150" s="278"/>
      <c r="I2150" s="278"/>
      <c r="J2150" s="278"/>
      <c r="K2150" s="278"/>
    </row>
    <row r="2151" spans="1:11" x14ac:dyDescent="0.15">
      <c r="A2151" s="278"/>
      <c r="B2151" s="278"/>
      <c r="C2151" s="278"/>
      <c r="D2151" s="278"/>
      <c r="E2151" s="278"/>
      <c r="F2151" s="278"/>
      <c r="G2151" s="278"/>
      <c r="H2151" s="278"/>
      <c r="I2151" s="278"/>
      <c r="J2151" s="278"/>
      <c r="K2151" s="278"/>
    </row>
    <row r="2152" spans="1:11" x14ac:dyDescent="0.15">
      <c r="A2152" s="278"/>
      <c r="B2152" s="278"/>
      <c r="C2152" s="278"/>
      <c r="D2152" s="278"/>
      <c r="E2152" s="278"/>
      <c r="F2152" s="278"/>
      <c r="G2152" s="278"/>
      <c r="H2152" s="278"/>
      <c r="I2152" s="278"/>
      <c r="J2152" s="278"/>
      <c r="K2152" s="278"/>
    </row>
    <row r="2153" spans="1:11" x14ac:dyDescent="0.15">
      <c r="A2153" s="278"/>
      <c r="B2153" s="278"/>
      <c r="C2153" s="278"/>
      <c r="D2153" s="278"/>
      <c r="E2153" s="278"/>
      <c r="F2153" s="278"/>
      <c r="G2153" s="278"/>
      <c r="H2153" s="278"/>
      <c r="I2153" s="278"/>
      <c r="J2153" s="278"/>
      <c r="K2153" s="278"/>
    </row>
    <row r="2154" spans="1:11" x14ac:dyDescent="0.15">
      <c r="A2154" s="278"/>
      <c r="B2154" s="278"/>
      <c r="C2154" s="278"/>
      <c r="D2154" s="278"/>
      <c r="E2154" s="278"/>
      <c r="F2154" s="278"/>
      <c r="G2154" s="278"/>
      <c r="H2154" s="278"/>
      <c r="I2154" s="278"/>
      <c r="J2154" s="278"/>
      <c r="K2154" s="278"/>
    </row>
    <row r="2155" spans="1:11" x14ac:dyDescent="0.15">
      <c r="A2155" s="278"/>
      <c r="B2155" s="278"/>
      <c r="C2155" s="278"/>
      <c r="D2155" s="278"/>
      <c r="E2155" s="278"/>
      <c r="F2155" s="278"/>
      <c r="G2155" s="278"/>
      <c r="H2155" s="278"/>
      <c r="I2155" s="278"/>
      <c r="J2155" s="278"/>
      <c r="K2155" s="278"/>
    </row>
    <row r="2156" spans="1:11" x14ac:dyDescent="0.15">
      <c r="A2156" s="278"/>
      <c r="B2156" s="278"/>
      <c r="C2156" s="278"/>
      <c r="D2156" s="278"/>
      <c r="E2156" s="278"/>
      <c r="F2156" s="278"/>
      <c r="G2156" s="278"/>
      <c r="H2156" s="278"/>
      <c r="I2156" s="278"/>
      <c r="J2156" s="278"/>
      <c r="K2156" s="278"/>
    </row>
    <row r="2157" spans="1:11" x14ac:dyDescent="0.15">
      <c r="A2157" s="278"/>
      <c r="B2157" s="278"/>
      <c r="C2157" s="278"/>
      <c r="D2157" s="278"/>
      <c r="E2157" s="278"/>
      <c r="F2157" s="278"/>
      <c r="G2157" s="278"/>
      <c r="H2157" s="278"/>
      <c r="I2157" s="278"/>
      <c r="J2157" s="278"/>
      <c r="K2157" s="278"/>
    </row>
    <row r="2158" spans="1:11" x14ac:dyDescent="0.15">
      <c r="A2158" s="278"/>
      <c r="B2158" s="278"/>
      <c r="C2158" s="278"/>
      <c r="D2158" s="278"/>
      <c r="E2158" s="278"/>
      <c r="F2158" s="278"/>
      <c r="G2158" s="278"/>
      <c r="H2158" s="278"/>
      <c r="I2158" s="278"/>
      <c r="J2158" s="278"/>
      <c r="K2158" s="278"/>
    </row>
    <row r="2159" spans="1:11" x14ac:dyDescent="0.15">
      <c r="A2159" s="278"/>
      <c r="B2159" s="278"/>
      <c r="C2159" s="278"/>
      <c r="D2159" s="278"/>
      <c r="E2159" s="278"/>
      <c r="F2159" s="278"/>
      <c r="G2159" s="278"/>
      <c r="H2159" s="278"/>
      <c r="I2159" s="278"/>
      <c r="J2159" s="278"/>
      <c r="K2159" s="278"/>
    </row>
    <row r="2160" spans="1:11" x14ac:dyDescent="0.15">
      <c r="A2160" s="278"/>
      <c r="B2160" s="278"/>
      <c r="C2160" s="278"/>
      <c r="D2160" s="278"/>
      <c r="E2160" s="278"/>
      <c r="F2160" s="278"/>
      <c r="G2160" s="278"/>
      <c r="H2160" s="278"/>
      <c r="I2160" s="278"/>
      <c r="J2160" s="278"/>
      <c r="K2160" s="278"/>
    </row>
    <row r="2161" spans="1:11" x14ac:dyDescent="0.15">
      <c r="A2161" s="278"/>
      <c r="B2161" s="278"/>
      <c r="C2161" s="278"/>
      <c r="D2161" s="278"/>
      <c r="E2161" s="278"/>
      <c r="F2161" s="278"/>
      <c r="G2161" s="278"/>
      <c r="H2161" s="278"/>
      <c r="I2161" s="278"/>
      <c r="J2161" s="278"/>
      <c r="K2161" s="278"/>
    </row>
    <row r="2162" spans="1:11" x14ac:dyDescent="0.15">
      <c r="A2162" s="278"/>
      <c r="B2162" s="278"/>
      <c r="C2162" s="278"/>
      <c r="D2162" s="278"/>
      <c r="E2162" s="278"/>
      <c r="F2162" s="278"/>
      <c r="G2162" s="278"/>
      <c r="H2162" s="278"/>
      <c r="I2162" s="278"/>
      <c r="J2162" s="278"/>
      <c r="K2162" s="278"/>
    </row>
    <row r="2163" spans="1:11" x14ac:dyDescent="0.15">
      <c r="A2163" s="278"/>
      <c r="B2163" s="278"/>
      <c r="C2163" s="278"/>
      <c r="D2163" s="278"/>
      <c r="E2163" s="278"/>
      <c r="F2163" s="278"/>
      <c r="G2163" s="278"/>
      <c r="H2163" s="278"/>
      <c r="I2163" s="278"/>
      <c r="J2163" s="278"/>
      <c r="K2163" s="278"/>
    </row>
    <row r="2164" spans="1:11" x14ac:dyDescent="0.15">
      <c r="A2164" s="278"/>
      <c r="B2164" s="278"/>
      <c r="C2164" s="278"/>
      <c r="D2164" s="278"/>
      <c r="E2164" s="278"/>
      <c r="F2164" s="278"/>
      <c r="G2164" s="278"/>
      <c r="H2164" s="278"/>
      <c r="I2164" s="278"/>
      <c r="J2164" s="278"/>
      <c r="K2164" s="278"/>
    </row>
    <row r="2165" spans="1:11" x14ac:dyDescent="0.15">
      <c r="A2165" s="278"/>
      <c r="B2165" s="278"/>
      <c r="C2165" s="278"/>
      <c r="D2165" s="278"/>
      <c r="E2165" s="278"/>
      <c r="F2165" s="278"/>
      <c r="G2165" s="278"/>
      <c r="H2165" s="278"/>
      <c r="I2165" s="278"/>
      <c r="J2165" s="278"/>
      <c r="K2165" s="278"/>
    </row>
    <row r="2166" spans="1:11" x14ac:dyDescent="0.15">
      <c r="A2166" s="278"/>
      <c r="B2166" s="278"/>
      <c r="C2166" s="278"/>
      <c r="D2166" s="278"/>
      <c r="E2166" s="278"/>
      <c r="F2166" s="278"/>
      <c r="G2166" s="278"/>
      <c r="H2166" s="278"/>
      <c r="I2166" s="278"/>
      <c r="J2166" s="278"/>
      <c r="K2166" s="278"/>
    </row>
    <row r="2167" spans="1:11" x14ac:dyDescent="0.15">
      <c r="A2167" s="278"/>
      <c r="B2167" s="278"/>
      <c r="C2167" s="278"/>
      <c r="D2167" s="278"/>
      <c r="E2167" s="278"/>
      <c r="F2167" s="278"/>
      <c r="G2167" s="278"/>
      <c r="H2167" s="278"/>
      <c r="I2167" s="278"/>
      <c r="J2167" s="278"/>
      <c r="K2167" s="278"/>
    </row>
    <row r="2168" spans="1:11" x14ac:dyDescent="0.15">
      <c r="A2168" s="278"/>
      <c r="B2168" s="278"/>
      <c r="C2168" s="278"/>
      <c r="D2168" s="278"/>
      <c r="E2168" s="278"/>
      <c r="F2168" s="278"/>
      <c r="G2168" s="278"/>
      <c r="H2168" s="278"/>
      <c r="I2168" s="278"/>
      <c r="J2168" s="278"/>
      <c r="K2168" s="278"/>
    </row>
    <row r="2169" spans="1:11" x14ac:dyDescent="0.15">
      <c r="A2169" s="278"/>
      <c r="B2169" s="278"/>
      <c r="C2169" s="278"/>
      <c r="D2169" s="278"/>
      <c r="E2169" s="278"/>
      <c r="F2169" s="278"/>
      <c r="G2169" s="278"/>
      <c r="H2169" s="278"/>
      <c r="I2169" s="278"/>
      <c r="J2169" s="278"/>
      <c r="K2169" s="278"/>
    </row>
    <row r="2170" spans="1:11" x14ac:dyDescent="0.15">
      <c r="A2170" s="278"/>
      <c r="B2170" s="278"/>
      <c r="C2170" s="278"/>
      <c r="D2170" s="278"/>
      <c r="E2170" s="278"/>
      <c r="F2170" s="278"/>
      <c r="G2170" s="278"/>
      <c r="H2170" s="278"/>
      <c r="I2170" s="278"/>
      <c r="J2170" s="278"/>
      <c r="K2170" s="278"/>
    </row>
    <row r="2171" spans="1:11" x14ac:dyDescent="0.15">
      <c r="A2171" s="278"/>
      <c r="B2171" s="278"/>
      <c r="C2171" s="278"/>
      <c r="D2171" s="278"/>
      <c r="E2171" s="278"/>
      <c r="F2171" s="278"/>
      <c r="G2171" s="278"/>
      <c r="H2171" s="278"/>
      <c r="I2171" s="278"/>
      <c r="J2171" s="278"/>
      <c r="K2171" s="278"/>
    </row>
    <row r="2172" spans="1:11" x14ac:dyDescent="0.15">
      <c r="A2172" s="278"/>
      <c r="B2172" s="278"/>
      <c r="C2172" s="278"/>
      <c r="D2172" s="278"/>
      <c r="E2172" s="278"/>
      <c r="F2172" s="278"/>
      <c r="G2172" s="278"/>
      <c r="H2172" s="278"/>
      <c r="I2172" s="278"/>
      <c r="J2172" s="278"/>
      <c r="K2172" s="278"/>
    </row>
    <row r="2173" spans="1:11" x14ac:dyDescent="0.15">
      <c r="A2173" s="278"/>
      <c r="B2173" s="278"/>
      <c r="C2173" s="278"/>
      <c r="D2173" s="278"/>
      <c r="E2173" s="278"/>
      <c r="F2173" s="278"/>
      <c r="G2173" s="278"/>
      <c r="H2173" s="278"/>
      <c r="I2173" s="278"/>
      <c r="J2173" s="278"/>
      <c r="K2173" s="278"/>
    </row>
    <row r="2174" spans="1:11" x14ac:dyDescent="0.15">
      <c r="A2174" s="278"/>
      <c r="B2174" s="278"/>
      <c r="C2174" s="278"/>
      <c r="D2174" s="278"/>
      <c r="E2174" s="278"/>
      <c r="F2174" s="278"/>
      <c r="G2174" s="278"/>
      <c r="H2174" s="278"/>
      <c r="I2174" s="278"/>
      <c r="J2174" s="278"/>
      <c r="K2174" s="278"/>
    </row>
    <row r="2175" spans="1:11" x14ac:dyDescent="0.15">
      <c r="A2175" s="278"/>
      <c r="B2175" s="278"/>
      <c r="C2175" s="278"/>
      <c r="D2175" s="278"/>
      <c r="E2175" s="278"/>
      <c r="F2175" s="278"/>
      <c r="G2175" s="278"/>
      <c r="H2175" s="278"/>
      <c r="I2175" s="278"/>
      <c r="J2175" s="278"/>
      <c r="K2175" s="278"/>
    </row>
    <row r="2176" spans="1:11" x14ac:dyDescent="0.15">
      <c r="A2176" s="278"/>
      <c r="B2176" s="278"/>
      <c r="C2176" s="278"/>
      <c r="D2176" s="278"/>
      <c r="E2176" s="278"/>
      <c r="F2176" s="278"/>
      <c r="G2176" s="278"/>
      <c r="H2176" s="278"/>
      <c r="I2176" s="278"/>
      <c r="J2176" s="278"/>
      <c r="K2176" s="278"/>
    </row>
    <row r="2177" spans="1:11" x14ac:dyDescent="0.15">
      <c r="A2177" s="278"/>
      <c r="B2177" s="278"/>
      <c r="C2177" s="278"/>
      <c r="D2177" s="278"/>
      <c r="E2177" s="278"/>
      <c r="F2177" s="278"/>
      <c r="G2177" s="278"/>
      <c r="H2177" s="278"/>
      <c r="I2177" s="278"/>
      <c r="J2177" s="278"/>
      <c r="K2177" s="278"/>
    </row>
    <row r="2178" spans="1:11" x14ac:dyDescent="0.15">
      <c r="A2178" s="278"/>
      <c r="B2178" s="278"/>
      <c r="C2178" s="278"/>
      <c r="D2178" s="278"/>
      <c r="E2178" s="278"/>
      <c r="F2178" s="278"/>
      <c r="G2178" s="278"/>
      <c r="H2178" s="278"/>
      <c r="I2178" s="278"/>
      <c r="J2178" s="278"/>
      <c r="K2178" s="278"/>
    </row>
    <row r="2179" spans="1:11" x14ac:dyDescent="0.15">
      <c r="A2179" s="278"/>
      <c r="B2179" s="278"/>
      <c r="C2179" s="278"/>
      <c r="D2179" s="278"/>
      <c r="E2179" s="278"/>
      <c r="F2179" s="278"/>
      <c r="G2179" s="278"/>
      <c r="H2179" s="278"/>
      <c r="I2179" s="278"/>
      <c r="J2179" s="278"/>
      <c r="K2179" s="278"/>
    </row>
    <row r="2180" spans="1:11" x14ac:dyDescent="0.15">
      <c r="A2180" s="278"/>
      <c r="B2180" s="278"/>
      <c r="C2180" s="278"/>
      <c r="D2180" s="278"/>
      <c r="E2180" s="278"/>
      <c r="F2180" s="278"/>
      <c r="G2180" s="278"/>
      <c r="H2180" s="278"/>
      <c r="I2180" s="278"/>
      <c r="J2180" s="278"/>
      <c r="K2180" s="278"/>
    </row>
    <row r="2181" spans="1:11" x14ac:dyDescent="0.15">
      <c r="A2181" s="278"/>
      <c r="B2181" s="278"/>
      <c r="C2181" s="278"/>
      <c r="D2181" s="278"/>
      <c r="E2181" s="278"/>
      <c r="F2181" s="278"/>
      <c r="G2181" s="278"/>
      <c r="H2181" s="278"/>
      <c r="I2181" s="278"/>
      <c r="J2181" s="278"/>
      <c r="K2181" s="278"/>
    </row>
    <row r="2182" spans="1:11" x14ac:dyDescent="0.15">
      <c r="A2182" s="278"/>
      <c r="B2182" s="278"/>
      <c r="C2182" s="278"/>
      <c r="D2182" s="278"/>
      <c r="E2182" s="278"/>
      <c r="F2182" s="278"/>
      <c r="G2182" s="278"/>
      <c r="H2182" s="278"/>
      <c r="I2182" s="278"/>
      <c r="J2182" s="278"/>
      <c r="K2182" s="278"/>
    </row>
    <row r="2183" spans="1:11" x14ac:dyDescent="0.15">
      <c r="A2183" s="278"/>
      <c r="B2183" s="278"/>
      <c r="C2183" s="278"/>
      <c r="D2183" s="278"/>
      <c r="E2183" s="278"/>
      <c r="F2183" s="278"/>
      <c r="G2183" s="278"/>
      <c r="H2183" s="278"/>
      <c r="I2183" s="278"/>
      <c r="J2183" s="278"/>
      <c r="K2183" s="278"/>
    </row>
    <row r="2184" spans="1:11" x14ac:dyDescent="0.15">
      <c r="A2184" s="278"/>
      <c r="B2184" s="278"/>
      <c r="C2184" s="278"/>
      <c r="D2184" s="278"/>
      <c r="E2184" s="278"/>
      <c r="F2184" s="278"/>
      <c r="G2184" s="278"/>
      <c r="H2184" s="278"/>
      <c r="I2184" s="278"/>
      <c r="J2184" s="278"/>
      <c r="K2184" s="278"/>
    </row>
    <row r="2185" spans="1:11" x14ac:dyDescent="0.15">
      <c r="A2185" s="278"/>
      <c r="B2185" s="278"/>
      <c r="C2185" s="278"/>
      <c r="D2185" s="278"/>
      <c r="E2185" s="278"/>
      <c r="F2185" s="278"/>
      <c r="G2185" s="278"/>
      <c r="H2185" s="278"/>
      <c r="I2185" s="278"/>
      <c r="J2185" s="278"/>
      <c r="K2185" s="278"/>
    </row>
    <row r="2186" spans="1:11" x14ac:dyDescent="0.15">
      <c r="A2186" s="278"/>
      <c r="B2186" s="278"/>
      <c r="C2186" s="278"/>
      <c r="D2186" s="278"/>
      <c r="E2186" s="278"/>
      <c r="F2186" s="278"/>
      <c r="G2186" s="278"/>
      <c r="H2186" s="278"/>
      <c r="I2186" s="278"/>
      <c r="J2186" s="278"/>
      <c r="K2186" s="278"/>
    </row>
    <row r="2187" spans="1:11" x14ac:dyDescent="0.15">
      <c r="A2187" s="278"/>
      <c r="B2187" s="278"/>
      <c r="C2187" s="278"/>
      <c r="D2187" s="278"/>
      <c r="E2187" s="278"/>
      <c r="F2187" s="278"/>
      <c r="G2187" s="278"/>
      <c r="H2187" s="278"/>
      <c r="I2187" s="278"/>
      <c r="J2187" s="278"/>
      <c r="K2187" s="278"/>
    </row>
    <row r="2188" spans="1:11" x14ac:dyDescent="0.15">
      <c r="A2188" s="278"/>
      <c r="B2188" s="278"/>
      <c r="C2188" s="278"/>
      <c r="D2188" s="278"/>
      <c r="E2188" s="278"/>
      <c r="F2188" s="278"/>
      <c r="G2188" s="278"/>
      <c r="H2188" s="278"/>
      <c r="I2188" s="278"/>
      <c r="J2188" s="278"/>
      <c r="K2188" s="278"/>
    </row>
    <row r="2189" spans="1:11" x14ac:dyDescent="0.15">
      <c r="A2189" s="278"/>
      <c r="B2189" s="278"/>
      <c r="C2189" s="278"/>
      <c r="D2189" s="278"/>
      <c r="E2189" s="278"/>
      <c r="F2189" s="278"/>
      <c r="G2189" s="278"/>
      <c r="H2189" s="278"/>
      <c r="I2189" s="278"/>
      <c r="J2189" s="278"/>
      <c r="K2189" s="278"/>
    </row>
    <row r="2190" spans="1:11" x14ac:dyDescent="0.15">
      <c r="A2190" s="278"/>
      <c r="B2190" s="278"/>
      <c r="C2190" s="278"/>
      <c r="D2190" s="278"/>
      <c r="E2190" s="278"/>
      <c r="F2190" s="278"/>
      <c r="G2190" s="278"/>
      <c r="H2190" s="278"/>
      <c r="I2190" s="278"/>
      <c r="J2190" s="278"/>
      <c r="K2190" s="278"/>
    </row>
    <row r="2191" spans="1:11" x14ac:dyDescent="0.15">
      <c r="A2191" s="278"/>
      <c r="B2191" s="278"/>
      <c r="C2191" s="278"/>
      <c r="D2191" s="278"/>
      <c r="E2191" s="278"/>
      <c r="F2191" s="278"/>
      <c r="G2191" s="278"/>
      <c r="H2191" s="278"/>
      <c r="I2191" s="278"/>
      <c r="J2191" s="278"/>
      <c r="K2191" s="278"/>
    </row>
    <row r="2192" spans="1:11" x14ac:dyDescent="0.15">
      <c r="A2192" s="278"/>
      <c r="B2192" s="278"/>
      <c r="C2192" s="278"/>
      <c r="D2192" s="278"/>
      <c r="E2192" s="278"/>
      <c r="F2192" s="278"/>
      <c r="G2192" s="278"/>
      <c r="H2192" s="278"/>
      <c r="I2192" s="278"/>
      <c r="J2192" s="278"/>
      <c r="K2192" s="278"/>
    </row>
    <row r="2193" spans="1:11" x14ac:dyDescent="0.15">
      <c r="A2193" s="278"/>
      <c r="B2193" s="278"/>
      <c r="C2193" s="278"/>
      <c r="D2193" s="278"/>
      <c r="E2193" s="278"/>
      <c r="F2193" s="278"/>
      <c r="G2193" s="278"/>
      <c r="H2193" s="278"/>
      <c r="I2193" s="278"/>
      <c r="J2193" s="278"/>
      <c r="K2193" s="278"/>
    </row>
    <row r="2194" spans="1:11" x14ac:dyDescent="0.15">
      <c r="A2194" s="278"/>
      <c r="B2194" s="278"/>
      <c r="C2194" s="278"/>
      <c r="D2194" s="278"/>
      <c r="E2194" s="278"/>
      <c r="F2194" s="278"/>
      <c r="G2194" s="278"/>
      <c r="H2194" s="278"/>
      <c r="I2194" s="278"/>
      <c r="J2194" s="278"/>
      <c r="K2194" s="278"/>
    </row>
    <row r="2195" spans="1:11" x14ac:dyDescent="0.15">
      <c r="A2195" s="278"/>
      <c r="B2195" s="278"/>
      <c r="C2195" s="278"/>
      <c r="D2195" s="278"/>
      <c r="E2195" s="278"/>
      <c r="F2195" s="278"/>
      <c r="G2195" s="278"/>
      <c r="H2195" s="278"/>
      <c r="I2195" s="278"/>
      <c r="J2195" s="278"/>
      <c r="K2195" s="278"/>
    </row>
    <row r="2196" spans="1:11" x14ac:dyDescent="0.15">
      <c r="A2196" s="278"/>
      <c r="B2196" s="278"/>
      <c r="C2196" s="278"/>
      <c r="D2196" s="278"/>
      <c r="E2196" s="278"/>
      <c r="F2196" s="278"/>
      <c r="G2196" s="278"/>
      <c r="H2196" s="278"/>
      <c r="I2196" s="278"/>
      <c r="J2196" s="278"/>
      <c r="K2196" s="278"/>
    </row>
    <row r="2197" spans="1:11" x14ac:dyDescent="0.15">
      <c r="A2197" s="278"/>
      <c r="B2197" s="278"/>
      <c r="C2197" s="278"/>
      <c r="D2197" s="278"/>
      <c r="E2197" s="278"/>
      <c r="F2197" s="278"/>
      <c r="G2197" s="278"/>
      <c r="H2197" s="278"/>
      <c r="I2197" s="278"/>
      <c r="J2197" s="278"/>
      <c r="K2197" s="278"/>
    </row>
    <row r="2198" spans="1:11" x14ac:dyDescent="0.15">
      <c r="A2198" s="278"/>
      <c r="B2198" s="278"/>
      <c r="C2198" s="278"/>
      <c r="D2198" s="278"/>
      <c r="E2198" s="278"/>
      <c r="F2198" s="278"/>
      <c r="G2198" s="278"/>
      <c r="H2198" s="278"/>
      <c r="I2198" s="278"/>
      <c r="J2198" s="278"/>
      <c r="K2198" s="278"/>
    </row>
    <row r="2199" spans="1:11" x14ac:dyDescent="0.15">
      <c r="A2199" s="278"/>
      <c r="B2199" s="278"/>
      <c r="C2199" s="278"/>
      <c r="D2199" s="278"/>
      <c r="E2199" s="278"/>
      <c r="F2199" s="278"/>
      <c r="G2199" s="278"/>
      <c r="H2199" s="278"/>
      <c r="I2199" s="278"/>
      <c r="J2199" s="278"/>
      <c r="K2199" s="278"/>
    </row>
    <row r="2200" spans="1:11" x14ac:dyDescent="0.15">
      <c r="A2200" s="278"/>
      <c r="B2200" s="278"/>
      <c r="C2200" s="278"/>
      <c r="D2200" s="278"/>
      <c r="E2200" s="278"/>
      <c r="F2200" s="278"/>
      <c r="G2200" s="278"/>
      <c r="H2200" s="278"/>
      <c r="I2200" s="278"/>
      <c r="J2200" s="278"/>
      <c r="K2200" s="278"/>
    </row>
    <row r="2201" spans="1:11" x14ac:dyDescent="0.15">
      <c r="A2201" s="278"/>
      <c r="B2201" s="278"/>
      <c r="C2201" s="278"/>
      <c r="D2201" s="278"/>
      <c r="E2201" s="278"/>
      <c r="F2201" s="278"/>
      <c r="G2201" s="278"/>
      <c r="H2201" s="278"/>
      <c r="I2201" s="278"/>
      <c r="J2201" s="278"/>
      <c r="K2201" s="278"/>
    </row>
    <row r="2202" spans="1:11" x14ac:dyDescent="0.15">
      <c r="A2202" s="278"/>
      <c r="B2202" s="278"/>
      <c r="C2202" s="278"/>
      <c r="D2202" s="278"/>
      <c r="E2202" s="278"/>
      <c r="F2202" s="278"/>
      <c r="G2202" s="278"/>
      <c r="H2202" s="278"/>
      <c r="I2202" s="278"/>
      <c r="J2202" s="278"/>
      <c r="K2202" s="278"/>
    </row>
    <row r="2203" spans="1:11" x14ac:dyDescent="0.15">
      <c r="A2203" s="278"/>
      <c r="B2203" s="278"/>
      <c r="C2203" s="278"/>
      <c r="D2203" s="278"/>
      <c r="E2203" s="278"/>
      <c r="F2203" s="278"/>
      <c r="G2203" s="278"/>
      <c r="H2203" s="278"/>
      <c r="I2203" s="278"/>
      <c r="J2203" s="278"/>
      <c r="K2203" s="278"/>
    </row>
    <row r="2204" spans="1:11" x14ac:dyDescent="0.15">
      <c r="A2204" s="278"/>
      <c r="B2204" s="278"/>
      <c r="C2204" s="278"/>
      <c r="D2204" s="278"/>
      <c r="E2204" s="278"/>
      <c r="F2204" s="278"/>
      <c r="G2204" s="278"/>
      <c r="H2204" s="278"/>
      <c r="I2204" s="278"/>
      <c r="J2204" s="278"/>
      <c r="K2204" s="278"/>
    </row>
    <row r="2205" spans="1:11" x14ac:dyDescent="0.15">
      <c r="A2205" s="278"/>
      <c r="B2205" s="278"/>
      <c r="C2205" s="278"/>
      <c r="D2205" s="278"/>
      <c r="E2205" s="278"/>
      <c r="F2205" s="278"/>
      <c r="G2205" s="278"/>
      <c r="H2205" s="278"/>
      <c r="I2205" s="278"/>
      <c r="J2205" s="278"/>
      <c r="K2205" s="278"/>
    </row>
    <row r="2206" spans="1:11" x14ac:dyDescent="0.15">
      <c r="A2206" s="278"/>
      <c r="B2206" s="278"/>
      <c r="C2206" s="278"/>
      <c r="D2206" s="278"/>
      <c r="E2206" s="278"/>
      <c r="F2206" s="278"/>
      <c r="G2206" s="278"/>
      <c r="H2206" s="278"/>
      <c r="I2206" s="278"/>
      <c r="J2206" s="278"/>
      <c r="K2206" s="278"/>
    </row>
    <row r="2207" spans="1:11" x14ac:dyDescent="0.15">
      <c r="A2207" s="278"/>
      <c r="B2207" s="278"/>
      <c r="C2207" s="278"/>
      <c r="D2207" s="278"/>
      <c r="E2207" s="278"/>
      <c r="F2207" s="278"/>
      <c r="G2207" s="278"/>
      <c r="H2207" s="278"/>
      <c r="I2207" s="278"/>
      <c r="J2207" s="278"/>
      <c r="K2207" s="278"/>
    </row>
    <row r="2208" spans="1:11" x14ac:dyDescent="0.15">
      <c r="A2208" s="278"/>
      <c r="B2208" s="278"/>
      <c r="C2208" s="278"/>
      <c r="D2208" s="278"/>
      <c r="E2208" s="278"/>
      <c r="F2208" s="278"/>
      <c r="G2208" s="278"/>
      <c r="H2208" s="278"/>
      <c r="I2208" s="278"/>
      <c r="J2208" s="278"/>
      <c r="K2208" s="278"/>
    </row>
    <row r="2209" spans="1:11" x14ac:dyDescent="0.15">
      <c r="A2209" s="278"/>
      <c r="B2209" s="278"/>
      <c r="C2209" s="278"/>
      <c r="D2209" s="278"/>
      <c r="E2209" s="278"/>
      <c r="F2209" s="278"/>
      <c r="G2209" s="278"/>
      <c r="H2209" s="278"/>
      <c r="I2209" s="278"/>
      <c r="J2209" s="278"/>
      <c r="K2209" s="278"/>
    </row>
    <row r="2210" spans="1:11" x14ac:dyDescent="0.15">
      <c r="A2210" s="278"/>
      <c r="B2210" s="278"/>
      <c r="C2210" s="278"/>
      <c r="D2210" s="278"/>
      <c r="E2210" s="278"/>
      <c r="F2210" s="278"/>
      <c r="G2210" s="278"/>
      <c r="H2210" s="278"/>
      <c r="I2210" s="278"/>
      <c r="J2210" s="278"/>
      <c r="K2210" s="278"/>
    </row>
    <row r="2211" spans="1:11" x14ac:dyDescent="0.15">
      <c r="A2211" s="278"/>
      <c r="B2211" s="278"/>
      <c r="C2211" s="278"/>
      <c r="D2211" s="278"/>
      <c r="E2211" s="278"/>
      <c r="F2211" s="278"/>
      <c r="G2211" s="278"/>
      <c r="H2211" s="278"/>
      <c r="I2211" s="278"/>
      <c r="J2211" s="278"/>
      <c r="K2211" s="278"/>
    </row>
    <row r="2212" spans="1:11" x14ac:dyDescent="0.15">
      <c r="A2212" s="278"/>
      <c r="B2212" s="278"/>
      <c r="C2212" s="278"/>
      <c r="D2212" s="278"/>
      <c r="E2212" s="278"/>
      <c r="F2212" s="278"/>
      <c r="G2212" s="278"/>
      <c r="H2212" s="278"/>
      <c r="I2212" s="278"/>
      <c r="J2212" s="278"/>
      <c r="K2212" s="278"/>
    </row>
    <row r="2213" spans="1:11" x14ac:dyDescent="0.15">
      <c r="A2213" s="278"/>
      <c r="B2213" s="278"/>
      <c r="C2213" s="278"/>
      <c r="D2213" s="278"/>
      <c r="E2213" s="278"/>
      <c r="F2213" s="278"/>
      <c r="G2213" s="278"/>
      <c r="H2213" s="278"/>
      <c r="I2213" s="278"/>
      <c r="J2213" s="278"/>
      <c r="K2213" s="278"/>
    </row>
    <row r="2214" spans="1:11" x14ac:dyDescent="0.15">
      <c r="A2214" s="278"/>
      <c r="B2214" s="278"/>
      <c r="C2214" s="278"/>
      <c r="D2214" s="278"/>
      <c r="E2214" s="278"/>
      <c r="F2214" s="278"/>
      <c r="G2214" s="278"/>
      <c r="H2214" s="278"/>
      <c r="I2214" s="278"/>
      <c r="J2214" s="278"/>
      <c r="K2214" s="278"/>
    </row>
    <row r="2215" spans="1:11" x14ac:dyDescent="0.15">
      <c r="A2215" s="278"/>
      <c r="B2215" s="278"/>
      <c r="C2215" s="278"/>
      <c r="D2215" s="278"/>
      <c r="E2215" s="278"/>
      <c r="F2215" s="278"/>
      <c r="G2215" s="278"/>
      <c r="H2215" s="278"/>
      <c r="I2215" s="278"/>
      <c r="J2215" s="278"/>
      <c r="K2215" s="278"/>
    </row>
    <row r="2216" spans="1:11" x14ac:dyDescent="0.15">
      <c r="A2216" s="278"/>
      <c r="B2216" s="278"/>
      <c r="C2216" s="278"/>
      <c r="D2216" s="278"/>
      <c r="E2216" s="278"/>
      <c r="F2216" s="278"/>
      <c r="G2216" s="278"/>
      <c r="H2216" s="278"/>
      <c r="I2216" s="278"/>
      <c r="J2216" s="278"/>
      <c r="K2216" s="278"/>
    </row>
    <row r="2217" spans="1:11" x14ac:dyDescent="0.15">
      <c r="A2217" s="278"/>
      <c r="B2217" s="278"/>
      <c r="C2217" s="278"/>
      <c r="D2217" s="278"/>
      <c r="E2217" s="278"/>
      <c r="F2217" s="278"/>
      <c r="G2217" s="278"/>
      <c r="H2217" s="278"/>
      <c r="I2217" s="278"/>
      <c r="J2217" s="278"/>
      <c r="K2217" s="278"/>
    </row>
    <row r="2218" spans="1:11" x14ac:dyDescent="0.15">
      <c r="A2218" s="278"/>
      <c r="B2218" s="278"/>
      <c r="C2218" s="278"/>
      <c r="D2218" s="278"/>
      <c r="E2218" s="278"/>
      <c r="F2218" s="278"/>
      <c r="G2218" s="278"/>
      <c r="H2218" s="278"/>
      <c r="I2218" s="278"/>
      <c r="J2218" s="278"/>
      <c r="K2218" s="278"/>
    </row>
    <row r="2219" spans="1:11" x14ac:dyDescent="0.15">
      <c r="A2219" s="278"/>
      <c r="B2219" s="278"/>
      <c r="C2219" s="278"/>
      <c r="D2219" s="278"/>
      <c r="E2219" s="278"/>
      <c r="F2219" s="278"/>
      <c r="G2219" s="278"/>
      <c r="H2219" s="278"/>
      <c r="I2219" s="278"/>
      <c r="J2219" s="278"/>
      <c r="K2219" s="278"/>
    </row>
    <row r="2220" spans="1:11" x14ac:dyDescent="0.15">
      <c r="A2220" s="278"/>
      <c r="B2220" s="278"/>
      <c r="C2220" s="278"/>
      <c r="D2220" s="278"/>
      <c r="E2220" s="278"/>
      <c r="F2220" s="278"/>
      <c r="G2220" s="278"/>
      <c r="H2220" s="278"/>
      <c r="I2220" s="278"/>
      <c r="J2220" s="278"/>
      <c r="K2220" s="278"/>
    </row>
    <row r="2221" spans="1:11" x14ac:dyDescent="0.15">
      <c r="A2221" s="278"/>
      <c r="B2221" s="278"/>
      <c r="C2221" s="278"/>
      <c r="D2221" s="278"/>
      <c r="E2221" s="278"/>
      <c r="F2221" s="278"/>
      <c r="G2221" s="278"/>
      <c r="H2221" s="278"/>
      <c r="I2221" s="278"/>
      <c r="J2221" s="278"/>
      <c r="K2221" s="278"/>
    </row>
    <row r="2222" spans="1:11" x14ac:dyDescent="0.15">
      <c r="A2222" s="278"/>
      <c r="B2222" s="278"/>
      <c r="C2222" s="278"/>
      <c r="D2222" s="278"/>
      <c r="E2222" s="278"/>
      <c r="F2222" s="278"/>
      <c r="G2222" s="278"/>
      <c r="H2222" s="278"/>
      <c r="I2222" s="278"/>
      <c r="J2222" s="278"/>
      <c r="K2222" s="278"/>
    </row>
    <row r="2223" spans="1:11" x14ac:dyDescent="0.15">
      <c r="A2223" s="278"/>
      <c r="B2223" s="278"/>
      <c r="C2223" s="278"/>
      <c r="D2223" s="278"/>
      <c r="E2223" s="278"/>
      <c r="F2223" s="278"/>
      <c r="G2223" s="278"/>
      <c r="H2223" s="278"/>
      <c r="I2223" s="278"/>
      <c r="J2223" s="278"/>
      <c r="K2223" s="278"/>
    </row>
    <row r="2224" spans="1:11" x14ac:dyDescent="0.15">
      <c r="A2224" s="278"/>
      <c r="B2224" s="278"/>
      <c r="C2224" s="278"/>
      <c r="D2224" s="278"/>
      <c r="E2224" s="278"/>
      <c r="F2224" s="278"/>
      <c r="G2224" s="278"/>
      <c r="H2224" s="278"/>
      <c r="I2224" s="278"/>
      <c r="J2224" s="278"/>
      <c r="K2224" s="278"/>
    </row>
    <row r="2225" spans="1:11" x14ac:dyDescent="0.15">
      <c r="A2225" s="278"/>
      <c r="B2225" s="278"/>
      <c r="C2225" s="278"/>
      <c r="D2225" s="278"/>
      <c r="E2225" s="278"/>
      <c r="F2225" s="278"/>
      <c r="G2225" s="278"/>
      <c r="H2225" s="278"/>
      <c r="I2225" s="278"/>
      <c r="J2225" s="278"/>
      <c r="K2225" s="278"/>
    </row>
    <row r="2226" spans="1:11" x14ac:dyDescent="0.15">
      <c r="A2226" s="278"/>
      <c r="B2226" s="278"/>
      <c r="C2226" s="278"/>
      <c r="D2226" s="278"/>
      <c r="E2226" s="278"/>
      <c r="F2226" s="278"/>
      <c r="G2226" s="278"/>
      <c r="H2226" s="278"/>
      <c r="I2226" s="278"/>
      <c r="J2226" s="278"/>
      <c r="K2226" s="278"/>
    </row>
    <row r="2227" spans="1:11" x14ac:dyDescent="0.15">
      <c r="A2227" s="278"/>
      <c r="B2227" s="278"/>
      <c r="C2227" s="278"/>
      <c r="D2227" s="278"/>
      <c r="E2227" s="278"/>
      <c r="F2227" s="278"/>
      <c r="G2227" s="278"/>
      <c r="H2227" s="278"/>
      <c r="I2227" s="278"/>
      <c r="J2227" s="278"/>
      <c r="K2227" s="278"/>
    </row>
    <row r="2228" spans="1:11" x14ac:dyDescent="0.15">
      <c r="A2228" s="278"/>
      <c r="B2228" s="278"/>
      <c r="C2228" s="278"/>
      <c r="D2228" s="278"/>
      <c r="E2228" s="278"/>
      <c r="F2228" s="278"/>
      <c r="G2228" s="278"/>
      <c r="H2228" s="278"/>
      <c r="I2228" s="278"/>
      <c r="J2228" s="278"/>
      <c r="K2228" s="278"/>
    </row>
    <row r="2229" spans="1:11" x14ac:dyDescent="0.15">
      <c r="A2229" s="278"/>
      <c r="B2229" s="278"/>
      <c r="C2229" s="278"/>
      <c r="D2229" s="278"/>
      <c r="E2229" s="278"/>
      <c r="F2229" s="278"/>
      <c r="G2229" s="278"/>
      <c r="H2229" s="278"/>
      <c r="I2229" s="278"/>
      <c r="J2229" s="278"/>
      <c r="K2229" s="278"/>
    </row>
    <row r="2230" spans="1:11" x14ac:dyDescent="0.15">
      <c r="A2230" s="278"/>
      <c r="B2230" s="278"/>
      <c r="C2230" s="278"/>
      <c r="D2230" s="278"/>
      <c r="E2230" s="278"/>
      <c r="F2230" s="278"/>
      <c r="G2230" s="278"/>
      <c r="H2230" s="278"/>
      <c r="I2230" s="278"/>
      <c r="J2230" s="278"/>
      <c r="K2230" s="278"/>
    </row>
    <row r="2231" spans="1:11" x14ac:dyDescent="0.15">
      <c r="A2231" s="278"/>
      <c r="B2231" s="278"/>
      <c r="C2231" s="278"/>
      <c r="D2231" s="278"/>
      <c r="E2231" s="278"/>
      <c r="F2231" s="278"/>
      <c r="G2231" s="278"/>
      <c r="H2231" s="278"/>
      <c r="I2231" s="278"/>
      <c r="J2231" s="278"/>
      <c r="K2231" s="278"/>
    </row>
    <row r="2232" spans="1:11" x14ac:dyDescent="0.15">
      <c r="A2232" s="278"/>
      <c r="B2232" s="278"/>
      <c r="C2232" s="278"/>
      <c r="D2232" s="278"/>
      <c r="E2232" s="278"/>
      <c r="F2232" s="278"/>
      <c r="G2232" s="278"/>
      <c r="H2232" s="278"/>
      <c r="I2232" s="278"/>
      <c r="J2232" s="278"/>
      <c r="K2232" s="278"/>
    </row>
    <row r="2233" spans="1:11" x14ac:dyDescent="0.15">
      <c r="A2233" s="278"/>
      <c r="B2233" s="278"/>
      <c r="C2233" s="278"/>
      <c r="D2233" s="278"/>
      <c r="E2233" s="278"/>
      <c r="F2233" s="278"/>
      <c r="G2233" s="278"/>
      <c r="H2233" s="278"/>
      <c r="I2233" s="278"/>
      <c r="J2233" s="278"/>
      <c r="K2233" s="278"/>
    </row>
    <row r="2234" spans="1:11" x14ac:dyDescent="0.15">
      <c r="A2234" s="278"/>
      <c r="B2234" s="278"/>
      <c r="C2234" s="278"/>
      <c r="D2234" s="278"/>
      <c r="E2234" s="278"/>
      <c r="F2234" s="278"/>
      <c r="G2234" s="278"/>
      <c r="H2234" s="278"/>
      <c r="I2234" s="278"/>
      <c r="J2234" s="278"/>
      <c r="K2234" s="278"/>
    </row>
    <row r="2235" spans="1:11" x14ac:dyDescent="0.15">
      <c r="A2235" s="278"/>
      <c r="B2235" s="278"/>
      <c r="C2235" s="278"/>
      <c r="D2235" s="278"/>
      <c r="E2235" s="278"/>
      <c r="F2235" s="278"/>
      <c r="G2235" s="278"/>
      <c r="H2235" s="278"/>
      <c r="I2235" s="278"/>
      <c r="J2235" s="278"/>
      <c r="K2235" s="278"/>
    </row>
    <row r="2236" spans="1:11" x14ac:dyDescent="0.15">
      <c r="A2236" s="278"/>
      <c r="B2236" s="278"/>
      <c r="C2236" s="278"/>
      <c r="D2236" s="278"/>
      <c r="E2236" s="278"/>
      <c r="F2236" s="278"/>
      <c r="G2236" s="278"/>
      <c r="H2236" s="278"/>
      <c r="I2236" s="278"/>
      <c r="J2236" s="278"/>
      <c r="K2236" s="278"/>
    </row>
    <row r="2237" spans="1:11" x14ac:dyDescent="0.15">
      <c r="A2237" s="278"/>
      <c r="B2237" s="278"/>
      <c r="C2237" s="278"/>
      <c r="D2237" s="278"/>
      <c r="E2237" s="278"/>
      <c r="F2237" s="278"/>
      <c r="G2237" s="278"/>
      <c r="H2237" s="278"/>
      <c r="I2237" s="278"/>
      <c r="J2237" s="278"/>
      <c r="K2237" s="278"/>
    </row>
    <row r="2238" spans="1:11" x14ac:dyDescent="0.15">
      <c r="A2238" s="278"/>
      <c r="B2238" s="278"/>
      <c r="C2238" s="278"/>
      <c r="D2238" s="278"/>
      <c r="E2238" s="278"/>
      <c r="F2238" s="278"/>
      <c r="G2238" s="278"/>
      <c r="H2238" s="278"/>
      <c r="I2238" s="278"/>
      <c r="J2238" s="278"/>
      <c r="K2238" s="278"/>
    </row>
    <row r="2239" spans="1:11" x14ac:dyDescent="0.15">
      <c r="A2239" s="278"/>
      <c r="B2239" s="278"/>
      <c r="C2239" s="278"/>
      <c r="D2239" s="278"/>
      <c r="E2239" s="278"/>
      <c r="F2239" s="278"/>
      <c r="G2239" s="278"/>
      <c r="H2239" s="278"/>
      <c r="I2239" s="278"/>
      <c r="J2239" s="278"/>
      <c r="K2239" s="278"/>
    </row>
    <row r="2240" spans="1:11" x14ac:dyDescent="0.15">
      <c r="A2240" s="278"/>
      <c r="B2240" s="278"/>
      <c r="C2240" s="278"/>
      <c r="D2240" s="278"/>
      <c r="E2240" s="278"/>
      <c r="F2240" s="278"/>
      <c r="G2240" s="278"/>
      <c r="H2240" s="278"/>
      <c r="I2240" s="278"/>
      <c r="J2240" s="278"/>
      <c r="K2240" s="278"/>
    </row>
    <row r="2241" spans="1:11" x14ac:dyDescent="0.15">
      <c r="A2241" s="278"/>
      <c r="B2241" s="278"/>
      <c r="C2241" s="278"/>
      <c r="D2241" s="278"/>
      <c r="E2241" s="278"/>
      <c r="F2241" s="278"/>
      <c r="G2241" s="278"/>
      <c r="H2241" s="278"/>
      <c r="I2241" s="278"/>
      <c r="J2241" s="278"/>
      <c r="K2241" s="278"/>
    </row>
    <row r="2242" spans="1:11" x14ac:dyDescent="0.15">
      <c r="A2242" s="278"/>
      <c r="B2242" s="278"/>
      <c r="C2242" s="278"/>
      <c r="D2242" s="278"/>
      <c r="E2242" s="278"/>
      <c r="F2242" s="278"/>
      <c r="G2242" s="278"/>
      <c r="H2242" s="278"/>
      <c r="I2242" s="278"/>
      <c r="J2242" s="278"/>
      <c r="K2242" s="278"/>
    </row>
    <row r="2243" spans="1:11" x14ac:dyDescent="0.15">
      <c r="A2243" s="278"/>
      <c r="B2243" s="278"/>
      <c r="C2243" s="278"/>
      <c r="D2243" s="278"/>
      <c r="E2243" s="278"/>
      <c r="F2243" s="278"/>
      <c r="G2243" s="278"/>
      <c r="H2243" s="278"/>
      <c r="I2243" s="278"/>
      <c r="J2243" s="278"/>
      <c r="K2243" s="278"/>
    </row>
    <row r="2244" spans="1:11" x14ac:dyDescent="0.15">
      <c r="A2244" s="278"/>
      <c r="B2244" s="278"/>
      <c r="C2244" s="278"/>
      <c r="D2244" s="278"/>
      <c r="E2244" s="278"/>
      <c r="F2244" s="278"/>
      <c r="G2244" s="278"/>
      <c r="H2244" s="278"/>
      <c r="I2244" s="278"/>
      <c r="J2244" s="278"/>
      <c r="K2244" s="278"/>
    </row>
    <row r="2245" spans="1:11" x14ac:dyDescent="0.15">
      <c r="A2245" s="278"/>
      <c r="B2245" s="278"/>
      <c r="C2245" s="278"/>
      <c r="D2245" s="278"/>
      <c r="E2245" s="278"/>
      <c r="F2245" s="278"/>
      <c r="G2245" s="278"/>
      <c r="H2245" s="278"/>
      <c r="I2245" s="278"/>
      <c r="J2245" s="278"/>
      <c r="K2245" s="278"/>
    </row>
    <row r="2246" spans="1:11" x14ac:dyDescent="0.15">
      <c r="A2246" s="278"/>
      <c r="B2246" s="278"/>
      <c r="C2246" s="278"/>
      <c r="D2246" s="278"/>
      <c r="E2246" s="278"/>
      <c r="F2246" s="278"/>
      <c r="G2246" s="278"/>
      <c r="H2246" s="278"/>
      <c r="I2246" s="278"/>
      <c r="J2246" s="278"/>
      <c r="K2246" s="278"/>
    </row>
    <row r="2247" spans="1:11" x14ac:dyDescent="0.15">
      <c r="A2247" s="278"/>
      <c r="B2247" s="278"/>
      <c r="C2247" s="278"/>
      <c r="D2247" s="278"/>
      <c r="E2247" s="278"/>
      <c r="F2247" s="278"/>
      <c r="G2247" s="278"/>
      <c r="H2247" s="278"/>
      <c r="I2247" s="278"/>
      <c r="J2247" s="278"/>
      <c r="K2247" s="278"/>
    </row>
    <row r="2248" spans="1:11" x14ac:dyDescent="0.15">
      <c r="A2248" s="278"/>
      <c r="B2248" s="278"/>
      <c r="C2248" s="278"/>
      <c r="D2248" s="278"/>
      <c r="E2248" s="278"/>
      <c r="F2248" s="278"/>
      <c r="G2248" s="278"/>
      <c r="H2248" s="278"/>
      <c r="I2248" s="278"/>
      <c r="J2248" s="278"/>
      <c r="K2248" s="278"/>
    </row>
    <row r="2249" spans="1:11" x14ac:dyDescent="0.15">
      <c r="A2249" s="278"/>
      <c r="B2249" s="278"/>
      <c r="C2249" s="278"/>
      <c r="D2249" s="278"/>
      <c r="E2249" s="278"/>
      <c r="F2249" s="278"/>
      <c r="G2249" s="278"/>
      <c r="H2249" s="278"/>
      <c r="I2249" s="278"/>
      <c r="J2249" s="278"/>
      <c r="K2249" s="278"/>
    </row>
    <row r="2250" spans="1:11" x14ac:dyDescent="0.15">
      <c r="A2250" s="278"/>
      <c r="B2250" s="278"/>
      <c r="C2250" s="278"/>
      <c r="D2250" s="278"/>
      <c r="E2250" s="278"/>
      <c r="F2250" s="278"/>
      <c r="G2250" s="278"/>
      <c r="H2250" s="278"/>
      <c r="I2250" s="278"/>
      <c r="J2250" s="278"/>
      <c r="K2250" s="278"/>
    </row>
    <row r="2251" spans="1:11" x14ac:dyDescent="0.15">
      <c r="A2251" s="278"/>
      <c r="B2251" s="278"/>
      <c r="C2251" s="278"/>
      <c r="D2251" s="278"/>
      <c r="E2251" s="278"/>
      <c r="F2251" s="278"/>
      <c r="G2251" s="278"/>
      <c r="H2251" s="278"/>
      <c r="I2251" s="278"/>
      <c r="J2251" s="278"/>
      <c r="K2251" s="278"/>
    </row>
    <row r="2252" spans="1:11" x14ac:dyDescent="0.15">
      <c r="A2252" s="278"/>
      <c r="B2252" s="278"/>
      <c r="C2252" s="278"/>
      <c r="D2252" s="278"/>
      <c r="E2252" s="278"/>
      <c r="F2252" s="278"/>
      <c r="G2252" s="278"/>
      <c r="H2252" s="278"/>
      <c r="I2252" s="278"/>
      <c r="J2252" s="278"/>
      <c r="K2252" s="278"/>
    </row>
    <row r="2253" spans="1:11" x14ac:dyDescent="0.15">
      <c r="A2253" s="278"/>
      <c r="B2253" s="278"/>
      <c r="C2253" s="278"/>
      <c r="D2253" s="278"/>
      <c r="E2253" s="278"/>
      <c r="F2253" s="278"/>
      <c r="G2253" s="278"/>
      <c r="H2253" s="278"/>
      <c r="I2253" s="278"/>
      <c r="J2253" s="278"/>
      <c r="K2253" s="278"/>
    </row>
    <row r="2254" spans="1:11" x14ac:dyDescent="0.15">
      <c r="A2254" s="278"/>
      <c r="B2254" s="278"/>
      <c r="C2254" s="278"/>
      <c r="D2254" s="278"/>
      <c r="E2254" s="278"/>
      <c r="F2254" s="278"/>
      <c r="G2254" s="278"/>
      <c r="H2254" s="278"/>
      <c r="I2254" s="278"/>
      <c r="J2254" s="278"/>
      <c r="K2254" s="278"/>
    </row>
    <row r="2255" spans="1:11" x14ac:dyDescent="0.15">
      <c r="A2255" s="278"/>
      <c r="B2255" s="278"/>
      <c r="C2255" s="278"/>
      <c r="D2255" s="278"/>
      <c r="E2255" s="278"/>
      <c r="F2255" s="278"/>
      <c r="G2255" s="278"/>
      <c r="H2255" s="278"/>
      <c r="I2255" s="278"/>
      <c r="J2255" s="278"/>
      <c r="K2255" s="278"/>
    </row>
    <row r="2256" spans="1:11" x14ac:dyDescent="0.15">
      <c r="A2256" s="278"/>
      <c r="B2256" s="278"/>
      <c r="C2256" s="278"/>
      <c r="D2256" s="278"/>
      <c r="E2256" s="278"/>
      <c r="F2256" s="278"/>
      <c r="G2256" s="278"/>
      <c r="H2256" s="278"/>
      <c r="I2256" s="278"/>
      <c r="J2256" s="278"/>
      <c r="K2256" s="278"/>
    </row>
    <row r="2257" spans="1:11" x14ac:dyDescent="0.15">
      <c r="A2257" s="278"/>
      <c r="B2257" s="278"/>
      <c r="C2257" s="278"/>
      <c r="D2257" s="278"/>
      <c r="E2257" s="278"/>
      <c r="F2257" s="278"/>
      <c r="G2257" s="278"/>
      <c r="H2257" s="278"/>
      <c r="I2257" s="278"/>
      <c r="J2257" s="278"/>
      <c r="K2257" s="278"/>
    </row>
    <row r="2258" spans="1:11" x14ac:dyDescent="0.15">
      <c r="A2258" s="278"/>
      <c r="B2258" s="278"/>
      <c r="C2258" s="278"/>
      <c r="D2258" s="278"/>
      <c r="E2258" s="278"/>
      <c r="F2258" s="278"/>
      <c r="G2258" s="278"/>
      <c r="H2258" s="278"/>
      <c r="I2258" s="278"/>
      <c r="J2258" s="278"/>
      <c r="K2258" s="278"/>
    </row>
    <row r="2259" spans="1:11" x14ac:dyDescent="0.15">
      <c r="A2259" s="278"/>
      <c r="B2259" s="278"/>
      <c r="C2259" s="278"/>
      <c r="D2259" s="278"/>
      <c r="E2259" s="278"/>
      <c r="F2259" s="278"/>
      <c r="G2259" s="278"/>
      <c r="H2259" s="278"/>
      <c r="I2259" s="278"/>
      <c r="J2259" s="278"/>
      <c r="K2259" s="278"/>
    </row>
    <row r="2260" spans="1:11" x14ac:dyDescent="0.15">
      <c r="A2260" s="278"/>
      <c r="B2260" s="278"/>
      <c r="C2260" s="278"/>
      <c r="D2260" s="278"/>
      <c r="E2260" s="278"/>
      <c r="F2260" s="278"/>
      <c r="G2260" s="278"/>
      <c r="H2260" s="278"/>
      <c r="I2260" s="278"/>
      <c r="J2260" s="278"/>
      <c r="K2260" s="278"/>
    </row>
    <row r="2261" spans="1:11" x14ac:dyDescent="0.15">
      <c r="A2261" s="278"/>
      <c r="B2261" s="278"/>
      <c r="C2261" s="278"/>
      <c r="D2261" s="278"/>
      <c r="E2261" s="278"/>
      <c r="F2261" s="278"/>
      <c r="G2261" s="278"/>
      <c r="H2261" s="278"/>
      <c r="I2261" s="278"/>
      <c r="J2261" s="278"/>
      <c r="K2261" s="278"/>
    </row>
    <row r="2262" spans="1:11" x14ac:dyDescent="0.15">
      <c r="A2262" s="278"/>
      <c r="B2262" s="278"/>
      <c r="C2262" s="278"/>
      <c r="D2262" s="278"/>
      <c r="E2262" s="278"/>
      <c r="F2262" s="278"/>
      <c r="G2262" s="278"/>
      <c r="H2262" s="278"/>
      <c r="I2262" s="278"/>
      <c r="J2262" s="278"/>
      <c r="K2262" s="278"/>
    </row>
    <row r="2263" spans="1:11" x14ac:dyDescent="0.15">
      <c r="A2263" s="278"/>
      <c r="B2263" s="278"/>
      <c r="C2263" s="278"/>
      <c r="D2263" s="278"/>
      <c r="E2263" s="278"/>
      <c r="F2263" s="278"/>
      <c r="G2263" s="278"/>
      <c r="H2263" s="278"/>
      <c r="I2263" s="278"/>
      <c r="J2263" s="278"/>
      <c r="K2263" s="278"/>
    </row>
    <row r="2264" spans="1:11" x14ac:dyDescent="0.15">
      <c r="A2264" s="278"/>
      <c r="B2264" s="278"/>
      <c r="C2264" s="278"/>
      <c r="D2264" s="278"/>
      <c r="E2264" s="278"/>
      <c r="F2264" s="278"/>
      <c r="G2264" s="278"/>
      <c r="H2264" s="278"/>
      <c r="I2264" s="278"/>
      <c r="J2264" s="278"/>
      <c r="K2264" s="278"/>
    </row>
    <row r="2265" spans="1:11" x14ac:dyDescent="0.15">
      <c r="A2265" s="278"/>
      <c r="B2265" s="278"/>
      <c r="C2265" s="278"/>
      <c r="D2265" s="278"/>
      <c r="E2265" s="278"/>
      <c r="F2265" s="278"/>
      <c r="G2265" s="278"/>
      <c r="H2265" s="278"/>
      <c r="I2265" s="278"/>
      <c r="J2265" s="278"/>
      <c r="K2265" s="278"/>
    </row>
    <row r="2266" spans="1:11" x14ac:dyDescent="0.15">
      <c r="A2266" s="278"/>
      <c r="B2266" s="278"/>
      <c r="C2266" s="278"/>
      <c r="D2266" s="278"/>
      <c r="E2266" s="278"/>
      <c r="F2266" s="278"/>
      <c r="G2266" s="278"/>
      <c r="H2266" s="278"/>
      <c r="I2266" s="278"/>
      <c r="J2266" s="278"/>
      <c r="K2266" s="278"/>
    </row>
    <row r="2267" spans="1:11" x14ac:dyDescent="0.15">
      <c r="A2267" s="278"/>
      <c r="B2267" s="278"/>
      <c r="C2267" s="278"/>
      <c r="D2267" s="278"/>
      <c r="E2267" s="278"/>
      <c r="F2267" s="278"/>
      <c r="G2267" s="278"/>
      <c r="H2267" s="278"/>
      <c r="I2267" s="278"/>
      <c r="J2267" s="278"/>
      <c r="K2267" s="278"/>
    </row>
    <row r="2268" spans="1:11" x14ac:dyDescent="0.15">
      <c r="A2268" s="278"/>
      <c r="B2268" s="278"/>
      <c r="C2268" s="278"/>
      <c r="D2268" s="278"/>
      <c r="E2268" s="278"/>
      <c r="F2268" s="278"/>
      <c r="G2268" s="278"/>
      <c r="H2268" s="278"/>
      <c r="I2268" s="278"/>
      <c r="J2268" s="278"/>
      <c r="K2268" s="278"/>
    </row>
    <row r="2269" spans="1:11" x14ac:dyDescent="0.15">
      <c r="A2269" s="278"/>
      <c r="B2269" s="278"/>
      <c r="C2269" s="278"/>
      <c r="D2269" s="278"/>
      <c r="E2269" s="278"/>
      <c r="F2269" s="278"/>
      <c r="G2269" s="278"/>
      <c r="H2269" s="278"/>
      <c r="I2269" s="278"/>
      <c r="J2269" s="278"/>
      <c r="K2269" s="278"/>
    </row>
    <row r="2270" spans="1:11" x14ac:dyDescent="0.15">
      <c r="A2270" s="278"/>
      <c r="B2270" s="278"/>
      <c r="C2270" s="278"/>
      <c r="D2270" s="278"/>
      <c r="E2270" s="278"/>
      <c r="F2270" s="278"/>
      <c r="G2270" s="278"/>
      <c r="H2270" s="278"/>
      <c r="I2270" s="278"/>
      <c r="J2270" s="278"/>
      <c r="K2270" s="278"/>
    </row>
    <row r="2271" spans="1:11" x14ac:dyDescent="0.15">
      <c r="A2271" s="278"/>
      <c r="B2271" s="278"/>
      <c r="C2271" s="278"/>
      <c r="D2271" s="278"/>
      <c r="E2271" s="278"/>
      <c r="F2271" s="278"/>
      <c r="G2271" s="278"/>
      <c r="H2271" s="278"/>
      <c r="I2271" s="278"/>
      <c r="J2271" s="278"/>
      <c r="K2271" s="278"/>
    </row>
    <row r="2272" spans="1:11" x14ac:dyDescent="0.15">
      <c r="A2272" s="278"/>
      <c r="B2272" s="278"/>
      <c r="C2272" s="278"/>
      <c r="D2272" s="278"/>
      <c r="E2272" s="278"/>
      <c r="F2272" s="278"/>
      <c r="G2272" s="278"/>
      <c r="H2272" s="278"/>
      <c r="I2272" s="278"/>
      <c r="J2272" s="278"/>
      <c r="K2272" s="278"/>
    </row>
    <row r="2273" spans="1:11" x14ac:dyDescent="0.15">
      <c r="A2273" s="278"/>
      <c r="B2273" s="278"/>
      <c r="C2273" s="278"/>
      <c r="D2273" s="278"/>
      <c r="E2273" s="278"/>
      <c r="F2273" s="278"/>
      <c r="G2273" s="278"/>
      <c r="H2273" s="278"/>
      <c r="I2273" s="278"/>
      <c r="J2273" s="278"/>
      <c r="K2273" s="278"/>
    </row>
    <row r="2274" spans="1:11" x14ac:dyDescent="0.15">
      <c r="A2274" s="278"/>
      <c r="B2274" s="278"/>
      <c r="C2274" s="278"/>
      <c r="D2274" s="278"/>
      <c r="E2274" s="278"/>
      <c r="F2274" s="278"/>
      <c r="G2274" s="278"/>
      <c r="H2274" s="278"/>
      <c r="I2274" s="278"/>
      <c r="J2274" s="278"/>
      <c r="K2274" s="278"/>
    </row>
    <row r="2275" spans="1:11" x14ac:dyDescent="0.15">
      <c r="A2275" s="278"/>
      <c r="B2275" s="278"/>
      <c r="C2275" s="278"/>
      <c r="D2275" s="278"/>
      <c r="E2275" s="278"/>
      <c r="F2275" s="278"/>
      <c r="G2275" s="278"/>
      <c r="H2275" s="278"/>
      <c r="I2275" s="278"/>
      <c r="J2275" s="278"/>
      <c r="K2275" s="278"/>
    </row>
    <row r="2276" spans="1:11" x14ac:dyDescent="0.15">
      <c r="A2276" s="278"/>
      <c r="B2276" s="278"/>
      <c r="C2276" s="278"/>
      <c r="D2276" s="278"/>
      <c r="E2276" s="278"/>
      <c r="F2276" s="278"/>
      <c r="G2276" s="278"/>
      <c r="H2276" s="278"/>
      <c r="I2276" s="278"/>
      <c r="J2276" s="278"/>
      <c r="K2276" s="278"/>
    </row>
    <row r="2277" spans="1:11" x14ac:dyDescent="0.15">
      <c r="A2277" s="278"/>
      <c r="B2277" s="278"/>
      <c r="C2277" s="278"/>
      <c r="D2277" s="278"/>
      <c r="E2277" s="278"/>
      <c r="F2277" s="278"/>
      <c r="G2277" s="278"/>
      <c r="H2277" s="278"/>
      <c r="I2277" s="278"/>
      <c r="J2277" s="278"/>
      <c r="K2277" s="278"/>
    </row>
    <row r="2278" spans="1:11" x14ac:dyDescent="0.15">
      <c r="A2278" s="278"/>
      <c r="B2278" s="278"/>
      <c r="C2278" s="278"/>
      <c r="D2278" s="278"/>
      <c r="E2278" s="278"/>
      <c r="F2278" s="278"/>
      <c r="G2278" s="278"/>
      <c r="H2278" s="278"/>
      <c r="I2278" s="278"/>
      <c r="J2278" s="278"/>
      <c r="K2278" s="278"/>
    </row>
    <row r="2279" spans="1:11" x14ac:dyDescent="0.15">
      <c r="A2279" s="278"/>
      <c r="B2279" s="278"/>
      <c r="C2279" s="278"/>
      <c r="D2279" s="278"/>
      <c r="E2279" s="278"/>
      <c r="F2279" s="278"/>
      <c r="G2279" s="278"/>
      <c r="H2279" s="278"/>
      <c r="I2279" s="278"/>
      <c r="J2279" s="278"/>
      <c r="K2279" s="278"/>
    </row>
    <row r="2280" spans="1:11" x14ac:dyDescent="0.15">
      <c r="A2280" s="278"/>
      <c r="B2280" s="278"/>
      <c r="C2280" s="278"/>
      <c r="D2280" s="278"/>
      <c r="E2280" s="278"/>
      <c r="F2280" s="278"/>
      <c r="G2280" s="278"/>
      <c r="H2280" s="278"/>
      <c r="I2280" s="278"/>
      <c r="J2280" s="278"/>
      <c r="K2280" s="278"/>
    </row>
    <row r="2281" spans="1:11" x14ac:dyDescent="0.15">
      <c r="A2281" s="278"/>
      <c r="B2281" s="278"/>
      <c r="C2281" s="278"/>
      <c r="D2281" s="278"/>
      <c r="E2281" s="278"/>
      <c r="F2281" s="278"/>
      <c r="G2281" s="278"/>
      <c r="H2281" s="278"/>
      <c r="I2281" s="278"/>
      <c r="J2281" s="278"/>
      <c r="K2281" s="278"/>
    </row>
    <row r="2282" spans="1:11" x14ac:dyDescent="0.15">
      <c r="A2282" s="278"/>
      <c r="B2282" s="278"/>
      <c r="C2282" s="278"/>
      <c r="D2282" s="278"/>
      <c r="E2282" s="278"/>
      <c r="F2282" s="278"/>
      <c r="G2282" s="278"/>
      <c r="H2282" s="278"/>
      <c r="I2282" s="278"/>
      <c r="J2282" s="278"/>
      <c r="K2282" s="278"/>
    </row>
    <row r="2283" spans="1:11" x14ac:dyDescent="0.15">
      <c r="A2283" s="278"/>
      <c r="B2283" s="278"/>
      <c r="C2283" s="278"/>
      <c r="D2283" s="278"/>
      <c r="E2283" s="278"/>
      <c r="F2283" s="278"/>
      <c r="G2283" s="278"/>
      <c r="H2283" s="278"/>
      <c r="I2283" s="278"/>
      <c r="J2283" s="278"/>
      <c r="K2283" s="278"/>
    </row>
    <row r="2284" spans="1:11" x14ac:dyDescent="0.15">
      <c r="A2284" s="278"/>
      <c r="B2284" s="278"/>
      <c r="C2284" s="278"/>
      <c r="D2284" s="278"/>
      <c r="E2284" s="278"/>
      <c r="F2284" s="278"/>
      <c r="G2284" s="278"/>
      <c r="H2284" s="278"/>
      <c r="I2284" s="278"/>
      <c r="J2284" s="278"/>
      <c r="K2284" s="278"/>
    </row>
    <row r="2285" spans="1:11" x14ac:dyDescent="0.15">
      <c r="A2285" s="278"/>
      <c r="B2285" s="278"/>
      <c r="C2285" s="278"/>
      <c r="D2285" s="278"/>
      <c r="E2285" s="278"/>
      <c r="F2285" s="278"/>
      <c r="G2285" s="278"/>
      <c r="H2285" s="278"/>
      <c r="I2285" s="278"/>
      <c r="J2285" s="278"/>
      <c r="K2285" s="278"/>
    </row>
    <row r="2286" spans="1:11" x14ac:dyDescent="0.15">
      <c r="A2286" s="278"/>
      <c r="B2286" s="278"/>
      <c r="C2286" s="278"/>
      <c r="D2286" s="278"/>
      <c r="E2286" s="278"/>
      <c r="F2286" s="278"/>
      <c r="G2286" s="278"/>
      <c r="H2286" s="278"/>
      <c r="I2286" s="278"/>
      <c r="J2286" s="278"/>
      <c r="K2286" s="278"/>
    </row>
    <row r="2287" spans="1:11" x14ac:dyDescent="0.15">
      <c r="A2287" s="278"/>
      <c r="B2287" s="278"/>
      <c r="C2287" s="278"/>
      <c r="D2287" s="278"/>
      <c r="E2287" s="278"/>
      <c r="F2287" s="278"/>
      <c r="G2287" s="278"/>
      <c r="H2287" s="278"/>
      <c r="I2287" s="278"/>
      <c r="J2287" s="278"/>
      <c r="K2287" s="278"/>
    </row>
    <row r="2288" spans="1:11" x14ac:dyDescent="0.15">
      <c r="A2288" s="278"/>
      <c r="B2288" s="278"/>
      <c r="C2288" s="278"/>
      <c r="D2288" s="278"/>
      <c r="E2288" s="278"/>
      <c r="F2288" s="278"/>
      <c r="G2288" s="278"/>
      <c r="H2288" s="278"/>
      <c r="I2288" s="278"/>
      <c r="J2288" s="278"/>
      <c r="K2288" s="278"/>
    </row>
    <row r="2289" spans="1:11" x14ac:dyDescent="0.15">
      <c r="A2289" s="278"/>
      <c r="B2289" s="278"/>
      <c r="C2289" s="278"/>
      <c r="D2289" s="278"/>
      <c r="E2289" s="278"/>
      <c r="F2289" s="278"/>
      <c r="G2289" s="278"/>
      <c r="H2289" s="278"/>
      <c r="I2289" s="278"/>
      <c r="J2289" s="278"/>
      <c r="K2289" s="278"/>
    </row>
    <row r="2290" spans="1:11" x14ac:dyDescent="0.15">
      <c r="A2290" s="278"/>
      <c r="B2290" s="278"/>
      <c r="C2290" s="278"/>
      <c r="D2290" s="278"/>
      <c r="E2290" s="278"/>
      <c r="F2290" s="278"/>
      <c r="G2290" s="278"/>
      <c r="H2290" s="278"/>
      <c r="I2290" s="278"/>
      <c r="J2290" s="278"/>
      <c r="K2290" s="278"/>
    </row>
    <row r="2291" spans="1:11" x14ac:dyDescent="0.15">
      <c r="A2291" s="278"/>
      <c r="B2291" s="278"/>
      <c r="C2291" s="278"/>
      <c r="D2291" s="278"/>
      <c r="E2291" s="278"/>
      <c r="F2291" s="278"/>
      <c r="G2291" s="278"/>
      <c r="H2291" s="278"/>
      <c r="I2291" s="278"/>
      <c r="J2291" s="278"/>
      <c r="K2291" s="278"/>
    </row>
    <row r="2292" spans="1:11" x14ac:dyDescent="0.15">
      <c r="A2292" s="278"/>
      <c r="B2292" s="278"/>
      <c r="C2292" s="278"/>
      <c r="D2292" s="278"/>
      <c r="E2292" s="278"/>
      <c r="F2292" s="278"/>
      <c r="G2292" s="278"/>
      <c r="H2292" s="278"/>
      <c r="I2292" s="278"/>
      <c r="J2292" s="278"/>
      <c r="K2292" s="278"/>
    </row>
    <row r="2293" spans="1:11" x14ac:dyDescent="0.15">
      <c r="A2293" s="278"/>
      <c r="B2293" s="278"/>
      <c r="C2293" s="278"/>
      <c r="D2293" s="278"/>
      <c r="E2293" s="278"/>
      <c r="F2293" s="278"/>
      <c r="G2293" s="278"/>
      <c r="H2293" s="278"/>
      <c r="I2293" s="278"/>
      <c r="J2293" s="278"/>
      <c r="K2293" s="278"/>
    </row>
    <row r="2294" spans="1:11" x14ac:dyDescent="0.15">
      <c r="A2294" s="278"/>
      <c r="B2294" s="278"/>
      <c r="C2294" s="278"/>
      <c r="D2294" s="278"/>
      <c r="E2294" s="278"/>
      <c r="F2294" s="278"/>
      <c r="G2294" s="278"/>
      <c r="H2294" s="278"/>
      <c r="I2294" s="278"/>
      <c r="J2294" s="278"/>
      <c r="K2294" s="278"/>
    </row>
    <row r="2295" spans="1:11" x14ac:dyDescent="0.15">
      <c r="A2295" s="278"/>
      <c r="B2295" s="278"/>
      <c r="C2295" s="278"/>
      <c r="D2295" s="278"/>
      <c r="E2295" s="278"/>
      <c r="F2295" s="278"/>
      <c r="G2295" s="278"/>
      <c r="H2295" s="278"/>
      <c r="I2295" s="278"/>
      <c r="J2295" s="278"/>
      <c r="K2295" s="278"/>
    </row>
    <row r="2296" spans="1:11" x14ac:dyDescent="0.15">
      <c r="A2296" s="278"/>
      <c r="B2296" s="278"/>
      <c r="C2296" s="278"/>
      <c r="D2296" s="278"/>
      <c r="E2296" s="278"/>
      <c r="F2296" s="278"/>
      <c r="G2296" s="278"/>
      <c r="H2296" s="278"/>
      <c r="I2296" s="278"/>
      <c r="J2296" s="278"/>
      <c r="K2296" s="278"/>
    </row>
    <row r="2297" spans="1:11" x14ac:dyDescent="0.15">
      <c r="A2297" s="278"/>
      <c r="B2297" s="278"/>
      <c r="C2297" s="278"/>
      <c r="D2297" s="278"/>
      <c r="E2297" s="278"/>
      <c r="F2297" s="278"/>
      <c r="G2297" s="278"/>
      <c r="H2297" s="278"/>
      <c r="I2297" s="278"/>
      <c r="J2297" s="278"/>
      <c r="K2297" s="278"/>
    </row>
    <row r="2298" spans="1:11" x14ac:dyDescent="0.15">
      <c r="A2298" s="278"/>
      <c r="B2298" s="278"/>
      <c r="C2298" s="278"/>
      <c r="D2298" s="278"/>
      <c r="E2298" s="278"/>
      <c r="F2298" s="278"/>
      <c r="G2298" s="278"/>
      <c r="H2298" s="278"/>
      <c r="I2298" s="278"/>
      <c r="J2298" s="278"/>
      <c r="K2298" s="278"/>
    </row>
    <row r="2299" spans="1:11" x14ac:dyDescent="0.15">
      <c r="A2299" s="278"/>
      <c r="B2299" s="278"/>
      <c r="C2299" s="278"/>
      <c r="D2299" s="278"/>
      <c r="E2299" s="278"/>
      <c r="F2299" s="278"/>
      <c r="G2299" s="278"/>
      <c r="H2299" s="278"/>
      <c r="I2299" s="278"/>
      <c r="J2299" s="278"/>
      <c r="K2299" s="278"/>
    </row>
    <row r="2300" spans="1:11" x14ac:dyDescent="0.15">
      <c r="A2300" s="278"/>
      <c r="B2300" s="278"/>
      <c r="C2300" s="278"/>
      <c r="D2300" s="278"/>
      <c r="E2300" s="278"/>
      <c r="F2300" s="278"/>
      <c r="G2300" s="278"/>
      <c r="H2300" s="278"/>
      <c r="I2300" s="278"/>
      <c r="J2300" s="278"/>
      <c r="K2300" s="278"/>
    </row>
    <row r="2301" spans="1:11" x14ac:dyDescent="0.15">
      <c r="A2301" s="278"/>
      <c r="B2301" s="278"/>
      <c r="C2301" s="278"/>
      <c r="D2301" s="278"/>
      <c r="E2301" s="278"/>
      <c r="F2301" s="278"/>
      <c r="G2301" s="278"/>
      <c r="H2301" s="278"/>
      <c r="I2301" s="278"/>
      <c r="J2301" s="278"/>
      <c r="K2301" s="278"/>
    </row>
    <row r="2302" spans="1:11" x14ac:dyDescent="0.15">
      <c r="A2302" s="278"/>
      <c r="B2302" s="278"/>
      <c r="C2302" s="278"/>
      <c r="D2302" s="278"/>
      <c r="E2302" s="278"/>
      <c r="F2302" s="278"/>
      <c r="G2302" s="278"/>
      <c r="H2302" s="278"/>
      <c r="I2302" s="278"/>
      <c r="J2302" s="278"/>
      <c r="K2302" s="278"/>
    </row>
    <row r="2303" spans="1:11" x14ac:dyDescent="0.15">
      <c r="A2303" s="278"/>
      <c r="B2303" s="278"/>
      <c r="C2303" s="278"/>
      <c r="D2303" s="278"/>
      <c r="E2303" s="278"/>
      <c r="F2303" s="278"/>
      <c r="G2303" s="278"/>
      <c r="H2303" s="278"/>
      <c r="I2303" s="278"/>
      <c r="J2303" s="278"/>
      <c r="K2303" s="278"/>
    </row>
    <row r="2304" spans="1:11" x14ac:dyDescent="0.15">
      <c r="A2304" s="278"/>
      <c r="B2304" s="278"/>
      <c r="C2304" s="278"/>
      <c r="D2304" s="278"/>
      <c r="E2304" s="278"/>
      <c r="F2304" s="278"/>
      <c r="G2304" s="278"/>
      <c r="H2304" s="278"/>
      <c r="I2304" s="278"/>
      <c r="J2304" s="278"/>
      <c r="K2304" s="278"/>
    </row>
    <row r="2305" spans="1:11" x14ac:dyDescent="0.15">
      <c r="A2305" s="278"/>
      <c r="B2305" s="278"/>
      <c r="C2305" s="278"/>
      <c r="D2305" s="278"/>
      <c r="E2305" s="278"/>
      <c r="F2305" s="278"/>
      <c r="G2305" s="278"/>
      <c r="H2305" s="278"/>
      <c r="I2305" s="278"/>
      <c r="J2305" s="278"/>
      <c r="K2305" s="278"/>
    </row>
    <row r="2306" spans="1:11" x14ac:dyDescent="0.15">
      <c r="A2306" s="278"/>
      <c r="B2306" s="278"/>
      <c r="C2306" s="278"/>
      <c r="D2306" s="278"/>
      <c r="E2306" s="278"/>
      <c r="F2306" s="278"/>
      <c r="G2306" s="278"/>
      <c r="H2306" s="278"/>
      <c r="I2306" s="278"/>
      <c r="J2306" s="278"/>
      <c r="K2306" s="278"/>
    </row>
    <row r="2307" spans="1:11" x14ac:dyDescent="0.15">
      <c r="A2307" s="278"/>
      <c r="B2307" s="278"/>
      <c r="C2307" s="278"/>
      <c r="D2307" s="278"/>
      <c r="E2307" s="278"/>
      <c r="F2307" s="278"/>
      <c r="G2307" s="278"/>
      <c r="H2307" s="278"/>
      <c r="I2307" s="278"/>
      <c r="J2307" s="278"/>
      <c r="K2307" s="278"/>
    </row>
    <row r="2308" spans="1:11" x14ac:dyDescent="0.15">
      <c r="A2308" s="278"/>
      <c r="B2308" s="278"/>
      <c r="C2308" s="278"/>
      <c r="D2308" s="278"/>
      <c r="E2308" s="278"/>
      <c r="F2308" s="278"/>
      <c r="G2308" s="278"/>
      <c r="H2308" s="278"/>
      <c r="I2308" s="278"/>
      <c r="J2308" s="278"/>
      <c r="K2308" s="278"/>
    </row>
    <row r="2309" spans="1:11" x14ac:dyDescent="0.15">
      <c r="A2309" s="278"/>
      <c r="B2309" s="278"/>
      <c r="C2309" s="278"/>
      <c r="D2309" s="278"/>
      <c r="E2309" s="278"/>
      <c r="F2309" s="278"/>
      <c r="G2309" s="278"/>
      <c r="H2309" s="278"/>
      <c r="I2309" s="278"/>
      <c r="J2309" s="278"/>
      <c r="K2309" s="278"/>
    </row>
    <row r="2310" spans="1:11" x14ac:dyDescent="0.15">
      <c r="A2310" s="278"/>
      <c r="B2310" s="278"/>
      <c r="C2310" s="278"/>
      <c r="D2310" s="278"/>
      <c r="E2310" s="278"/>
      <c r="F2310" s="278"/>
      <c r="G2310" s="278"/>
      <c r="H2310" s="278"/>
      <c r="I2310" s="278"/>
      <c r="J2310" s="278"/>
      <c r="K2310" s="278"/>
    </row>
    <row r="2311" spans="1:11" x14ac:dyDescent="0.15">
      <c r="A2311" s="278"/>
      <c r="B2311" s="278"/>
      <c r="C2311" s="278"/>
      <c r="D2311" s="278"/>
      <c r="E2311" s="278"/>
      <c r="F2311" s="278"/>
      <c r="G2311" s="278"/>
      <c r="H2311" s="278"/>
      <c r="I2311" s="278"/>
      <c r="J2311" s="278"/>
      <c r="K2311" s="278"/>
    </row>
    <row r="2312" spans="1:11" x14ac:dyDescent="0.15">
      <c r="A2312" s="278"/>
      <c r="B2312" s="278"/>
      <c r="C2312" s="278"/>
      <c r="D2312" s="278"/>
      <c r="E2312" s="278"/>
      <c r="F2312" s="278"/>
      <c r="G2312" s="278"/>
      <c r="H2312" s="278"/>
      <c r="I2312" s="278"/>
      <c r="J2312" s="278"/>
      <c r="K2312" s="278"/>
    </row>
    <row r="2313" spans="1:11" x14ac:dyDescent="0.15">
      <c r="A2313" s="278"/>
      <c r="B2313" s="278"/>
      <c r="C2313" s="278"/>
      <c r="D2313" s="278"/>
      <c r="E2313" s="278"/>
      <c r="F2313" s="278"/>
      <c r="G2313" s="278"/>
      <c r="H2313" s="278"/>
      <c r="I2313" s="278"/>
      <c r="J2313" s="278"/>
      <c r="K2313" s="278"/>
    </row>
    <row r="2314" spans="1:11" x14ac:dyDescent="0.15">
      <c r="A2314" s="278"/>
      <c r="B2314" s="278"/>
      <c r="C2314" s="278"/>
      <c r="D2314" s="278"/>
      <c r="E2314" s="278"/>
      <c r="F2314" s="278"/>
      <c r="G2314" s="278"/>
      <c r="H2314" s="278"/>
      <c r="I2314" s="278"/>
      <c r="J2314" s="278"/>
      <c r="K2314" s="278"/>
    </row>
    <row r="2315" spans="1:11" x14ac:dyDescent="0.15">
      <c r="A2315" s="278"/>
      <c r="B2315" s="278"/>
      <c r="C2315" s="278"/>
      <c r="D2315" s="278"/>
      <c r="E2315" s="278"/>
      <c r="F2315" s="278"/>
      <c r="G2315" s="278"/>
      <c r="H2315" s="278"/>
      <c r="I2315" s="278"/>
      <c r="J2315" s="278"/>
      <c r="K2315" s="278"/>
    </row>
    <row r="2316" spans="1:11" x14ac:dyDescent="0.15">
      <c r="A2316" s="278"/>
      <c r="B2316" s="278"/>
      <c r="C2316" s="278"/>
      <c r="D2316" s="278"/>
      <c r="E2316" s="278"/>
      <c r="F2316" s="278"/>
      <c r="G2316" s="278"/>
      <c r="H2316" s="278"/>
      <c r="I2316" s="278"/>
      <c r="J2316" s="278"/>
      <c r="K2316" s="278"/>
    </row>
    <row r="2317" spans="1:11" x14ac:dyDescent="0.15">
      <c r="A2317" s="278"/>
      <c r="B2317" s="278"/>
      <c r="C2317" s="278"/>
      <c r="D2317" s="278"/>
      <c r="E2317" s="278"/>
      <c r="F2317" s="278"/>
      <c r="G2317" s="278"/>
      <c r="H2317" s="278"/>
      <c r="I2317" s="278"/>
      <c r="J2317" s="278"/>
      <c r="K2317" s="278"/>
    </row>
    <row r="2318" spans="1:11" x14ac:dyDescent="0.15">
      <c r="A2318" s="278"/>
      <c r="B2318" s="278"/>
      <c r="C2318" s="278"/>
      <c r="D2318" s="278"/>
      <c r="E2318" s="278"/>
      <c r="F2318" s="278"/>
      <c r="G2318" s="278"/>
      <c r="H2318" s="278"/>
      <c r="I2318" s="278"/>
      <c r="J2318" s="278"/>
      <c r="K2318" s="278"/>
    </row>
    <row r="2319" spans="1:11" x14ac:dyDescent="0.15">
      <c r="A2319" s="278"/>
      <c r="B2319" s="278"/>
      <c r="C2319" s="278"/>
      <c r="D2319" s="278"/>
      <c r="E2319" s="278"/>
      <c r="F2319" s="278"/>
      <c r="G2319" s="278"/>
      <c r="H2319" s="278"/>
      <c r="I2319" s="278"/>
      <c r="J2319" s="278"/>
      <c r="K2319" s="278"/>
    </row>
    <row r="2320" spans="1:11" x14ac:dyDescent="0.15">
      <c r="A2320" s="278"/>
      <c r="B2320" s="278"/>
      <c r="C2320" s="278"/>
      <c r="D2320" s="278"/>
      <c r="E2320" s="278"/>
      <c r="F2320" s="278"/>
      <c r="G2320" s="278"/>
      <c r="H2320" s="278"/>
      <c r="I2320" s="278"/>
      <c r="J2320" s="278"/>
      <c r="K2320" s="278"/>
    </row>
    <row r="2321" spans="1:11" x14ac:dyDescent="0.15">
      <c r="A2321" s="278"/>
      <c r="B2321" s="278"/>
      <c r="C2321" s="278"/>
      <c r="D2321" s="278"/>
      <c r="E2321" s="278"/>
      <c r="F2321" s="278"/>
      <c r="G2321" s="278"/>
      <c r="H2321" s="278"/>
      <c r="I2321" s="278"/>
      <c r="J2321" s="278"/>
      <c r="K2321" s="278"/>
    </row>
    <row r="2322" spans="1:11" x14ac:dyDescent="0.15">
      <c r="A2322" s="278"/>
      <c r="B2322" s="278"/>
      <c r="C2322" s="278"/>
      <c r="D2322" s="278"/>
      <c r="E2322" s="278"/>
      <c r="F2322" s="278"/>
      <c r="G2322" s="278"/>
      <c r="H2322" s="278"/>
      <c r="I2322" s="278"/>
      <c r="J2322" s="278"/>
      <c r="K2322" s="278"/>
    </row>
    <row r="2323" spans="1:11" x14ac:dyDescent="0.15">
      <c r="A2323" s="278"/>
      <c r="B2323" s="278"/>
      <c r="C2323" s="278"/>
      <c r="D2323" s="278"/>
      <c r="E2323" s="278"/>
      <c r="F2323" s="278"/>
      <c r="G2323" s="278"/>
      <c r="H2323" s="278"/>
      <c r="I2323" s="278"/>
      <c r="J2323" s="278"/>
      <c r="K2323" s="278"/>
    </row>
    <row r="2324" spans="1:11" x14ac:dyDescent="0.15">
      <c r="A2324" s="278"/>
      <c r="B2324" s="278"/>
      <c r="C2324" s="278"/>
      <c r="D2324" s="278"/>
      <c r="E2324" s="278"/>
      <c r="F2324" s="278"/>
      <c r="G2324" s="278"/>
      <c r="H2324" s="278"/>
      <c r="I2324" s="278"/>
      <c r="J2324" s="278"/>
      <c r="K2324" s="278"/>
    </row>
    <row r="2325" spans="1:11" x14ac:dyDescent="0.15">
      <c r="A2325" s="278"/>
      <c r="B2325" s="278"/>
      <c r="C2325" s="278"/>
      <c r="D2325" s="278"/>
      <c r="E2325" s="278"/>
      <c r="F2325" s="278"/>
      <c r="G2325" s="278"/>
      <c r="H2325" s="278"/>
      <c r="I2325" s="278"/>
      <c r="J2325" s="278"/>
      <c r="K2325" s="278"/>
    </row>
    <row r="2326" spans="1:11" x14ac:dyDescent="0.15">
      <c r="A2326" s="278"/>
      <c r="B2326" s="278"/>
      <c r="C2326" s="278"/>
      <c r="D2326" s="278"/>
      <c r="E2326" s="278"/>
      <c r="F2326" s="278"/>
      <c r="G2326" s="278"/>
      <c r="H2326" s="278"/>
      <c r="I2326" s="278"/>
      <c r="J2326" s="278"/>
      <c r="K2326" s="278"/>
    </row>
    <row r="2327" spans="1:11" x14ac:dyDescent="0.15">
      <c r="A2327" s="278"/>
      <c r="B2327" s="278"/>
      <c r="C2327" s="278"/>
      <c r="D2327" s="278"/>
      <c r="E2327" s="278"/>
      <c r="F2327" s="278"/>
      <c r="G2327" s="278"/>
      <c r="H2327" s="278"/>
      <c r="I2327" s="278"/>
      <c r="J2327" s="278"/>
      <c r="K2327" s="278"/>
    </row>
    <row r="2328" spans="1:11" x14ac:dyDescent="0.15">
      <c r="A2328" s="278"/>
      <c r="B2328" s="278"/>
      <c r="C2328" s="278"/>
      <c r="D2328" s="278"/>
      <c r="E2328" s="278"/>
      <c r="F2328" s="278"/>
      <c r="G2328" s="278"/>
      <c r="H2328" s="278"/>
      <c r="I2328" s="278"/>
      <c r="J2328" s="278"/>
      <c r="K2328" s="278"/>
    </row>
    <row r="2329" spans="1:11" x14ac:dyDescent="0.15">
      <c r="A2329" s="278"/>
      <c r="B2329" s="278"/>
      <c r="C2329" s="278"/>
      <c r="D2329" s="278"/>
      <c r="E2329" s="278"/>
      <c r="F2329" s="278"/>
      <c r="G2329" s="278"/>
      <c r="H2329" s="278"/>
      <c r="I2329" s="278"/>
      <c r="J2329" s="278"/>
      <c r="K2329" s="278"/>
    </row>
    <row r="2330" spans="1:11" x14ac:dyDescent="0.15">
      <c r="A2330" s="278"/>
      <c r="B2330" s="278"/>
      <c r="C2330" s="278"/>
      <c r="D2330" s="278"/>
      <c r="E2330" s="278"/>
      <c r="F2330" s="278"/>
      <c r="G2330" s="278"/>
      <c r="H2330" s="278"/>
      <c r="I2330" s="278"/>
      <c r="J2330" s="278"/>
      <c r="K2330" s="278"/>
    </row>
    <row r="2331" spans="1:11" x14ac:dyDescent="0.15">
      <c r="A2331" s="278"/>
      <c r="B2331" s="278"/>
      <c r="C2331" s="278"/>
      <c r="D2331" s="278"/>
      <c r="E2331" s="278"/>
      <c r="F2331" s="278"/>
      <c r="G2331" s="278"/>
      <c r="H2331" s="278"/>
      <c r="I2331" s="278"/>
      <c r="J2331" s="278"/>
      <c r="K2331" s="278"/>
    </row>
    <row r="2332" spans="1:11" x14ac:dyDescent="0.15">
      <c r="A2332" s="278"/>
      <c r="B2332" s="278"/>
      <c r="C2332" s="278"/>
      <c r="D2332" s="278"/>
      <c r="E2332" s="278"/>
      <c r="F2332" s="278"/>
      <c r="G2332" s="278"/>
      <c r="H2332" s="278"/>
      <c r="I2332" s="278"/>
      <c r="J2332" s="278"/>
      <c r="K2332" s="278"/>
    </row>
    <row r="2333" spans="1:11" x14ac:dyDescent="0.15">
      <c r="A2333" s="278"/>
      <c r="B2333" s="278"/>
      <c r="C2333" s="278"/>
      <c r="D2333" s="278"/>
      <c r="E2333" s="278"/>
      <c r="F2333" s="278"/>
      <c r="G2333" s="278"/>
      <c r="H2333" s="278"/>
      <c r="I2333" s="278"/>
      <c r="J2333" s="278"/>
      <c r="K2333" s="278"/>
    </row>
    <row r="2334" spans="1:11" x14ac:dyDescent="0.15">
      <c r="A2334" s="278"/>
      <c r="B2334" s="278"/>
      <c r="C2334" s="278"/>
      <c r="D2334" s="278"/>
      <c r="E2334" s="278"/>
      <c r="F2334" s="278"/>
      <c r="G2334" s="278"/>
      <c r="H2334" s="278"/>
      <c r="I2334" s="278"/>
      <c r="J2334" s="278"/>
      <c r="K2334" s="278"/>
    </row>
    <row r="2335" spans="1:11" x14ac:dyDescent="0.15">
      <c r="A2335" s="278"/>
      <c r="B2335" s="278"/>
      <c r="C2335" s="278"/>
      <c r="D2335" s="278"/>
      <c r="E2335" s="278"/>
      <c r="F2335" s="278"/>
      <c r="G2335" s="278"/>
      <c r="H2335" s="278"/>
      <c r="I2335" s="278"/>
      <c r="J2335" s="278"/>
      <c r="K2335" s="278"/>
    </row>
    <row r="2336" spans="1:11" x14ac:dyDescent="0.15">
      <c r="A2336" s="278"/>
      <c r="B2336" s="278"/>
      <c r="C2336" s="278"/>
      <c r="D2336" s="278"/>
      <c r="E2336" s="278"/>
      <c r="F2336" s="278"/>
      <c r="G2336" s="278"/>
      <c r="H2336" s="278"/>
      <c r="I2336" s="278"/>
      <c r="J2336" s="278"/>
      <c r="K2336" s="278"/>
    </row>
    <row r="2337" spans="1:11" x14ac:dyDescent="0.15">
      <c r="A2337" s="278"/>
      <c r="B2337" s="278"/>
      <c r="C2337" s="278"/>
      <c r="D2337" s="278"/>
      <c r="E2337" s="278"/>
      <c r="F2337" s="278"/>
      <c r="G2337" s="278"/>
      <c r="H2337" s="278"/>
      <c r="I2337" s="278"/>
      <c r="J2337" s="278"/>
      <c r="K2337" s="278"/>
    </row>
    <row r="2338" spans="1:11" x14ac:dyDescent="0.15">
      <c r="A2338" s="278"/>
      <c r="B2338" s="278"/>
      <c r="C2338" s="278"/>
      <c r="D2338" s="278"/>
      <c r="E2338" s="278"/>
      <c r="F2338" s="278"/>
      <c r="G2338" s="278"/>
      <c r="H2338" s="278"/>
      <c r="I2338" s="278"/>
      <c r="J2338" s="278"/>
      <c r="K2338" s="278"/>
    </row>
    <row r="2339" spans="1:11" x14ac:dyDescent="0.15">
      <c r="A2339" s="278"/>
      <c r="B2339" s="278"/>
      <c r="C2339" s="278"/>
      <c r="D2339" s="278"/>
      <c r="E2339" s="278"/>
      <c r="F2339" s="278"/>
      <c r="G2339" s="278"/>
      <c r="H2339" s="278"/>
      <c r="I2339" s="278"/>
      <c r="J2339" s="278"/>
      <c r="K2339" s="278"/>
    </row>
    <row r="2340" spans="1:11" x14ac:dyDescent="0.15">
      <c r="A2340" s="278"/>
      <c r="B2340" s="278"/>
      <c r="C2340" s="278"/>
      <c r="D2340" s="278"/>
      <c r="E2340" s="278"/>
      <c r="F2340" s="278"/>
      <c r="G2340" s="278"/>
      <c r="H2340" s="278"/>
      <c r="I2340" s="278"/>
      <c r="J2340" s="278"/>
      <c r="K2340" s="278"/>
    </row>
    <row r="2341" spans="1:11" x14ac:dyDescent="0.15">
      <c r="A2341" s="278"/>
      <c r="B2341" s="278"/>
      <c r="C2341" s="278"/>
      <c r="D2341" s="278"/>
      <c r="E2341" s="278"/>
      <c r="F2341" s="278"/>
      <c r="G2341" s="278"/>
      <c r="H2341" s="278"/>
      <c r="I2341" s="278"/>
      <c r="J2341" s="278"/>
      <c r="K2341" s="278"/>
    </row>
    <row r="2342" spans="1:11" x14ac:dyDescent="0.15">
      <c r="A2342" s="278"/>
      <c r="B2342" s="278"/>
      <c r="C2342" s="278"/>
      <c r="D2342" s="278"/>
      <c r="E2342" s="278"/>
      <c r="F2342" s="278"/>
      <c r="G2342" s="278"/>
      <c r="H2342" s="278"/>
      <c r="I2342" s="278"/>
      <c r="J2342" s="278"/>
      <c r="K2342" s="278"/>
    </row>
    <row r="2343" spans="1:11" x14ac:dyDescent="0.15">
      <c r="A2343" s="278"/>
      <c r="B2343" s="278"/>
      <c r="C2343" s="278"/>
      <c r="D2343" s="278"/>
      <c r="E2343" s="278"/>
      <c r="F2343" s="278"/>
      <c r="G2343" s="278"/>
      <c r="H2343" s="278"/>
      <c r="I2343" s="278"/>
      <c r="J2343" s="278"/>
      <c r="K2343" s="278"/>
    </row>
    <row r="2344" spans="1:11" x14ac:dyDescent="0.15">
      <c r="A2344" s="278"/>
      <c r="B2344" s="278"/>
      <c r="C2344" s="278"/>
      <c r="D2344" s="278"/>
      <c r="E2344" s="278"/>
      <c r="F2344" s="278"/>
      <c r="G2344" s="278"/>
      <c r="H2344" s="278"/>
      <c r="I2344" s="278"/>
      <c r="J2344" s="278"/>
      <c r="K2344" s="278"/>
    </row>
    <row r="2345" spans="1:11" x14ac:dyDescent="0.15">
      <c r="A2345" s="278"/>
      <c r="B2345" s="278"/>
      <c r="C2345" s="278"/>
      <c r="D2345" s="278"/>
      <c r="E2345" s="278"/>
      <c r="F2345" s="278"/>
      <c r="G2345" s="278"/>
      <c r="H2345" s="278"/>
      <c r="I2345" s="278"/>
      <c r="J2345" s="278"/>
      <c r="K2345" s="278"/>
    </row>
    <row r="2346" spans="1:11" x14ac:dyDescent="0.15">
      <c r="A2346" s="278"/>
      <c r="B2346" s="278"/>
      <c r="C2346" s="278"/>
      <c r="D2346" s="278"/>
      <c r="E2346" s="278"/>
      <c r="F2346" s="278"/>
      <c r="G2346" s="278"/>
      <c r="H2346" s="278"/>
      <c r="I2346" s="278"/>
      <c r="J2346" s="278"/>
      <c r="K2346" s="278"/>
    </row>
    <row r="2347" spans="1:11" x14ac:dyDescent="0.15">
      <c r="A2347" s="278"/>
      <c r="B2347" s="278"/>
      <c r="C2347" s="278"/>
      <c r="D2347" s="278"/>
      <c r="E2347" s="278"/>
      <c r="F2347" s="278"/>
      <c r="G2347" s="278"/>
      <c r="H2347" s="278"/>
      <c r="I2347" s="278"/>
      <c r="J2347" s="278"/>
      <c r="K2347" s="278"/>
    </row>
    <row r="2348" spans="1:11" x14ac:dyDescent="0.15">
      <c r="A2348" s="278"/>
      <c r="B2348" s="278"/>
      <c r="C2348" s="278"/>
      <c r="D2348" s="278"/>
      <c r="E2348" s="278"/>
      <c r="F2348" s="278"/>
      <c r="G2348" s="278"/>
      <c r="H2348" s="278"/>
      <c r="I2348" s="278"/>
      <c r="J2348" s="278"/>
      <c r="K2348" s="278"/>
    </row>
    <row r="2349" spans="1:11" x14ac:dyDescent="0.15">
      <c r="A2349" s="278"/>
      <c r="B2349" s="278"/>
      <c r="C2349" s="278"/>
      <c r="D2349" s="278"/>
      <c r="E2349" s="278"/>
      <c r="F2349" s="278"/>
      <c r="G2349" s="278"/>
      <c r="H2349" s="278"/>
      <c r="I2349" s="278"/>
      <c r="J2349" s="278"/>
      <c r="K2349" s="278"/>
    </row>
    <row r="2350" spans="1:11" x14ac:dyDescent="0.15">
      <c r="A2350" s="278"/>
      <c r="B2350" s="278"/>
      <c r="C2350" s="278"/>
      <c r="D2350" s="278"/>
      <c r="E2350" s="278"/>
      <c r="F2350" s="278"/>
      <c r="G2350" s="278"/>
      <c r="H2350" s="278"/>
      <c r="I2350" s="278"/>
      <c r="J2350" s="278"/>
      <c r="K2350" s="278"/>
    </row>
    <row r="2351" spans="1:11" x14ac:dyDescent="0.15">
      <c r="A2351" s="278"/>
      <c r="B2351" s="278"/>
      <c r="C2351" s="278"/>
      <c r="D2351" s="278"/>
      <c r="E2351" s="278"/>
      <c r="F2351" s="278"/>
      <c r="G2351" s="278"/>
      <c r="H2351" s="278"/>
      <c r="I2351" s="278"/>
      <c r="J2351" s="278"/>
      <c r="K2351" s="278"/>
    </row>
    <row r="2352" spans="1:11" x14ac:dyDescent="0.15">
      <c r="A2352" s="278"/>
      <c r="B2352" s="278"/>
      <c r="C2352" s="278"/>
      <c r="D2352" s="278"/>
      <c r="E2352" s="278"/>
      <c r="F2352" s="278"/>
      <c r="G2352" s="278"/>
      <c r="H2352" s="278"/>
      <c r="I2352" s="278"/>
      <c r="J2352" s="278"/>
      <c r="K2352" s="278"/>
    </row>
    <row r="2353" spans="1:11" x14ac:dyDescent="0.15">
      <c r="A2353" s="278"/>
      <c r="B2353" s="278"/>
      <c r="C2353" s="278"/>
      <c r="D2353" s="278"/>
      <c r="E2353" s="278"/>
      <c r="F2353" s="278"/>
      <c r="G2353" s="278"/>
      <c r="H2353" s="278"/>
      <c r="I2353" s="278"/>
      <c r="J2353" s="278"/>
      <c r="K2353" s="278"/>
    </row>
    <row r="2354" spans="1:11" x14ac:dyDescent="0.15">
      <c r="A2354" s="278"/>
      <c r="B2354" s="278"/>
      <c r="C2354" s="278"/>
      <c r="D2354" s="278"/>
      <c r="E2354" s="278"/>
      <c r="F2354" s="278"/>
      <c r="G2354" s="278"/>
      <c r="H2354" s="278"/>
      <c r="I2354" s="278"/>
      <c r="J2354" s="278"/>
      <c r="K2354" s="278"/>
    </row>
    <row r="2355" spans="1:11" x14ac:dyDescent="0.15">
      <c r="A2355" s="278"/>
      <c r="B2355" s="278"/>
      <c r="C2355" s="278"/>
      <c r="D2355" s="278"/>
      <c r="E2355" s="278"/>
      <c r="F2355" s="278"/>
      <c r="G2355" s="278"/>
      <c r="H2355" s="278"/>
      <c r="I2355" s="278"/>
      <c r="J2355" s="278"/>
      <c r="K2355" s="278"/>
    </row>
    <row r="2356" spans="1:11" x14ac:dyDescent="0.15">
      <c r="A2356" s="278"/>
      <c r="B2356" s="278"/>
      <c r="C2356" s="278"/>
      <c r="D2356" s="278"/>
      <c r="E2356" s="278"/>
      <c r="F2356" s="278"/>
      <c r="G2356" s="278"/>
      <c r="H2356" s="278"/>
      <c r="I2356" s="278"/>
      <c r="J2356" s="278"/>
      <c r="K2356" s="278"/>
    </row>
    <row r="2357" spans="1:11" x14ac:dyDescent="0.15">
      <c r="A2357" s="278"/>
      <c r="B2357" s="278"/>
      <c r="C2357" s="278"/>
      <c r="D2357" s="278"/>
      <c r="E2357" s="278"/>
      <c r="F2357" s="278"/>
      <c r="G2357" s="278"/>
      <c r="H2357" s="278"/>
      <c r="I2357" s="278"/>
      <c r="J2357" s="278"/>
      <c r="K2357" s="278"/>
    </row>
    <row r="2358" spans="1:11" x14ac:dyDescent="0.15">
      <c r="A2358" s="278"/>
      <c r="B2358" s="278"/>
      <c r="C2358" s="278"/>
      <c r="D2358" s="278"/>
      <c r="E2358" s="278"/>
      <c r="F2358" s="278"/>
      <c r="G2358" s="278"/>
      <c r="H2358" s="278"/>
      <c r="I2358" s="278"/>
      <c r="J2358" s="278"/>
      <c r="K2358" s="278"/>
    </row>
    <row r="2359" spans="1:11" x14ac:dyDescent="0.15">
      <c r="A2359" s="278"/>
      <c r="B2359" s="278"/>
      <c r="C2359" s="278"/>
      <c r="D2359" s="278"/>
      <c r="E2359" s="278"/>
      <c r="F2359" s="278"/>
      <c r="G2359" s="278"/>
      <c r="H2359" s="278"/>
      <c r="I2359" s="278"/>
      <c r="J2359" s="278"/>
      <c r="K2359" s="278"/>
    </row>
    <row r="2360" spans="1:11" x14ac:dyDescent="0.15">
      <c r="A2360" s="278"/>
      <c r="B2360" s="278"/>
      <c r="C2360" s="278"/>
      <c r="D2360" s="278"/>
      <c r="E2360" s="278"/>
      <c r="F2360" s="278"/>
      <c r="G2360" s="278"/>
      <c r="H2360" s="278"/>
      <c r="I2360" s="278"/>
      <c r="J2360" s="278"/>
      <c r="K2360" s="278"/>
    </row>
    <row r="2361" spans="1:11" x14ac:dyDescent="0.15">
      <c r="A2361" s="278"/>
      <c r="B2361" s="278"/>
      <c r="C2361" s="278"/>
      <c r="D2361" s="278"/>
      <c r="E2361" s="278"/>
      <c r="F2361" s="278"/>
      <c r="G2361" s="278"/>
      <c r="H2361" s="278"/>
      <c r="I2361" s="278"/>
      <c r="J2361" s="278"/>
      <c r="K2361" s="278"/>
    </row>
    <row r="2362" spans="1:11" x14ac:dyDescent="0.15">
      <c r="A2362" s="278"/>
      <c r="B2362" s="278"/>
      <c r="C2362" s="278"/>
      <c r="D2362" s="278"/>
      <c r="E2362" s="278"/>
      <c r="F2362" s="278"/>
      <c r="G2362" s="278"/>
      <c r="H2362" s="278"/>
      <c r="I2362" s="278"/>
      <c r="J2362" s="278"/>
      <c r="K2362" s="278"/>
    </row>
    <row r="2363" spans="1:11" x14ac:dyDescent="0.15">
      <c r="A2363" s="278"/>
      <c r="B2363" s="278"/>
      <c r="C2363" s="278"/>
      <c r="D2363" s="278"/>
      <c r="E2363" s="278"/>
      <c r="F2363" s="278"/>
      <c r="G2363" s="278"/>
      <c r="H2363" s="278"/>
      <c r="I2363" s="278"/>
      <c r="J2363" s="278"/>
      <c r="K2363" s="278"/>
    </row>
    <row r="2364" spans="1:11" x14ac:dyDescent="0.15">
      <c r="A2364" s="278"/>
      <c r="B2364" s="278"/>
      <c r="C2364" s="278"/>
      <c r="D2364" s="278"/>
      <c r="E2364" s="278"/>
      <c r="F2364" s="278"/>
      <c r="G2364" s="278"/>
      <c r="H2364" s="278"/>
      <c r="I2364" s="278"/>
      <c r="J2364" s="278"/>
      <c r="K2364" s="278"/>
    </row>
    <row r="2365" spans="1:11" x14ac:dyDescent="0.15">
      <c r="A2365" s="278"/>
      <c r="B2365" s="278"/>
      <c r="C2365" s="278"/>
      <c r="D2365" s="278"/>
      <c r="E2365" s="278"/>
      <c r="F2365" s="278"/>
      <c r="G2365" s="278"/>
      <c r="H2365" s="278"/>
      <c r="I2365" s="278"/>
      <c r="J2365" s="278"/>
      <c r="K2365" s="278"/>
    </row>
    <row r="2366" spans="1:11" x14ac:dyDescent="0.15">
      <c r="A2366" s="278"/>
      <c r="B2366" s="278"/>
      <c r="C2366" s="278"/>
      <c r="D2366" s="278"/>
      <c r="E2366" s="278"/>
      <c r="F2366" s="278"/>
      <c r="G2366" s="278"/>
      <c r="H2366" s="278"/>
      <c r="I2366" s="278"/>
      <c r="J2366" s="278"/>
      <c r="K2366" s="278"/>
    </row>
    <row r="2367" spans="1:11" x14ac:dyDescent="0.15">
      <c r="A2367" s="278"/>
      <c r="B2367" s="278"/>
      <c r="C2367" s="278"/>
      <c r="D2367" s="278"/>
      <c r="E2367" s="278"/>
      <c r="F2367" s="278"/>
      <c r="G2367" s="278"/>
      <c r="H2367" s="278"/>
      <c r="I2367" s="278"/>
      <c r="J2367" s="278"/>
      <c r="K2367" s="278"/>
    </row>
    <row r="2368" spans="1:11" x14ac:dyDescent="0.15">
      <c r="A2368" s="278"/>
      <c r="B2368" s="278"/>
      <c r="C2368" s="278"/>
      <c r="D2368" s="278"/>
      <c r="E2368" s="278"/>
      <c r="F2368" s="278"/>
      <c r="G2368" s="278"/>
      <c r="H2368" s="278"/>
      <c r="I2368" s="278"/>
      <c r="J2368" s="278"/>
      <c r="K2368" s="278"/>
    </row>
    <row r="2369" spans="1:11" x14ac:dyDescent="0.15">
      <c r="A2369" s="278"/>
      <c r="B2369" s="278"/>
      <c r="C2369" s="278"/>
      <c r="D2369" s="278"/>
      <c r="E2369" s="278"/>
      <c r="F2369" s="278"/>
      <c r="G2369" s="278"/>
      <c r="H2369" s="278"/>
      <c r="I2369" s="278"/>
      <c r="J2369" s="278"/>
      <c r="K2369" s="278"/>
    </row>
    <row r="2370" spans="1:11" x14ac:dyDescent="0.15">
      <c r="A2370" s="278"/>
      <c r="B2370" s="278"/>
      <c r="C2370" s="278"/>
      <c r="D2370" s="278"/>
      <c r="E2370" s="278"/>
      <c r="F2370" s="278"/>
      <c r="G2370" s="278"/>
      <c r="H2370" s="278"/>
      <c r="I2370" s="278"/>
      <c r="J2370" s="278"/>
      <c r="K2370" s="278"/>
    </row>
    <row r="2371" spans="1:11" x14ac:dyDescent="0.15">
      <c r="A2371" s="278"/>
      <c r="B2371" s="278"/>
      <c r="C2371" s="278"/>
      <c r="D2371" s="278"/>
      <c r="E2371" s="278"/>
      <c r="F2371" s="278"/>
      <c r="G2371" s="278"/>
      <c r="H2371" s="278"/>
      <c r="I2371" s="278"/>
      <c r="J2371" s="278"/>
      <c r="K2371" s="278"/>
    </row>
    <row r="2372" spans="1:11" x14ac:dyDescent="0.15">
      <c r="A2372" s="278"/>
      <c r="B2372" s="278"/>
      <c r="C2372" s="278"/>
      <c r="D2372" s="278"/>
      <c r="E2372" s="278"/>
      <c r="F2372" s="278"/>
      <c r="G2372" s="278"/>
      <c r="H2372" s="278"/>
      <c r="I2372" s="278"/>
      <c r="J2372" s="278"/>
      <c r="K2372" s="278"/>
    </row>
    <row r="2373" spans="1:11" x14ac:dyDescent="0.15">
      <c r="A2373" s="278"/>
      <c r="B2373" s="278"/>
      <c r="C2373" s="278"/>
      <c r="D2373" s="278"/>
      <c r="E2373" s="278"/>
      <c r="F2373" s="278"/>
      <c r="G2373" s="278"/>
      <c r="H2373" s="278"/>
      <c r="I2373" s="278"/>
      <c r="J2373" s="278"/>
      <c r="K2373" s="278"/>
    </row>
    <row r="2374" spans="1:11" x14ac:dyDescent="0.15">
      <c r="A2374" s="278"/>
      <c r="B2374" s="278"/>
      <c r="C2374" s="278"/>
      <c r="D2374" s="278"/>
      <c r="E2374" s="278"/>
      <c r="F2374" s="278"/>
      <c r="G2374" s="278"/>
      <c r="H2374" s="278"/>
      <c r="I2374" s="278"/>
      <c r="J2374" s="278"/>
      <c r="K2374" s="278"/>
    </row>
    <row r="2375" spans="1:11" x14ac:dyDescent="0.15">
      <c r="A2375" s="278"/>
      <c r="B2375" s="278"/>
      <c r="C2375" s="278"/>
      <c r="D2375" s="278"/>
      <c r="E2375" s="278"/>
      <c r="F2375" s="278"/>
      <c r="G2375" s="278"/>
      <c r="H2375" s="278"/>
      <c r="I2375" s="278"/>
      <c r="J2375" s="278"/>
      <c r="K2375" s="278"/>
    </row>
    <row r="2376" spans="1:11" x14ac:dyDescent="0.15">
      <c r="A2376" s="278"/>
      <c r="B2376" s="278"/>
      <c r="C2376" s="278"/>
      <c r="D2376" s="278"/>
      <c r="E2376" s="278"/>
      <c r="F2376" s="278"/>
      <c r="G2376" s="278"/>
      <c r="H2376" s="278"/>
      <c r="I2376" s="278"/>
      <c r="J2376" s="278"/>
      <c r="K2376" s="278"/>
    </row>
    <row r="2377" spans="1:11" x14ac:dyDescent="0.15">
      <c r="A2377" s="278"/>
      <c r="B2377" s="278"/>
      <c r="C2377" s="278"/>
      <c r="D2377" s="278"/>
      <c r="E2377" s="278"/>
      <c r="F2377" s="278"/>
      <c r="G2377" s="278"/>
      <c r="H2377" s="278"/>
      <c r="I2377" s="278"/>
      <c r="J2377" s="278"/>
      <c r="K2377" s="278"/>
    </row>
    <row r="2378" spans="1:11" x14ac:dyDescent="0.15">
      <c r="A2378" s="278"/>
      <c r="B2378" s="278"/>
      <c r="C2378" s="278"/>
      <c r="D2378" s="278"/>
      <c r="E2378" s="278"/>
      <c r="F2378" s="278"/>
      <c r="G2378" s="278"/>
      <c r="H2378" s="278"/>
      <c r="I2378" s="278"/>
      <c r="J2378" s="278"/>
      <c r="K2378" s="278"/>
    </row>
    <row r="2379" spans="1:11" x14ac:dyDescent="0.15">
      <c r="A2379" s="278"/>
      <c r="B2379" s="278"/>
      <c r="C2379" s="278"/>
      <c r="D2379" s="278"/>
      <c r="E2379" s="278"/>
      <c r="F2379" s="278"/>
      <c r="G2379" s="278"/>
      <c r="H2379" s="278"/>
      <c r="I2379" s="278"/>
      <c r="J2379" s="278"/>
      <c r="K2379" s="278"/>
    </row>
    <row r="2380" spans="1:11" x14ac:dyDescent="0.15">
      <c r="A2380" s="278"/>
      <c r="B2380" s="278"/>
      <c r="C2380" s="278"/>
      <c r="D2380" s="278"/>
      <c r="E2380" s="278"/>
      <c r="F2380" s="278"/>
      <c r="G2380" s="278"/>
      <c r="H2380" s="278"/>
      <c r="I2380" s="278"/>
      <c r="J2380" s="278"/>
      <c r="K2380" s="278"/>
    </row>
    <row r="2381" spans="1:11" x14ac:dyDescent="0.15">
      <c r="A2381" s="278"/>
      <c r="B2381" s="278"/>
      <c r="C2381" s="278"/>
      <c r="D2381" s="278"/>
      <c r="E2381" s="278"/>
      <c r="F2381" s="278"/>
      <c r="G2381" s="278"/>
      <c r="H2381" s="278"/>
      <c r="I2381" s="278"/>
      <c r="J2381" s="278"/>
      <c r="K2381" s="278"/>
    </row>
    <row r="2382" spans="1:11" x14ac:dyDescent="0.15">
      <c r="A2382" s="278"/>
      <c r="B2382" s="278"/>
      <c r="C2382" s="278"/>
      <c r="D2382" s="278"/>
      <c r="E2382" s="278"/>
      <c r="F2382" s="278"/>
      <c r="G2382" s="278"/>
      <c r="H2382" s="278"/>
      <c r="I2382" s="278"/>
      <c r="J2382" s="278"/>
      <c r="K2382" s="278"/>
    </row>
    <row r="2383" spans="1:11" x14ac:dyDescent="0.15">
      <c r="A2383" s="278"/>
      <c r="B2383" s="278"/>
      <c r="C2383" s="278"/>
      <c r="D2383" s="278"/>
      <c r="E2383" s="278"/>
      <c r="F2383" s="278"/>
      <c r="G2383" s="278"/>
      <c r="H2383" s="278"/>
      <c r="I2383" s="278"/>
      <c r="J2383" s="278"/>
      <c r="K2383" s="278"/>
    </row>
    <row r="2384" spans="1:11" x14ac:dyDescent="0.15">
      <c r="A2384" s="278"/>
      <c r="B2384" s="278"/>
      <c r="C2384" s="278"/>
      <c r="D2384" s="278"/>
      <c r="E2384" s="278"/>
      <c r="F2384" s="278"/>
      <c r="G2384" s="278"/>
      <c r="H2384" s="278"/>
      <c r="I2384" s="278"/>
      <c r="J2384" s="278"/>
      <c r="K2384" s="278"/>
    </row>
    <row r="2385" spans="1:11" x14ac:dyDescent="0.15">
      <c r="A2385" s="278"/>
      <c r="B2385" s="278"/>
      <c r="C2385" s="278"/>
      <c r="D2385" s="278"/>
      <c r="E2385" s="278"/>
      <c r="F2385" s="278"/>
      <c r="G2385" s="278"/>
      <c r="H2385" s="278"/>
      <c r="I2385" s="278"/>
      <c r="J2385" s="278"/>
      <c r="K2385" s="278"/>
    </row>
    <row r="2386" spans="1:11" x14ac:dyDescent="0.15">
      <c r="A2386" s="278"/>
      <c r="B2386" s="278"/>
      <c r="C2386" s="278"/>
      <c r="D2386" s="278"/>
      <c r="E2386" s="278"/>
      <c r="F2386" s="278"/>
      <c r="G2386" s="278"/>
      <c r="H2386" s="278"/>
      <c r="I2386" s="278"/>
      <c r="J2386" s="278"/>
      <c r="K2386" s="278"/>
    </row>
    <row r="2387" spans="1:11" x14ac:dyDescent="0.15">
      <c r="A2387" s="278"/>
      <c r="B2387" s="278"/>
      <c r="C2387" s="278"/>
      <c r="D2387" s="278"/>
      <c r="E2387" s="278"/>
      <c r="F2387" s="278"/>
      <c r="G2387" s="278"/>
      <c r="H2387" s="278"/>
      <c r="I2387" s="278"/>
      <c r="J2387" s="278"/>
      <c r="K2387" s="278"/>
    </row>
    <row r="2388" spans="1:11" x14ac:dyDescent="0.15">
      <c r="A2388" s="278"/>
      <c r="B2388" s="278"/>
      <c r="C2388" s="278"/>
      <c r="D2388" s="278"/>
      <c r="E2388" s="278"/>
      <c r="F2388" s="278"/>
      <c r="G2388" s="278"/>
      <c r="H2388" s="278"/>
      <c r="I2388" s="278"/>
      <c r="J2388" s="278"/>
      <c r="K2388" s="278"/>
    </row>
    <row r="2389" spans="1:11" x14ac:dyDescent="0.15">
      <c r="A2389" s="278"/>
      <c r="B2389" s="278"/>
      <c r="C2389" s="278"/>
      <c r="D2389" s="278"/>
      <c r="E2389" s="278"/>
      <c r="F2389" s="278"/>
      <c r="G2389" s="278"/>
      <c r="H2389" s="278"/>
      <c r="I2389" s="278"/>
      <c r="J2389" s="278"/>
      <c r="K2389" s="278"/>
    </row>
    <row r="2390" spans="1:11" x14ac:dyDescent="0.15">
      <c r="A2390" s="278"/>
      <c r="B2390" s="278"/>
      <c r="C2390" s="278"/>
      <c r="D2390" s="278"/>
      <c r="E2390" s="278"/>
      <c r="F2390" s="278"/>
      <c r="G2390" s="278"/>
      <c r="H2390" s="278"/>
      <c r="I2390" s="278"/>
      <c r="J2390" s="278"/>
      <c r="K2390" s="278"/>
    </row>
    <row r="2391" spans="1:11" x14ac:dyDescent="0.15">
      <c r="A2391" s="278"/>
      <c r="B2391" s="278"/>
      <c r="C2391" s="278"/>
      <c r="D2391" s="278"/>
      <c r="E2391" s="278"/>
      <c r="F2391" s="278"/>
      <c r="G2391" s="278"/>
      <c r="H2391" s="278"/>
      <c r="I2391" s="278"/>
      <c r="J2391" s="278"/>
      <c r="K2391" s="278"/>
    </row>
    <row r="2392" spans="1:11" x14ac:dyDescent="0.15">
      <c r="A2392" s="278"/>
      <c r="B2392" s="278"/>
      <c r="C2392" s="278"/>
      <c r="D2392" s="278"/>
      <c r="E2392" s="278"/>
      <c r="F2392" s="278"/>
      <c r="G2392" s="278"/>
      <c r="H2392" s="278"/>
      <c r="I2392" s="278"/>
      <c r="J2392" s="278"/>
      <c r="K2392" s="278"/>
    </row>
    <row r="2393" spans="1:11" x14ac:dyDescent="0.15">
      <c r="A2393" s="278"/>
      <c r="B2393" s="278"/>
      <c r="C2393" s="278"/>
      <c r="D2393" s="278"/>
      <c r="E2393" s="278"/>
      <c r="F2393" s="278"/>
      <c r="G2393" s="278"/>
      <c r="H2393" s="278"/>
      <c r="I2393" s="278"/>
      <c r="J2393" s="278"/>
      <c r="K2393" s="278"/>
    </row>
    <row r="2394" spans="1:11" x14ac:dyDescent="0.15">
      <c r="A2394" s="278"/>
      <c r="B2394" s="278"/>
      <c r="C2394" s="278"/>
      <c r="D2394" s="278"/>
      <c r="E2394" s="278"/>
      <c r="F2394" s="278"/>
      <c r="G2394" s="278"/>
      <c r="H2394" s="278"/>
      <c r="I2394" s="278"/>
      <c r="J2394" s="278"/>
      <c r="K2394" s="278"/>
    </row>
    <row r="2395" spans="1:11" x14ac:dyDescent="0.15">
      <c r="A2395" s="278"/>
      <c r="B2395" s="278"/>
      <c r="C2395" s="278"/>
      <c r="D2395" s="278"/>
      <c r="E2395" s="278"/>
      <c r="F2395" s="278"/>
      <c r="G2395" s="278"/>
      <c r="H2395" s="278"/>
      <c r="I2395" s="278"/>
      <c r="J2395" s="278"/>
      <c r="K2395" s="278"/>
    </row>
    <row r="2396" spans="1:11" x14ac:dyDescent="0.15">
      <c r="A2396" s="278"/>
      <c r="B2396" s="278"/>
      <c r="C2396" s="278"/>
      <c r="D2396" s="278"/>
      <c r="E2396" s="278"/>
      <c r="F2396" s="278"/>
      <c r="G2396" s="278"/>
      <c r="H2396" s="278"/>
      <c r="I2396" s="278"/>
      <c r="J2396" s="278"/>
      <c r="K2396" s="278"/>
    </row>
    <row r="2397" spans="1:11" x14ac:dyDescent="0.15">
      <c r="A2397" s="278"/>
      <c r="B2397" s="278"/>
      <c r="C2397" s="278"/>
      <c r="D2397" s="278"/>
      <c r="E2397" s="278"/>
      <c r="F2397" s="278"/>
      <c r="G2397" s="278"/>
      <c r="H2397" s="278"/>
      <c r="I2397" s="278"/>
      <c r="J2397" s="278"/>
      <c r="K2397" s="278"/>
    </row>
    <row r="2398" spans="1:11" x14ac:dyDescent="0.15">
      <c r="A2398" s="278"/>
      <c r="B2398" s="278"/>
      <c r="C2398" s="278"/>
      <c r="D2398" s="278"/>
      <c r="E2398" s="278"/>
      <c r="F2398" s="278"/>
      <c r="G2398" s="278"/>
      <c r="H2398" s="278"/>
      <c r="I2398" s="278"/>
      <c r="J2398" s="278"/>
      <c r="K2398" s="278"/>
    </row>
    <row r="2399" spans="1:11" x14ac:dyDescent="0.15">
      <c r="A2399" s="278"/>
      <c r="B2399" s="278"/>
      <c r="C2399" s="278"/>
      <c r="D2399" s="278"/>
      <c r="E2399" s="278"/>
      <c r="F2399" s="278"/>
      <c r="G2399" s="278"/>
      <c r="H2399" s="278"/>
      <c r="I2399" s="278"/>
      <c r="J2399" s="278"/>
      <c r="K2399" s="278"/>
    </row>
    <row r="2400" spans="1:11" x14ac:dyDescent="0.15">
      <c r="A2400" s="278"/>
      <c r="B2400" s="278"/>
      <c r="C2400" s="278"/>
      <c r="D2400" s="278"/>
      <c r="E2400" s="278"/>
      <c r="F2400" s="278"/>
      <c r="G2400" s="278"/>
      <c r="H2400" s="278"/>
      <c r="I2400" s="278"/>
      <c r="J2400" s="278"/>
      <c r="K2400" s="278"/>
    </row>
    <row r="2401" spans="1:11" x14ac:dyDescent="0.15">
      <c r="A2401" s="278"/>
      <c r="B2401" s="278"/>
      <c r="C2401" s="278"/>
      <c r="D2401" s="278"/>
      <c r="E2401" s="278"/>
      <c r="F2401" s="278"/>
      <c r="G2401" s="278"/>
      <c r="H2401" s="278"/>
      <c r="I2401" s="278"/>
      <c r="J2401" s="278"/>
      <c r="K2401" s="278"/>
    </row>
    <row r="2402" spans="1:11" x14ac:dyDescent="0.15">
      <c r="A2402" s="278"/>
      <c r="B2402" s="278"/>
      <c r="C2402" s="278"/>
      <c r="D2402" s="278"/>
      <c r="E2402" s="278"/>
      <c r="F2402" s="278"/>
      <c r="G2402" s="278"/>
      <c r="H2402" s="278"/>
      <c r="I2402" s="278"/>
      <c r="J2402" s="278"/>
      <c r="K2402" s="278"/>
    </row>
    <row r="2403" spans="1:11" x14ac:dyDescent="0.15">
      <c r="A2403" s="278"/>
      <c r="B2403" s="278"/>
      <c r="C2403" s="278"/>
      <c r="D2403" s="278"/>
      <c r="E2403" s="278"/>
      <c r="F2403" s="278"/>
      <c r="G2403" s="278"/>
      <c r="H2403" s="278"/>
      <c r="I2403" s="278"/>
      <c r="J2403" s="278"/>
      <c r="K2403" s="278"/>
    </row>
    <row r="2404" spans="1:11" x14ac:dyDescent="0.15">
      <c r="A2404" s="278"/>
      <c r="B2404" s="278"/>
      <c r="C2404" s="278"/>
      <c r="D2404" s="278"/>
      <c r="E2404" s="278"/>
      <c r="F2404" s="278"/>
      <c r="G2404" s="278"/>
      <c r="H2404" s="278"/>
      <c r="I2404" s="278"/>
      <c r="J2404" s="278"/>
      <c r="K2404" s="278"/>
    </row>
    <row r="2405" spans="1:11" x14ac:dyDescent="0.15">
      <c r="A2405" s="278"/>
      <c r="B2405" s="278"/>
      <c r="C2405" s="278"/>
      <c r="D2405" s="278"/>
      <c r="E2405" s="278"/>
      <c r="F2405" s="278"/>
      <c r="G2405" s="278"/>
      <c r="H2405" s="278"/>
      <c r="I2405" s="278"/>
      <c r="J2405" s="278"/>
      <c r="K2405" s="278"/>
    </row>
    <row r="2406" spans="1:11" x14ac:dyDescent="0.15">
      <c r="A2406" s="278"/>
      <c r="B2406" s="278"/>
      <c r="C2406" s="278"/>
      <c r="D2406" s="278"/>
      <c r="E2406" s="278"/>
      <c r="F2406" s="278"/>
      <c r="G2406" s="278"/>
      <c r="H2406" s="278"/>
      <c r="I2406" s="278"/>
      <c r="J2406" s="278"/>
      <c r="K2406" s="278"/>
    </row>
    <row r="2407" spans="1:11" x14ac:dyDescent="0.15">
      <c r="A2407" s="278"/>
      <c r="B2407" s="278"/>
      <c r="C2407" s="278"/>
      <c r="D2407" s="278"/>
      <c r="E2407" s="278"/>
      <c r="F2407" s="278"/>
      <c r="G2407" s="278"/>
      <c r="H2407" s="278"/>
      <c r="I2407" s="278"/>
      <c r="J2407" s="278"/>
      <c r="K2407" s="278"/>
    </row>
    <row r="2408" spans="1:11" x14ac:dyDescent="0.15">
      <c r="A2408" s="278"/>
      <c r="B2408" s="278"/>
      <c r="C2408" s="278"/>
      <c r="D2408" s="278"/>
      <c r="E2408" s="278"/>
      <c r="F2408" s="278"/>
      <c r="G2408" s="278"/>
      <c r="H2408" s="278"/>
      <c r="I2408" s="278"/>
      <c r="J2408" s="278"/>
      <c r="K2408" s="278"/>
    </row>
    <row r="2409" spans="1:11" x14ac:dyDescent="0.15">
      <c r="A2409" s="278"/>
      <c r="B2409" s="278"/>
      <c r="C2409" s="278"/>
      <c r="D2409" s="278"/>
      <c r="E2409" s="278"/>
      <c r="F2409" s="278"/>
      <c r="G2409" s="278"/>
      <c r="H2409" s="278"/>
      <c r="I2409" s="278"/>
      <c r="J2409" s="278"/>
      <c r="K2409" s="278"/>
    </row>
    <row r="2410" spans="1:11" x14ac:dyDescent="0.15">
      <c r="A2410" s="278"/>
      <c r="B2410" s="278"/>
      <c r="C2410" s="278"/>
      <c r="D2410" s="278"/>
      <c r="E2410" s="278"/>
      <c r="F2410" s="278"/>
      <c r="G2410" s="278"/>
      <c r="H2410" s="278"/>
      <c r="I2410" s="278"/>
      <c r="J2410" s="278"/>
      <c r="K2410" s="278"/>
    </row>
    <row r="2411" spans="1:11" x14ac:dyDescent="0.15">
      <c r="A2411" s="278"/>
      <c r="B2411" s="278"/>
      <c r="C2411" s="278"/>
      <c r="D2411" s="278"/>
      <c r="E2411" s="278"/>
      <c r="F2411" s="278"/>
      <c r="G2411" s="278"/>
      <c r="H2411" s="278"/>
      <c r="I2411" s="278"/>
      <c r="J2411" s="278"/>
      <c r="K2411" s="278"/>
    </row>
    <row r="2412" spans="1:11" x14ac:dyDescent="0.15">
      <c r="A2412" s="278"/>
      <c r="B2412" s="278"/>
      <c r="C2412" s="278"/>
      <c r="D2412" s="278"/>
      <c r="E2412" s="278"/>
      <c r="F2412" s="278"/>
      <c r="G2412" s="278"/>
      <c r="H2412" s="278"/>
      <c r="I2412" s="278"/>
      <c r="J2412" s="278"/>
      <c r="K2412" s="278"/>
    </row>
    <row r="2413" spans="1:11" x14ac:dyDescent="0.15">
      <c r="A2413" s="278"/>
      <c r="B2413" s="278"/>
      <c r="C2413" s="278"/>
      <c r="D2413" s="278"/>
      <c r="E2413" s="278"/>
      <c r="F2413" s="278"/>
      <c r="G2413" s="278"/>
      <c r="H2413" s="278"/>
      <c r="I2413" s="278"/>
      <c r="J2413" s="278"/>
      <c r="K2413" s="278"/>
    </row>
    <row r="2414" spans="1:11" x14ac:dyDescent="0.15">
      <c r="A2414" s="278"/>
      <c r="B2414" s="278"/>
      <c r="C2414" s="278"/>
      <c r="D2414" s="278"/>
      <c r="E2414" s="278"/>
      <c r="F2414" s="278"/>
      <c r="G2414" s="278"/>
      <c r="H2414" s="278"/>
      <c r="I2414" s="278"/>
      <c r="J2414" s="278"/>
      <c r="K2414" s="278"/>
    </row>
    <row r="2415" spans="1:11" x14ac:dyDescent="0.15">
      <c r="A2415" s="278"/>
      <c r="B2415" s="278"/>
      <c r="C2415" s="278"/>
      <c r="D2415" s="278"/>
      <c r="E2415" s="278"/>
      <c r="F2415" s="278"/>
      <c r="G2415" s="278"/>
      <c r="H2415" s="278"/>
      <c r="I2415" s="278"/>
      <c r="J2415" s="278"/>
      <c r="K2415" s="278"/>
    </row>
    <row r="2416" spans="1:11" x14ac:dyDescent="0.15">
      <c r="A2416" s="278"/>
      <c r="B2416" s="278"/>
      <c r="C2416" s="278"/>
      <c r="D2416" s="278"/>
      <c r="E2416" s="278"/>
      <c r="F2416" s="278"/>
      <c r="G2416" s="278"/>
      <c r="H2416" s="278"/>
      <c r="I2416" s="278"/>
      <c r="J2416" s="278"/>
      <c r="K2416" s="278"/>
    </row>
    <row r="2417" spans="1:11" x14ac:dyDescent="0.15">
      <c r="A2417" s="278"/>
      <c r="B2417" s="278"/>
      <c r="C2417" s="278"/>
      <c r="D2417" s="278"/>
      <c r="E2417" s="278"/>
      <c r="F2417" s="278"/>
      <c r="G2417" s="278"/>
      <c r="H2417" s="278"/>
      <c r="I2417" s="278"/>
      <c r="J2417" s="278"/>
      <c r="K2417" s="278"/>
    </row>
    <row r="2418" spans="1:11" x14ac:dyDescent="0.15">
      <c r="A2418" s="278"/>
      <c r="B2418" s="278"/>
      <c r="C2418" s="278"/>
      <c r="D2418" s="278"/>
      <c r="E2418" s="278"/>
      <c r="F2418" s="278"/>
      <c r="G2418" s="278"/>
      <c r="H2418" s="278"/>
      <c r="I2418" s="278"/>
      <c r="J2418" s="278"/>
      <c r="K2418" s="278"/>
    </row>
    <row r="2419" spans="1:11" x14ac:dyDescent="0.15">
      <c r="A2419" s="278"/>
      <c r="B2419" s="278"/>
      <c r="C2419" s="278"/>
      <c r="D2419" s="278"/>
      <c r="E2419" s="278"/>
      <c r="F2419" s="278"/>
      <c r="G2419" s="278"/>
      <c r="H2419" s="278"/>
      <c r="I2419" s="278"/>
      <c r="J2419" s="278"/>
      <c r="K2419" s="278"/>
    </row>
    <row r="2420" spans="1:11" x14ac:dyDescent="0.15">
      <c r="A2420" s="278"/>
      <c r="B2420" s="278"/>
      <c r="C2420" s="278"/>
      <c r="D2420" s="278"/>
      <c r="E2420" s="278"/>
      <c r="F2420" s="278"/>
      <c r="G2420" s="278"/>
      <c r="H2420" s="278"/>
      <c r="I2420" s="278"/>
      <c r="J2420" s="278"/>
      <c r="K2420" s="278"/>
    </row>
    <row r="2421" spans="1:11" x14ac:dyDescent="0.15">
      <c r="A2421" s="278"/>
      <c r="B2421" s="278"/>
      <c r="C2421" s="278"/>
      <c r="D2421" s="278"/>
      <c r="E2421" s="278"/>
      <c r="F2421" s="278"/>
      <c r="G2421" s="278"/>
      <c r="H2421" s="278"/>
      <c r="I2421" s="278"/>
      <c r="J2421" s="278"/>
      <c r="K2421" s="278"/>
    </row>
    <row r="2422" spans="1:11" x14ac:dyDescent="0.15">
      <c r="A2422" s="278"/>
      <c r="B2422" s="278"/>
      <c r="C2422" s="278"/>
      <c r="D2422" s="278"/>
      <c r="E2422" s="278"/>
      <c r="F2422" s="278"/>
      <c r="G2422" s="278"/>
      <c r="H2422" s="278"/>
      <c r="I2422" s="278"/>
      <c r="J2422" s="278"/>
      <c r="K2422" s="278"/>
    </row>
    <row r="2423" spans="1:11" x14ac:dyDescent="0.15">
      <c r="A2423" s="278"/>
      <c r="B2423" s="278"/>
      <c r="C2423" s="278"/>
      <c r="D2423" s="278"/>
      <c r="E2423" s="278"/>
      <c r="F2423" s="278"/>
      <c r="G2423" s="278"/>
      <c r="H2423" s="278"/>
      <c r="I2423" s="278"/>
      <c r="J2423" s="278"/>
      <c r="K2423" s="278"/>
    </row>
    <row r="2424" spans="1:11" x14ac:dyDescent="0.15">
      <c r="A2424" s="278"/>
      <c r="B2424" s="278"/>
      <c r="C2424" s="278"/>
      <c r="D2424" s="278"/>
      <c r="E2424" s="278"/>
      <c r="F2424" s="278"/>
      <c r="G2424" s="278"/>
      <c r="H2424" s="278"/>
      <c r="I2424" s="278"/>
      <c r="J2424" s="278"/>
      <c r="K2424" s="278"/>
    </row>
    <row r="2425" spans="1:11" x14ac:dyDescent="0.15">
      <c r="A2425" s="278"/>
      <c r="B2425" s="278"/>
      <c r="C2425" s="278"/>
      <c r="D2425" s="278"/>
      <c r="E2425" s="278"/>
      <c r="F2425" s="278"/>
      <c r="G2425" s="278"/>
      <c r="H2425" s="278"/>
      <c r="I2425" s="278"/>
      <c r="J2425" s="278"/>
      <c r="K2425" s="278"/>
    </row>
    <row r="2426" spans="1:11" x14ac:dyDescent="0.15">
      <c r="A2426" s="278"/>
      <c r="B2426" s="278"/>
      <c r="C2426" s="278"/>
      <c r="D2426" s="278"/>
      <c r="E2426" s="278"/>
      <c r="F2426" s="278"/>
      <c r="G2426" s="278"/>
      <c r="H2426" s="278"/>
      <c r="I2426" s="278"/>
      <c r="J2426" s="278"/>
      <c r="K2426" s="278"/>
    </row>
    <row r="2427" spans="1:11" x14ac:dyDescent="0.15">
      <c r="A2427" s="278"/>
      <c r="B2427" s="278"/>
      <c r="C2427" s="278"/>
      <c r="D2427" s="278"/>
      <c r="E2427" s="278"/>
      <c r="F2427" s="278"/>
      <c r="G2427" s="278"/>
      <c r="H2427" s="278"/>
      <c r="I2427" s="278"/>
      <c r="J2427" s="278"/>
      <c r="K2427" s="278"/>
    </row>
    <row r="2428" spans="1:11" x14ac:dyDescent="0.15">
      <c r="A2428" s="278"/>
      <c r="B2428" s="278"/>
      <c r="C2428" s="278"/>
      <c r="D2428" s="278"/>
      <c r="E2428" s="278"/>
      <c r="F2428" s="278"/>
      <c r="G2428" s="278"/>
      <c r="H2428" s="278"/>
      <c r="I2428" s="278"/>
      <c r="J2428" s="278"/>
      <c r="K2428" s="278"/>
    </row>
    <row r="2429" spans="1:11" x14ac:dyDescent="0.15">
      <c r="A2429" s="278"/>
      <c r="B2429" s="278"/>
      <c r="C2429" s="278"/>
      <c r="D2429" s="278"/>
      <c r="E2429" s="278"/>
      <c r="F2429" s="278"/>
      <c r="G2429" s="278"/>
      <c r="H2429" s="278"/>
      <c r="I2429" s="278"/>
      <c r="J2429" s="278"/>
      <c r="K2429" s="278"/>
    </row>
    <row r="2430" spans="1:11" x14ac:dyDescent="0.15">
      <c r="A2430" s="278"/>
      <c r="B2430" s="278"/>
      <c r="C2430" s="278"/>
      <c r="D2430" s="278"/>
      <c r="E2430" s="278"/>
      <c r="F2430" s="278"/>
      <c r="G2430" s="278"/>
      <c r="H2430" s="278"/>
      <c r="I2430" s="278"/>
      <c r="J2430" s="278"/>
      <c r="K2430" s="278"/>
    </row>
    <row r="2431" spans="1:11" x14ac:dyDescent="0.15">
      <c r="A2431" s="278"/>
      <c r="B2431" s="278"/>
      <c r="C2431" s="278"/>
      <c r="D2431" s="278"/>
      <c r="E2431" s="278"/>
      <c r="F2431" s="278"/>
      <c r="G2431" s="278"/>
      <c r="H2431" s="278"/>
      <c r="I2431" s="278"/>
      <c r="J2431" s="278"/>
      <c r="K2431" s="278"/>
    </row>
    <row r="2432" spans="1:11" x14ac:dyDescent="0.15">
      <c r="A2432" s="278"/>
      <c r="B2432" s="278"/>
      <c r="C2432" s="278"/>
      <c r="D2432" s="278"/>
      <c r="E2432" s="278"/>
      <c r="F2432" s="278"/>
      <c r="G2432" s="278"/>
      <c r="H2432" s="278"/>
      <c r="I2432" s="278"/>
      <c r="J2432" s="278"/>
      <c r="K2432" s="278"/>
    </row>
    <row r="2433" spans="1:11" x14ac:dyDescent="0.15">
      <c r="A2433" s="278"/>
      <c r="B2433" s="278"/>
      <c r="C2433" s="278"/>
      <c r="D2433" s="278"/>
      <c r="E2433" s="278"/>
      <c r="F2433" s="278"/>
      <c r="G2433" s="278"/>
      <c r="H2433" s="278"/>
      <c r="I2433" s="278"/>
      <c r="J2433" s="278"/>
      <c r="K2433" s="278"/>
    </row>
    <row r="2434" spans="1:11" x14ac:dyDescent="0.15">
      <c r="A2434" s="278"/>
      <c r="B2434" s="278"/>
      <c r="C2434" s="278"/>
      <c r="D2434" s="278"/>
      <c r="E2434" s="278"/>
      <c r="F2434" s="278"/>
      <c r="G2434" s="278"/>
      <c r="H2434" s="278"/>
      <c r="I2434" s="278"/>
      <c r="J2434" s="278"/>
      <c r="K2434" s="278"/>
    </row>
    <row r="2435" spans="1:11" x14ac:dyDescent="0.15">
      <c r="A2435" s="278"/>
      <c r="B2435" s="278"/>
      <c r="C2435" s="278"/>
      <c r="D2435" s="278"/>
      <c r="E2435" s="278"/>
      <c r="F2435" s="278"/>
      <c r="G2435" s="278"/>
      <c r="H2435" s="278"/>
      <c r="I2435" s="278"/>
      <c r="J2435" s="278"/>
      <c r="K2435" s="278"/>
    </row>
    <row r="2436" spans="1:11" x14ac:dyDescent="0.15">
      <c r="A2436" s="278"/>
      <c r="B2436" s="278"/>
      <c r="C2436" s="278"/>
      <c r="D2436" s="278"/>
      <c r="E2436" s="278"/>
      <c r="F2436" s="278"/>
      <c r="G2436" s="278"/>
      <c r="H2436" s="278"/>
      <c r="I2436" s="278"/>
      <c r="J2436" s="278"/>
      <c r="K2436" s="278"/>
    </row>
    <row r="2437" spans="1:11" x14ac:dyDescent="0.15">
      <c r="A2437" s="278"/>
      <c r="B2437" s="278"/>
      <c r="C2437" s="278"/>
      <c r="D2437" s="278"/>
      <c r="E2437" s="278"/>
      <c r="F2437" s="278"/>
      <c r="G2437" s="278"/>
      <c r="H2437" s="278"/>
      <c r="I2437" s="278"/>
      <c r="J2437" s="278"/>
      <c r="K2437" s="278"/>
    </row>
    <row r="2438" spans="1:11" x14ac:dyDescent="0.15">
      <c r="A2438" s="278"/>
      <c r="B2438" s="278"/>
      <c r="C2438" s="278"/>
      <c r="D2438" s="278"/>
      <c r="E2438" s="278"/>
      <c r="F2438" s="278"/>
      <c r="G2438" s="278"/>
      <c r="H2438" s="278"/>
      <c r="I2438" s="278"/>
      <c r="J2438" s="278"/>
      <c r="K2438" s="278"/>
    </row>
    <row r="2439" spans="1:11" x14ac:dyDescent="0.15">
      <c r="A2439" s="278"/>
      <c r="B2439" s="278"/>
      <c r="C2439" s="278"/>
      <c r="D2439" s="278"/>
      <c r="E2439" s="278"/>
      <c r="F2439" s="278"/>
      <c r="G2439" s="278"/>
      <c r="H2439" s="278"/>
      <c r="I2439" s="278"/>
      <c r="J2439" s="278"/>
      <c r="K2439" s="278"/>
    </row>
    <row r="2440" spans="1:11" x14ac:dyDescent="0.15">
      <c r="A2440" s="278"/>
      <c r="B2440" s="278"/>
      <c r="C2440" s="278"/>
      <c r="D2440" s="278"/>
      <c r="E2440" s="278"/>
      <c r="F2440" s="278"/>
      <c r="G2440" s="278"/>
      <c r="H2440" s="278"/>
      <c r="I2440" s="278"/>
      <c r="J2440" s="278"/>
      <c r="K2440" s="278"/>
    </row>
    <row r="2441" spans="1:11" x14ac:dyDescent="0.15">
      <c r="A2441" s="278"/>
      <c r="B2441" s="278"/>
      <c r="C2441" s="278"/>
      <c r="D2441" s="278"/>
      <c r="E2441" s="278"/>
      <c r="F2441" s="278"/>
      <c r="G2441" s="278"/>
      <c r="H2441" s="278"/>
      <c r="I2441" s="278"/>
      <c r="J2441" s="278"/>
      <c r="K2441" s="278"/>
    </row>
    <row r="2442" spans="1:11" x14ac:dyDescent="0.15">
      <c r="A2442" s="278"/>
      <c r="B2442" s="278"/>
      <c r="C2442" s="278"/>
      <c r="D2442" s="278"/>
      <c r="E2442" s="278"/>
      <c r="F2442" s="278"/>
      <c r="G2442" s="278"/>
      <c r="H2442" s="278"/>
      <c r="I2442" s="278"/>
      <c r="J2442" s="278"/>
      <c r="K2442" s="278"/>
    </row>
    <row r="2443" spans="1:11" x14ac:dyDescent="0.15">
      <c r="A2443" s="278"/>
      <c r="B2443" s="278"/>
      <c r="C2443" s="278"/>
      <c r="D2443" s="278"/>
      <c r="E2443" s="278"/>
      <c r="F2443" s="278"/>
      <c r="G2443" s="278"/>
      <c r="H2443" s="278"/>
      <c r="I2443" s="278"/>
      <c r="J2443" s="278"/>
      <c r="K2443" s="278"/>
    </row>
    <row r="2444" spans="1:11" x14ac:dyDescent="0.15">
      <c r="A2444" s="278"/>
      <c r="B2444" s="278"/>
      <c r="C2444" s="278"/>
      <c r="D2444" s="278"/>
      <c r="E2444" s="278"/>
      <c r="F2444" s="278"/>
      <c r="G2444" s="278"/>
      <c r="H2444" s="278"/>
      <c r="I2444" s="278"/>
      <c r="J2444" s="278"/>
      <c r="K2444" s="278"/>
    </row>
    <row r="2445" spans="1:11" x14ac:dyDescent="0.15">
      <c r="A2445" s="278"/>
      <c r="B2445" s="278"/>
      <c r="C2445" s="278"/>
      <c r="D2445" s="278"/>
      <c r="E2445" s="278"/>
      <c r="F2445" s="278"/>
      <c r="G2445" s="278"/>
      <c r="H2445" s="278"/>
      <c r="I2445" s="278"/>
      <c r="J2445" s="278"/>
      <c r="K2445" s="278"/>
    </row>
    <row r="2446" spans="1:11" x14ac:dyDescent="0.15">
      <c r="A2446" s="278"/>
      <c r="B2446" s="278"/>
      <c r="C2446" s="278"/>
      <c r="D2446" s="278"/>
      <c r="E2446" s="278"/>
      <c r="F2446" s="278"/>
      <c r="G2446" s="278"/>
      <c r="H2446" s="278"/>
      <c r="I2446" s="278"/>
      <c r="J2446" s="278"/>
      <c r="K2446" s="278"/>
    </row>
    <row r="2447" spans="1:11" x14ac:dyDescent="0.15">
      <c r="A2447" s="278"/>
      <c r="B2447" s="278"/>
      <c r="C2447" s="278"/>
      <c r="D2447" s="278"/>
      <c r="E2447" s="278"/>
      <c r="F2447" s="278"/>
      <c r="G2447" s="278"/>
      <c r="H2447" s="278"/>
      <c r="I2447" s="278"/>
      <c r="J2447" s="278"/>
      <c r="K2447" s="278"/>
    </row>
    <row r="2448" spans="1:11" x14ac:dyDescent="0.15">
      <c r="A2448" s="278"/>
      <c r="B2448" s="278"/>
      <c r="C2448" s="278"/>
      <c r="D2448" s="278"/>
      <c r="E2448" s="278"/>
      <c r="F2448" s="278"/>
      <c r="G2448" s="278"/>
      <c r="H2448" s="278"/>
      <c r="I2448" s="278"/>
      <c r="J2448" s="278"/>
      <c r="K2448" s="278"/>
    </row>
    <row r="2449" spans="1:11" x14ac:dyDescent="0.15">
      <c r="A2449" s="278"/>
      <c r="B2449" s="278"/>
      <c r="C2449" s="278"/>
      <c r="D2449" s="278"/>
      <c r="E2449" s="278"/>
      <c r="F2449" s="278"/>
      <c r="G2449" s="278"/>
      <c r="H2449" s="278"/>
      <c r="I2449" s="278"/>
      <c r="J2449" s="278"/>
      <c r="K2449" s="278"/>
    </row>
    <row r="2450" spans="1:11" x14ac:dyDescent="0.15">
      <c r="A2450" s="278"/>
      <c r="B2450" s="278"/>
      <c r="C2450" s="278"/>
      <c r="D2450" s="278"/>
      <c r="E2450" s="278"/>
      <c r="F2450" s="278"/>
      <c r="G2450" s="278"/>
      <c r="H2450" s="278"/>
      <c r="I2450" s="278"/>
      <c r="J2450" s="278"/>
      <c r="K2450" s="278"/>
    </row>
    <row r="2451" spans="1:11" x14ac:dyDescent="0.15">
      <c r="A2451" s="278"/>
      <c r="B2451" s="278"/>
      <c r="C2451" s="278"/>
      <c r="D2451" s="278"/>
      <c r="E2451" s="278"/>
      <c r="F2451" s="278"/>
      <c r="G2451" s="278"/>
      <c r="H2451" s="278"/>
      <c r="I2451" s="278"/>
      <c r="J2451" s="278"/>
      <c r="K2451" s="278"/>
    </row>
    <row r="2452" spans="1:11" x14ac:dyDescent="0.15">
      <c r="A2452" s="278"/>
      <c r="B2452" s="278"/>
      <c r="C2452" s="278"/>
      <c r="D2452" s="278"/>
      <c r="E2452" s="278"/>
      <c r="F2452" s="278"/>
      <c r="G2452" s="278"/>
      <c r="H2452" s="278"/>
      <c r="I2452" s="278"/>
      <c r="J2452" s="278"/>
      <c r="K2452" s="278"/>
    </row>
    <row r="2453" spans="1:11" x14ac:dyDescent="0.15">
      <c r="A2453" s="278"/>
      <c r="B2453" s="278"/>
      <c r="C2453" s="278"/>
      <c r="D2453" s="278"/>
      <c r="E2453" s="278"/>
      <c r="F2453" s="278"/>
      <c r="G2453" s="278"/>
      <c r="H2453" s="278"/>
      <c r="I2453" s="278"/>
      <c r="J2453" s="278"/>
      <c r="K2453" s="278"/>
    </row>
    <row r="2454" spans="1:11" x14ac:dyDescent="0.15">
      <c r="A2454" s="278"/>
      <c r="B2454" s="278"/>
      <c r="C2454" s="278"/>
      <c r="D2454" s="278"/>
      <c r="E2454" s="278"/>
      <c r="F2454" s="278"/>
      <c r="G2454" s="278"/>
      <c r="H2454" s="278"/>
      <c r="I2454" s="278"/>
      <c r="J2454" s="278"/>
      <c r="K2454" s="278"/>
    </row>
    <row r="2455" spans="1:11" x14ac:dyDescent="0.15">
      <c r="A2455" s="278"/>
      <c r="B2455" s="278"/>
      <c r="C2455" s="278"/>
      <c r="D2455" s="278"/>
      <c r="E2455" s="278"/>
      <c r="F2455" s="278"/>
      <c r="G2455" s="278"/>
      <c r="H2455" s="278"/>
      <c r="I2455" s="278"/>
      <c r="J2455" s="278"/>
      <c r="K2455" s="278"/>
    </row>
    <row r="2456" spans="1:11" x14ac:dyDescent="0.15">
      <c r="A2456" s="278"/>
      <c r="B2456" s="278"/>
      <c r="C2456" s="278"/>
      <c r="D2456" s="278"/>
      <c r="E2456" s="278"/>
      <c r="F2456" s="278"/>
      <c r="G2456" s="278"/>
      <c r="H2456" s="278"/>
      <c r="I2456" s="278"/>
      <c r="J2456" s="278"/>
      <c r="K2456" s="278"/>
    </row>
    <row r="2457" spans="1:11" x14ac:dyDescent="0.15">
      <c r="A2457" s="278"/>
      <c r="B2457" s="278"/>
      <c r="C2457" s="278"/>
      <c r="D2457" s="278"/>
      <c r="E2457" s="278"/>
      <c r="F2457" s="278"/>
      <c r="G2457" s="278"/>
      <c r="H2457" s="278"/>
      <c r="I2457" s="278"/>
      <c r="J2457" s="278"/>
      <c r="K2457" s="278"/>
    </row>
    <row r="2458" spans="1:11" x14ac:dyDescent="0.15">
      <c r="A2458" s="278"/>
      <c r="B2458" s="278"/>
      <c r="C2458" s="278"/>
      <c r="D2458" s="278"/>
      <c r="E2458" s="278"/>
      <c r="F2458" s="278"/>
      <c r="G2458" s="278"/>
      <c r="H2458" s="278"/>
      <c r="I2458" s="278"/>
      <c r="J2458" s="278"/>
      <c r="K2458" s="278"/>
    </row>
    <row r="2459" spans="1:11" x14ac:dyDescent="0.15">
      <c r="A2459" s="278"/>
      <c r="B2459" s="278"/>
      <c r="C2459" s="278"/>
      <c r="D2459" s="278"/>
      <c r="E2459" s="278"/>
      <c r="F2459" s="278"/>
      <c r="G2459" s="278"/>
      <c r="H2459" s="278"/>
      <c r="I2459" s="278"/>
      <c r="J2459" s="278"/>
      <c r="K2459" s="278"/>
    </row>
    <row r="2460" spans="1:11" x14ac:dyDescent="0.15">
      <c r="A2460" s="278"/>
      <c r="B2460" s="278"/>
      <c r="C2460" s="278"/>
      <c r="D2460" s="278"/>
      <c r="E2460" s="278"/>
      <c r="F2460" s="278"/>
      <c r="G2460" s="278"/>
      <c r="H2460" s="278"/>
      <c r="I2460" s="278"/>
      <c r="J2460" s="278"/>
      <c r="K2460" s="278"/>
    </row>
    <row r="2461" spans="1:11" x14ac:dyDescent="0.15">
      <c r="A2461" s="278"/>
      <c r="B2461" s="278"/>
      <c r="C2461" s="278"/>
      <c r="D2461" s="278"/>
      <c r="E2461" s="278"/>
      <c r="F2461" s="278"/>
      <c r="G2461" s="278"/>
      <c r="H2461" s="278"/>
      <c r="I2461" s="278"/>
      <c r="J2461" s="278"/>
      <c r="K2461" s="278"/>
    </row>
    <row r="2462" spans="1:11" x14ac:dyDescent="0.15">
      <c r="A2462" s="278"/>
      <c r="B2462" s="278"/>
      <c r="C2462" s="278"/>
      <c r="D2462" s="278"/>
      <c r="E2462" s="278"/>
      <c r="F2462" s="278"/>
      <c r="G2462" s="278"/>
      <c r="H2462" s="278"/>
      <c r="I2462" s="278"/>
      <c r="J2462" s="278"/>
      <c r="K2462" s="278"/>
    </row>
    <row r="2463" spans="1:11" x14ac:dyDescent="0.15">
      <c r="A2463" s="278"/>
      <c r="B2463" s="278"/>
      <c r="C2463" s="278"/>
      <c r="D2463" s="278"/>
      <c r="E2463" s="278"/>
      <c r="F2463" s="278"/>
      <c r="G2463" s="278"/>
      <c r="H2463" s="278"/>
      <c r="I2463" s="278"/>
      <c r="J2463" s="278"/>
      <c r="K2463" s="278"/>
    </row>
    <row r="2464" spans="1:11" x14ac:dyDescent="0.15">
      <c r="A2464" s="278"/>
      <c r="B2464" s="278"/>
      <c r="C2464" s="278"/>
      <c r="D2464" s="278"/>
      <c r="E2464" s="278"/>
      <c r="F2464" s="278"/>
      <c r="G2464" s="278"/>
      <c r="H2464" s="278"/>
      <c r="I2464" s="278"/>
      <c r="J2464" s="278"/>
      <c r="K2464" s="278"/>
    </row>
    <row r="2465" spans="1:11" x14ac:dyDescent="0.15">
      <c r="A2465" s="278"/>
      <c r="B2465" s="278"/>
      <c r="C2465" s="278"/>
      <c r="D2465" s="278"/>
      <c r="E2465" s="278"/>
      <c r="F2465" s="278"/>
      <c r="G2465" s="278"/>
      <c r="H2465" s="278"/>
      <c r="I2465" s="278"/>
      <c r="J2465" s="278"/>
      <c r="K2465" s="278"/>
    </row>
    <row r="2466" spans="1:11" x14ac:dyDescent="0.15">
      <c r="A2466" s="278"/>
      <c r="B2466" s="278"/>
      <c r="C2466" s="278"/>
      <c r="D2466" s="278"/>
      <c r="E2466" s="278"/>
      <c r="F2466" s="278"/>
      <c r="G2466" s="278"/>
      <c r="H2466" s="278"/>
      <c r="I2466" s="278"/>
      <c r="J2466" s="278"/>
      <c r="K2466" s="278"/>
    </row>
    <row r="2467" spans="1:11" x14ac:dyDescent="0.15">
      <c r="A2467" s="278"/>
      <c r="B2467" s="278"/>
      <c r="C2467" s="278"/>
      <c r="D2467" s="278"/>
      <c r="E2467" s="278"/>
      <c r="F2467" s="278"/>
      <c r="G2467" s="278"/>
      <c r="H2467" s="278"/>
      <c r="I2467" s="278"/>
      <c r="J2467" s="278"/>
      <c r="K2467" s="278"/>
    </row>
    <row r="2468" spans="1:11" x14ac:dyDescent="0.15">
      <c r="A2468" s="278"/>
      <c r="B2468" s="278"/>
      <c r="C2468" s="278"/>
      <c r="D2468" s="278"/>
      <c r="E2468" s="278"/>
      <c r="F2468" s="278"/>
      <c r="G2468" s="278"/>
      <c r="H2468" s="278"/>
      <c r="I2468" s="278"/>
      <c r="J2468" s="278"/>
      <c r="K2468" s="278"/>
    </row>
    <row r="2469" spans="1:11" x14ac:dyDescent="0.15">
      <c r="A2469" s="278"/>
      <c r="B2469" s="278"/>
      <c r="C2469" s="278"/>
      <c r="D2469" s="278"/>
      <c r="E2469" s="278"/>
      <c r="F2469" s="278"/>
      <c r="G2469" s="278"/>
      <c r="H2469" s="278"/>
      <c r="I2469" s="278"/>
      <c r="J2469" s="278"/>
      <c r="K2469" s="278"/>
    </row>
    <row r="2470" spans="1:11" x14ac:dyDescent="0.15">
      <c r="A2470" s="278"/>
      <c r="B2470" s="278"/>
      <c r="C2470" s="278"/>
      <c r="D2470" s="278"/>
      <c r="E2470" s="278"/>
      <c r="F2470" s="278"/>
      <c r="G2470" s="278"/>
      <c r="H2470" s="278"/>
      <c r="I2470" s="278"/>
      <c r="J2470" s="278"/>
      <c r="K2470" s="278"/>
    </row>
    <row r="2471" spans="1:11" x14ac:dyDescent="0.15">
      <c r="A2471" s="278"/>
      <c r="B2471" s="278"/>
      <c r="C2471" s="278"/>
      <c r="D2471" s="278"/>
      <c r="E2471" s="278"/>
      <c r="F2471" s="278"/>
      <c r="G2471" s="278"/>
      <c r="H2471" s="278"/>
      <c r="I2471" s="278"/>
      <c r="J2471" s="278"/>
      <c r="K2471" s="278"/>
    </row>
    <row r="2472" spans="1:11" x14ac:dyDescent="0.15">
      <c r="A2472" s="278"/>
      <c r="B2472" s="278"/>
      <c r="C2472" s="278"/>
      <c r="D2472" s="278"/>
      <c r="E2472" s="278"/>
      <c r="F2472" s="278"/>
      <c r="G2472" s="278"/>
      <c r="H2472" s="278"/>
      <c r="I2472" s="278"/>
      <c r="J2472" s="278"/>
      <c r="K2472" s="278"/>
    </row>
    <row r="2473" spans="1:11" x14ac:dyDescent="0.15">
      <c r="A2473" s="278"/>
      <c r="B2473" s="278"/>
      <c r="C2473" s="278"/>
      <c r="D2473" s="278"/>
      <c r="E2473" s="278"/>
      <c r="F2473" s="278"/>
      <c r="G2473" s="278"/>
      <c r="H2473" s="278"/>
      <c r="I2473" s="278"/>
      <c r="J2473" s="278"/>
      <c r="K2473" s="278"/>
    </row>
    <row r="2474" spans="1:11" x14ac:dyDescent="0.15">
      <c r="A2474" s="278"/>
      <c r="B2474" s="278"/>
      <c r="C2474" s="278"/>
      <c r="D2474" s="278"/>
      <c r="E2474" s="278"/>
      <c r="F2474" s="278"/>
      <c r="G2474" s="278"/>
      <c r="H2474" s="278"/>
      <c r="I2474" s="278"/>
      <c r="J2474" s="278"/>
      <c r="K2474" s="278"/>
    </row>
    <row r="2475" spans="1:11" x14ac:dyDescent="0.15">
      <c r="A2475" s="278"/>
      <c r="B2475" s="278"/>
      <c r="C2475" s="278"/>
      <c r="D2475" s="278"/>
      <c r="E2475" s="278"/>
      <c r="F2475" s="278"/>
      <c r="G2475" s="278"/>
      <c r="H2475" s="278"/>
      <c r="I2475" s="278"/>
      <c r="J2475" s="278"/>
      <c r="K2475" s="278"/>
    </row>
    <row r="2476" spans="1:11" x14ac:dyDescent="0.15">
      <c r="A2476" s="278"/>
      <c r="B2476" s="278"/>
      <c r="C2476" s="278"/>
      <c r="D2476" s="278"/>
      <c r="E2476" s="278"/>
      <c r="F2476" s="278"/>
      <c r="G2476" s="278"/>
      <c r="H2476" s="278"/>
      <c r="I2476" s="278"/>
      <c r="J2476" s="278"/>
      <c r="K2476" s="278"/>
    </row>
    <row r="2477" spans="1:11" x14ac:dyDescent="0.15">
      <c r="A2477" s="278"/>
      <c r="B2477" s="278"/>
      <c r="C2477" s="278"/>
      <c r="D2477" s="278"/>
      <c r="E2477" s="278"/>
      <c r="F2477" s="278"/>
      <c r="G2477" s="278"/>
      <c r="H2477" s="278"/>
      <c r="I2477" s="278"/>
      <c r="J2477" s="278"/>
      <c r="K2477" s="278"/>
    </row>
    <row r="2478" spans="1:11" x14ac:dyDescent="0.15">
      <c r="A2478" s="278"/>
      <c r="B2478" s="278"/>
      <c r="C2478" s="278"/>
      <c r="D2478" s="278"/>
      <c r="E2478" s="278"/>
      <c r="F2478" s="278"/>
      <c r="G2478" s="278"/>
      <c r="H2478" s="278"/>
      <c r="I2478" s="278"/>
      <c r="J2478" s="278"/>
      <c r="K2478" s="278"/>
    </row>
    <row r="2479" spans="1:11" x14ac:dyDescent="0.15">
      <c r="A2479" s="278"/>
      <c r="B2479" s="278"/>
      <c r="C2479" s="278"/>
      <c r="D2479" s="278"/>
      <c r="E2479" s="278"/>
      <c r="F2479" s="278"/>
      <c r="G2479" s="278"/>
      <c r="H2479" s="278"/>
      <c r="I2479" s="278"/>
      <c r="J2479" s="278"/>
      <c r="K2479" s="278"/>
    </row>
    <row r="2480" spans="1:11" x14ac:dyDescent="0.15">
      <c r="A2480" s="278"/>
      <c r="B2480" s="278"/>
      <c r="C2480" s="278"/>
      <c r="D2480" s="278"/>
      <c r="E2480" s="278"/>
      <c r="F2480" s="278"/>
      <c r="G2480" s="278"/>
      <c r="H2480" s="278"/>
      <c r="I2480" s="278"/>
      <c r="J2480" s="278"/>
      <c r="K2480" s="278"/>
    </row>
    <row r="2481" spans="1:11" x14ac:dyDescent="0.15">
      <c r="A2481" s="278"/>
      <c r="B2481" s="278"/>
      <c r="C2481" s="278"/>
      <c r="D2481" s="278"/>
      <c r="E2481" s="278"/>
      <c r="F2481" s="278"/>
      <c r="G2481" s="278"/>
      <c r="H2481" s="278"/>
      <c r="I2481" s="278"/>
      <c r="J2481" s="278"/>
      <c r="K2481" s="278"/>
    </row>
    <row r="2482" spans="1:11" x14ac:dyDescent="0.15">
      <c r="A2482" s="278"/>
      <c r="B2482" s="278"/>
      <c r="C2482" s="278"/>
      <c r="D2482" s="278"/>
      <c r="E2482" s="278"/>
      <c r="F2482" s="278"/>
      <c r="G2482" s="278"/>
      <c r="H2482" s="278"/>
      <c r="I2482" s="278"/>
      <c r="J2482" s="278"/>
      <c r="K2482" s="278"/>
    </row>
    <row r="2483" spans="1:11" x14ac:dyDescent="0.15">
      <c r="A2483" s="278"/>
      <c r="B2483" s="278"/>
      <c r="C2483" s="278"/>
      <c r="D2483" s="278"/>
      <c r="E2483" s="278"/>
      <c r="F2483" s="278"/>
      <c r="G2483" s="278"/>
      <c r="H2483" s="278"/>
      <c r="I2483" s="278"/>
      <c r="J2483" s="278"/>
      <c r="K2483" s="278"/>
    </row>
    <row r="2484" spans="1:11" x14ac:dyDescent="0.15">
      <c r="A2484" s="278"/>
      <c r="B2484" s="278"/>
      <c r="C2484" s="278"/>
      <c r="D2484" s="278"/>
      <c r="E2484" s="278"/>
      <c r="F2484" s="278"/>
      <c r="G2484" s="278"/>
      <c r="H2484" s="278"/>
      <c r="I2484" s="278"/>
      <c r="J2484" s="278"/>
      <c r="K2484" s="278"/>
    </row>
    <row r="2485" spans="1:11" x14ac:dyDescent="0.15">
      <c r="A2485" s="278"/>
      <c r="B2485" s="278"/>
      <c r="C2485" s="278"/>
      <c r="D2485" s="278"/>
      <c r="E2485" s="278"/>
      <c r="F2485" s="278"/>
      <c r="G2485" s="278"/>
      <c r="H2485" s="278"/>
      <c r="I2485" s="278"/>
      <c r="J2485" s="278"/>
      <c r="K2485" s="278"/>
    </row>
    <row r="2486" spans="1:11" x14ac:dyDescent="0.15">
      <c r="A2486" s="278"/>
      <c r="B2486" s="278"/>
      <c r="C2486" s="278"/>
      <c r="D2486" s="278"/>
      <c r="E2486" s="278"/>
      <c r="F2486" s="278"/>
      <c r="G2486" s="278"/>
      <c r="H2486" s="278"/>
      <c r="I2486" s="278"/>
      <c r="J2486" s="278"/>
      <c r="K2486" s="278"/>
    </row>
    <row r="2487" spans="1:11" x14ac:dyDescent="0.15">
      <c r="A2487" s="278"/>
      <c r="B2487" s="278"/>
      <c r="C2487" s="278"/>
      <c r="D2487" s="278"/>
      <c r="E2487" s="278"/>
      <c r="F2487" s="278"/>
      <c r="G2487" s="278"/>
      <c r="H2487" s="278"/>
      <c r="I2487" s="278"/>
      <c r="J2487" s="278"/>
      <c r="K2487" s="278"/>
    </row>
    <row r="2488" spans="1:11" x14ac:dyDescent="0.15">
      <c r="A2488" s="278"/>
      <c r="B2488" s="278"/>
      <c r="C2488" s="278"/>
      <c r="D2488" s="278"/>
      <c r="E2488" s="278"/>
      <c r="F2488" s="278"/>
      <c r="G2488" s="278"/>
      <c r="H2488" s="278"/>
      <c r="I2488" s="278"/>
      <c r="J2488" s="278"/>
      <c r="K2488" s="278"/>
    </row>
    <row r="2489" spans="1:11" x14ac:dyDescent="0.15">
      <c r="A2489" s="278"/>
      <c r="B2489" s="278"/>
      <c r="C2489" s="278"/>
      <c r="D2489" s="278"/>
      <c r="E2489" s="278"/>
      <c r="F2489" s="278"/>
      <c r="G2489" s="278"/>
      <c r="H2489" s="278"/>
      <c r="I2489" s="278"/>
      <c r="J2489" s="278"/>
      <c r="K2489" s="278"/>
    </row>
    <row r="2490" spans="1:11" x14ac:dyDescent="0.15">
      <c r="A2490" s="278"/>
      <c r="B2490" s="278"/>
      <c r="C2490" s="278"/>
      <c r="D2490" s="278"/>
      <c r="E2490" s="278"/>
      <c r="F2490" s="278"/>
      <c r="G2490" s="278"/>
      <c r="H2490" s="278"/>
      <c r="I2490" s="278"/>
      <c r="J2490" s="278"/>
      <c r="K2490" s="278"/>
    </row>
    <row r="2491" spans="1:11" x14ac:dyDescent="0.15">
      <c r="A2491" s="278"/>
      <c r="B2491" s="278"/>
      <c r="C2491" s="278"/>
      <c r="D2491" s="278"/>
      <c r="E2491" s="278"/>
      <c r="F2491" s="278"/>
      <c r="G2491" s="278"/>
      <c r="H2491" s="278"/>
      <c r="I2491" s="278"/>
      <c r="J2491" s="278"/>
      <c r="K2491" s="278"/>
    </row>
    <row r="2492" spans="1:11" x14ac:dyDescent="0.15">
      <c r="A2492" s="278"/>
      <c r="B2492" s="278"/>
      <c r="C2492" s="278"/>
      <c r="D2492" s="278"/>
      <c r="E2492" s="278"/>
      <c r="F2492" s="278"/>
      <c r="G2492" s="278"/>
      <c r="H2492" s="278"/>
      <c r="I2492" s="278"/>
      <c r="J2492" s="278"/>
      <c r="K2492" s="278"/>
    </row>
    <row r="2493" spans="1:11" x14ac:dyDescent="0.15">
      <c r="A2493" s="278"/>
      <c r="B2493" s="278"/>
      <c r="C2493" s="278"/>
      <c r="D2493" s="278"/>
      <c r="E2493" s="278"/>
      <c r="F2493" s="278"/>
      <c r="G2493" s="278"/>
      <c r="H2493" s="278"/>
      <c r="I2493" s="278"/>
      <c r="J2493" s="278"/>
      <c r="K2493" s="278"/>
    </row>
    <row r="2494" spans="1:11" x14ac:dyDescent="0.15">
      <c r="A2494" s="278"/>
      <c r="B2494" s="278"/>
      <c r="C2494" s="278"/>
      <c r="D2494" s="278"/>
      <c r="E2494" s="278"/>
      <c r="F2494" s="278"/>
      <c r="G2494" s="278"/>
      <c r="H2494" s="278"/>
      <c r="I2494" s="278"/>
      <c r="J2494" s="278"/>
      <c r="K2494" s="278"/>
    </row>
    <row r="2495" spans="1:11" x14ac:dyDescent="0.15">
      <c r="A2495" s="278"/>
      <c r="B2495" s="278"/>
      <c r="C2495" s="278"/>
      <c r="D2495" s="278"/>
      <c r="E2495" s="278"/>
      <c r="F2495" s="278"/>
      <c r="G2495" s="278"/>
      <c r="H2495" s="278"/>
      <c r="I2495" s="278"/>
      <c r="J2495" s="278"/>
      <c r="K2495" s="278"/>
    </row>
    <row r="2496" spans="1:11" x14ac:dyDescent="0.15">
      <c r="A2496" s="278"/>
      <c r="B2496" s="278"/>
      <c r="C2496" s="278"/>
      <c r="D2496" s="278"/>
      <c r="E2496" s="278"/>
      <c r="F2496" s="278"/>
      <c r="G2496" s="278"/>
      <c r="H2496" s="278"/>
      <c r="I2496" s="278"/>
      <c r="J2496" s="278"/>
      <c r="K2496" s="278"/>
    </row>
    <row r="2497" spans="1:11" x14ac:dyDescent="0.15">
      <c r="A2497" s="278"/>
      <c r="B2497" s="278"/>
      <c r="C2497" s="278"/>
      <c r="D2497" s="278"/>
      <c r="E2497" s="278"/>
      <c r="F2497" s="278"/>
      <c r="G2497" s="278"/>
      <c r="H2497" s="278"/>
      <c r="I2497" s="278"/>
      <c r="J2497" s="278"/>
      <c r="K2497" s="278"/>
    </row>
    <row r="2498" spans="1:11" x14ac:dyDescent="0.15">
      <c r="A2498" s="278"/>
      <c r="B2498" s="278"/>
      <c r="C2498" s="278"/>
      <c r="D2498" s="278"/>
      <c r="E2498" s="278"/>
      <c r="F2498" s="278"/>
      <c r="G2498" s="278"/>
      <c r="H2498" s="278"/>
      <c r="I2498" s="278"/>
      <c r="J2498" s="278"/>
      <c r="K2498" s="278"/>
    </row>
    <row r="2499" spans="1:11" x14ac:dyDescent="0.15">
      <c r="A2499" s="278"/>
      <c r="B2499" s="278"/>
      <c r="C2499" s="278"/>
      <c r="D2499" s="278"/>
      <c r="E2499" s="278"/>
      <c r="F2499" s="278"/>
      <c r="G2499" s="278"/>
      <c r="H2499" s="278"/>
      <c r="I2499" s="278"/>
      <c r="J2499" s="278"/>
      <c r="K2499" s="278"/>
    </row>
    <row r="2500" spans="1:11" x14ac:dyDescent="0.15">
      <c r="A2500" s="278"/>
      <c r="B2500" s="278"/>
      <c r="C2500" s="278"/>
      <c r="D2500" s="278"/>
      <c r="E2500" s="278"/>
      <c r="F2500" s="278"/>
      <c r="G2500" s="278"/>
      <c r="H2500" s="278"/>
      <c r="I2500" s="278"/>
      <c r="J2500" s="278"/>
      <c r="K2500" s="278"/>
    </row>
    <row r="2501" spans="1:11" x14ac:dyDescent="0.15">
      <c r="A2501" s="278"/>
      <c r="B2501" s="278"/>
      <c r="C2501" s="278"/>
      <c r="D2501" s="278"/>
      <c r="E2501" s="278"/>
      <c r="F2501" s="278"/>
      <c r="G2501" s="278"/>
      <c r="H2501" s="278"/>
      <c r="I2501" s="278"/>
      <c r="J2501" s="278"/>
      <c r="K2501" s="278"/>
    </row>
    <row r="2502" spans="1:11" x14ac:dyDescent="0.15">
      <c r="A2502" s="278"/>
      <c r="B2502" s="278"/>
      <c r="C2502" s="278"/>
      <c r="D2502" s="278"/>
      <c r="E2502" s="278"/>
      <c r="F2502" s="278"/>
      <c r="G2502" s="278"/>
      <c r="H2502" s="278"/>
      <c r="I2502" s="278"/>
      <c r="J2502" s="278"/>
      <c r="K2502" s="278"/>
    </row>
    <row r="2503" spans="1:11" x14ac:dyDescent="0.15">
      <c r="A2503" s="278"/>
      <c r="B2503" s="278"/>
      <c r="C2503" s="278"/>
      <c r="D2503" s="278"/>
      <c r="E2503" s="278"/>
      <c r="F2503" s="278"/>
      <c r="G2503" s="278"/>
      <c r="H2503" s="278"/>
      <c r="I2503" s="278"/>
      <c r="J2503" s="278"/>
      <c r="K2503" s="278"/>
    </row>
    <row r="2504" spans="1:11" x14ac:dyDescent="0.15">
      <c r="A2504" s="278"/>
      <c r="B2504" s="278"/>
      <c r="C2504" s="278"/>
      <c r="D2504" s="278"/>
      <c r="E2504" s="278"/>
      <c r="F2504" s="278"/>
      <c r="G2504" s="278"/>
      <c r="H2504" s="278"/>
      <c r="I2504" s="278"/>
      <c r="J2504" s="278"/>
      <c r="K2504" s="278"/>
    </row>
    <row r="2505" spans="1:11" x14ac:dyDescent="0.15">
      <c r="A2505" s="278"/>
      <c r="B2505" s="278"/>
      <c r="C2505" s="278"/>
      <c r="D2505" s="278"/>
      <c r="E2505" s="278"/>
      <c r="F2505" s="278"/>
      <c r="G2505" s="278"/>
      <c r="H2505" s="278"/>
      <c r="I2505" s="278"/>
      <c r="J2505" s="278"/>
      <c r="K2505" s="278"/>
    </row>
    <row r="2506" spans="1:11" x14ac:dyDescent="0.15">
      <c r="A2506" s="278"/>
      <c r="B2506" s="278"/>
      <c r="C2506" s="278"/>
      <c r="D2506" s="278"/>
      <c r="E2506" s="278"/>
      <c r="F2506" s="278"/>
      <c r="G2506" s="278"/>
      <c r="H2506" s="278"/>
      <c r="I2506" s="278"/>
      <c r="J2506" s="278"/>
      <c r="K2506" s="278"/>
    </row>
    <row r="2507" spans="1:11" x14ac:dyDescent="0.15">
      <c r="A2507" s="278"/>
      <c r="B2507" s="278"/>
      <c r="C2507" s="278"/>
      <c r="D2507" s="278"/>
      <c r="E2507" s="278"/>
      <c r="F2507" s="278"/>
      <c r="G2507" s="278"/>
      <c r="H2507" s="278"/>
      <c r="I2507" s="278"/>
      <c r="J2507" s="278"/>
      <c r="K2507" s="278"/>
    </row>
    <row r="2508" spans="1:11" x14ac:dyDescent="0.15">
      <c r="A2508" s="278"/>
      <c r="B2508" s="278"/>
      <c r="C2508" s="278"/>
      <c r="D2508" s="278"/>
      <c r="E2508" s="278"/>
      <c r="F2508" s="278"/>
      <c r="G2508" s="278"/>
      <c r="H2508" s="278"/>
      <c r="I2508" s="278"/>
      <c r="J2508" s="278"/>
      <c r="K2508" s="278"/>
    </row>
    <row r="2509" spans="1:11" x14ac:dyDescent="0.15">
      <c r="A2509" s="278"/>
      <c r="B2509" s="278"/>
      <c r="C2509" s="278"/>
      <c r="D2509" s="278"/>
      <c r="E2509" s="278"/>
      <c r="F2509" s="278"/>
      <c r="G2509" s="278"/>
      <c r="H2509" s="278"/>
      <c r="I2509" s="278"/>
      <c r="J2509" s="278"/>
      <c r="K2509" s="278"/>
    </row>
    <row r="2510" spans="1:11" x14ac:dyDescent="0.15">
      <c r="A2510" s="278"/>
      <c r="B2510" s="278"/>
      <c r="C2510" s="278"/>
      <c r="D2510" s="278"/>
      <c r="E2510" s="278"/>
      <c r="F2510" s="278"/>
      <c r="G2510" s="278"/>
      <c r="H2510" s="278"/>
      <c r="I2510" s="278"/>
      <c r="J2510" s="278"/>
      <c r="K2510" s="278"/>
    </row>
    <row r="2511" spans="1:11" x14ac:dyDescent="0.15">
      <c r="A2511" s="278"/>
      <c r="B2511" s="278"/>
      <c r="C2511" s="278"/>
      <c r="D2511" s="278"/>
      <c r="E2511" s="278"/>
      <c r="F2511" s="278"/>
      <c r="G2511" s="278"/>
      <c r="H2511" s="278"/>
      <c r="I2511" s="278"/>
      <c r="J2511" s="278"/>
      <c r="K2511" s="278"/>
    </row>
    <row r="2512" spans="1:11" x14ac:dyDescent="0.15">
      <c r="A2512" s="278"/>
      <c r="B2512" s="278"/>
      <c r="C2512" s="278"/>
      <c r="D2512" s="278"/>
      <c r="E2512" s="278"/>
      <c r="F2512" s="278"/>
      <c r="G2512" s="278"/>
      <c r="H2512" s="278"/>
      <c r="I2512" s="278"/>
      <c r="J2512" s="278"/>
      <c r="K2512" s="278"/>
    </row>
    <row r="2513" spans="1:11" x14ac:dyDescent="0.15">
      <c r="A2513" s="278"/>
      <c r="B2513" s="278"/>
      <c r="C2513" s="278"/>
      <c r="D2513" s="278"/>
      <c r="E2513" s="278"/>
      <c r="F2513" s="278"/>
      <c r="G2513" s="278"/>
      <c r="H2513" s="278"/>
      <c r="I2513" s="278"/>
      <c r="J2513" s="278"/>
      <c r="K2513" s="278"/>
    </row>
    <row r="2514" spans="1:11" x14ac:dyDescent="0.15">
      <c r="A2514" s="278"/>
      <c r="B2514" s="278"/>
      <c r="C2514" s="278"/>
      <c r="D2514" s="278"/>
      <c r="E2514" s="278"/>
      <c r="F2514" s="278"/>
      <c r="G2514" s="278"/>
      <c r="H2514" s="278"/>
      <c r="I2514" s="278"/>
      <c r="J2514" s="278"/>
      <c r="K2514" s="278"/>
    </row>
    <row r="2515" spans="1:11" x14ac:dyDescent="0.15">
      <c r="A2515" s="278"/>
      <c r="B2515" s="278"/>
      <c r="C2515" s="278"/>
      <c r="D2515" s="278"/>
      <c r="E2515" s="278"/>
      <c r="F2515" s="278"/>
      <c r="G2515" s="278"/>
      <c r="H2515" s="278"/>
      <c r="I2515" s="278"/>
      <c r="J2515" s="278"/>
      <c r="K2515" s="278"/>
    </row>
    <row r="2516" spans="1:11" x14ac:dyDescent="0.15">
      <c r="A2516" s="278"/>
      <c r="B2516" s="278"/>
      <c r="C2516" s="278"/>
      <c r="D2516" s="278"/>
      <c r="E2516" s="278"/>
      <c r="F2516" s="278"/>
      <c r="G2516" s="278"/>
      <c r="H2516" s="278"/>
      <c r="I2516" s="278"/>
      <c r="J2516" s="278"/>
      <c r="K2516" s="278"/>
    </row>
    <row r="2517" spans="1:11" x14ac:dyDescent="0.15">
      <c r="A2517" s="278"/>
      <c r="B2517" s="278"/>
      <c r="C2517" s="278"/>
      <c r="D2517" s="278"/>
      <c r="E2517" s="278"/>
      <c r="F2517" s="278"/>
      <c r="G2517" s="278"/>
      <c r="H2517" s="278"/>
      <c r="I2517" s="278"/>
      <c r="J2517" s="278"/>
      <c r="K2517" s="278"/>
    </row>
    <row r="2518" spans="1:11" x14ac:dyDescent="0.15">
      <c r="A2518" s="278"/>
      <c r="B2518" s="278"/>
      <c r="C2518" s="278"/>
      <c r="D2518" s="278"/>
      <c r="E2518" s="278"/>
      <c r="F2518" s="278"/>
      <c r="G2518" s="278"/>
      <c r="H2518" s="278"/>
      <c r="I2518" s="278"/>
      <c r="J2518" s="278"/>
      <c r="K2518" s="278"/>
    </row>
    <row r="2519" spans="1:11" x14ac:dyDescent="0.15">
      <c r="A2519" s="278"/>
      <c r="B2519" s="278"/>
      <c r="C2519" s="278"/>
      <c r="D2519" s="278"/>
      <c r="E2519" s="278"/>
      <c r="F2519" s="278"/>
      <c r="G2519" s="278"/>
      <c r="H2519" s="278"/>
      <c r="I2519" s="278"/>
      <c r="J2519" s="278"/>
      <c r="K2519" s="278"/>
    </row>
    <row r="2520" spans="1:11" x14ac:dyDescent="0.15">
      <c r="A2520" s="278"/>
      <c r="B2520" s="278"/>
      <c r="C2520" s="278"/>
      <c r="D2520" s="278"/>
      <c r="E2520" s="278"/>
      <c r="F2520" s="278"/>
      <c r="G2520" s="278"/>
      <c r="H2520" s="278"/>
      <c r="I2520" s="278"/>
      <c r="J2520" s="278"/>
      <c r="K2520" s="278"/>
    </row>
    <row r="2521" spans="1:11" x14ac:dyDescent="0.15">
      <c r="A2521" s="278"/>
      <c r="B2521" s="278"/>
      <c r="C2521" s="278"/>
      <c r="D2521" s="278"/>
      <c r="E2521" s="278"/>
      <c r="F2521" s="278"/>
      <c r="G2521" s="278"/>
      <c r="H2521" s="278"/>
      <c r="I2521" s="278"/>
      <c r="J2521" s="278"/>
      <c r="K2521" s="278"/>
    </row>
    <row r="2522" spans="1:11" x14ac:dyDescent="0.15">
      <c r="A2522" s="278"/>
      <c r="B2522" s="278"/>
      <c r="C2522" s="278"/>
      <c r="D2522" s="278"/>
      <c r="E2522" s="278"/>
      <c r="F2522" s="278"/>
      <c r="G2522" s="278"/>
      <c r="H2522" s="278"/>
      <c r="I2522" s="278"/>
      <c r="J2522" s="278"/>
      <c r="K2522" s="278"/>
    </row>
    <row r="2523" spans="1:11" x14ac:dyDescent="0.15">
      <c r="A2523" s="278"/>
      <c r="B2523" s="278"/>
      <c r="C2523" s="278"/>
      <c r="D2523" s="278"/>
      <c r="E2523" s="278"/>
      <c r="F2523" s="278"/>
      <c r="G2523" s="278"/>
      <c r="H2523" s="278"/>
      <c r="I2523" s="278"/>
      <c r="J2523" s="278"/>
      <c r="K2523" s="278"/>
    </row>
    <row r="2524" spans="1:11" x14ac:dyDescent="0.15">
      <c r="A2524" s="278"/>
      <c r="B2524" s="278"/>
      <c r="C2524" s="278"/>
      <c r="D2524" s="278"/>
      <c r="E2524" s="278"/>
      <c r="F2524" s="278"/>
      <c r="G2524" s="278"/>
      <c r="H2524" s="278"/>
      <c r="I2524" s="278"/>
      <c r="J2524" s="278"/>
      <c r="K2524" s="278"/>
    </row>
    <row r="2525" spans="1:11" x14ac:dyDescent="0.15">
      <c r="A2525" s="278"/>
      <c r="B2525" s="278"/>
      <c r="C2525" s="278"/>
      <c r="D2525" s="278"/>
      <c r="E2525" s="278"/>
      <c r="F2525" s="278"/>
      <c r="G2525" s="278"/>
      <c r="H2525" s="278"/>
      <c r="I2525" s="278"/>
      <c r="J2525" s="278"/>
      <c r="K2525" s="278"/>
    </row>
    <row r="2526" spans="1:11" x14ac:dyDescent="0.15">
      <c r="A2526" s="278"/>
      <c r="B2526" s="278"/>
      <c r="C2526" s="278"/>
      <c r="D2526" s="278"/>
      <c r="E2526" s="278"/>
      <c r="F2526" s="278"/>
      <c r="G2526" s="278"/>
      <c r="H2526" s="278"/>
      <c r="I2526" s="278"/>
      <c r="J2526" s="278"/>
      <c r="K2526" s="278"/>
    </row>
    <row r="2527" spans="1:11" x14ac:dyDescent="0.15">
      <c r="A2527" s="278"/>
      <c r="B2527" s="278"/>
      <c r="C2527" s="278"/>
      <c r="D2527" s="278"/>
      <c r="E2527" s="278"/>
      <c r="F2527" s="278"/>
      <c r="G2527" s="278"/>
      <c r="H2527" s="278"/>
      <c r="I2527" s="278"/>
      <c r="J2527" s="278"/>
      <c r="K2527" s="278"/>
    </row>
    <row r="2528" spans="1:11" x14ac:dyDescent="0.15">
      <c r="A2528" s="278"/>
      <c r="B2528" s="278"/>
      <c r="C2528" s="278"/>
      <c r="D2528" s="278"/>
      <c r="E2528" s="278"/>
      <c r="F2528" s="278"/>
      <c r="G2528" s="278"/>
      <c r="H2528" s="278"/>
      <c r="I2528" s="278"/>
      <c r="J2528" s="278"/>
      <c r="K2528" s="278"/>
    </row>
    <row r="2529" spans="1:11" x14ac:dyDescent="0.15">
      <c r="A2529" s="278"/>
      <c r="B2529" s="278"/>
      <c r="C2529" s="278"/>
      <c r="D2529" s="278"/>
      <c r="E2529" s="278"/>
      <c r="F2529" s="278"/>
      <c r="G2529" s="278"/>
      <c r="H2529" s="278"/>
      <c r="I2529" s="278"/>
      <c r="J2529" s="278"/>
      <c r="K2529" s="278"/>
    </row>
    <row r="2530" spans="1:11" x14ac:dyDescent="0.15">
      <c r="A2530" s="278"/>
      <c r="B2530" s="278"/>
      <c r="C2530" s="278"/>
      <c r="D2530" s="278"/>
      <c r="E2530" s="278"/>
      <c r="F2530" s="278"/>
      <c r="G2530" s="278"/>
      <c r="H2530" s="278"/>
      <c r="I2530" s="278"/>
      <c r="J2530" s="278"/>
      <c r="K2530" s="278"/>
    </row>
    <row r="2531" spans="1:11" x14ac:dyDescent="0.15">
      <c r="A2531" s="278"/>
      <c r="B2531" s="278"/>
      <c r="C2531" s="278"/>
      <c r="D2531" s="278"/>
      <c r="E2531" s="278"/>
      <c r="F2531" s="278"/>
      <c r="G2531" s="278"/>
      <c r="H2531" s="278"/>
      <c r="I2531" s="278"/>
      <c r="J2531" s="278"/>
      <c r="K2531" s="278"/>
    </row>
    <row r="2532" spans="1:11" x14ac:dyDescent="0.15">
      <c r="A2532" s="278"/>
      <c r="B2532" s="278"/>
      <c r="C2532" s="278"/>
      <c r="D2532" s="278"/>
      <c r="E2532" s="278"/>
      <c r="F2532" s="278"/>
      <c r="G2532" s="278"/>
      <c r="H2532" s="278"/>
      <c r="I2532" s="278"/>
      <c r="J2532" s="278"/>
      <c r="K2532" s="278"/>
    </row>
    <row r="2533" spans="1:11" x14ac:dyDescent="0.15">
      <c r="A2533" s="278"/>
      <c r="B2533" s="278"/>
      <c r="C2533" s="278"/>
      <c r="D2533" s="278"/>
      <c r="E2533" s="278"/>
      <c r="F2533" s="278"/>
      <c r="G2533" s="278"/>
      <c r="H2533" s="278"/>
      <c r="I2533" s="278"/>
      <c r="J2533" s="278"/>
      <c r="K2533" s="278"/>
    </row>
    <row r="2534" spans="1:11" x14ac:dyDescent="0.15">
      <c r="A2534" s="278"/>
      <c r="B2534" s="278"/>
      <c r="C2534" s="278"/>
      <c r="D2534" s="278"/>
      <c r="E2534" s="278"/>
      <c r="F2534" s="278"/>
      <c r="G2534" s="278"/>
      <c r="H2534" s="278"/>
      <c r="I2534" s="278"/>
      <c r="J2534" s="278"/>
      <c r="K2534" s="278"/>
    </row>
    <row r="2535" spans="1:11" x14ac:dyDescent="0.15">
      <c r="A2535" s="278"/>
      <c r="B2535" s="278"/>
      <c r="C2535" s="278"/>
      <c r="D2535" s="278"/>
      <c r="E2535" s="278"/>
      <c r="F2535" s="278"/>
      <c r="G2535" s="278"/>
      <c r="H2535" s="278"/>
      <c r="I2535" s="278"/>
      <c r="J2535" s="278"/>
      <c r="K2535" s="278"/>
    </row>
    <row r="2536" spans="1:11" x14ac:dyDescent="0.15">
      <c r="A2536" s="278"/>
      <c r="B2536" s="278"/>
      <c r="C2536" s="278"/>
      <c r="D2536" s="278"/>
      <c r="E2536" s="278"/>
      <c r="F2536" s="278"/>
      <c r="G2536" s="278"/>
      <c r="H2536" s="278"/>
      <c r="I2536" s="278"/>
      <c r="J2536" s="278"/>
      <c r="K2536" s="278"/>
    </row>
    <row r="2537" spans="1:11" x14ac:dyDescent="0.15">
      <c r="A2537" s="278"/>
      <c r="B2537" s="278"/>
      <c r="C2537" s="278"/>
      <c r="D2537" s="278"/>
      <c r="E2537" s="278"/>
      <c r="F2537" s="278"/>
      <c r="G2537" s="278"/>
      <c r="H2537" s="278"/>
      <c r="I2537" s="278"/>
      <c r="J2537" s="278"/>
      <c r="K2537" s="278"/>
    </row>
    <row r="2538" spans="1:11" x14ac:dyDescent="0.15">
      <c r="A2538" s="278"/>
      <c r="B2538" s="278"/>
      <c r="C2538" s="278"/>
      <c r="D2538" s="278"/>
      <c r="E2538" s="278"/>
      <c r="F2538" s="278"/>
      <c r="G2538" s="278"/>
      <c r="H2538" s="278"/>
      <c r="I2538" s="278"/>
      <c r="J2538" s="278"/>
      <c r="K2538" s="278"/>
    </row>
    <row r="2539" spans="1:11" x14ac:dyDescent="0.15">
      <c r="A2539" s="278"/>
      <c r="B2539" s="278"/>
      <c r="C2539" s="278"/>
      <c r="D2539" s="278"/>
      <c r="E2539" s="278"/>
      <c r="F2539" s="278"/>
      <c r="G2539" s="278"/>
      <c r="H2539" s="278"/>
      <c r="I2539" s="278"/>
      <c r="J2539" s="278"/>
      <c r="K2539" s="278"/>
    </row>
    <row r="2540" spans="1:11" x14ac:dyDescent="0.15">
      <c r="A2540" s="278"/>
      <c r="B2540" s="278"/>
      <c r="C2540" s="278"/>
      <c r="D2540" s="278"/>
      <c r="E2540" s="278"/>
      <c r="F2540" s="278"/>
      <c r="G2540" s="278"/>
      <c r="H2540" s="278"/>
      <c r="I2540" s="278"/>
      <c r="J2540" s="278"/>
      <c r="K2540" s="278"/>
    </row>
    <row r="2541" spans="1:11" x14ac:dyDescent="0.15">
      <c r="A2541" s="278"/>
      <c r="B2541" s="278"/>
      <c r="C2541" s="278"/>
      <c r="D2541" s="278"/>
      <c r="E2541" s="278"/>
      <c r="F2541" s="278"/>
      <c r="G2541" s="278"/>
      <c r="H2541" s="278"/>
      <c r="I2541" s="278"/>
      <c r="J2541" s="278"/>
      <c r="K2541" s="278"/>
    </row>
    <row r="2542" spans="1:11" x14ac:dyDescent="0.15">
      <c r="A2542" s="278"/>
      <c r="B2542" s="278"/>
      <c r="C2542" s="278"/>
      <c r="D2542" s="278"/>
      <c r="E2542" s="278"/>
      <c r="F2542" s="278"/>
      <c r="G2542" s="278"/>
      <c r="H2542" s="278"/>
      <c r="I2542" s="278"/>
      <c r="J2542" s="278"/>
      <c r="K2542" s="278"/>
    </row>
    <row r="2543" spans="1:11" x14ac:dyDescent="0.15">
      <c r="A2543" s="278"/>
      <c r="B2543" s="278"/>
      <c r="C2543" s="278"/>
      <c r="D2543" s="278"/>
      <c r="E2543" s="278"/>
      <c r="F2543" s="278"/>
      <c r="G2543" s="278"/>
      <c r="H2543" s="278"/>
      <c r="I2543" s="278"/>
      <c r="J2543" s="278"/>
      <c r="K2543" s="278"/>
    </row>
    <row r="2544" spans="1:11" x14ac:dyDescent="0.15">
      <c r="A2544" s="278"/>
      <c r="B2544" s="278"/>
      <c r="C2544" s="278"/>
      <c r="D2544" s="278"/>
      <c r="E2544" s="278"/>
      <c r="F2544" s="278"/>
      <c r="G2544" s="278"/>
      <c r="H2544" s="278"/>
      <c r="I2544" s="278"/>
      <c r="J2544" s="278"/>
      <c r="K2544" s="278"/>
    </row>
    <row r="2545" spans="1:11" x14ac:dyDescent="0.15">
      <c r="A2545" s="278"/>
      <c r="B2545" s="278"/>
      <c r="C2545" s="278"/>
      <c r="D2545" s="278"/>
      <c r="E2545" s="278"/>
      <c r="F2545" s="278"/>
      <c r="G2545" s="278"/>
      <c r="H2545" s="278"/>
      <c r="I2545" s="278"/>
      <c r="J2545" s="278"/>
      <c r="K2545" s="278"/>
    </row>
    <row r="2546" spans="1:11" x14ac:dyDescent="0.15">
      <c r="A2546" s="278"/>
      <c r="B2546" s="278"/>
      <c r="C2546" s="278"/>
      <c r="D2546" s="278"/>
      <c r="E2546" s="278"/>
      <c r="F2546" s="278"/>
      <c r="G2546" s="278"/>
      <c r="H2546" s="278"/>
      <c r="I2546" s="278"/>
      <c r="J2546" s="278"/>
      <c r="K2546" s="278"/>
    </row>
    <row r="2547" spans="1:11" x14ac:dyDescent="0.15">
      <c r="A2547" s="278"/>
      <c r="B2547" s="278"/>
      <c r="C2547" s="278"/>
      <c r="D2547" s="278"/>
      <c r="E2547" s="278"/>
      <c r="F2547" s="278"/>
      <c r="G2547" s="278"/>
      <c r="H2547" s="278"/>
      <c r="I2547" s="278"/>
      <c r="J2547" s="278"/>
      <c r="K2547" s="278"/>
    </row>
    <row r="2548" spans="1:11" x14ac:dyDescent="0.15">
      <c r="A2548" s="278"/>
      <c r="B2548" s="278"/>
      <c r="C2548" s="278"/>
      <c r="D2548" s="278"/>
      <c r="E2548" s="278"/>
      <c r="F2548" s="278"/>
      <c r="G2548" s="278"/>
      <c r="H2548" s="278"/>
      <c r="I2548" s="278"/>
      <c r="J2548" s="278"/>
      <c r="K2548" s="278"/>
    </row>
    <row r="2549" spans="1:11" x14ac:dyDescent="0.15">
      <c r="A2549" s="278"/>
      <c r="B2549" s="278"/>
      <c r="C2549" s="278"/>
      <c r="D2549" s="278"/>
      <c r="E2549" s="278"/>
      <c r="F2549" s="278"/>
      <c r="G2549" s="278"/>
      <c r="H2549" s="278"/>
      <c r="I2549" s="278"/>
      <c r="J2549" s="278"/>
      <c r="K2549" s="278"/>
    </row>
    <row r="2550" spans="1:11" x14ac:dyDescent="0.15">
      <c r="A2550" s="278"/>
      <c r="B2550" s="278"/>
      <c r="C2550" s="278"/>
      <c r="D2550" s="278"/>
      <c r="E2550" s="278"/>
      <c r="F2550" s="278"/>
      <c r="G2550" s="278"/>
      <c r="H2550" s="278"/>
      <c r="I2550" s="278"/>
      <c r="J2550" s="278"/>
      <c r="K2550" s="278"/>
    </row>
    <row r="2551" spans="1:11" x14ac:dyDescent="0.15">
      <c r="A2551" s="278"/>
      <c r="B2551" s="278"/>
      <c r="C2551" s="278"/>
      <c r="D2551" s="278"/>
      <c r="E2551" s="278"/>
      <c r="F2551" s="278"/>
      <c r="G2551" s="278"/>
      <c r="H2551" s="278"/>
      <c r="I2551" s="278"/>
      <c r="J2551" s="278"/>
      <c r="K2551" s="278"/>
    </row>
    <row r="2552" spans="1:11" x14ac:dyDescent="0.15">
      <c r="A2552" s="278"/>
      <c r="B2552" s="278"/>
      <c r="C2552" s="278"/>
      <c r="D2552" s="278"/>
      <c r="E2552" s="278"/>
      <c r="F2552" s="278"/>
      <c r="G2552" s="278"/>
      <c r="H2552" s="278"/>
      <c r="I2552" s="278"/>
      <c r="J2552" s="278"/>
      <c r="K2552" s="278"/>
    </row>
    <row r="2553" spans="1:11" x14ac:dyDescent="0.15">
      <c r="A2553" s="278"/>
      <c r="B2553" s="278"/>
      <c r="C2553" s="278"/>
      <c r="D2553" s="278"/>
      <c r="E2553" s="278"/>
      <c r="F2553" s="278"/>
      <c r="G2553" s="278"/>
      <c r="H2553" s="278"/>
      <c r="I2553" s="278"/>
      <c r="J2553" s="278"/>
      <c r="K2553" s="278"/>
    </row>
    <row r="2554" spans="1:11" x14ac:dyDescent="0.15">
      <c r="A2554" s="278"/>
      <c r="B2554" s="278"/>
      <c r="C2554" s="278"/>
      <c r="D2554" s="278"/>
      <c r="E2554" s="278"/>
      <c r="F2554" s="278"/>
      <c r="G2554" s="278"/>
      <c r="H2554" s="278"/>
      <c r="I2554" s="278"/>
      <c r="J2554" s="278"/>
      <c r="K2554" s="278"/>
    </row>
    <row r="2555" spans="1:11" x14ac:dyDescent="0.15">
      <c r="A2555" s="278"/>
      <c r="B2555" s="278"/>
      <c r="C2555" s="278"/>
      <c r="D2555" s="278"/>
      <c r="E2555" s="278"/>
      <c r="F2555" s="278"/>
      <c r="G2555" s="278"/>
      <c r="H2555" s="278"/>
      <c r="I2555" s="278"/>
      <c r="J2555" s="278"/>
      <c r="K2555" s="278"/>
    </row>
    <row r="2556" spans="1:11" x14ac:dyDescent="0.15">
      <c r="A2556" s="278"/>
      <c r="B2556" s="278"/>
      <c r="C2556" s="278"/>
      <c r="D2556" s="278"/>
      <c r="E2556" s="278"/>
      <c r="F2556" s="278"/>
      <c r="G2556" s="278"/>
      <c r="H2556" s="278"/>
      <c r="I2556" s="278"/>
      <c r="J2556" s="278"/>
      <c r="K2556" s="278"/>
    </row>
    <row r="2557" spans="1:11" x14ac:dyDescent="0.15">
      <c r="A2557" s="278"/>
      <c r="B2557" s="278"/>
      <c r="C2557" s="278"/>
      <c r="D2557" s="278"/>
      <c r="E2557" s="278"/>
      <c r="F2557" s="278"/>
      <c r="G2557" s="278"/>
      <c r="H2557" s="278"/>
      <c r="I2557" s="278"/>
      <c r="J2557" s="278"/>
      <c r="K2557" s="278"/>
    </row>
    <row r="2558" spans="1:11" x14ac:dyDescent="0.15">
      <c r="A2558" s="278"/>
      <c r="B2558" s="278"/>
      <c r="C2558" s="278"/>
      <c r="D2558" s="278"/>
      <c r="E2558" s="278"/>
      <c r="F2558" s="278"/>
      <c r="G2558" s="278"/>
      <c r="H2558" s="278"/>
      <c r="I2558" s="278"/>
      <c r="J2558" s="278"/>
      <c r="K2558" s="278"/>
    </row>
    <row r="2559" spans="1:11" x14ac:dyDescent="0.15">
      <c r="A2559" s="278"/>
      <c r="B2559" s="278"/>
      <c r="C2559" s="278"/>
      <c r="D2559" s="278"/>
      <c r="E2559" s="278"/>
      <c r="F2559" s="278"/>
      <c r="G2559" s="278"/>
      <c r="H2559" s="278"/>
      <c r="I2559" s="278"/>
      <c r="J2559" s="278"/>
      <c r="K2559" s="278"/>
    </row>
    <row r="2560" spans="1:11" x14ac:dyDescent="0.15">
      <c r="A2560" s="278"/>
      <c r="B2560" s="278"/>
      <c r="C2560" s="278"/>
      <c r="D2560" s="278"/>
      <c r="E2560" s="278"/>
      <c r="F2560" s="278"/>
      <c r="G2560" s="278"/>
      <c r="H2560" s="278"/>
      <c r="I2560" s="278"/>
      <c r="J2560" s="278"/>
      <c r="K2560" s="278"/>
    </row>
    <row r="2561" spans="1:11" x14ac:dyDescent="0.15">
      <c r="A2561" s="278"/>
      <c r="B2561" s="278"/>
      <c r="C2561" s="278"/>
      <c r="D2561" s="278"/>
      <c r="E2561" s="278"/>
      <c r="F2561" s="278"/>
      <c r="G2561" s="278"/>
      <c r="H2561" s="278"/>
      <c r="I2561" s="278"/>
      <c r="J2561" s="278"/>
      <c r="K2561" s="278"/>
    </row>
    <row r="2562" spans="1:11" x14ac:dyDescent="0.15">
      <c r="A2562" s="278"/>
      <c r="B2562" s="278"/>
      <c r="C2562" s="278"/>
      <c r="D2562" s="278"/>
      <c r="E2562" s="278"/>
      <c r="F2562" s="278"/>
      <c r="G2562" s="278"/>
      <c r="H2562" s="278"/>
      <c r="I2562" s="278"/>
      <c r="J2562" s="278"/>
      <c r="K2562" s="278"/>
    </row>
    <row r="2563" spans="1:11" x14ac:dyDescent="0.15">
      <c r="A2563" s="278"/>
      <c r="B2563" s="278"/>
      <c r="C2563" s="278"/>
      <c r="D2563" s="278"/>
      <c r="E2563" s="278"/>
      <c r="F2563" s="278"/>
      <c r="G2563" s="278"/>
      <c r="H2563" s="278"/>
      <c r="I2563" s="278"/>
      <c r="J2563" s="278"/>
      <c r="K2563" s="278"/>
    </row>
    <row r="2564" spans="1:11" x14ac:dyDescent="0.15">
      <c r="A2564" s="278"/>
      <c r="B2564" s="278"/>
      <c r="C2564" s="278"/>
      <c r="D2564" s="278"/>
      <c r="E2564" s="278"/>
      <c r="F2564" s="278"/>
      <c r="G2564" s="278"/>
      <c r="H2564" s="278"/>
      <c r="I2564" s="278"/>
      <c r="J2564" s="278"/>
      <c r="K2564" s="278"/>
    </row>
    <row r="2565" spans="1:11" x14ac:dyDescent="0.15">
      <c r="A2565" s="278"/>
      <c r="B2565" s="278"/>
      <c r="C2565" s="278"/>
      <c r="D2565" s="278"/>
      <c r="E2565" s="278"/>
      <c r="F2565" s="278"/>
      <c r="G2565" s="278"/>
      <c r="H2565" s="278"/>
      <c r="I2565" s="278"/>
      <c r="J2565" s="278"/>
      <c r="K2565" s="278"/>
    </row>
    <row r="2566" spans="1:11" x14ac:dyDescent="0.15">
      <c r="A2566" s="278"/>
      <c r="B2566" s="278"/>
      <c r="C2566" s="278"/>
      <c r="D2566" s="278"/>
      <c r="E2566" s="278"/>
      <c r="F2566" s="278"/>
      <c r="G2566" s="278"/>
      <c r="H2566" s="278"/>
      <c r="I2566" s="278"/>
      <c r="J2566" s="278"/>
      <c r="K2566" s="278"/>
    </row>
    <row r="2567" spans="1:11" x14ac:dyDescent="0.15">
      <c r="A2567" s="278"/>
      <c r="B2567" s="278"/>
      <c r="C2567" s="278"/>
      <c r="D2567" s="278"/>
      <c r="E2567" s="278"/>
      <c r="F2567" s="278"/>
      <c r="G2567" s="278"/>
      <c r="H2567" s="278"/>
      <c r="I2567" s="278"/>
      <c r="J2567" s="278"/>
      <c r="K2567" s="278"/>
    </row>
    <row r="2568" spans="1:11" x14ac:dyDescent="0.15">
      <c r="A2568" s="278"/>
      <c r="B2568" s="278"/>
      <c r="C2568" s="278"/>
      <c r="D2568" s="278"/>
      <c r="E2568" s="278"/>
      <c r="F2568" s="278"/>
      <c r="G2568" s="278"/>
      <c r="H2568" s="278"/>
      <c r="I2568" s="278"/>
      <c r="J2568" s="278"/>
      <c r="K2568" s="278"/>
    </row>
    <row r="2569" spans="1:11" x14ac:dyDescent="0.15">
      <c r="A2569" s="278"/>
      <c r="B2569" s="278"/>
      <c r="C2569" s="278"/>
      <c r="D2569" s="278"/>
      <c r="E2569" s="278"/>
      <c r="F2569" s="278"/>
      <c r="G2569" s="278"/>
      <c r="H2569" s="278"/>
      <c r="I2569" s="278"/>
      <c r="J2569" s="278"/>
      <c r="K2569" s="278"/>
    </row>
    <row r="2570" spans="1:11" x14ac:dyDescent="0.15">
      <c r="A2570" s="278"/>
      <c r="B2570" s="278"/>
      <c r="C2570" s="278"/>
      <c r="D2570" s="278"/>
      <c r="E2570" s="278"/>
      <c r="F2570" s="278"/>
      <c r="G2570" s="278"/>
      <c r="H2570" s="278"/>
      <c r="I2570" s="278"/>
      <c r="J2570" s="278"/>
      <c r="K2570" s="278"/>
    </row>
    <row r="2571" spans="1:11" x14ac:dyDescent="0.15">
      <c r="A2571" s="278"/>
      <c r="B2571" s="278"/>
      <c r="C2571" s="278"/>
      <c r="D2571" s="278"/>
      <c r="E2571" s="278"/>
      <c r="F2571" s="278"/>
      <c r="G2571" s="278"/>
      <c r="H2571" s="278"/>
      <c r="I2571" s="278"/>
      <c r="J2571" s="278"/>
      <c r="K2571" s="278"/>
    </row>
    <row r="2572" spans="1:11" x14ac:dyDescent="0.15">
      <c r="A2572" s="278"/>
      <c r="B2572" s="278"/>
      <c r="C2572" s="278"/>
      <c r="D2572" s="278"/>
      <c r="E2572" s="278"/>
      <c r="F2572" s="278"/>
      <c r="G2572" s="278"/>
      <c r="H2572" s="278"/>
      <c r="I2572" s="278"/>
      <c r="J2572" s="278"/>
      <c r="K2572" s="278"/>
    </row>
    <row r="2573" spans="1:11" x14ac:dyDescent="0.15">
      <c r="A2573" s="278"/>
      <c r="B2573" s="278"/>
      <c r="C2573" s="278"/>
      <c r="D2573" s="278"/>
      <c r="E2573" s="278"/>
      <c r="F2573" s="278"/>
      <c r="G2573" s="278"/>
      <c r="H2573" s="278"/>
      <c r="I2573" s="278"/>
      <c r="J2573" s="278"/>
      <c r="K2573" s="278"/>
    </row>
    <row r="2574" spans="1:11" x14ac:dyDescent="0.15">
      <c r="A2574" s="278"/>
      <c r="B2574" s="278"/>
      <c r="C2574" s="278"/>
      <c r="D2574" s="278"/>
      <c r="E2574" s="278"/>
      <c r="F2574" s="278"/>
      <c r="G2574" s="278"/>
      <c r="H2574" s="278"/>
      <c r="I2574" s="278"/>
      <c r="J2574" s="278"/>
      <c r="K2574" s="278"/>
    </row>
    <row r="2575" spans="1:11" x14ac:dyDescent="0.15">
      <c r="A2575" s="278"/>
      <c r="B2575" s="278"/>
      <c r="C2575" s="278"/>
      <c r="D2575" s="278"/>
      <c r="E2575" s="278"/>
      <c r="F2575" s="278"/>
      <c r="G2575" s="278"/>
      <c r="H2575" s="278"/>
      <c r="I2575" s="278"/>
      <c r="J2575" s="278"/>
      <c r="K2575" s="278"/>
    </row>
    <row r="2576" spans="1:11" x14ac:dyDescent="0.15">
      <c r="A2576" s="278"/>
      <c r="B2576" s="278"/>
      <c r="C2576" s="278"/>
      <c r="D2576" s="278"/>
      <c r="E2576" s="278"/>
      <c r="F2576" s="278"/>
      <c r="G2576" s="278"/>
      <c r="H2576" s="278"/>
      <c r="I2576" s="278"/>
      <c r="J2576" s="278"/>
      <c r="K2576" s="278"/>
    </row>
    <row r="2577" spans="1:11" x14ac:dyDescent="0.15">
      <c r="A2577" s="278"/>
      <c r="B2577" s="278"/>
      <c r="C2577" s="278"/>
      <c r="D2577" s="278"/>
      <c r="E2577" s="278"/>
      <c r="F2577" s="278"/>
      <c r="G2577" s="278"/>
      <c r="H2577" s="278"/>
      <c r="I2577" s="278"/>
      <c r="J2577" s="278"/>
      <c r="K2577" s="278"/>
    </row>
    <row r="2578" spans="1:11" x14ac:dyDescent="0.15">
      <c r="A2578" s="278"/>
      <c r="B2578" s="278"/>
      <c r="C2578" s="278"/>
      <c r="D2578" s="278"/>
      <c r="E2578" s="278"/>
      <c r="F2578" s="278"/>
      <c r="G2578" s="278"/>
      <c r="H2578" s="278"/>
      <c r="I2578" s="278"/>
      <c r="J2578" s="278"/>
      <c r="K2578" s="278"/>
    </row>
    <row r="2579" spans="1:11" x14ac:dyDescent="0.15">
      <c r="A2579" s="278"/>
      <c r="B2579" s="278"/>
      <c r="C2579" s="278"/>
      <c r="D2579" s="278"/>
      <c r="E2579" s="278"/>
      <c r="F2579" s="278"/>
      <c r="G2579" s="278"/>
      <c r="H2579" s="278"/>
      <c r="I2579" s="278"/>
      <c r="J2579" s="278"/>
      <c r="K2579" s="278"/>
    </row>
    <row r="2580" spans="1:11" x14ac:dyDescent="0.15">
      <c r="A2580" s="278"/>
      <c r="B2580" s="278"/>
      <c r="C2580" s="278"/>
      <c r="D2580" s="278"/>
      <c r="E2580" s="278"/>
      <c r="F2580" s="278"/>
      <c r="G2580" s="278"/>
      <c r="H2580" s="278"/>
      <c r="I2580" s="278"/>
      <c r="J2580" s="278"/>
      <c r="K2580" s="278"/>
    </row>
    <row r="2581" spans="1:11" x14ac:dyDescent="0.15">
      <c r="A2581" s="278"/>
      <c r="B2581" s="278"/>
      <c r="C2581" s="278"/>
      <c r="D2581" s="278"/>
      <c r="E2581" s="278"/>
      <c r="F2581" s="278"/>
      <c r="G2581" s="278"/>
      <c r="H2581" s="278"/>
      <c r="I2581" s="278"/>
      <c r="J2581" s="278"/>
      <c r="K2581" s="278"/>
    </row>
    <row r="2582" spans="1:11" x14ac:dyDescent="0.15">
      <c r="A2582" s="278"/>
      <c r="B2582" s="278"/>
      <c r="C2582" s="278"/>
      <c r="D2582" s="278"/>
      <c r="E2582" s="278"/>
      <c r="F2582" s="278"/>
      <c r="G2582" s="278"/>
      <c r="H2582" s="278"/>
      <c r="I2582" s="278"/>
      <c r="J2582" s="278"/>
      <c r="K2582" s="278"/>
    </row>
    <row r="2583" spans="1:11" x14ac:dyDescent="0.15">
      <c r="A2583" s="278"/>
      <c r="B2583" s="278"/>
      <c r="C2583" s="278"/>
      <c r="D2583" s="278"/>
      <c r="E2583" s="278"/>
      <c r="F2583" s="278"/>
      <c r="G2583" s="278"/>
      <c r="H2583" s="278"/>
      <c r="I2583" s="278"/>
      <c r="J2583" s="278"/>
      <c r="K2583" s="278"/>
    </row>
    <row r="2584" spans="1:11" x14ac:dyDescent="0.15">
      <c r="A2584" s="278"/>
      <c r="B2584" s="278"/>
      <c r="C2584" s="278"/>
      <c r="D2584" s="278"/>
      <c r="E2584" s="278"/>
      <c r="F2584" s="278"/>
      <c r="G2584" s="278"/>
      <c r="H2584" s="278"/>
      <c r="I2584" s="278"/>
      <c r="J2584" s="278"/>
      <c r="K2584" s="278"/>
    </row>
    <row r="2585" spans="1:11" x14ac:dyDescent="0.15">
      <c r="A2585" s="278"/>
      <c r="B2585" s="278"/>
      <c r="C2585" s="278"/>
      <c r="D2585" s="278"/>
      <c r="E2585" s="278"/>
      <c r="F2585" s="278"/>
      <c r="G2585" s="278"/>
      <c r="H2585" s="278"/>
      <c r="I2585" s="278"/>
      <c r="J2585" s="278"/>
      <c r="K2585" s="278"/>
    </row>
    <row r="2586" spans="1:11" x14ac:dyDescent="0.15">
      <c r="A2586" s="278"/>
      <c r="B2586" s="278"/>
      <c r="C2586" s="278"/>
      <c r="D2586" s="278"/>
      <c r="E2586" s="278"/>
      <c r="F2586" s="278"/>
      <c r="G2586" s="278"/>
      <c r="H2586" s="278"/>
      <c r="I2586" s="278"/>
      <c r="J2586" s="278"/>
      <c r="K2586" s="278"/>
    </row>
    <row r="2587" spans="1:11" x14ac:dyDescent="0.15">
      <c r="A2587" s="278"/>
      <c r="B2587" s="278"/>
      <c r="C2587" s="278"/>
      <c r="D2587" s="278"/>
      <c r="E2587" s="278"/>
      <c r="F2587" s="278"/>
      <c r="G2587" s="278"/>
      <c r="H2587" s="278"/>
      <c r="I2587" s="278"/>
      <c r="J2587" s="278"/>
      <c r="K2587" s="278"/>
    </row>
    <row r="2588" spans="1:11" x14ac:dyDescent="0.15">
      <c r="A2588" s="278"/>
      <c r="B2588" s="278"/>
      <c r="C2588" s="278"/>
      <c r="D2588" s="278"/>
      <c r="E2588" s="278"/>
      <c r="F2588" s="278"/>
      <c r="G2588" s="278"/>
      <c r="H2588" s="278"/>
      <c r="I2588" s="278"/>
      <c r="J2588" s="278"/>
      <c r="K2588" s="278"/>
    </row>
    <row r="2589" spans="1:11" x14ac:dyDescent="0.15">
      <c r="A2589" s="278"/>
      <c r="B2589" s="278"/>
      <c r="C2589" s="278"/>
      <c r="D2589" s="278"/>
      <c r="E2589" s="278"/>
      <c r="F2589" s="278"/>
      <c r="G2589" s="278"/>
      <c r="H2589" s="278"/>
      <c r="I2589" s="278"/>
      <c r="J2589" s="278"/>
      <c r="K2589" s="278"/>
    </row>
    <row r="2590" spans="1:11" x14ac:dyDescent="0.15">
      <c r="A2590" s="278"/>
      <c r="B2590" s="278"/>
      <c r="C2590" s="278"/>
      <c r="D2590" s="278"/>
      <c r="E2590" s="278"/>
      <c r="F2590" s="278"/>
      <c r="G2590" s="278"/>
      <c r="H2590" s="278"/>
      <c r="I2590" s="278"/>
      <c r="J2590" s="278"/>
      <c r="K2590" s="278"/>
    </row>
    <row r="2591" spans="1:11" x14ac:dyDescent="0.15">
      <c r="A2591" s="278"/>
      <c r="B2591" s="278"/>
      <c r="C2591" s="278"/>
      <c r="D2591" s="278"/>
      <c r="E2591" s="278"/>
      <c r="F2591" s="278"/>
      <c r="G2591" s="278"/>
      <c r="H2591" s="278"/>
      <c r="I2591" s="278"/>
      <c r="J2591" s="278"/>
      <c r="K2591" s="278"/>
    </row>
    <row r="2592" spans="1:11" x14ac:dyDescent="0.15">
      <c r="A2592" s="278"/>
      <c r="B2592" s="278"/>
      <c r="C2592" s="278"/>
      <c r="D2592" s="278"/>
      <c r="E2592" s="278"/>
      <c r="F2592" s="278"/>
      <c r="G2592" s="278"/>
      <c r="H2592" s="278"/>
      <c r="I2592" s="278"/>
      <c r="J2592" s="278"/>
      <c r="K2592" s="278"/>
    </row>
    <row r="2593" spans="1:11" x14ac:dyDescent="0.15">
      <c r="A2593" s="278"/>
      <c r="B2593" s="278"/>
      <c r="C2593" s="278"/>
      <c r="D2593" s="278"/>
      <c r="E2593" s="278"/>
      <c r="F2593" s="278"/>
      <c r="G2593" s="278"/>
      <c r="H2593" s="278"/>
      <c r="I2593" s="278"/>
      <c r="J2593" s="278"/>
      <c r="K2593" s="278"/>
    </row>
    <row r="2594" spans="1:11" x14ac:dyDescent="0.15">
      <c r="A2594" s="278"/>
      <c r="B2594" s="278"/>
      <c r="C2594" s="278"/>
      <c r="D2594" s="278"/>
      <c r="E2594" s="278"/>
      <c r="F2594" s="278"/>
      <c r="G2594" s="278"/>
      <c r="H2594" s="278"/>
      <c r="I2594" s="278"/>
      <c r="J2594" s="278"/>
      <c r="K2594" s="278"/>
    </row>
    <row r="2595" spans="1:11" x14ac:dyDescent="0.15">
      <c r="A2595" s="278"/>
      <c r="B2595" s="278"/>
      <c r="C2595" s="278"/>
      <c r="D2595" s="278"/>
      <c r="E2595" s="278"/>
      <c r="F2595" s="278"/>
      <c r="G2595" s="278"/>
      <c r="H2595" s="278"/>
      <c r="I2595" s="278"/>
      <c r="J2595" s="278"/>
      <c r="K2595" s="278"/>
    </row>
    <row r="2596" spans="1:11" x14ac:dyDescent="0.15">
      <c r="A2596" s="278"/>
      <c r="B2596" s="278"/>
      <c r="C2596" s="278"/>
      <c r="D2596" s="278"/>
      <c r="E2596" s="278"/>
      <c r="F2596" s="278"/>
      <c r="G2596" s="278"/>
      <c r="H2596" s="278"/>
      <c r="I2596" s="278"/>
      <c r="J2596" s="278"/>
      <c r="K2596" s="278"/>
    </row>
    <row r="2597" spans="1:11" x14ac:dyDescent="0.15">
      <c r="A2597" s="278"/>
      <c r="B2597" s="278"/>
      <c r="C2597" s="278"/>
      <c r="D2597" s="278"/>
      <c r="E2597" s="278"/>
      <c r="F2597" s="278"/>
      <c r="G2597" s="278"/>
      <c r="H2597" s="278"/>
      <c r="I2597" s="278"/>
      <c r="J2597" s="278"/>
      <c r="K2597" s="278"/>
    </row>
    <row r="2598" spans="1:11" x14ac:dyDescent="0.15">
      <c r="A2598" s="278"/>
      <c r="B2598" s="278"/>
      <c r="C2598" s="278"/>
      <c r="D2598" s="278"/>
      <c r="E2598" s="278"/>
      <c r="F2598" s="278"/>
      <c r="G2598" s="278"/>
      <c r="H2598" s="278"/>
      <c r="I2598" s="278"/>
      <c r="J2598" s="278"/>
      <c r="K2598" s="278"/>
    </row>
    <row r="2599" spans="1:11" x14ac:dyDescent="0.15">
      <c r="A2599" s="278"/>
      <c r="B2599" s="278"/>
      <c r="C2599" s="278"/>
      <c r="D2599" s="278"/>
      <c r="E2599" s="278"/>
      <c r="F2599" s="278"/>
      <c r="G2599" s="278"/>
      <c r="H2599" s="278"/>
      <c r="I2599" s="278"/>
      <c r="J2599" s="278"/>
      <c r="K2599" s="278"/>
    </row>
    <row r="2600" spans="1:11" x14ac:dyDescent="0.15">
      <c r="A2600" s="278"/>
      <c r="B2600" s="278"/>
      <c r="C2600" s="278"/>
      <c r="D2600" s="278"/>
      <c r="E2600" s="278"/>
      <c r="F2600" s="278"/>
      <c r="G2600" s="278"/>
      <c r="H2600" s="278"/>
      <c r="I2600" s="278"/>
      <c r="J2600" s="278"/>
      <c r="K2600" s="278"/>
    </row>
    <row r="2601" spans="1:11" x14ac:dyDescent="0.15">
      <c r="A2601" s="278"/>
      <c r="B2601" s="278"/>
      <c r="C2601" s="278"/>
      <c r="D2601" s="278"/>
      <c r="E2601" s="278"/>
      <c r="F2601" s="278"/>
      <c r="G2601" s="278"/>
      <c r="H2601" s="278"/>
      <c r="I2601" s="278"/>
      <c r="J2601" s="278"/>
      <c r="K2601" s="278"/>
    </row>
    <row r="2602" spans="1:11" x14ac:dyDescent="0.15">
      <c r="A2602" s="278"/>
      <c r="B2602" s="278"/>
      <c r="C2602" s="278"/>
      <c r="D2602" s="278"/>
      <c r="E2602" s="278"/>
      <c r="F2602" s="278"/>
      <c r="G2602" s="278"/>
      <c r="H2602" s="278"/>
      <c r="I2602" s="278"/>
      <c r="J2602" s="278"/>
      <c r="K2602" s="278"/>
    </row>
    <row r="2603" spans="1:11" x14ac:dyDescent="0.15">
      <c r="A2603" s="278"/>
      <c r="B2603" s="278"/>
      <c r="C2603" s="278"/>
      <c r="D2603" s="278"/>
      <c r="E2603" s="278"/>
      <c r="F2603" s="278"/>
      <c r="G2603" s="278"/>
      <c r="H2603" s="278"/>
      <c r="I2603" s="278"/>
      <c r="J2603" s="278"/>
      <c r="K2603" s="278"/>
    </row>
    <row r="2604" spans="1:11" x14ac:dyDescent="0.15">
      <c r="A2604" s="278"/>
      <c r="B2604" s="278"/>
      <c r="C2604" s="278"/>
      <c r="D2604" s="278"/>
      <c r="E2604" s="278"/>
      <c r="F2604" s="278"/>
      <c r="G2604" s="278"/>
      <c r="H2604" s="278"/>
      <c r="I2604" s="278"/>
      <c r="J2604" s="278"/>
      <c r="K2604" s="278"/>
    </row>
    <row r="2605" spans="1:11" x14ac:dyDescent="0.15">
      <c r="A2605" s="278"/>
      <c r="B2605" s="278"/>
      <c r="C2605" s="278"/>
      <c r="D2605" s="278"/>
      <c r="E2605" s="278"/>
      <c r="F2605" s="278"/>
      <c r="G2605" s="278"/>
      <c r="H2605" s="278"/>
      <c r="I2605" s="278"/>
      <c r="J2605" s="278"/>
      <c r="K2605" s="278"/>
    </row>
    <row r="2606" spans="1:11" x14ac:dyDescent="0.15">
      <c r="A2606" s="278"/>
      <c r="B2606" s="278"/>
      <c r="C2606" s="278"/>
      <c r="D2606" s="278"/>
      <c r="E2606" s="278"/>
      <c r="F2606" s="278"/>
      <c r="G2606" s="278"/>
      <c r="H2606" s="278"/>
      <c r="I2606" s="278"/>
      <c r="J2606" s="278"/>
      <c r="K2606" s="278"/>
    </row>
    <row r="2607" spans="1:11" x14ac:dyDescent="0.15">
      <c r="A2607" s="278"/>
      <c r="B2607" s="278"/>
      <c r="C2607" s="278"/>
      <c r="D2607" s="278"/>
      <c r="E2607" s="278"/>
      <c r="F2607" s="278"/>
      <c r="G2607" s="278"/>
      <c r="H2607" s="278"/>
      <c r="I2607" s="278"/>
      <c r="J2607" s="278"/>
      <c r="K2607" s="278"/>
    </row>
    <row r="2608" spans="1:11" x14ac:dyDescent="0.15">
      <c r="A2608" s="278"/>
      <c r="B2608" s="278"/>
      <c r="C2608" s="278"/>
      <c r="D2608" s="278"/>
      <c r="E2608" s="278"/>
      <c r="F2608" s="278"/>
      <c r="G2608" s="278"/>
      <c r="H2608" s="278"/>
      <c r="I2608" s="278"/>
      <c r="J2608" s="278"/>
      <c r="K2608" s="278"/>
    </row>
    <row r="2609" spans="1:11" x14ac:dyDescent="0.15">
      <c r="A2609" s="278"/>
      <c r="B2609" s="278"/>
      <c r="C2609" s="278"/>
      <c r="D2609" s="278"/>
      <c r="E2609" s="278"/>
      <c r="F2609" s="278"/>
      <c r="G2609" s="278"/>
      <c r="H2609" s="278"/>
      <c r="I2609" s="278"/>
      <c r="J2609" s="278"/>
      <c r="K2609" s="278"/>
    </row>
    <row r="2610" spans="1:11" x14ac:dyDescent="0.15">
      <c r="A2610" s="278"/>
      <c r="B2610" s="278"/>
      <c r="C2610" s="278"/>
      <c r="D2610" s="278"/>
      <c r="E2610" s="278"/>
      <c r="F2610" s="278"/>
      <c r="G2610" s="278"/>
      <c r="H2610" s="278"/>
      <c r="I2610" s="278"/>
      <c r="J2610" s="278"/>
      <c r="K2610" s="278"/>
    </row>
    <row r="2611" spans="1:11" x14ac:dyDescent="0.15">
      <c r="A2611" s="278"/>
      <c r="B2611" s="278"/>
      <c r="C2611" s="278"/>
      <c r="D2611" s="278"/>
      <c r="E2611" s="278"/>
      <c r="F2611" s="278"/>
      <c r="G2611" s="278"/>
      <c r="H2611" s="278"/>
      <c r="I2611" s="278"/>
      <c r="J2611" s="278"/>
      <c r="K2611" s="278"/>
    </row>
    <row r="2612" spans="1:11" x14ac:dyDescent="0.15">
      <c r="A2612" s="278"/>
      <c r="B2612" s="278"/>
      <c r="C2612" s="278"/>
      <c r="D2612" s="278"/>
      <c r="E2612" s="278"/>
      <c r="F2612" s="278"/>
      <c r="G2612" s="278"/>
      <c r="H2612" s="278"/>
      <c r="I2612" s="278"/>
      <c r="J2612" s="278"/>
      <c r="K2612" s="278"/>
    </row>
    <row r="2613" spans="1:11" x14ac:dyDescent="0.15">
      <c r="A2613" s="278"/>
      <c r="B2613" s="278"/>
      <c r="C2613" s="278"/>
      <c r="D2613" s="278"/>
      <c r="E2613" s="278"/>
      <c r="F2613" s="278"/>
      <c r="G2613" s="278"/>
      <c r="H2613" s="278"/>
      <c r="I2613" s="278"/>
      <c r="J2613" s="278"/>
      <c r="K2613" s="278"/>
    </row>
    <row r="2614" spans="1:11" x14ac:dyDescent="0.15">
      <c r="A2614" s="278"/>
      <c r="B2614" s="278"/>
      <c r="C2614" s="278"/>
      <c r="D2614" s="278"/>
      <c r="E2614" s="278"/>
      <c r="F2614" s="278"/>
      <c r="G2614" s="278"/>
      <c r="H2614" s="278"/>
      <c r="I2614" s="278"/>
      <c r="J2614" s="278"/>
      <c r="K2614" s="278"/>
    </row>
    <row r="2615" spans="1:11" x14ac:dyDescent="0.15">
      <c r="A2615" s="278"/>
      <c r="B2615" s="278"/>
      <c r="C2615" s="278"/>
      <c r="D2615" s="278"/>
      <c r="E2615" s="278"/>
      <c r="F2615" s="278"/>
      <c r="G2615" s="278"/>
      <c r="H2615" s="278"/>
      <c r="I2615" s="278"/>
      <c r="J2615" s="278"/>
      <c r="K2615" s="278"/>
    </row>
    <row r="2616" spans="1:11" x14ac:dyDescent="0.15">
      <c r="A2616" s="278"/>
      <c r="B2616" s="278"/>
      <c r="C2616" s="278"/>
      <c r="D2616" s="278"/>
      <c r="E2616" s="278"/>
      <c r="F2616" s="278"/>
      <c r="G2616" s="278"/>
      <c r="H2616" s="278"/>
      <c r="I2616" s="278"/>
      <c r="J2616" s="278"/>
      <c r="K2616" s="278"/>
    </row>
    <row r="2617" spans="1:11" x14ac:dyDescent="0.15">
      <c r="A2617" s="278"/>
      <c r="B2617" s="278"/>
      <c r="C2617" s="278"/>
      <c r="D2617" s="278"/>
      <c r="E2617" s="278"/>
      <c r="F2617" s="278"/>
      <c r="G2617" s="278"/>
      <c r="H2617" s="278"/>
      <c r="I2617" s="278"/>
      <c r="J2617" s="278"/>
      <c r="K2617" s="278"/>
    </row>
    <row r="2618" spans="1:11" x14ac:dyDescent="0.15">
      <c r="A2618" s="278"/>
      <c r="B2618" s="278"/>
      <c r="C2618" s="278"/>
      <c r="D2618" s="278"/>
      <c r="E2618" s="278"/>
      <c r="F2618" s="278"/>
      <c r="G2618" s="278"/>
      <c r="H2618" s="278"/>
      <c r="I2618" s="278"/>
      <c r="J2618" s="278"/>
      <c r="K2618" s="278"/>
    </row>
    <row r="2619" spans="1:11" x14ac:dyDescent="0.15">
      <c r="A2619" s="278"/>
      <c r="B2619" s="278"/>
      <c r="C2619" s="278"/>
      <c r="D2619" s="278"/>
      <c r="E2619" s="278"/>
      <c r="F2619" s="278"/>
      <c r="G2619" s="278"/>
      <c r="H2619" s="278"/>
      <c r="I2619" s="278"/>
      <c r="J2619" s="278"/>
      <c r="K2619" s="278"/>
    </row>
    <row r="2620" spans="1:11" x14ac:dyDescent="0.15">
      <c r="A2620" s="278"/>
      <c r="B2620" s="278"/>
      <c r="C2620" s="278"/>
      <c r="D2620" s="278"/>
      <c r="E2620" s="278"/>
      <c r="F2620" s="278"/>
      <c r="G2620" s="278"/>
      <c r="H2620" s="278"/>
      <c r="I2620" s="278"/>
      <c r="J2620" s="278"/>
      <c r="K2620" s="278"/>
    </row>
    <row r="2621" spans="1:11" x14ac:dyDescent="0.15">
      <c r="A2621" s="278"/>
      <c r="B2621" s="278"/>
      <c r="C2621" s="278"/>
      <c r="D2621" s="278"/>
      <c r="E2621" s="278"/>
      <c r="F2621" s="278"/>
      <c r="G2621" s="278"/>
      <c r="H2621" s="278"/>
      <c r="I2621" s="278"/>
      <c r="J2621" s="278"/>
      <c r="K2621" s="278"/>
    </row>
    <row r="2622" spans="1:11" x14ac:dyDescent="0.15">
      <c r="A2622" s="278"/>
      <c r="B2622" s="278"/>
      <c r="C2622" s="278"/>
      <c r="D2622" s="278"/>
      <c r="E2622" s="278"/>
      <c r="F2622" s="278"/>
      <c r="G2622" s="278"/>
      <c r="H2622" s="278"/>
      <c r="I2622" s="278"/>
      <c r="J2622" s="278"/>
      <c r="K2622" s="278"/>
    </row>
    <row r="2623" spans="1:11" x14ac:dyDescent="0.15">
      <c r="A2623" s="278"/>
      <c r="B2623" s="278"/>
      <c r="C2623" s="278"/>
      <c r="D2623" s="278"/>
      <c r="E2623" s="278"/>
      <c r="F2623" s="278"/>
      <c r="G2623" s="278"/>
      <c r="H2623" s="278"/>
      <c r="I2623" s="278"/>
      <c r="J2623" s="278"/>
      <c r="K2623" s="278"/>
    </row>
    <row r="2624" spans="1:11" x14ac:dyDescent="0.15">
      <c r="A2624" s="278"/>
      <c r="B2624" s="278"/>
      <c r="C2624" s="278"/>
      <c r="D2624" s="278"/>
      <c r="E2624" s="278"/>
      <c r="F2624" s="278"/>
      <c r="G2624" s="278"/>
      <c r="H2624" s="278"/>
      <c r="I2624" s="278"/>
      <c r="J2624" s="278"/>
      <c r="K2624" s="278"/>
    </row>
    <row r="2625" spans="1:11" x14ac:dyDescent="0.15">
      <c r="A2625" s="278"/>
      <c r="B2625" s="278"/>
      <c r="C2625" s="278"/>
      <c r="D2625" s="278"/>
      <c r="E2625" s="278"/>
      <c r="F2625" s="278"/>
      <c r="G2625" s="278"/>
      <c r="H2625" s="278"/>
      <c r="I2625" s="278"/>
      <c r="J2625" s="278"/>
      <c r="K2625" s="278"/>
    </row>
    <row r="2626" spans="1:11" x14ac:dyDescent="0.15">
      <c r="A2626" s="278"/>
      <c r="B2626" s="278"/>
      <c r="C2626" s="278"/>
      <c r="D2626" s="278"/>
      <c r="E2626" s="278"/>
      <c r="F2626" s="278"/>
      <c r="G2626" s="278"/>
      <c r="H2626" s="278"/>
      <c r="I2626" s="278"/>
      <c r="J2626" s="278"/>
      <c r="K2626" s="278"/>
    </row>
    <row r="2627" spans="1:11" x14ac:dyDescent="0.15">
      <c r="A2627" s="278"/>
      <c r="B2627" s="278"/>
      <c r="C2627" s="278"/>
      <c r="D2627" s="278"/>
      <c r="E2627" s="278"/>
      <c r="F2627" s="278"/>
      <c r="G2627" s="278"/>
      <c r="H2627" s="278"/>
      <c r="I2627" s="278"/>
      <c r="J2627" s="278"/>
      <c r="K2627" s="278"/>
    </row>
    <row r="2628" spans="1:11" x14ac:dyDescent="0.15">
      <c r="A2628" s="278"/>
      <c r="B2628" s="278"/>
      <c r="C2628" s="278"/>
      <c r="D2628" s="278"/>
      <c r="E2628" s="278"/>
      <c r="F2628" s="278"/>
      <c r="G2628" s="278"/>
      <c r="H2628" s="278"/>
      <c r="I2628" s="278"/>
      <c r="J2628" s="278"/>
      <c r="K2628" s="278"/>
    </row>
    <row r="2629" spans="1:11" x14ac:dyDescent="0.15">
      <c r="A2629" s="278"/>
      <c r="B2629" s="278"/>
      <c r="C2629" s="278"/>
      <c r="D2629" s="278"/>
      <c r="E2629" s="278"/>
      <c r="F2629" s="278"/>
      <c r="G2629" s="278"/>
      <c r="H2629" s="278"/>
      <c r="I2629" s="278"/>
      <c r="J2629" s="278"/>
      <c r="K2629" s="278"/>
    </row>
    <row r="2630" spans="1:11" x14ac:dyDescent="0.15">
      <c r="A2630" s="278"/>
      <c r="B2630" s="278"/>
      <c r="C2630" s="278"/>
      <c r="D2630" s="278"/>
      <c r="E2630" s="278"/>
      <c r="F2630" s="278"/>
      <c r="G2630" s="278"/>
      <c r="H2630" s="278"/>
      <c r="I2630" s="278"/>
      <c r="J2630" s="278"/>
      <c r="K2630" s="278"/>
    </row>
    <row r="2631" spans="1:11" x14ac:dyDescent="0.15">
      <c r="A2631" s="278"/>
      <c r="B2631" s="278"/>
      <c r="C2631" s="278"/>
      <c r="D2631" s="278"/>
      <c r="E2631" s="278"/>
      <c r="F2631" s="278"/>
      <c r="G2631" s="278"/>
      <c r="H2631" s="278"/>
      <c r="I2631" s="278"/>
      <c r="J2631" s="278"/>
      <c r="K2631" s="278"/>
    </row>
    <row r="2632" spans="1:11" x14ac:dyDescent="0.15">
      <c r="A2632" s="278"/>
      <c r="B2632" s="278"/>
      <c r="C2632" s="278"/>
      <c r="D2632" s="278"/>
      <c r="E2632" s="278"/>
      <c r="F2632" s="278"/>
      <c r="G2632" s="278"/>
      <c r="H2632" s="278"/>
      <c r="I2632" s="278"/>
      <c r="J2632" s="278"/>
      <c r="K2632" s="278"/>
    </row>
    <row r="2633" spans="1:11" x14ac:dyDescent="0.15">
      <c r="A2633" s="278"/>
      <c r="B2633" s="278"/>
      <c r="C2633" s="278"/>
      <c r="D2633" s="278"/>
      <c r="E2633" s="278"/>
      <c r="F2633" s="278"/>
      <c r="G2633" s="278"/>
      <c r="H2633" s="278"/>
      <c r="I2633" s="278"/>
      <c r="J2633" s="278"/>
      <c r="K2633" s="278"/>
    </row>
    <row r="2634" spans="1:11" x14ac:dyDescent="0.15">
      <c r="A2634" s="278"/>
      <c r="B2634" s="278"/>
      <c r="C2634" s="278"/>
      <c r="D2634" s="278"/>
      <c r="E2634" s="278"/>
      <c r="F2634" s="278"/>
      <c r="G2634" s="278"/>
      <c r="H2634" s="278"/>
      <c r="I2634" s="278"/>
      <c r="J2634" s="278"/>
      <c r="K2634" s="278"/>
    </row>
    <row r="2635" spans="1:11" x14ac:dyDescent="0.15">
      <c r="A2635" s="278"/>
      <c r="B2635" s="278"/>
      <c r="C2635" s="278"/>
      <c r="D2635" s="278"/>
      <c r="E2635" s="278"/>
      <c r="F2635" s="278"/>
      <c r="G2635" s="278"/>
      <c r="H2635" s="278"/>
      <c r="I2635" s="278"/>
      <c r="J2635" s="278"/>
      <c r="K2635" s="278"/>
    </row>
    <row r="2636" spans="1:11" x14ac:dyDescent="0.15">
      <c r="A2636" s="278"/>
      <c r="B2636" s="278"/>
      <c r="C2636" s="278"/>
      <c r="D2636" s="278"/>
      <c r="E2636" s="278"/>
      <c r="F2636" s="278"/>
      <c r="G2636" s="278"/>
      <c r="H2636" s="278"/>
      <c r="I2636" s="278"/>
      <c r="J2636" s="278"/>
      <c r="K2636" s="278"/>
    </row>
    <row r="2637" spans="1:11" x14ac:dyDescent="0.15">
      <c r="A2637" s="278"/>
      <c r="B2637" s="278"/>
      <c r="C2637" s="278"/>
      <c r="D2637" s="278"/>
      <c r="E2637" s="278"/>
      <c r="F2637" s="278"/>
      <c r="G2637" s="278"/>
      <c r="H2637" s="278"/>
      <c r="I2637" s="278"/>
      <c r="J2637" s="278"/>
      <c r="K2637" s="278"/>
    </row>
    <row r="2638" spans="1:11" x14ac:dyDescent="0.15">
      <c r="A2638" s="278"/>
      <c r="B2638" s="278"/>
      <c r="C2638" s="278"/>
      <c r="D2638" s="278"/>
      <c r="E2638" s="278"/>
      <c r="F2638" s="278"/>
      <c r="G2638" s="278"/>
      <c r="H2638" s="278"/>
      <c r="I2638" s="278"/>
      <c r="J2638" s="278"/>
      <c r="K2638" s="278"/>
    </row>
    <row r="2639" spans="1:11" x14ac:dyDescent="0.15">
      <c r="A2639" s="278"/>
      <c r="B2639" s="278"/>
      <c r="C2639" s="278"/>
      <c r="D2639" s="278"/>
      <c r="E2639" s="278"/>
      <c r="F2639" s="278"/>
      <c r="G2639" s="278"/>
      <c r="H2639" s="278"/>
      <c r="I2639" s="278"/>
      <c r="J2639" s="278"/>
      <c r="K2639" s="278"/>
    </row>
    <row r="2640" spans="1:11" x14ac:dyDescent="0.15">
      <c r="A2640" s="278"/>
      <c r="B2640" s="278"/>
      <c r="C2640" s="278"/>
      <c r="D2640" s="278"/>
      <c r="E2640" s="278"/>
      <c r="F2640" s="278"/>
      <c r="G2640" s="278"/>
      <c r="H2640" s="278"/>
      <c r="I2640" s="278"/>
      <c r="J2640" s="278"/>
      <c r="K2640" s="278"/>
    </row>
    <row r="2641" spans="1:11" x14ac:dyDescent="0.15">
      <c r="A2641" s="278"/>
      <c r="B2641" s="278"/>
      <c r="C2641" s="278"/>
      <c r="D2641" s="278"/>
      <c r="E2641" s="278"/>
      <c r="F2641" s="278"/>
      <c r="G2641" s="278"/>
      <c r="H2641" s="278"/>
      <c r="I2641" s="278"/>
      <c r="J2641" s="278"/>
      <c r="K2641" s="278"/>
    </row>
    <row r="2642" spans="1:11" x14ac:dyDescent="0.15">
      <c r="A2642" s="278"/>
      <c r="B2642" s="278"/>
      <c r="C2642" s="278"/>
      <c r="D2642" s="278"/>
      <c r="E2642" s="278"/>
      <c r="F2642" s="278"/>
      <c r="G2642" s="278"/>
      <c r="H2642" s="278"/>
      <c r="I2642" s="278"/>
      <c r="J2642" s="278"/>
      <c r="K2642" s="278"/>
    </row>
    <row r="2643" spans="1:11" x14ac:dyDescent="0.15">
      <c r="A2643" s="278"/>
      <c r="B2643" s="278"/>
      <c r="C2643" s="278"/>
      <c r="D2643" s="278"/>
      <c r="E2643" s="278"/>
      <c r="F2643" s="278"/>
      <c r="G2643" s="278"/>
      <c r="H2643" s="278"/>
      <c r="I2643" s="278"/>
      <c r="J2643" s="278"/>
      <c r="K2643" s="278"/>
    </row>
    <row r="2644" spans="1:11" x14ac:dyDescent="0.15">
      <c r="A2644" s="278"/>
      <c r="B2644" s="278"/>
      <c r="C2644" s="278"/>
      <c r="D2644" s="278"/>
      <c r="E2644" s="278"/>
      <c r="F2644" s="278"/>
      <c r="G2644" s="278"/>
      <c r="H2644" s="278"/>
      <c r="I2644" s="278"/>
      <c r="J2644" s="278"/>
      <c r="K2644" s="278"/>
    </row>
    <row r="2645" spans="1:11" x14ac:dyDescent="0.15">
      <c r="A2645" s="278"/>
      <c r="B2645" s="278"/>
      <c r="C2645" s="278"/>
      <c r="D2645" s="278"/>
      <c r="E2645" s="278"/>
      <c r="F2645" s="278"/>
      <c r="G2645" s="278"/>
      <c r="H2645" s="278"/>
      <c r="I2645" s="278"/>
      <c r="J2645" s="278"/>
      <c r="K2645" s="278"/>
    </row>
    <row r="2646" spans="1:11" x14ac:dyDescent="0.15">
      <c r="A2646" s="278"/>
      <c r="B2646" s="278"/>
      <c r="C2646" s="278"/>
      <c r="D2646" s="278"/>
      <c r="E2646" s="278"/>
      <c r="F2646" s="278"/>
      <c r="G2646" s="278"/>
      <c r="H2646" s="278"/>
      <c r="I2646" s="278"/>
      <c r="J2646" s="278"/>
      <c r="K2646" s="278"/>
    </row>
    <row r="2647" spans="1:11" x14ac:dyDescent="0.15">
      <c r="A2647" s="278"/>
      <c r="B2647" s="278"/>
      <c r="C2647" s="278"/>
      <c r="D2647" s="278"/>
      <c r="E2647" s="278"/>
      <c r="F2647" s="278"/>
      <c r="G2647" s="278"/>
      <c r="H2647" s="278"/>
      <c r="I2647" s="278"/>
      <c r="J2647" s="278"/>
      <c r="K2647" s="278"/>
    </row>
    <row r="2648" spans="1:11" x14ac:dyDescent="0.15">
      <c r="A2648" s="278"/>
      <c r="B2648" s="278"/>
      <c r="C2648" s="278"/>
      <c r="D2648" s="278"/>
      <c r="E2648" s="278"/>
      <c r="F2648" s="278"/>
      <c r="G2648" s="278"/>
      <c r="H2648" s="278"/>
      <c r="I2648" s="278"/>
      <c r="J2648" s="278"/>
      <c r="K2648" s="278"/>
    </row>
    <row r="2649" spans="1:11" x14ac:dyDescent="0.15">
      <c r="A2649" s="278"/>
      <c r="B2649" s="278"/>
      <c r="C2649" s="278"/>
      <c r="D2649" s="278"/>
      <c r="E2649" s="278"/>
      <c r="F2649" s="278"/>
      <c r="G2649" s="278"/>
      <c r="H2649" s="278"/>
      <c r="I2649" s="278"/>
      <c r="J2649" s="278"/>
      <c r="K2649" s="278"/>
    </row>
    <row r="2650" spans="1:11" x14ac:dyDescent="0.15">
      <c r="A2650" s="278"/>
      <c r="B2650" s="278"/>
      <c r="C2650" s="278"/>
      <c r="D2650" s="278"/>
      <c r="E2650" s="278"/>
      <c r="F2650" s="278"/>
      <c r="G2650" s="278"/>
      <c r="H2650" s="278"/>
      <c r="I2650" s="278"/>
      <c r="J2650" s="278"/>
      <c r="K2650" s="278"/>
    </row>
    <row r="2651" spans="1:11" x14ac:dyDescent="0.15">
      <c r="A2651" s="278"/>
      <c r="B2651" s="278"/>
      <c r="C2651" s="278"/>
      <c r="D2651" s="278"/>
      <c r="E2651" s="278"/>
      <c r="F2651" s="278"/>
      <c r="G2651" s="278"/>
      <c r="H2651" s="278"/>
      <c r="I2651" s="278"/>
      <c r="J2651" s="278"/>
      <c r="K2651" s="278"/>
    </row>
    <row r="2652" spans="1:11" x14ac:dyDescent="0.15">
      <c r="A2652" s="278"/>
      <c r="B2652" s="278"/>
      <c r="C2652" s="278"/>
      <c r="D2652" s="278"/>
      <c r="E2652" s="278"/>
      <c r="F2652" s="278"/>
      <c r="G2652" s="278"/>
      <c r="H2652" s="278"/>
      <c r="I2652" s="278"/>
      <c r="J2652" s="278"/>
      <c r="K2652" s="278"/>
    </row>
    <row r="2653" spans="1:11" x14ac:dyDescent="0.15">
      <c r="A2653" s="278"/>
      <c r="B2653" s="278"/>
      <c r="C2653" s="278"/>
      <c r="D2653" s="278"/>
      <c r="E2653" s="278"/>
      <c r="F2653" s="278"/>
      <c r="G2653" s="278"/>
      <c r="H2653" s="278"/>
      <c r="I2653" s="278"/>
      <c r="J2653" s="278"/>
      <c r="K2653" s="278"/>
    </row>
    <row r="2654" spans="1:11" x14ac:dyDescent="0.15">
      <c r="A2654" s="278"/>
      <c r="B2654" s="278"/>
      <c r="C2654" s="278"/>
      <c r="D2654" s="278"/>
      <c r="E2654" s="278"/>
      <c r="F2654" s="278"/>
      <c r="G2654" s="278"/>
      <c r="H2654" s="278"/>
      <c r="I2654" s="278"/>
      <c r="J2654" s="278"/>
      <c r="K2654" s="278"/>
    </row>
    <row r="2655" spans="1:11" x14ac:dyDescent="0.15">
      <c r="A2655" s="278"/>
      <c r="B2655" s="278"/>
      <c r="C2655" s="278"/>
      <c r="D2655" s="278"/>
      <c r="E2655" s="278"/>
      <c r="F2655" s="278"/>
      <c r="G2655" s="278"/>
      <c r="H2655" s="278"/>
      <c r="I2655" s="278"/>
      <c r="J2655" s="278"/>
      <c r="K2655" s="278"/>
    </row>
    <row r="2656" spans="1:11" x14ac:dyDescent="0.15">
      <c r="A2656" s="278"/>
      <c r="B2656" s="278"/>
      <c r="C2656" s="278"/>
      <c r="D2656" s="278"/>
      <c r="E2656" s="278"/>
      <c r="F2656" s="278"/>
      <c r="G2656" s="278"/>
      <c r="H2656" s="278"/>
      <c r="I2656" s="278"/>
      <c r="J2656" s="278"/>
      <c r="K2656" s="278"/>
    </row>
    <row r="2657" spans="1:11" x14ac:dyDescent="0.15">
      <c r="A2657" s="278"/>
      <c r="B2657" s="278"/>
      <c r="C2657" s="278"/>
      <c r="D2657" s="278"/>
      <c r="E2657" s="278"/>
      <c r="F2657" s="278"/>
      <c r="G2657" s="278"/>
      <c r="H2657" s="278"/>
      <c r="I2657" s="278"/>
      <c r="J2657" s="278"/>
      <c r="K2657" s="278"/>
    </row>
    <row r="2658" spans="1:11" x14ac:dyDescent="0.15">
      <c r="A2658" s="278"/>
      <c r="B2658" s="278"/>
      <c r="C2658" s="278"/>
      <c r="D2658" s="278"/>
      <c r="E2658" s="278"/>
      <c r="F2658" s="278"/>
      <c r="G2658" s="278"/>
      <c r="H2658" s="278"/>
      <c r="I2658" s="278"/>
      <c r="J2658" s="278"/>
      <c r="K2658" s="278"/>
    </row>
    <row r="2659" spans="1:11" x14ac:dyDescent="0.15">
      <c r="A2659" s="278"/>
      <c r="B2659" s="278"/>
      <c r="C2659" s="278"/>
      <c r="D2659" s="278"/>
      <c r="E2659" s="278"/>
      <c r="F2659" s="278"/>
      <c r="G2659" s="278"/>
      <c r="H2659" s="278"/>
      <c r="I2659" s="278"/>
      <c r="J2659" s="278"/>
      <c r="K2659" s="278"/>
    </row>
    <row r="2660" spans="1:11" x14ac:dyDescent="0.15">
      <c r="A2660" s="278"/>
      <c r="B2660" s="278"/>
      <c r="C2660" s="278"/>
      <c r="D2660" s="278"/>
      <c r="E2660" s="278"/>
      <c r="F2660" s="278"/>
      <c r="G2660" s="278"/>
      <c r="H2660" s="278"/>
      <c r="I2660" s="278"/>
      <c r="J2660" s="278"/>
      <c r="K2660" s="278"/>
    </row>
    <row r="2661" spans="1:11" x14ac:dyDescent="0.15">
      <c r="A2661" s="278"/>
      <c r="B2661" s="278"/>
      <c r="C2661" s="278"/>
      <c r="D2661" s="278"/>
      <c r="E2661" s="278"/>
      <c r="F2661" s="278"/>
      <c r="G2661" s="278"/>
      <c r="H2661" s="278"/>
      <c r="I2661" s="278"/>
      <c r="J2661" s="278"/>
      <c r="K2661" s="278"/>
    </row>
    <row r="2662" spans="1:11" x14ac:dyDescent="0.15">
      <c r="A2662" s="278"/>
      <c r="B2662" s="278"/>
      <c r="C2662" s="278"/>
      <c r="D2662" s="278"/>
      <c r="E2662" s="278"/>
      <c r="F2662" s="278"/>
      <c r="G2662" s="278"/>
      <c r="H2662" s="278"/>
      <c r="I2662" s="278"/>
      <c r="J2662" s="278"/>
      <c r="K2662" s="278"/>
    </row>
    <row r="2663" spans="1:11" x14ac:dyDescent="0.15">
      <c r="A2663" s="278"/>
      <c r="B2663" s="278"/>
      <c r="C2663" s="278"/>
      <c r="D2663" s="278"/>
      <c r="E2663" s="278"/>
      <c r="F2663" s="278"/>
      <c r="G2663" s="278"/>
      <c r="H2663" s="278"/>
      <c r="I2663" s="278"/>
      <c r="J2663" s="278"/>
      <c r="K2663" s="278"/>
    </row>
    <row r="2664" spans="1:11" x14ac:dyDescent="0.15">
      <c r="A2664" s="278"/>
      <c r="B2664" s="278"/>
      <c r="C2664" s="278"/>
      <c r="D2664" s="278"/>
      <c r="E2664" s="278"/>
      <c r="F2664" s="278"/>
      <c r="G2664" s="278"/>
      <c r="H2664" s="278"/>
      <c r="I2664" s="278"/>
      <c r="J2664" s="278"/>
      <c r="K2664" s="278"/>
    </row>
    <row r="2665" spans="1:11" x14ac:dyDescent="0.15">
      <c r="A2665" s="278"/>
      <c r="B2665" s="278"/>
      <c r="C2665" s="278"/>
      <c r="D2665" s="278"/>
      <c r="E2665" s="278"/>
      <c r="F2665" s="278"/>
      <c r="G2665" s="278"/>
      <c r="H2665" s="278"/>
      <c r="I2665" s="278"/>
      <c r="J2665" s="278"/>
      <c r="K2665" s="278"/>
    </row>
    <row r="2666" spans="1:11" x14ac:dyDescent="0.15">
      <c r="A2666" s="278"/>
      <c r="B2666" s="278"/>
      <c r="C2666" s="278"/>
      <c r="D2666" s="278"/>
      <c r="E2666" s="278"/>
      <c r="F2666" s="278"/>
      <c r="G2666" s="278"/>
      <c r="H2666" s="278"/>
      <c r="I2666" s="278"/>
      <c r="J2666" s="278"/>
      <c r="K2666" s="278"/>
    </row>
    <row r="2667" spans="1:11" x14ac:dyDescent="0.15">
      <c r="A2667" s="278"/>
      <c r="B2667" s="278"/>
      <c r="C2667" s="278"/>
      <c r="D2667" s="278"/>
      <c r="E2667" s="278"/>
      <c r="F2667" s="278"/>
      <c r="G2667" s="278"/>
      <c r="H2667" s="278"/>
      <c r="I2667" s="278"/>
      <c r="J2667" s="278"/>
      <c r="K2667" s="278"/>
    </row>
    <row r="2668" spans="1:11" x14ac:dyDescent="0.15">
      <c r="A2668" s="278"/>
      <c r="B2668" s="278"/>
      <c r="C2668" s="278"/>
      <c r="D2668" s="278"/>
      <c r="E2668" s="278"/>
      <c r="F2668" s="278"/>
      <c r="G2668" s="278"/>
      <c r="H2668" s="278"/>
      <c r="I2668" s="278"/>
      <c r="J2668" s="278"/>
      <c r="K2668" s="278"/>
    </row>
    <row r="2669" spans="1:11" x14ac:dyDescent="0.15">
      <c r="A2669" s="278"/>
      <c r="B2669" s="278"/>
      <c r="C2669" s="278"/>
      <c r="D2669" s="278"/>
      <c r="E2669" s="278"/>
      <c r="F2669" s="278"/>
      <c r="G2669" s="278"/>
      <c r="H2669" s="278"/>
      <c r="I2669" s="278"/>
      <c r="J2669" s="278"/>
      <c r="K2669" s="278"/>
    </row>
    <row r="2670" spans="1:11" x14ac:dyDescent="0.15">
      <c r="A2670" s="278"/>
      <c r="B2670" s="278"/>
      <c r="C2670" s="278"/>
      <c r="D2670" s="278"/>
      <c r="E2670" s="278"/>
      <c r="F2670" s="278"/>
      <c r="G2670" s="278"/>
      <c r="H2670" s="278"/>
      <c r="I2670" s="278"/>
      <c r="J2670" s="278"/>
      <c r="K2670" s="278"/>
    </row>
    <row r="2671" spans="1:11" x14ac:dyDescent="0.15">
      <c r="A2671" s="278"/>
      <c r="B2671" s="278"/>
      <c r="C2671" s="278"/>
      <c r="D2671" s="278"/>
      <c r="E2671" s="278"/>
      <c r="F2671" s="278"/>
      <c r="G2671" s="278"/>
      <c r="H2671" s="278"/>
      <c r="I2671" s="278"/>
      <c r="J2671" s="278"/>
      <c r="K2671" s="278"/>
    </row>
    <row r="2672" spans="1:11" x14ac:dyDescent="0.15">
      <c r="A2672" s="278"/>
      <c r="B2672" s="278"/>
      <c r="C2672" s="278"/>
      <c r="D2672" s="278"/>
      <c r="E2672" s="278"/>
      <c r="F2672" s="278"/>
      <c r="G2672" s="278"/>
      <c r="H2672" s="278"/>
      <c r="I2672" s="278"/>
      <c r="J2672" s="278"/>
      <c r="K2672" s="278"/>
    </row>
    <row r="2673" spans="1:11" x14ac:dyDescent="0.15">
      <c r="A2673" s="278"/>
      <c r="B2673" s="278"/>
      <c r="C2673" s="278"/>
      <c r="D2673" s="278"/>
      <c r="E2673" s="278"/>
      <c r="F2673" s="278"/>
      <c r="G2673" s="278"/>
      <c r="H2673" s="278"/>
      <c r="I2673" s="278"/>
      <c r="J2673" s="278"/>
      <c r="K2673" s="278"/>
    </row>
    <row r="2674" spans="1:11" x14ac:dyDescent="0.15">
      <c r="A2674" s="278"/>
      <c r="B2674" s="278"/>
      <c r="C2674" s="278"/>
      <c r="D2674" s="278"/>
      <c r="E2674" s="278"/>
      <c r="F2674" s="278"/>
      <c r="G2674" s="278"/>
      <c r="H2674" s="278"/>
      <c r="I2674" s="278"/>
      <c r="J2674" s="278"/>
      <c r="K2674" s="278"/>
    </row>
    <row r="2675" spans="1:11" x14ac:dyDescent="0.15">
      <c r="A2675" s="278"/>
      <c r="B2675" s="278"/>
      <c r="C2675" s="278"/>
      <c r="D2675" s="278"/>
      <c r="E2675" s="278"/>
      <c r="F2675" s="278"/>
      <c r="G2675" s="278"/>
      <c r="H2675" s="278"/>
      <c r="I2675" s="278"/>
      <c r="J2675" s="278"/>
      <c r="K2675" s="278"/>
    </row>
    <row r="2676" spans="1:11" x14ac:dyDescent="0.15">
      <c r="A2676" s="278"/>
      <c r="B2676" s="278"/>
      <c r="C2676" s="278"/>
      <c r="D2676" s="278"/>
      <c r="E2676" s="278"/>
      <c r="F2676" s="278"/>
      <c r="G2676" s="278"/>
      <c r="H2676" s="278"/>
      <c r="I2676" s="278"/>
      <c r="J2676" s="278"/>
      <c r="K2676" s="278"/>
    </row>
    <row r="2677" spans="1:11" x14ac:dyDescent="0.15">
      <c r="A2677" s="278"/>
      <c r="B2677" s="278"/>
      <c r="C2677" s="278"/>
      <c r="D2677" s="278"/>
      <c r="E2677" s="278"/>
      <c r="F2677" s="278"/>
      <c r="G2677" s="278"/>
      <c r="H2677" s="278"/>
      <c r="I2677" s="278"/>
      <c r="J2677" s="278"/>
      <c r="K2677" s="278"/>
    </row>
    <row r="2678" spans="1:11" x14ac:dyDescent="0.15">
      <c r="A2678" s="278"/>
      <c r="B2678" s="278"/>
      <c r="C2678" s="278"/>
      <c r="D2678" s="278"/>
      <c r="E2678" s="278"/>
      <c r="F2678" s="278"/>
      <c r="G2678" s="278"/>
      <c r="H2678" s="278"/>
      <c r="I2678" s="278"/>
      <c r="J2678" s="278"/>
      <c r="K2678" s="278"/>
    </row>
    <row r="2679" spans="1:11" x14ac:dyDescent="0.15">
      <c r="A2679" s="278"/>
      <c r="B2679" s="278"/>
      <c r="C2679" s="278"/>
      <c r="D2679" s="278"/>
      <c r="E2679" s="278"/>
      <c r="F2679" s="278"/>
      <c r="G2679" s="278"/>
      <c r="H2679" s="278"/>
      <c r="I2679" s="278"/>
      <c r="J2679" s="278"/>
      <c r="K2679" s="278"/>
    </row>
    <row r="2680" spans="1:11" x14ac:dyDescent="0.15">
      <c r="A2680" s="278"/>
      <c r="B2680" s="278"/>
      <c r="C2680" s="278"/>
      <c r="D2680" s="278"/>
      <c r="E2680" s="278"/>
      <c r="F2680" s="278"/>
      <c r="G2680" s="278"/>
      <c r="H2680" s="278"/>
      <c r="I2680" s="278"/>
      <c r="J2680" s="278"/>
      <c r="K2680" s="278"/>
    </row>
    <row r="2681" spans="1:11" x14ac:dyDescent="0.15">
      <c r="A2681" s="278"/>
      <c r="B2681" s="278"/>
      <c r="C2681" s="278"/>
      <c r="D2681" s="278"/>
      <c r="E2681" s="278"/>
      <c r="F2681" s="278"/>
      <c r="G2681" s="278"/>
      <c r="H2681" s="278"/>
      <c r="I2681" s="278"/>
      <c r="J2681" s="278"/>
      <c r="K2681" s="278"/>
    </row>
    <row r="2682" spans="1:11" x14ac:dyDescent="0.15">
      <c r="A2682" s="278"/>
      <c r="B2682" s="278"/>
      <c r="C2682" s="278"/>
      <c r="D2682" s="278"/>
      <c r="E2682" s="278"/>
      <c r="F2682" s="278"/>
      <c r="G2682" s="278"/>
      <c r="H2682" s="278"/>
      <c r="I2682" s="278"/>
      <c r="J2682" s="278"/>
      <c r="K2682" s="278"/>
    </row>
    <row r="2683" spans="1:11" x14ac:dyDescent="0.15">
      <c r="A2683" s="278"/>
      <c r="B2683" s="278"/>
      <c r="C2683" s="278"/>
      <c r="D2683" s="278"/>
      <c r="E2683" s="278"/>
      <c r="F2683" s="278"/>
      <c r="G2683" s="278"/>
      <c r="H2683" s="278"/>
      <c r="I2683" s="278"/>
      <c r="J2683" s="278"/>
      <c r="K2683" s="278"/>
    </row>
    <row r="2684" spans="1:11" x14ac:dyDescent="0.15">
      <c r="A2684" s="278"/>
      <c r="B2684" s="278"/>
      <c r="C2684" s="278"/>
      <c r="D2684" s="278"/>
      <c r="E2684" s="278"/>
      <c r="F2684" s="278"/>
      <c r="G2684" s="278"/>
      <c r="H2684" s="278"/>
      <c r="I2684" s="278"/>
      <c r="J2684" s="278"/>
      <c r="K2684" s="278"/>
    </row>
    <row r="2685" spans="1:11" x14ac:dyDescent="0.15">
      <c r="A2685" s="278"/>
      <c r="B2685" s="278"/>
      <c r="C2685" s="278"/>
      <c r="D2685" s="278"/>
      <c r="E2685" s="278"/>
      <c r="F2685" s="278"/>
      <c r="G2685" s="278"/>
      <c r="H2685" s="278"/>
      <c r="I2685" s="278"/>
      <c r="J2685" s="278"/>
      <c r="K2685" s="278"/>
    </row>
    <row r="2686" spans="1:11" x14ac:dyDescent="0.15">
      <c r="A2686" s="278"/>
      <c r="B2686" s="278"/>
      <c r="C2686" s="278"/>
      <c r="D2686" s="278"/>
      <c r="E2686" s="278"/>
      <c r="F2686" s="278"/>
      <c r="G2686" s="278"/>
      <c r="H2686" s="278"/>
      <c r="I2686" s="278"/>
      <c r="J2686" s="278"/>
      <c r="K2686" s="278"/>
    </row>
    <row r="2687" spans="1:11" x14ac:dyDescent="0.15">
      <c r="A2687" s="278"/>
      <c r="B2687" s="278"/>
      <c r="C2687" s="278"/>
      <c r="D2687" s="278"/>
      <c r="E2687" s="278"/>
      <c r="F2687" s="278"/>
      <c r="G2687" s="278"/>
      <c r="H2687" s="278"/>
      <c r="I2687" s="278"/>
      <c r="J2687" s="278"/>
      <c r="K2687" s="278"/>
    </row>
    <row r="2688" spans="1:11" x14ac:dyDescent="0.15">
      <c r="A2688" s="278"/>
      <c r="B2688" s="278"/>
      <c r="C2688" s="278"/>
      <c r="D2688" s="278"/>
      <c r="E2688" s="278"/>
      <c r="F2688" s="278"/>
      <c r="G2688" s="278"/>
      <c r="H2688" s="278"/>
      <c r="I2688" s="278"/>
      <c r="J2688" s="278"/>
      <c r="K2688" s="278"/>
    </row>
    <row r="2689" spans="1:11" x14ac:dyDescent="0.15">
      <c r="A2689" s="278"/>
      <c r="B2689" s="278"/>
      <c r="C2689" s="278"/>
      <c r="D2689" s="278"/>
      <c r="E2689" s="278"/>
      <c r="F2689" s="278"/>
      <c r="G2689" s="278"/>
      <c r="H2689" s="278"/>
      <c r="I2689" s="278"/>
      <c r="J2689" s="278"/>
      <c r="K2689" s="278"/>
    </row>
    <row r="2690" spans="1:11" x14ac:dyDescent="0.15">
      <c r="A2690" s="278"/>
      <c r="B2690" s="278"/>
      <c r="C2690" s="278"/>
      <c r="D2690" s="278"/>
      <c r="E2690" s="278"/>
      <c r="F2690" s="278"/>
      <c r="G2690" s="278"/>
      <c r="H2690" s="278"/>
      <c r="I2690" s="278"/>
      <c r="J2690" s="278"/>
      <c r="K2690" s="278"/>
    </row>
    <row r="2691" spans="1:11" x14ac:dyDescent="0.15">
      <c r="A2691" s="278"/>
      <c r="B2691" s="278"/>
      <c r="C2691" s="278"/>
      <c r="D2691" s="278"/>
      <c r="E2691" s="278"/>
      <c r="F2691" s="278"/>
      <c r="G2691" s="278"/>
      <c r="H2691" s="278"/>
      <c r="I2691" s="278"/>
      <c r="J2691" s="278"/>
      <c r="K2691" s="278"/>
    </row>
    <row r="2692" spans="1:11" x14ac:dyDescent="0.15">
      <c r="A2692" s="278"/>
      <c r="B2692" s="278"/>
      <c r="C2692" s="278"/>
      <c r="D2692" s="278"/>
      <c r="E2692" s="278"/>
      <c r="F2692" s="278"/>
      <c r="G2692" s="278"/>
      <c r="H2692" s="278"/>
      <c r="I2692" s="278"/>
      <c r="J2692" s="278"/>
      <c r="K2692" s="278"/>
    </row>
    <row r="2693" spans="1:11" x14ac:dyDescent="0.15">
      <c r="A2693" s="278"/>
      <c r="B2693" s="278"/>
      <c r="C2693" s="278"/>
      <c r="D2693" s="278"/>
      <c r="E2693" s="278"/>
      <c r="F2693" s="278"/>
      <c r="G2693" s="278"/>
      <c r="H2693" s="278"/>
      <c r="I2693" s="278"/>
      <c r="J2693" s="278"/>
      <c r="K2693" s="278"/>
    </row>
    <row r="2694" spans="1:11" x14ac:dyDescent="0.15">
      <c r="A2694" s="278"/>
      <c r="B2694" s="278"/>
      <c r="C2694" s="278"/>
      <c r="D2694" s="278"/>
      <c r="E2694" s="278"/>
      <c r="F2694" s="278"/>
      <c r="G2694" s="278"/>
      <c r="H2694" s="278"/>
      <c r="I2694" s="278"/>
      <c r="J2694" s="278"/>
      <c r="K2694" s="278"/>
    </row>
    <row r="2695" spans="1:11" x14ac:dyDescent="0.15">
      <c r="A2695" s="278"/>
      <c r="B2695" s="278"/>
      <c r="C2695" s="278"/>
      <c r="D2695" s="278"/>
      <c r="E2695" s="278"/>
      <c r="F2695" s="278"/>
      <c r="G2695" s="278"/>
      <c r="H2695" s="278"/>
      <c r="I2695" s="278"/>
      <c r="J2695" s="278"/>
      <c r="K2695" s="278"/>
    </row>
    <row r="2696" spans="1:11" x14ac:dyDescent="0.15">
      <c r="A2696" s="278"/>
      <c r="B2696" s="278"/>
      <c r="C2696" s="278"/>
      <c r="D2696" s="278"/>
      <c r="E2696" s="278"/>
      <c r="F2696" s="278"/>
      <c r="G2696" s="278"/>
      <c r="H2696" s="278"/>
      <c r="I2696" s="278"/>
      <c r="J2696" s="278"/>
      <c r="K2696" s="278"/>
    </row>
    <row r="2697" spans="1:11" x14ac:dyDescent="0.15">
      <c r="A2697" s="278"/>
      <c r="B2697" s="278"/>
      <c r="C2697" s="278"/>
      <c r="D2697" s="278"/>
      <c r="E2697" s="278"/>
      <c r="F2697" s="278"/>
      <c r="G2697" s="278"/>
      <c r="H2697" s="278"/>
      <c r="I2697" s="278"/>
      <c r="J2697" s="278"/>
      <c r="K2697" s="278"/>
    </row>
    <row r="2698" spans="1:11" x14ac:dyDescent="0.15">
      <c r="A2698" s="278"/>
      <c r="B2698" s="278"/>
      <c r="C2698" s="278"/>
      <c r="D2698" s="278"/>
      <c r="E2698" s="278"/>
      <c r="F2698" s="278"/>
      <c r="G2698" s="278"/>
      <c r="H2698" s="278"/>
      <c r="I2698" s="278"/>
      <c r="J2698" s="278"/>
      <c r="K2698" s="278"/>
    </row>
    <row r="2699" spans="1:11" x14ac:dyDescent="0.15">
      <c r="A2699" s="278"/>
      <c r="B2699" s="278"/>
      <c r="C2699" s="278"/>
      <c r="D2699" s="278"/>
      <c r="E2699" s="278"/>
      <c r="F2699" s="278"/>
      <c r="G2699" s="278"/>
      <c r="H2699" s="278"/>
      <c r="I2699" s="278"/>
      <c r="J2699" s="278"/>
      <c r="K2699" s="278"/>
    </row>
    <row r="2700" spans="1:11" x14ac:dyDescent="0.15">
      <c r="A2700" s="278"/>
      <c r="B2700" s="278"/>
      <c r="C2700" s="278"/>
      <c r="D2700" s="278"/>
      <c r="E2700" s="278"/>
      <c r="F2700" s="278"/>
      <c r="G2700" s="278"/>
      <c r="H2700" s="278"/>
      <c r="I2700" s="278"/>
      <c r="J2700" s="278"/>
      <c r="K2700" s="278"/>
    </row>
    <row r="2701" spans="1:11" x14ac:dyDescent="0.15">
      <c r="A2701" s="278"/>
      <c r="B2701" s="278"/>
      <c r="C2701" s="278"/>
      <c r="D2701" s="278"/>
      <c r="E2701" s="278"/>
      <c r="F2701" s="278"/>
      <c r="G2701" s="278"/>
      <c r="H2701" s="278"/>
      <c r="I2701" s="278"/>
      <c r="J2701" s="278"/>
      <c r="K2701" s="278"/>
    </row>
    <row r="2702" spans="1:11" x14ac:dyDescent="0.15">
      <c r="A2702" s="278"/>
      <c r="B2702" s="278"/>
      <c r="C2702" s="278"/>
      <c r="D2702" s="278"/>
      <c r="E2702" s="278"/>
      <c r="F2702" s="278"/>
      <c r="G2702" s="278"/>
      <c r="H2702" s="278"/>
      <c r="I2702" s="278"/>
      <c r="J2702" s="278"/>
      <c r="K2702" s="278"/>
    </row>
    <row r="2703" spans="1:11" x14ac:dyDescent="0.15">
      <c r="A2703" s="278"/>
      <c r="B2703" s="278"/>
      <c r="C2703" s="278"/>
      <c r="D2703" s="278"/>
      <c r="E2703" s="278"/>
      <c r="F2703" s="278"/>
      <c r="G2703" s="278"/>
      <c r="H2703" s="278"/>
      <c r="I2703" s="278"/>
      <c r="J2703" s="278"/>
      <c r="K2703" s="278"/>
    </row>
    <row r="2704" spans="1:11" x14ac:dyDescent="0.15">
      <c r="A2704" s="278"/>
      <c r="B2704" s="278"/>
      <c r="C2704" s="278"/>
      <c r="D2704" s="278"/>
      <c r="E2704" s="278"/>
      <c r="F2704" s="278"/>
      <c r="G2704" s="278"/>
      <c r="H2704" s="278"/>
      <c r="I2704" s="278"/>
      <c r="J2704" s="278"/>
      <c r="K2704" s="278"/>
    </row>
    <row r="2705" spans="1:11" x14ac:dyDescent="0.15">
      <c r="A2705" s="278"/>
      <c r="B2705" s="278"/>
      <c r="C2705" s="278"/>
      <c r="D2705" s="278"/>
      <c r="E2705" s="278"/>
      <c r="F2705" s="278"/>
      <c r="G2705" s="278"/>
      <c r="H2705" s="278"/>
      <c r="I2705" s="278"/>
      <c r="J2705" s="278"/>
      <c r="K2705" s="278"/>
    </row>
    <row r="2706" spans="1:11" x14ac:dyDescent="0.15">
      <c r="A2706" s="278"/>
      <c r="B2706" s="278"/>
      <c r="C2706" s="278"/>
      <c r="D2706" s="278"/>
      <c r="E2706" s="278"/>
      <c r="F2706" s="278"/>
      <c r="G2706" s="278"/>
      <c r="H2706" s="278"/>
      <c r="I2706" s="278"/>
      <c r="J2706" s="278"/>
      <c r="K2706" s="278"/>
    </row>
    <row r="2707" spans="1:11" x14ac:dyDescent="0.15">
      <c r="A2707" s="278"/>
      <c r="B2707" s="278"/>
      <c r="C2707" s="278"/>
      <c r="D2707" s="278"/>
      <c r="E2707" s="278"/>
      <c r="F2707" s="278"/>
      <c r="G2707" s="278"/>
      <c r="H2707" s="278"/>
      <c r="I2707" s="278"/>
      <c r="J2707" s="278"/>
      <c r="K2707" s="278"/>
    </row>
    <row r="2708" spans="1:11" x14ac:dyDescent="0.15">
      <c r="A2708" s="278"/>
      <c r="B2708" s="278"/>
      <c r="C2708" s="278"/>
      <c r="D2708" s="278"/>
      <c r="E2708" s="278"/>
      <c r="F2708" s="278"/>
      <c r="G2708" s="278"/>
      <c r="H2708" s="278"/>
      <c r="I2708" s="278"/>
      <c r="J2708" s="278"/>
      <c r="K2708" s="278"/>
    </row>
    <row r="2709" spans="1:11" x14ac:dyDescent="0.15">
      <c r="A2709" s="278"/>
      <c r="B2709" s="278"/>
      <c r="C2709" s="278"/>
      <c r="D2709" s="278"/>
      <c r="E2709" s="278"/>
      <c r="F2709" s="278"/>
      <c r="G2709" s="278"/>
      <c r="H2709" s="278"/>
      <c r="I2709" s="278"/>
      <c r="J2709" s="278"/>
      <c r="K2709" s="278"/>
    </row>
    <row r="2710" spans="1:11" x14ac:dyDescent="0.15">
      <c r="A2710" s="278"/>
      <c r="B2710" s="278"/>
      <c r="C2710" s="278"/>
      <c r="D2710" s="278"/>
      <c r="E2710" s="278"/>
      <c r="F2710" s="278"/>
      <c r="G2710" s="278"/>
      <c r="H2710" s="278"/>
      <c r="I2710" s="278"/>
      <c r="J2710" s="278"/>
      <c r="K2710" s="278"/>
    </row>
    <row r="2711" spans="1:11" x14ac:dyDescent="0.15">
      <c r="A2711" s="278"/>
      <c r="B2711" s="278"/>
      <c r="C2711" s="278"/>
      <c r="D2711" s="278"/>
      <c r="E2711" s="278"/>
      <c r="F2711" s="278"/>
      <c r="G2711" s="278"/>
      <c r="H2711" s="278"/>
      <c r="I2711" s="278"/>
      <c r="J2711" s="278"/>
      <c r="K2711" s="278"/>
    </row>
    <row r="2712" spans="1:11" x14ac:dyDescent="0.15">
      <c r="A2712" s="278"/>
      <c r="B2712" s="278"/>
      <c r="C2712" s="278"/>
      <c r="D2712" s="278"/>
      <c r="E2712" s="278"/>
      <c r="F2712" s="278"/>
      <c r="G2712" s="278"/>
      <c r="H2712" s="278"/>
      <c r="I2712" s="278"/>
      <c r="J2712" s="278"/>
      <c r="K2712" s="278"/>
    </row>
    <row r="2713" spans="1:11" x14ac:dyDescent="0.15">
      <c r="A2713" s="278"/>
      <c r="B2713" s="278"/>
      <c r="C2713" s="278"/>
      <c r="D2713" s="278"/>
      <c r="E2713" s="278"/>
      <c r="F2713" s="278"/>
      <c r="G2713" s="278"/>
      <c r="H2713" s="278"/>
      <c r="I2713" s="278"/>
      <c r="J2713" s="278"/>
      <c r="K2713" s="278"/>
    </row>
    <row r="2714" spans="1:11" x14ac:dyDescent="0.15">
      <c r="A2714" s="278"/>
      <c r="B2714" s="278"/>
      <c r="C2714" s="278"/>
      <c r="D2714" s="278"/>
      <c r="E2714" s="278"/>
      <c r="F2714" s="278"/>
      <c r="G2714" s="278"/>
      <c r="H2714" s="278"/>
      <c r="I2714" s="278"/>
      <c r="J2714" s="278"/>
      <c r="K2714" s="278"/>
    </row>
    <row r="2715" spans="1:11" x14ac:dyDescent="0.15">
      <c r="A2715" s="278"/>
      <c r="B2715" s="278"/>
      <c r="C2715" s="278"/>
      <c r="D2715" s="278"/>
      <c r="E2715" s="278"/>
      <c r="F2715" s="278"/>
      <c r="G2715" s="278"/>
      <c r="H2715" s="278"/>
      <c r="I2715" s="278"/>
      <c r="J2715" s="278"/>
      <c r="K2715" s="278"/>
    </row>
    <row r="2716" spans="1:11" x14ac:dyDescent="0.15">
      <c r="A2716" s="278"/>
      <c r="B2716" s="278"/>
      <c r="C2716" s="278"/>
      <c r="D2716" s="278"/>
      <c r="E2716" s="278"/>
      <c r="F2716" s="278"/>
      <c r="G2716" s="278"/>
      <c r="H2716" s="278"/>
      <c r="I2716" s="278"/>
      <c r="J2716" s="278"/>
      <c r="K2716" s="278"/>
    </row>
    <row r="2717" spans="1:11" x14ac:dyDescent="0.15">
      <c r="A2717" s="278"/>
      <c r="B2717" s="278"/>
      <c r="C2717" s="278"/>
      <c r="D2717" s="278"/>
      <c r="E2717" s="278"/>
      <c r="F2717" s="278"/>
      <c r="G2717" s="278"/>
      <c r="H2717" s="278"/>
      <c r="I2717" s="278"/>
      <c r="J2717" s="278"/>
      <c r="K2717" s="278"/>
    </row>
    <row r="2718" spans="1:11" x14ac:dyDescent="0.15">
      <c r="A2718" s="278"/>
      <c r="B2718" s="278"/>
      <c r="C2718" s="278"/>
      <c r="D2718" s="278"/>
      <c r="E2718" s="278"/>
      <c r="F2718" s="278"/>
      <c r="G2718" s="278"/>
      <c r="H2718" s="278"/>
      <c r="I2718" s="278"/>
      <c r="J2718" s="278"/>
      <c r="K2718" s="278"/>
    </row>
    <row r="2719" spans="1:11" x14ac:dyDescent="0.15">
      <c r="A2719" s="278"/>
      <c r="B2719" s="278"/>
      <c r="C2719" s="278"/>
      <c r="D2719" s="278"/>
      <c r="E2719" s="278"/>
      <c r="F2719" s="278"/>
      <c r="G2719" s="278"/>
      <c r="H2719" s="278"/>
      <c r="I2719" s="278"/>
      <c r="J2719" s="278"/>
      <c r="K2719" s="278"/>
    </row>
    <row r="2720" spans="1:11" x14ac:dyDescent="0.15">
      <c r="A2720" s="278"/>
      <c r="B2720" s="278"/>
      <c r="C2720" s="278"/>
      <c r="D2720" s="278"/>
      <c r="E2720" s="278"/>
      <c r="F2720" s="278"/>
      <c r="G2720" s="278"/>
      <c r="H2720" s="278"/>
      <c r="I2720" s="278"/>
      <c r="J2720" s="278"/>
      <c r="K2720" s="278"/>
    </row>
    <row r="2721" spans="1:11" x14ac:dyDescent="0.15">
      <c r="A2721" s="278"/>
      <c r="B2721" s="278"/>
      <c r="C2721" s="278"/>
      <c r="D2721" s="278"/>
      <c r="E2721" s="278"/>
      <c r="F2721" s="278"/>
      <c r="G2721" s="278"/>
      <c r="H2721" s="278"/>
      <c r="I2721" s="278"/>
      <c r="J2721" s="278"/>
      <c r="K2721" s="278"/>
    </row>
    <row r="2722" spans="1:11" x14ac:dyDescent="0.15">
      <c r="A2722" s="278"/>
      <c r="B2722" s="278"/>
      <c r="C2722" s="278"/>
      <c r="D2722" s="278"/>
      <c r="E2722" s="278"/>
      <c r="F2722" s="278"/>
      <c r="G2722" s="278"/>
      <c r="H2722" s="278"/>
      <c r="I2722" s="278"/>
      <c r="J2722" s="278"/>
      <c r="K2722" s="278"/>
    </row>
    <row r="2723" spans="1:11" x14ac:dyDescent="0.15">
      <c r="A2723" s="278"/>
      <c r="B2723" s="278"/>
      <c r="C2723" s="278"/>
      <c r="D2723" s="278"/>
      <c r="E2723" s="278"/>
      <c r="F2723" s="278"/>
      <c r="G2723" s="278"/>
      <c r="H2723" s="278"/>
      <c r="I2723" s="278"/>
      <c r="J2723" s="278"/>
      <c r="K2723" s="278"/>
    </row>
    <row r="2724" spans="1:11" x14ac:dyDescent="0.15">
      <c r="A2724" s="278"/>
      <c r="B2724" s="278"/>
      <c r="C2724" s="278"/>
      <c r="D2724" s="278"/>
      <c r="E2724" s="278"/>
      <c r="F2724" s="278"/>
      <c r="G2724" s="278"/>
      <c r="H2724" s="278"/>
      <c r="I2724" s="278"/>
      <c r="J2724" s="278"/>
      <c r="K2724" s="278"/>
    </row>
    <row r="2725" spans="1:11" x14ac:dyDescent="0.15">
      <c r="A2725" s="278"/>
      <c r="B2725" s="278"/>
      <c r="C2725" s="278"/>
      <c r="D2725" s="278"/>
      <c r="E2725" s="278"/>
      <c r="F2725" s="278"/>
      <c r="G2725" s="278"/>
      <c r="H2725" s="278"/>
      <c r="I2725" s="278"/>
      <c r="J2725" s="278"/>
      <c r="K2725" s="278"/>
    </row>
    <row r="2726" spans="1:11" x14ac:dyDescent="0.15">
      <c r="A2726" s="278"/>
      <c r="B2726" s="278"/>
      <c r="C2726" s="278"/>
      <c r="D2726" s="278"/>
      <c r="E2726" s="278"/>
      <c r="F2726" s="278"/>
      <c r="G2726" s="278"/>
      <c r="H2726" s="278"/>
      <c r="I2726" s="278"/>
      <c r="J2726" s="278"/>
      <c r="K2726" s="278"/>
    </row>
    <row r="2727" spans="1:11" x14ac:dyDescent="0.15">
      <c r="A2727" s="278"/>
      <c r="B2727" s="278"/>
      <c r="C2727" s="278"/>
      <c r="D2727" s="278"/>
      <c r="E2727" s="278"/>
      <c r="F2727" s="278"/>
      <c r="G2727" s="278"/>
      <c r="H2727" s="278"/>
      <c r="I2727" s="278"/>
      <c r="J2727" s="278"/>
      <c r="K2727" s="278"/>
    </row>
    <row r="2728" spans="1:11" x14ac:dyDescent="0.15">
      <c r="A2728" s="278"/>
      <c r="B2728" s="278"/>
      <c r="C2728" s="278"/>
      <c r="D2728" s="278"/>
      <c r="E2728" s="278"/>
      <c r="F2728" s="278"/>
      <c r="G2728" s="278"/>
      <c r="H2728" s="278"/>
      <c r="I2728" s="278"/>
      <c r="J2728" s="278"/>
      <c r="K2728" s="278"/>
    </row>
    <row r="2729" spans="1:11" x14ac:dyDescent="0.15">
      <c r="A2729" s="278"/>
      <c r="B2729" s="278"/>
      <c r="C2729" s="278"/>
      <c r="D2729" s="278"/>
      <c r="E2729" s="278"/>
      <c r="F2729" s="278"/>
      <c r="G2729" s="278"/>
      <c r="H2729" s="278"/>
      <c r="I2729" s="278"/>
      <c r="J2729" s="278"/>
      <c r="K2729" s="278"/>
    </row>
    <row r="2730" spans="1:11" x14ac:dyDescent="0.15">
      <c r="A2730" s="278"/>
      <c r="B2730" s="278"/>
      <c r="C2730" s="278"/>
      <c r="D2730" s="278"/>
      <c r="E2730" s="278"/>
      <c r="F2730" s="278"/>
      <c r="G2730" s="278"/>
      <c r="H2730" s="278"/>
      <c r="I2730" s="278"/>
      <c r="J2730" s="278"/>
      <c r="K2730" s="278"/>
    </row>
    <row r="2731" spans="1:11" x14ac:dyDescent="0.15">
      <c r="A2731" s="278"/>
      <c r="B2731" s="278"/>
      <c r="C2731" s="278"/>
      <c r="D2731" s="278"/>
      <c r="E2731" s="278"/>
      <c r="F2731" s="278"/>
      <c r="G2731" s="278"/>
      <c r="H2731" s="278"/>
      <c r="I2731" s="278"/>
      <c r="J2731" s="278"/>
      <c r="K2731" s="278"/>
    </row>
    <row r="2732" spans="1:11" x14ac:dyDescent="0.15">
      <c r="A2732" s="278"/>
      <c r="B2732" s="278"/>
      <c r="C2732" s="278"/>
      <c r="D2732" s="278"/>
      <c r="E2732" s="278"/>
      <c r="F2732" s="278"/>
      <c r="G2732" s="278"/>
      <c r="H2732" s="278"/>
      <c r="I2732" s="278"/>
      <c r="J2732" s="278"/>
      <c r="K2732" s="278"/>
    </row>
    <row r="2733" spans="1:11" x14ac:dyDescent="0.15">
      <c r="A2733" s="278"/>
      <c r="B2733" s="278"/>
      <c r="C2733" s="278"/>
      <c r="D2733" s="278"/>
      <c r="E2733" s="278"/>
      <c r="F2733" s="278"/>
      <c r="G2733" s="278"/>
      <c r="H2733" s="278"/>
      <c r="I2733" s="278"/>
      <c r="J2733" s="278"/>
      <c r="K2733" s="278"/>
    </row>
    <row r="2734" spans="1:11" x14ac:dyDescent="0.15">
      <c r="A2734" s="278"/>
      <c r="B2734" s="278"/>
      <c r="C2734" s="278"/>
      <c r="D2734" s="278"/>
      <c r="E2734" s="278"/>
      <c r="F2734" s="278"/>
      <c r="G2734" s="278"/>
      <c r="H2734" s="278"/>
      <c r="I2734" s="278"/>
      <c r="J2734" s="278"/>
      <c r="K2734" s="278"/>
    </row>
    <row r="2735" spans="1:11" x14ac:dyDescent="0.15">
      <c r="A2735" s="278"/>
      <c r="B2735" s="278"/>
      <c r="C2735" s="278"/>
      <c r="D2735" s="278"/>
      <c r="E2735" s="278"/>
      <c r="F2735" s="278"/>
      <c r="G2735" s="278"/>
      <c r="H2735" s="278"/>
      <c r="I2735" s="278"/>
      <c r="J2735" s="278"/>
      <c r="K2735" s="278"/>
    </row>
    <row r="2736" spans="1:11" x14ac:dyDescent="0.15">
      <c r="A2736" s="278"/>
      <c r="B2736" s="278"/>
      <c r="C2736" s="278"/>
      <c r="D2736" s="278"/>
      <c r="E2736" s="278"/>
      <c r="F2736" s="278"/>
      <c r="G2736" s="278"/>
      <c r="H2736" s="278"/>
      <c r="I2736" s="278"/>
      <c r="J2736" s="278"/>
      <c r="K2736" s="278"/>
    </row>
    <row r="2737" spans="1:11" x14ac:dyDescent="0.15">
      <c r="A2737" s="278"/>
      <c r="B2737" s="278"/>
      <c r="C2737" s="278"/>
      <c r="D2737" s="278"/>
      <c r="E2737" s="278"/>
      <c r="F2737" s="278"/>
      <c r="G2737" s="278"/>
      <c r="H2737" s="278"/>
      <c r="I2737" s="278"/>
      <c r="J2737" s="278"/>
      <c r="K2737" s="278"/>
    </row>
    <row r="2738" spans="1:11" x14ac:dyDescent="0.15">
      <c r="A2738" s="278"/>
      <c r="B2738" s="278"/>
      <c r="C2738" s="278"/>
      <c r="D2738" s="278"/>
      <c r="E2738" s="278"/>
      <c r="F2738" s="278"/>
      <c r="G2738" s="278"/>
      <c r="H2738" s="278"/>
      <c r="I2738" s="278"/>
      <c r="J2738" s="278"/>
      <c r="K2738" s="278"/>
    </row>
    <row r="2739" spans="1:11" x14ac:dyDescent="0.15">
      <c r="A2739" s="278"/>
      <c r="B2739" s="278"/>
      <c r="C2739" s="278"/>
      <c r="D2739" s="278"/>
      <c r="E2739" s="278"/>
      <c r="F2739" s="278"/>
      <c r="G2739" s="278"/>
      <c r="H2739" s="278"/>
      <c r="I2739" s="278"/>
      <c r="J2739" s="278"/>
      <c r="K2739" s="278"/>
    </row>
    <row r="2740" spans="1:11" x14ac:dyDescent="0.15">
      <c r="A2740" s="278"/>
      <c r="B2740" s="278"/>
      <c r="C2740" s="278"/>
      <c r="D2740" s="278"/>
      <c r="E2740" s="278"/>
      <c r="F2740" s="278"/>
      <c r="G2740" s="278"/>
      <c r="H2740" s="278"/>
      <c r="I2740" s="278"/>
      <c r="J2740" s="278"/>
      <c r="K2740" s="278"/>
    </row>
    <row r="2741" spans="1:11" x14ac:dyDescent="0.15">
      <c r="A2741" s="278"/>
      <c r="B2741" s="278"/>
      <c r="C2741" s="278"/>
      <c r="D2741" s="278"/>
      <c r="E2741" s="278"/>
      <c r="F2741" s="278"/>
      <c r="G2741" s="278"/>
      <c r="H2741" s="278"/>
      <c r="I2741" s="278"/>
      <c r="J2741" s="278"/>
      <c r="K2741" s="278"/>
    </row>
    <row r="2742" spans="1:11" x14ac:dyDescent="0.15">
      <c r="A2742" s="278"/>
      <c r="B2742" s="278"/>
      <c r="C2742" s="278"/>
      <c r="D2742" s="278"/>
      <c r="E2742" s="278"/>
      <c r="F2742" s="278"/>
      <c r="G2742" s="278"/>
      <c r="H2742" s="278"/>
      <c r="I2742" s="278"/>
      <c r="J2742" s="278"/>
      <c r="K2742" s="278"/>
    </row>
    <row r="2743" spans="1:11" x14ac:dyDescent="0.15">
      <c r="A2743" s="278"/>
      <c r="B2743" s="278"/>
      <c r="C2743" s="278"/>
      <c r="D2743" s="278"/>
      <c r="E2743" s="278"/>
      <c r="F2743" s="278"/>
      <c r="G2743" s="278"/>
      <c r="H2743" s="278"/>
      <c r="I2743" s="278"/>
      <c r="J2743" s="278"/>
      <c r="K2743" s="278"/>
    </row>
    <row r="2744" spans="1:11" x14ac:dyDescent="0.15">
      <c r="A2744" s="278"/>
      <c r="B2744" s="278"/>
      <c r="C2744" s="278"/>
      <c r="D2744" s="278"/>
      <c r="E2744" s="278"/>
      <c r="F2744" s="278"/>
      <c r="G2744" s="278"/>
      <c r="H2744" s="278"/>
      <c r="I2744" s="278"/>
      <c r="J2744" s="278"/>
      <c r="K2744" s="278"/>
    </row>
    <row r="2745" spans="1:11" x14ac:dyDescent="0.15">
      <c r="A2745" s="278"/>
      <c r="B2745" s="278"/>
      <c r="C2745" s="278"/>
      <c r="D2745" s="278"/>
      <c r="E2745" s="278"/>
      <c r="F2745" s="278"/>
      <c r="G2745" s="278"/>
      <c r="H2745" s="278"/>
      <c r="I2745" s="278"/>
      <c r="J2745" s="278"/>
      <c r="K2745" s="278"/>
    </row>
    <row r="2746" spans="1:11" x14ac:dyDescent="0.15">
      <c r="A2746" s="278"/>
      <c r="B2746" s="278"/>
      <c r="C2746" s="278"/>
      <c r="D2746" s="278"/>
      <c r="E2746" s="278"/>
      <c r="F2746" s="278"/>
      <c r="G2746" s="278"/>
      <c r="H2746" s="278"/>
      <c r="I2746" s="278"/>
      <c r="J2746" s="278"/>
      <c r="K2746" s="278"/>
    </row>
    <row r="2747" spans="1:11" x14ac:dyDescent="0.15">
      <c r="A2747" s="278"/>
      <c r="B2747" s="278"/>
      <c r="C2747" s="278"/>
      <c r="D2747" s="278"/>
      <c r="E2747" s="278"/>
      <c r="F2747" s="278"/>
      <c r="G2747" s="278"/>
      <c r="H2747" s="278"/>
      <c r="I2747" s="278"/>
      <c r="J2747" s="278"/>
      <c r="K2747" s="278"/>
    </row>
    <row r="2748" spans="1:11" x14ac:dyDescent="0.15">
      <c r="A2748" s="278"/>
      <c r="B2748" s="278"/>
      <c r="C2748" s="278"/>
      <c r="D2748" s="278"/>
      <c r="E2748" s="278"/>
      <c r="F2748" s="278"/>
      <c r="G2748" s="278"/>
      <c r="H2748" s="278"/>
      <c r="I2748" s="278"/>
      <c r="J2748" s="278"/>
      <c r="K2748" s="278"/>
    </row>
    <row r="2749" spans="1:11" x14ac:dyDescent="0.15">
      <c r="A2749" s="278"/>
      <c r="B2749" s="278"/>
      <c r="C2749" s="278"/>
      <c r="D2749" s="278"/>
      <c r="E2749" s="278"/>
      <c r="F2749" s="278"/>
      <c r="G2749" s="278"/>
      <c r="H2749" s="278"/>
      <c r="I2749" s="278"/>
      <c r="J2749" s="278"/>
      <c r="K2749" s="278"/>
    </row>
    <row r="2750" spans="1:11" x14ac:dyDescent="0.15">
      <c r="A2750" s="278"/>
      <c r="B2750" s="278"/>
      <c r="C2750" s="278"/>
      <c r="D2750" s="278"/>
      <c r="E2750" s="278"/>
      <c r="F2750" s="278"/>
      <c r="G2750" s="278"/>
      <c r="H2750" s="278"/>
      <c r="I2750" s="278"/>
      <c r="J2750" s="278"/>
      <c r="K2750" s="278"/>
    </row>
    <row r="2751" spans="1:11" x14ac:dyDescent="0.15">
      <c r="A2751" s="278"/>
      <c r="B2751" s="278"/>
      <c r="C2751" s="278"/>
      <c r="D2751" s="278"/>
      <c r="E2751" s="278"/>
      <c r="F2751" s="278"/>
      <c r="G2751" s="278"/>
      <c r="H2751" s="278"/>
      <c r="I2751" s="278"/>
      <c r="J2751" s="278"/>
      <c r="K2751" s="278"/>
    </row>
    <row r="2752" spans="1:11" x14ac:dyDescent="0.15">
      <c r="A2752" s="278"/>
      <c r="B2752" s="278"/>
      <c r="C2752" s="278"/>
      <c r="D2752" s="278"/>
      <c r="E2752" s="278"/>
      <c r="F2752" s="278"/>
      <c r="G2752" s="278"/>
      <c r="H2752" s="278"/>
      <c r="I2752" s="278"/>
      <c r="J2752" s="278"/>
      <c r="K2752" s="278"/>
    </row>
    <row r="2753" spans="1:11" x14ac:dyDescent="0.15">
      <c r="A2753" s="278"/>
      <c r="B2753" s="278"/>
      <c r="C2753" s="278"/>
      <c r="D2753" s="278"/>
      <c r="E2753" s="278"/>
      <c r="F2753" s="278"/>
      <c r="G2753" s="278"/>
      <c r="H2753" s="278"/>
      <c r="I2753" s="278"/>
      <c r="J2753" s="278"/>
      <c r="K2753" s="278"/>
    </row>
    <row r="2754" spans="1:11" x14ac:dyDescent="0.15">
      <c r="A2754" s="278"/>
      <c r="B2754" s="278"/>
      <c r="C2754" s="278"/>
      <c r="D2754" s="278"/>
      <c r="E2754" s="278"/>
      <c r="F2754" s="278"/>
      <c r="G2754" s="278"/>
      <c r="H2754" s="278"/>
      <c r="I2754" s="278"/>
      <c r="J2754" s="278"/>
      <c r="K2754" s="278"/>
    </row>
    <row r="2755" spans="1:11" x14ac:dyDescent="0.15">
      <c r="A2755" s="278"/>
      <c r="B2755" s="278"/>
      <c r="C2755" s="278"/>
      <c r="D2755" s="278"/>
      <c r="E2755" s="278"/>
      <c r="F2755" s="278"/>
      <c r="G2755" s="278"/>
      <c r="H2755" s="278"/>
      <c r="I2755" s="278"/>
      <c r="J2755" s="278"/>
      <c r="K2755" s="278"/>
    </row>
    <row r="2756" spans="1:11" x14ac:dyDescent="0.15">
      <c r="A2756" s="278"/>
      <c r="B2756" s="278"/>
      <c r="C2756" s="278"/>
      <c r="D2756" s="278"/>
      <c r="E2756" s="278"/>
      <c r="F2756" s="278"/>
      <c r="G2756" s="278"/>
      <c r="H2756" s="278"/>
      <c r="I2756" s="278"/>
      <c r="J2756" s="278"/>
      <c r="K2756" s="278"/>
    </row>
    <row r="2757" spans="1:11" x14ac:dyDescent="0.15">
      <c r="A2757" s="278"/>
      <c r="B2757" s="278"/>
      <c r="C2757" s="278"/>
      <c r="D2757" s="278"/>
      <c r="E2757" s="278"/>
      <c r="F2757" s="278"/>
      <c r="G2757" s="278"/>
      <c r="H2757" s="278"/>
      <c r="I2757" s="278"/>
      <c r="J2757" s="278"/>
      <c r="K2757" s="278"/>
    </row>
    <row r="2758" spans="1:11" x14ac:dyDescent="0.15">
      <c r="A2758" s="278"/>
      <c r="B2758" s="278"/>
      <c r="C2758" s="278"/>
      <c r="D2758" s="278"/>
      <c r="E2758" s="278"/>
      <c r="F2758" s="278"/>
      <c r="G2758" s="278"/>
      <c r="H2758" s="278"/>
      <c r="I2758" s="278"/>
      <c r="J2758" s="278"/>
      <c r="K2758" s="278"/>
    </row>
    <row r="2759" spans="1:11" x14ac:dyDescent="0.15">
      <c r="A2759" s="278"/>
      <c r="B2759" s="278"/>
      <c r="C2759" s="278"/>
      <c r="D2759" s="278"/>
      <c r="E2759" s="278"/>
      <c r="F2759" s="278"/>
      <c r="G2759" s="278"/>
      <c r="H2759" s="278"/>
      <c r="I2759" s="278"/>
      <c r="J2759" s="278"/>
      <c r="K2759" s="278"/>
    </row>
    <row r="2760" spans="1:11" x14ac:dyDescent="0.15">
      <c r="A2760" s="278"/>
      <c r="B2760" s="278"/>
      <c r="C2760" s="278"/>
      <c r="D2760" s="278"/>
      <c r="E2760" s="278"/>
      <c r="F2760" s="278"/>
      <c r="G2760" s="278"/>
      <c r="H2760" s="278"/>
      <c r="I2760" s="278"/>
      <c r="J2760" s="278"/>
      <c r="K2760" s="278"/>
    </row>
    <row r="2761" spans="1:11" x14ac:dyDescent="0.15">
      <c r="A2761" s="278"/>
      <c r="B2761" s="278"/>
      <c r="C2761" s="278"/>
      <c r="D2761" s="278"/>
      <c r="E2761" s="278"/>
      <c r="F2761" s="278"/>
      <c r="G2761" s="278"/>
      <c r="H2761" s="278"/>
      <c r="I2761" s="278"/>
      <c r="J2761" s="278"/>
      <c r="K2761" s="278"/>
    </row>
    <row r="2762" spans="1:11" x14ac:dyDescent="0.15">
      <c r="A2762" s="278"/>
      <c r="B2762" s="278"/>
      <c r="C2762" s="278"/>
      <c r="D2762" s="278"/>
      <c r="E2762" s="278"/>
      <c r="F2762" s="278"/>
      <c r="G2762" s="278"/>
      <c r="H2762" s="278"/>
      <c r="I2762" s="278"/>
      <c r="J2762" s="278"/>
      <c r="K2762" s="278"/>
    </row>
    <row r="2763" spans="1:11" x14ac:dyDescent="0.15">
      <c r="A2763" s="278"/>
      <c r="B2763" s="278"/>
      <c r="C2763" s="278"/>
      <c r="D2763" s="278"/>
      <c r="E2763" s="278"/>
      <c r="F2763" s="278"/>
      <c r="G2763" s="278"/>
      <c r="H2763" s="278"/>
      <c r="I2763" s="278"/>
      <c r="J2763" s="278"/>
      <c r="K2763" s="278"/>
    </row>
    <row r="2764" spans="1:11" x14ac:dyDescent="0.15">
      <c r="A2764" s="278"/>
      <c r="B2764" s="278"/>
      <c r="C2764" s="278"/>
      <c r="D2764" s="278"/>
      <c r="E2764" s="278"/>
      <c r="F2764" s="278"/>
      <c r="G2764" s="278"/>
      <c r="H2764" s="278"/>
      <c r="I2764" s="278"/>
      <c r="J2764" s="278"/>
      <c r="K2764" s="278"/>
    </row>
    <row r="2765" spans="1:11" x14ac:dyDescent="0.15">
      <c r="A2765" s="278"/>
      <c r="B2765" s="278"/>
      <c r="C2765" s="278"/>
      <c r="D2765" s="278"/>
      <c r="E2765" s="278"/>
      <c r="F2765" s="278"/>
      <c r="G2765" s="278"/>
      <c r="H2765" s="278"/>
      <c r="I2765" s="278"/>
      <c r="J2765" s="278"/>
      <c r="K2765" s="278"/>
    </row>
    <row r="2766" spans="1:11" x14ac:dyDescent="0.15">
      <c r="A2766" s="278"/>
      <c r="B2766" s="278"/>
      <c r="C2766" s="278"/>
      <c r="D2766" s="278"/>
      <c r="E2766" s="278"/>
      <c r="F2766" s="278"/>
      <c r="G2766" s="278"/>
      <c r="H2766" s="278"/>
      <c r="I2766" s="278"/>
      <c r="J2766" s="278"/>
      <c r="K2766" s="278"/>
    </row>
    <row r="2767" spans="1:11" x14ac:dyDescent="0.15">
      <c r="A2767" s="278"/>
      <c r="B2767" s="278"/>
      <c r="C2767" s="278"/>
      <c r="D2767" s="278"/>
      <c r="E2767" s="278"/>
      <c r="F2767" s="278"/>
      <c r="G2767" s="278"/>
      <c r="H2767" s="278"/>
      <c r="I2767" s="278"/>
      <c r="J2767" s="278"/>
      <c r="K2767" s="278"/>
    </row>
    <row r="2768" spans="1:11" x14ac:dyDescent="0.15">
      <c r="A2768" s="278"/>
      <c r="B2768" s="278"/>
      <c r="C2768" s="278"/>
      <c r="D2768" s="278"/>
      <c r="E2768" s="278"/>
      <c r="F2768" s="278"/>
      <c r="G2768" s="278"/>
      <c r="H2768" s="278"/>
      <c r="I2768" s="278"/>
      <c r="J2768" s="278"/>
      <c r="K2768" s="278"/>
    </row>
    <row r="2769" spans="1:11" x14ac:dyDescent="0.15">
      <c r="A2769" s="278"/>
      <c r="B2769" s="278"/>
      <c r="C2769" s="278"/>
      <c r="D2769" s="278"/>
      <c r="E2769" s="278"/>
      <c r="F2769" s="278"/>
      <c r="G2769" s="278"/>
      <c r="H2769" s="278"/>
      <c r="I2769" s="278"/>
      <c r="J2769" s="278"/>
      <c r="K2769" s="278"/>
    </row>
    <row r="2770" spans="1:11" x14ac:dyDescent="0.15">
      <c r="A2770" s="278"/>
      <c r="B2770" s="278"/>
      <c r="C2770" s="278"/>
      <c r="D2770" s="278"/>
      <c r="E2770" s="278"/>
      <c r="F2770" s="278"/>
      <c r="G2770" s="278"/>
      <c r="H2770" s="278"/>
      <c r="I2770" s="278"/>
      <c r="J2770" s="278"/>
      <c r="K2770" s="278"/>
    </row>
    <row r="2771" spans="1:11" x14ac:dyDescent="0.15">
      <c r="A2771" s="278"/>
      <c r="B2771" s="278"/>
      <c r="C2771" s="278"/>
      <c r="D2771" s="278"/>
      <c r="E2771" s="278"/>
      <c r="F2771" s="278"/>
      <c r="G2771" s="278"/>
      <c r="H2771" s="278"/>
      <c r="I2771" s="278"/>
      <c r="J2771" s="278"/>
      <c r="K2771" s="278"/>
    </row>
    <row r="2772" spans="1:11" x14ac:dyDescent="0.15">
      <c r="A2772" s="278"/>
      <c r="B2772" s="278"/>
      <c r="C2772" s="278"/>
      <c r="D2772" s="278"/>
      <c r="E2772" s="278"/>
      <c r="F2772" s="278"/>
      <c r="G2772" s="278"/>
      <c r="H2772" s="278"/>
      <c r="I2772" s="278"/>
      <c r="J2772" s="278"/>
      <c r="K2772" s="278"/>
    </row>
    <row r="2773" spans="1:11" x14ac:dyDescent="0.15">
      <c r="A2773" s="278"/>
      <c r="B2773" s="278"/>
      <c r="C2773" s="278"/>
      <c r="D2773" s="278"/>
      <c r="E2773" s="278"/>
      <c r="F2773" s="278"/>
      <c r="G2773" s="278"/>
      <c r="H2773" s="278"/>
      <c r="I2773" s="278"/>
      <c r="J2773" s="278"/>
      <c r="K2773" s="278"/>
    </row>
    <row r="2774" spans="1:11" x14ac:dyDescent="0.15">
      <c r="A2774" s="278"/>
      <c r="B2774" s="278"/>
      <c r="C2774" s="278"/>
      <c r="D2774" s="278"/>
      <c r="E2774" s="278"/>
      <c r="F2774" s="278"/>
      <c r="G2774" s="278"/>
      <c r="H2774" s="278"/>
      <c r="I2774" s="278"/>
      <c r="J2774" s="278"/>
      <c r="K2774" s="278"/>
    </row>
    <row r="2775" spans="1:11" x14ac:dyDescent="0.15">
      <c r="A2775" s="278"/>
      <c r="B2775" s="278"/>
      <c r="C2775" s="278"/>
      <c r="D2775" s="278"/>
      <c r="E2775" s="278"/>
      <c r="F2775" s="278"/>
      <c r="G2775" s="278"/>
      <c r="H2775" s="278"/>
      <c r="I2775" s="278"/>
      <c r="J2775" s="278"/>
      <c r="K2775" s="278"/>
    </row>
    <row r="2776" spans="1:11" x14ac:dyDescent="0.15">
      <c r="A2776" s="278"/>
      <c r="B2776" s="278"/>
      <c r="C2776" s="278"/>
      <c r="D2776" s="278"/>
      <c r="E2776" s="278"/>
      <c r="F2776" s="278"/>
      <c r="G2776" s="278"/>
      <c r="H2776" s="278"/>
      <c r="I2776" s="278"/>
      <c r="J2776" s="278"/>
      <c r="K2776" s="278"/>
    </row>
    <row r="2777" spans="1:11" x14ac:dyDescent="0.15">
      <c r="A2777" s="278"/>
      <c r="B2777" s="278"/>
      <c r="C2777" s="278"/>
      <c r="D2777" s="278"/>
      <c r="E2777" s="278"/>
      <c r="F2777" s="278"/>
      <c r="G2777" s="278"/>
      <c r="H2777" s="278"/>
      <c r="I2777" s="278"/>
      <c r="J2777" s="278"/>
      <c r="K2777" s="278"/>
    </row>
    <row r="2778" spans="1:11" x14ac:dyDescent="0.15">
      <c r="A2778" s="278"/>
      <c r="B2778" s="278"/>
      <c r="C2778" s="278"/>
      <c r="D2778" s="278"/>
      <c r="E2778" s="278"/>
      <c r="F2778" s="278"/>
      <c r="G2778" s="278"/>
      <c r="H2778" s="278"/>
      <c r="I2778" s="278"/>
      <c r="J2778" s="278"/>
      <c r="K2778" s="278"/>
    </row>
    <row r="2779" spans="1:11" x14ac:dyDescent="0.15">
      <c r="A2779" s="278"/>
      <c r="B2779" s="278"/>
      <c r="C2779" s="278"/>
      <c r="D2779" s="278"/>
      <c r="E2779" s="278"/>
      <c r="F2779" s="278"/>
      <c r="G2779" s="278"/>
      <c r="H2779" s="278"/>
      <c r="I2779" s="278"/>
      <c r="J2779" s="278"/>
      <c r="K2779" s="278"/>
    </row>
    <row r="2780" spans="1:11" x14ac:dyDescent="0.15">
      <c r="A2780" s="278"/>
      <c r="B2780" s="278"/>
      <c r="C2780" s="278"/>
      <c r="D2780" s="278"/>
      <c r="E2780" s="278"/>
      <c r="F2780" s="278"/>
      <c r="G2780" s="278"/>
      <c r="H2780" s="278"/>
      <c r="I2780" s="278"/>
      <c r="J2780" s="278"/>
      <c r="K2780" s="278"/>
    </row>
    <row r="2781" spans="1:11" x14ac:dyDescent="0.15">
      <c r="A2781" s="278"/>
      <c r="B2781" s="278"/>
      <c r="C2781" s="278"/>
      <c r="D2781" s="278"/>
      <c r="E2781" s="278"/>
      <c r="F2781" s="278"/>
      <c r="G2781" s="278"/>
      <c r="H2781" s="278"/>
      <c r="I2781" s="278"/>
      <c r="J2781" s="278"/>
      <c r="K2781" s="278"/>
    </row>
    <row r="2782" spans="1:11" x14ac:dyDescent="0.15">
      <c r="A2782" s="278"/>
      <c r="B2782" s="278"/>
      <c r="C2782" s="278"/>
      <c r="D2782" s="278"/>
      <c r="E2782" s="278"/>
      <c r="F2782" s="278"/>
      <c r="G2782" s="278"/>
      <c r="H2782" s="278"/>
      <c r="I2782" s="278"/>
      <c r="J2782" s="278"/>
      <c r="K2782" s="278"/>
    </row>
    <row r="2783" spans="1:11" x14ac:dyDescent="0.15">
      <c r="A2783" s="278"/>
      <c r="B2783" s="278"/>
      <c r="C2783" s="278"/>
      <c r="D2783" s="278"/>
      <c r="E2783" s="278"/>
      <c r="F2783" s="278"/>
      <c r="G2783" s="278"/>
      <c r="H2783" s="278"/>
      <c r="I2783" s="278"/>
      <c r="J2783" s="278"/>
      <c r="K2783" s="278"/>
    </row>
    <row r="2784" spans="1:11" x14ac:dyDescent="0.15">
      <c r="A2784" s="278"/>
      <c r="B2784" s="278"/>
      <c r="C2784" s="278"/>
      <c r="D2784" s="278"/>
      <c r="E2784" s="278"/>
      <c r="F2784" s="278"/>
      <c r="G2784" s="278"/>
      <c r="H2784" s="278"/>
      <c r="I2784" s="278"/>
      <c r="J2784" s="278"/>
      <c r="K2784" s="278"/>
    </row>
    <row r="2785" spans="1:11" x14ac:dyDescent="0.15">
      <c r="A2785" s="278"/>
      <c r="B2785" s="278"/>
      <c r="C2785" s="278"/>
      <c r="D2785" s="278"/>
      <c r="E2785" s="278"/>
      <c r="F2785" s="278"/>
      <c r="G2785" s="278"/>
      <c r="H2785" s="278"/>
      <c r="I2785" s="278"/>
      <c r="J2785" s="278"/>
      <c r="K2785" s="278"/>
    </row>
    <row r="2786" spans="1:11" x14ac:dyDescent="0.15">
      <c r="A2786" s="278"/>
      <c r="B2786" s="278"/>
      <c r="C2786" s="278"/>
      <c r="D2786" s="278"/>
      <c r="E2786" s="278"/>
      <c r="F2786" s="278"/>
      <c r="G2786" s="278"/>
      <c r="H2786" s="278"/>
      <c r="I2786" s="278"/>
      <c r="J2786" s="278"/>
      <c r="K2786" s="278"/>
    </row>
    <row r="2787" spans="1:11" x14ac:dyDescent="0.15">
      <c r="A2787" s="278"/>
      <c r="B2787" s="278"/>
      <c r="C2787" s="278"/>
      <c r="D2787" s="278"/>
      <c r="E2787" s="278"/>
      <c r="F2787" s="278"/>
      <c r="G2787" s="278"/>
      <c r="H2787" s="278"/>
      <c r="I2787" s="278"/>
      <c r="J2787" s="278"/>
      <c r="K2787" s="278"/>
    </row>
    <row r="2788" spans="1:11" x14ac:dyDescent="0.15">
      <c r="A2788" s="278"/>
      <c r="B2788" s="278"/>
      <c r="C2788" s="278"/>
      <c r="D2788" s="278"/>
      <c r="E2788" s="278"/>
      <c r="F2788" s="278"/>
      <c r="G2788" s="278"/>
      <c r="H2788" s="278"/>
      <c r="I2788" s="278"/>
      <c r="J2788" s="278"/>
      <c r="K2788" s="278"/>
    </row>
    <row r="2789" spans="1:11" x14ac:dyDescent="0.15">
      <c r="A2789" s="278"/>
      <c r="B2789" s="278"/>
      <c r="C2789" s="278"/>
      <c r="D2789" s="278"/>
      <c r="E2789" s="278"/>
      <c r="F2789" s="278"/>
      <c r="G2789" s="278"/>
      <c r="H2789" s="278"/>
      <c r="I2789" s="278"/>
      <c r="J2789" s="278"/>
      <c r="K2789" s="278"/>
    </row>
    <row r="2790" spans="1:11" x14ac:dyDescent="0.15">
      <c r="A2790" s="278"/>
      <c r="B2790" s="278"/>
      <c r="C2790" s="278"/>
      <c r="D2790" s="278"/>
      <c r="E2790" s="278"/>
      <c r="F2790" s="278"/>
      <c r="G2790" s="278"/>
      <c r="H2790" s="278"/>
      <c r="I2790" s="278"/>
      <c r="J2790" s="278"/>
      <c r="K2790" s="278"/>
    </row>
    <row r="2791" spans="1:11" x14ac:dyDescent="0.15">
      <c r="A2791" s="278"/>
      <c r="B2791" s="278"/>
      <c r="C2791" s="278"/>
      <c r="D2791" s="278"/>
      <c r="E2791" s="278"/>
      <c r="F2791" s="278"/>
      <c r="G2791" s="278"/>
      <c r="H2791" s="278"/>
      <c r="I2791" s="278"/>
      <c r="J2791" s="278"/>
      <c r="K2791" s="278"/>
    </row>
    <row r="2792" spans="1:11" x14ac:dyDescent="0.15">
      <c r="A2792" s="278"/>
      <c r="B2792" s="278"/>
      <c r="C2792" s="278"/>
      <c r="D2792" s="278"/>
      <c r="E2792" s="278"/>
      <c r="F2792" s="278"/>
      <c r="G2792" s="278"/>
      <c r="H2792" s="278"/>
      <c r="I2792" s="278"/>
      <c r="J2792" s="278"/>
      <c r="K2792" s="278"/>
    </row>
    <row r="2793" spans="1:11" x14ac:dyDescent="0.15">
      <c r="A2793" s="278"/>
      <c r="B2793" s="278"/>
      <c r="C2793" s="278"/>
      <c r="D2793" s="278"/>
      <c r="E2793" s="278"/>
      <c r="F2793" s="278"/>
      <c r="G2793" s="278"/>
      <c r="H2793" s="278"/>
      <c r="I2793" s="278"/>
      <c r="J2793" s="278"/>
      <c r="K2793" s="278"/>
    </row>
    <row r="2794" spans="1:11" x14ac:dyDescent="0.15">
      <c r="A2794" s="278"/>
      <c r="B2794" s="278"/>
      <c r="C2794" s="278"/>
      <c r="D2794" s="278"/>
      <c r="E2794" s="278"/>
      <c r="F2794" s="278"/>
      <c r="G2794" s="278"/>
      <c r="H2794" s="278"/>
      <c r="I2794" s="278"/>
      <c r="J2794" s="278"/>
      <c r="K2794" s="278"/>
    </row>
    <row r="2795" spans="1:11" x14ac:dyDescent="0.15">
      <c r="A2795" s="278"/>
      <c r="B2795" s="278"/>
      <c r="C2795" s="278"/>
      <c r="D2795" s="278"/>
      <c r="E2795" s="278"/>
      <c r="F2795" s="278"/>
      <c r="G2795" s="278"/>
      <c r="H2795" s="278"/>
      <c r="I2795" s="278"/>
      <c r="J2795" s="278"/>
      <c r="K2795" s="278"/>
    </row>
    <row r="2796" spans="1:11" x14ac:dyDescent="0.15">
      <c r="A2796" s="278"/>
      <c r="B2796" s="278"/>
      <c r="C2796" s="278"/>
      <c r="D2796" s="278"/>
      <c r="E2796" s="278"/>
      <c r="F2796" s="278"/>
      <c r="G2796" s="278"/>
      <c r="H2796" s="278"/>
      <c r="I2796" s="278"/>
      <c r="J2796" s="278"/>
      <c r="K2796" s="278"/>
    </row>
    <row r="2797" spans="1:11" x14ac:dyDescent="0.15">
      <c r="A2797" s="278"/>
      <c r="B2797" s="278"/>
      <c r="C2797" s="278"/>
      <c r="D2797" s="278"/>
      <c r="E2797" s="278"/>
      <c r="F2797" s="278"/>
      <c r="G2797" s="278"/>
      <c r="H2797" s="278"/>
      <c r="I2797" s="278"/>
      <c r="J2797" s="278"/>
      <c r="K2797" s="278"/>
    </row>
    <row r="2798" spans="1:11" x14ac:dyDescent="0.15">
      <c r="A2798" s="278"/>
      <c r="B2798" s="278"/>
      <c r="C2798" s="278"/>
      <c r="D2798" s="278"/>
      <c r="E2798" s="278"/>
      <c r="F2798" s="278"/>
      <c r="G2798" s="278"/>
      <c r="H2798" s="278"/>
      <c r="I2798" s="278"/>
      <c r="J2798" s="278"/>
      <c r="K2798" s="278"/>
    </row>
    <row r="2799" spans="1:11" x14ac:dyDescent="0.15">
      <c r="A2799" s="278"/>
      <c r="B2799" s="278"/>
      <c r="C2799" s="278"/>
      <c r="D2799" s="278"/>
      <c r="E2799" s="278"/>
      <c r="F2799" s="278"/>
      <c r="G2799" s="278"/>
      <c r="H2799" s="278"/>
      <c r="I2799" s="278"/>
      <c r="J2799" s="278"/>
      <c r="K2799" s="278"/>
    </row>
    <row r="2800" spans="1:11" x14ac:dyDescent="0.15">
      <c r="A2800" s="278"/>
      <c r="B2800" s="278"/>
      <c r="C2800" s="278"/>
      <c r="D2800" s="278"/>
      <c r="E2800" s="278"/>
      <c r="F2800" s="278"/>
      <c r="G2800" s="278"/>
      <c r="H2800" s="278"/>
      <c r="I2800" s="278"/>
      <c r="J2800" s="278"/>
      <c r="K2800" s="278"/>
    </row>
    <row r="2801" spans="1:11" x14ac:dyDescent="0.15">
      <c r="A2801" s="278"/>
      <c r="B2801" s="278"/>
      <c r="C2801" s="278"/>
      <c r="D2801" s="278"/>
      <c r="E2801" s="278"/>
      <c r="F2801" s="278"/>
      <c r="G2801" s="278"/>
      <c r="H2801" s="278"/>
      <c r="I2801" s="278"/>
      <c r="J2801" s="278"/>
      <c r="K2801" s="278"/>
    </row>
    <row r="2802" spans="1:11" x14ac:dyDescent="0.15">
      <c r="A2802" s="278"/>
      <c r="B2802" s="278"/>
      <c r="C2802" s="278"/>
      <c r="D2802" s="278"/>
      <c r="E2802" s="278"/>
      <c r="F2802" s="278"/>
      <c r="G2802" s="278"/>
      <c r="H2802" s="278"/>
      <c r="I2802" s="278"/>
      <c r="J2802" s="278"/>
      <c r="K2802" s="278"/>
    </row>
    <row r="2803" spans="1:11" x14ac:dyDescent="0.15">
      <c r="A2803" s="278"/>
      <c r="B2803" s="278"/>
      <c r="C2803" s="278"/>
      <c r="D2803" s="278"/>
      <c r="E2803" s="278"/>
      <c r="F2803" s="278"/>
      <c r="G2803" s="278"/>
      <c r="H2803" s="278"/>
      <c r="I2803" s="278"/>
      <c r="J2803" s="278"/>
      <c r="K2803" s="278"/>
    </row>
    <row r="2804" spans="1:11" x14ac:dyDescent="0.15">
      <c r="A2804" s="278"/>
      <c r="B2804" s="278"/>
      <c r="C2804" s="278"/>
      <c r="D2804" s="278"/>
      <c r="E2804" s="278"/>
      <c r="F2804" s="278"/>
      <c r="G2804" s="278"/>
      <c r="H2804" s="278"/>
      <c r="I2804" s="278"/>
      <c r="J2804" s="278"/>
      <c r="K2804" s="278"/>
    </row>
    <row r="2805" spans="1:11" x14ac:dyDescent="0.15">
      <c r="A2805" s="278"/>
      <c r="B2805" s="278"/>
      <c r="C2805" s="278"/>
      <c r="D2805" s="278"/>
      <c r="E2805" s="278"/>
      <c r="F2805" s="278"/>
      <c r="G2805" s="278"/>
      <c r="H2805" s="278"/>
      <c r="I2805" s="278"/>
      <c r="J2805" s="278"/>
      <c r="K2805" s="278"/>
    </row>
    <row r="2806" spans="1:11" x14ac:dyDescent="0.15">
      <c r="A2806" s="278"/>
      <c r="B2806" s="278"/>
      <c r="C2806" s="278"/>
      <c r="D2806" s="278"/>
      <c r="E2806" s="278"/>
      <c r="F2806" s="278"/>
      <c r="G2806" s="278"/>
      <c r="H2806" s="278"/>
      <c r="I2806" s="278"/>
      <c r="J2806" s="278"/>
      <c r="K2806" s="278"/>
    </row>
    <row r="2807" spans="1:11" x14ac:dyDescent="0.15">
      <c r="A2807" s="278"/>
      <c r="B2807" s="278"/>
      <c r="C2807" s="278"/>
      <c r="D2807" s="278"/>
      <c r="E2807" s="278"/>
      <c r="F2807" s="278"/>
      <c r="G2807" s="278"/>
      <c r="H2807" s="278"/>
      <c r="I2807" s="278"/>
      <c r="J2807" s="278"/>
      <c r="K2807" s="278"/>
    </row>
    <row r="2808" spans="1:11" x14ac:dyDescent="0.15">
      <c r="A2808" s="278"/>
      <c r="B2808" s="278"/>
      <c r="C2808" s="278"/>
      <c r="D2808" s="278"/>
      <c r="E2808" s="278"/>
      <c r="F2808" s="278"/>
      <c r="G2808" s="278"/>
      <c r="H2808" s="278"/>
      <c r="I2808" s="278"/>
      <c r="J2808" s="278"/>
      <c r="K2808" s="278"/>
    </row>
    <row r="2809" spans="1:11" x14ac:dyDescent="0.15">
      <c r="A2809" s="278"/>
      <c r="B2809" s="278"/>
      <c r="C2809" s="278"/>
      <c r="D2809" s="278"/>
      <c r="E2809" s="278"/>
      <c r="F2809" s="278"/>
      <c r="G2809" s="278"/>
      <c r="H2809" s="278"/>
      <c r="I2809" s="278"/>
      <c r="J2809" s="278"/>
      <c r="K2809" s="278"/>
    </row>
    <row r="2810" spans="1:11" x14ac:dyDescent="0.15">
      <c r="A2810" s="278"/>
      <c r="B2810" s="278"/>
      <c r="C2810" s="278"/>
      <c r="D2810" s="278"/>
      <c r="E2810" s="278"/>
      <c r="F2810" s="278"/>
      <c r="G2810" s="278"/>
      <c r="H2810" s="278"/>
      <c r="I2810" s="278"/>
      <c r="J2810" s="278"/>
      <c r="K2810" s="278"/>
    </row>
    <row r="2811" spans="1:11" x14ac:dyDescent="0.15">
      <c r="A2811" s="278"/>
      <c r="B2811" s="278"/>
      <c r="C2811" s="278"/>
      <c r="D2811" s="278"/>
      <c r="E2811" s="278"/>
      <c r="F2811" s="278"/>
      <c r="G2811" s="278"/>
      <c r="H2811" s="278"/>
      <c r="I2811" s="278"/>
      <c r="J2811" s="278"/>
      <c r="K2811" s="278"/>
    </row>
    <row r="2812" spans="1:11" x14ac:dyDescent="0.15">
      <c r="A2812" s="278"/>
      <c r="B2812" s="278"/>
      <c r="C2812" s="278"/>
      <c r="D2812" s="278"/>
      <c r="E2812" s="278"/>
      <c r="F2812" s="278"/>
      <c r="G2812" s="278"/>
      <c r="H2812" s="278"/>
      <c r="I2812" s="278"/>
      <c r="J2812" s="278"/>
      <c r="K2812" s="278"/>
    </row>
    <row r="2813" spans="1:11" x14ac:dyDescent="0.15">
      <c r="A2813" s="278"/>
      <c r="B2813" s="278"/>
      <c r="C2813" s="278"/>
      <c r="D2813" s="278"/>
      <c r="E2813" s="278"/>
      <c r="F2813" s="278"/>
      <c r="G2813" s="278"/>
      <c r="H2813" s="278"/>
      <c r="I2813" s="278"/>
      <c r="J2813" s="278"/>
      <c r="K2813" s="278"/>
    </row>
    <row r="2814" spans="1:11" x14ac:dyDescent="0.15">
      <c r="A2814" s="278"/>
      <c r="B2814" s="278"/>
      <c r="C2814" s="278"/>
      <c r="D2814" s="278"/>
      <c r="E2814" s="278"/>
      <c r="F2814" s="278"/>
      <c r="G2814" s="278"/>
      <c r="H2814" s="278"/>
      <c r="I2814" s="278"/>
      <c r="J2814" s="278"/>
      <c r="K2814" s="278"/>
    </row>
    <row r="2815" spans="1:11" x14ac:dyDescent="0.15">
      <c r="A2815" s="278"/>
      <c r="B2815" s="278"/>
      <c r="C2815" s="278"/>
      <c r="D2815" s="278"/>
      <c r="E2815" s="278"/>
      <c r="F2815" s="278"/>
      <c r="G2815" s="278"/>
      <c r="H2815" s="278"/>
      <c r="I2815" s="278"/>
      <c r="J2815" s="278"/>
      <c r="K2815" s="278"/>
    </row>
    <row r="2816" spans="1:11" x14ac:dyDescent="0.15">
      <c r="A2816" s="278"/>
      <c r="B2816" s="278"/>
      <c r="C2816" s="278"/>
      <c r="D2816" s="278"/>
      <c r="E2816" s="278"/>
      <c r="F2816" s="278"/>
      <c r="G2816" s="278"/>
      <c r="H2816" s="278"/>
      <c r="I2816" s="278"/>
      <c r="J2816" s="278"/>
      <c r="K2816" s="278"/>
    </row>
    <row r="2817" spans="1:11" x14ac:dyDescent="0.15">
      <c r="A2817" s="278"/>
      <c r="B2817" s="278"/>
      <c r="C2817" s="278"/>
      <c r="D2817" s="278"/>
      <c r="E2817" s="278"/>
      <c r="F2817" s="278"/>
      <c r="G2817" s="278"/>
      <c r="H2817" s="278"/>
      <c r="I2817" s="278"/>
      <c r="J2817" s="278"/>
      <c r="K2817" s="278"/>
    </row>
    <row r="2818" spans="1:11" x14ac:dyDescent="0.15">
      <c r="A2818" s="278"/>
      <c r="B2818" s="278"/>
      <c r="C2818" s="278"/>
      <c r="D2818" s="278"/>
      <c r="E2818" s="278"/>
      <c r="F2818" s="278"/>
      <c r="G2818" s="278"/>
      <c r="H2818" s="278"/>
      <c r="I2818" s="278"/>
      <c r="J2818" s="278"/>
      <c r="K2818" s="278"/>
    </row>
    <row r="2819" spans="1:11" x14ac:dyDescent="0.15">
      <c r="A2819" s="278"/>
      <c r="B2819" s="278"/>
      <c r="C2819" s="278"/>
      <c r="D2819" s="278"/>
      <c r="E2819" s="278"/>
      <c r="F2819" s="278"/>
      <c r="G2819" s="278"/>
      <c r="H2819" s="278"/>
      <c r="I2819" s="278"/>
      <c r="J2819" s="278"/>
      <c r="K2819" s="278"/>
    </row>
    <row r="2820" spans="1:11" x14ac:dyDescent="0.15">
      <c r="A2820" s="278"/>
      <c r="B2820" s="278"/>
      <c r="C2820" s="278"/>
      <c r="D2820" s="278"/>
      <c r="E2820" s="278"/>
      <c r="F2820" s="278"/>
      <c r="G2820" s="278"/>
      <c r="H2820" s="278"/>
      <c r="I2820" s="278"/>
      <c r="J2820" s="278"/>
      <c r="K2820" s="278"/>
    </row>
    <row r="2821" spans="1:11" x14ac:dyDescent="0.15">
      <c r="A2821" s="278"/>
      <c r="B2821" s="278"/>
      <c r="C2821" s="278"/>
      <c r="D2821" s="278"/>
      <c r="E2821" s="278"/>
      <c r="F2821" s="278"/>
      <c r="G2821" s="278"/>
      <c r="H2821" s="278"/>
      <c r="I2821" s="278"/>
      <c r="J2821" s="278"/>
      <c r="K2821" s="278"/>
    </row>
    <row r="2822" spans="1:11" x14ac:dyDescent="0.15">
      <c r="A2822" s="278"/>
      <c r="B2822" s="278"/>
      <c r="C2822" s="278"/>
      <c r="D2822" s="278"/>
      <c r="E2822" s="278"/>
      <c r="F2822" s="278"/>
      <c r="G2822" s="278"/>
      <c r="H2822" s="278"/>
      <c r="I2822" s="278"/>
      <c r="J2822" s="278"/>
      <c r="K2822" s="278"/>
    </row>
    <row r="2823" spans="1:11" x14ac:dyDescent="0.15">
      <c r="A2823" s="278"/>
      <c r="B2823" s="278"/>
      <c r="C2823" s="278"/>
      <c r="D2823" s="278"/>
      <c r="E2823" s="278"/>
      <c r="F2823" s="278"/>
      <c r="G2823" s="278"/>
      <c r="H2823" s="278"/>
      <c r="I2823" s="278"/>
      <c r="J2823" s="278"/>
      <c r="K2823" s="278"/>
    </row>
    <row r="2824" spans="1:11" x14ac:dyDescent="0.15">
      <c r="A2824" s="278"/>
      <c r="B2824" s="278"/>
      <c r="C2824" s="278"/>
      <c r="D2824" s="278"/>
      <c r="E2824" s="278"/>
      <c r="F2824" s="278"/>
      <c r="G2824" s="278"/>
      <c r="H2824" s="278"/>
      <c r="I2824" s="278"/>
      <c r="J2824" s="278"/>
      <c r="K2824" s="278"/>
    </row>
    <row r="2825" spans="1:11" x14ac:dyDescent="0.15">
      <c r="A2825" s="278"/>
      <c r="B2825" s="278"/>
      <c r="C2825" s="278"/>
      <c r="D2825" s="278"/>
      <c r="E2825" s="278"/>
      <c r="F2825" s="278"/>
      <c r="G2825" s="278"/>
      <c r="H2825" s="278"/>
      <c r="I2825" s="278"/>
      <c r="J2825" s="278"/>
      <c r="K2825" s="278"/>
    </row>
    <row r="2826" spans="1:11" x14ac:dyDescent="0.15">
      <c r="A2826" s="278"/>
      <c r="B2826" s="278"/>
      <c r="C2826" s="278"/>
      <c r="D2826" s="278"/>
      <c r="E2826" s="278"/>
      <c r="F2826" s="278"/>
      <c r="G2826" s="278"/>
      <c r="H2826" s="278"/>
      <c r="I2826" s="278"/>
      <c r="J2826" s="278"/>
      <c r="K2826" s="278"/>
    </row>
    <row r="2827" spans="1:11" x14ac:dyDescent="0.15">
      <c r="A2827" s="278"/>
      <c r="B2827" s="278"/>
      <c r="C2827" s="278"/>
      <c r="D2827" s="278"/>
      <c r="E2827" s="278"/>
      <c r="F2827" s="278"/>
      <c r="G2827" s="278"/>
      <c r="H2827" s="278"/>
      <c r="I2827" s="278"/>
      <c r="J2827" s="278"/>
      <c r="K2827" s="278"/>
    </row>
    <row r="2828" spans="1:11" x14ac:dyDescent="0.15">
      <c r="A2828" s="278"/>
      <c r="B2828" s="278"/>
      <c r="C2828" s="278"/>
      <c r="D2828" s="278"/>
      <c r="E2828" s="278"/>
      <c r="F2828" s="278"/>
      <c r="G2828" s="278"/>
      <c r="H2828" s="278"/>
      <c r="I2828" s="278"/>
      <c r="J2828" s="278"/>
      <c r="K2828" s="278"/>
    </row>
    <row r="2829" spans="1:11" x14ac:dyDescent="0.15">
      <c r="A2829" s="278"/>
      <c r="B2829" s="278"/>
      <c r="C2829" s="278"/>
      <c r="D2829" s="278"/>
      <c r="E2829" s="278"/>
      <c r="F2829" s="278"/>
      <c r="G2829" s="278"/>
      <c r="H2829" s="278"/>
      <c r="I2829" s="278"/>
      <c r="J2829" s="278"/>
      <c r="K2829" s="278"/>
    </row>
    <row r="2830" spans="1:11" x14ac:dyDescent="0.15">
      <c r="A2830" s="278"/>
      <c r="B2830" s="278"/>
      <c r="C2830" s="278"/>
      <c r="D2830" s="278"/>
      <c r="E2830" s="278"/>
      <c r="F2830" s="278"/>
      <c r="G2830" s="278"/>
      <c r="H2830" s="278"/>
      <c r="I2830" s="278"/>
      <c r="J2830" s="278"/>
      <c r="K2830" s="278"/>
    </row>
    <row r="2831" spans="1:11" x14ac:dyDescent="0.15">
      <c r="A2831" s="278"/>
      <c r="B2831" s="278"/>
      <c r="C2831" s="278"/>
      <c r="D2831" s="278"/>
      <c r="E2831" s="278"/>
      <c r="F2831" s="278"/>
      <c r="G2831" s="278"/>
      <c r="H2831" s="278"/>
      <c r="I2831" s="278"/>
      <c r="J2831" s="278"/>
      <c r="K2831" s="278"/>
    </row>
    <row r="2832" spans="1:11" x14ac:dyDescent="0.15">
      <c r="A2832" s="278"/>
      <c r="B2832" s="278"/>
      <c r="C2832" s="278"/>
      <c r="D2832" s="278"/>
      <c r="E2832" s="278"/>
      <c r="F2832" s="278"/>
      <c r="G2832" s="278"/>
      <c r="H2832" s="278"/>
      <c r="I2832" s="278"/>
      <c r="J2832" s="278"/>
      <c r="K2832" s="278"/>
    </row>
    <row r="2833" spans="1:11" x14ac:dyDescent="0.15">
      <c r="A2833" s="278"/>
      <c r="B2833" s="278"/>
      <c r="C2833" s="278"/>
      <c r="D2833" s="278"/>
      <c r="E2833" s="278"/>
      <c r="F2833" s="278"/>
      <c r="G2833" s="278"/>
      <c r="H2833" s="278"/>
      <c r="I2833" s="278"/>
      <c r="J2833" s="278"/>
      <c r="K2833" s="278"/>
    </row>
    <row r="2834" spans="1:11" x14ac:dyDescent="0.15">
      <c r="A2834" s="278"/>
      <c r="B2834" s="278"/>
      <c r="C2834" s="278"/>
      <c r="D2834" s="278"/>
      <c r="E2834" s="278"/>
      <c r="F2834" s="278"/>
      <c r="G2834" s="278"/>
      <c r="H2834" s="278"/>
      <c r="I2834" s="278"/>
      <c r="J2834" s="278"/>
      <c r="K2834" s="278"/>
    </row>
    <row r="2835" spans="1:11" x14ac:dyDescent="0.15">
      <c r="A2835" s="278"/>
      <c r="B2835" s="278"/>
      <c r="C2835" s="278"/>
      <c r="D2835" s="278"/>
      <c r="E2835" s="278"/>
      <c r="F2835" s="278"/>
      <c r="G2835" s="278"/>
      <c r="H2835" s="278"/>
      <c r="I2835" s="278"/>
      <c r="J2835" s="278"/>
      <c r="K2835" s="278"/>
    </row>
    <row r="2836" spans="1:11" x14ac:dyDescent="0.15">
      <c r="A2836" s="278"/>
      <c r="B2836" s="278"/>
      <c r="C2836" s="278"/>
      <c r="D2836" s="278"/>
      <c r="E2836" s="278"/>
      <c r="F2836" s="278"/>
      <c r="G2836" s="278"/>
      <c r="H2836" s="278"/>
      <c r="I2836" s="278"/>
      <c r="J2836" s="278"/>
      <c r="K2836" s="278"/>
    </row>
    <row r="2837" spans="1:11" x14ac:dyDescent="0.15">
      <c r="A2837" s="278"/>
      <c r="B2837" s="278"/>
      <c r="C2837" s="278"/>
      <c r="D2837" s="278"/>
      <c r="E2837" s="278"/>
      <c r="F2837" s="278"/>
      <c r="G2837" s="278"/>
      <c r="H2837" s="278"/>
      <c r="I2837" s="278"/>
      <c r="J2837" s="278"/>
      <c r="K2837" s="278"/>
    </row>
    <row r="2838" spans="1:11" x14ac:dyDescent="0.15">
      <c r="A2838" s="278"/>
      <c r="B2838" s="278"/>
      <c r="C2838" s="278"/>
      <c r="D2838" s="278"/>
      <c r="E2838" s="278"/>
      <c r="F2838" s="278"/>
      <c r="G2838" s="278"/>
      <c r="H2838" s="278"/>
      <c r="I2838" s="278"/>
      <c r="J2838" s="278"/>
      <c r="K2838" s="278"/>
    </row>
    <row r="2839" spans="1:11" x14ac:dyDescent="0.15">
      <c r="A2839" s="278"/>
      <c r="B2839" s="278"/>
      <c r="C2839" s="278"/>
      <c r="D2839" s="278"/>
      <c r="E2839" s="278"/>
      <c r="F2839" s="278"/>
      <c r="G2839" s="278"/>
      <c r="H2839" s="278"/>
      <c r="I2839" s="278"/>
      <c r="J2839" s="278"/>
      <c r="K2839" s="278"/>
    </row>
    <row r="2840" spans="1:11" x14ac:dyDescent="0.15">
      <c r="A2840" s="278"/>
      <c r="B2840" s="278"/>
      <c r="C2840" s="278"/>
      <c r="D2840" s="278"/>
      <c r="E2840" s="278"/>
      <c r="F2840" s="278"/>
      <c r="G2840" s="278"/>
      <c r="H2840" s="278"/>
      <c r="I2840" s="278"/>
      <c r="J2840" s="278"/>
      <c r="K2840" s="278"/>
    </row>
    <row r="2841" spans="1:11" x14ac:dyDescent="0.15">
      <c r="A2841" s="278"/>
      <c r="B2841" s="278"/>
      <c r="C2841" s="278"/>
      <c r="D2841" s="278"/>
      <c r="E2841" s="278"/>
      <c r="F2841" s="278"/>
      <c r="G2841" s="278"/>
      <c r="H2841" s="278"/>
      <c r="I2841" s="278"/>
      <c r="J2841" s="278"/>
      <c r="K2841" s="278"/>
    </row>
    <row r="2842" spans="1:11" x14ac:dyDescent="0.15">
      <c r="A2842" s="278"/>
      <c r="B2842" s="278"/>
      <c r="C2842" s="278"/>
      <c r="D2842" s="278"/>
      <c r="E2842" s="278"/>
      <c r="F2842" s="278"/>
      <c r="G2842" s="278"/>
      <c r="H2842" s="278"/>
      <c r="I2842" s="278"/>
      <c r="J2842" s="278"/>
      <c r="K2842" s="278"/>
    </row>
    <row r="2843" spans="1:11" x14ac:dyDescent="0.15">
      <c r="A2843" s="278"/>
      <c r="B2843" s="278"/>
      <c r="C2843" s="278"/>
      <c r="D2843" s="278"/>
      <c r="E2843" s="278"/>
      <c r="F2843" s="278"/>
      <c r="G2843" s="278"/>
      <c r="H2843" s="278"/>
      <c r="I2843" s="278"/>
      <c r="J2843" s="278"/>
      <c r="K2843" s="278"/>
    </row>
    <row r="2844" spans="1:11" x14ac:dyDescent="0.15">
      <c r="A2844" s="278"/>
      <c r="B2844" s="278"/>
      <c r="C2844" s="278"/>
      <c r="D2844" s="278"/>
      <c r="E2844" s="278"/>
      <c r="F2844" s="278"/>
      <c r="G2844" s="278"/>
      <c r="H2844" s="278"/>
      <c r="I2844" s="278"/>
      <c r="J2844" s="278"/>
      <c r="K2844" s="278"/>
    </row>
    <row r="2845" spans="1:11" x14ac:dyDescent="0.15">
      <c r="A2845" s="278"/>
      <c r="B2845" s="278"/>
      <c r="C2845" s="278"/>
      <c r="D2845" s="278"/>
      <c r="E2845" s="278"/>
      <c r="F2845" s="278"/>
      <c r="G2845" s="278"/>
      <c r="H2845" s="278"/>
      <c r="I2845" s="278"/>
      <c r="J2845" s="278"/>
      <c r="K2845" s="278"/>
    </row>
    <row r="2846" spans="1:11" x14ac:dyDescent="0.15">
      <c r="A2846" s="278"/>
      <c r="B2846" s="278"/>
      <c r="C2846" s="278"/>
      <c r="D2846" s="278"/>
      <c r="E2846" s="278"/>
      <c r="F2846" s="278"/>
      <c r="G2846" s="278"/>
      <c r="H2846" s="278"/>
      <c r="I2846" s="278"/>
      <c r="J2846" s="278"/>
      <c r="K2846" s="278"/>
    </row>
    <row r="2847" spans="1:11" x14ac:dyDescent="0.15">
      <c r="A2847" s="278"/>
      <c r="B2847" s="278"/>
      <c r="C2847" s="278"/>
      <c r="D2847" s="278"/>
      <c r="E2847" s="278"/>
      <c r="F2847" s="278"/>
      <c r="G2847" s="278"/>
      <c r="H2847" s="278"/>
      <c r="I2847" s="278"/>
      <c r="J2847" s="278"/>
      <c r="K2847" s="278"/>
    </row>
    <row r="2848" spans="1:11" x14ac:dyDescent="0.15">
      <c r="A2848" s="278"/>
      <c r="B2848" s="278"/>
      <c r="C2848" s="278"/>
      <c r="D2848" s="278"/>
      <c r="E2848" s="278"/>
      <c r="F2848" s="278"/>
      <c r="G2848" s="278"/>
      <c r="H2848" s="278"/>
      <c r="I2848" s="278"/>
      <c r="J2848" s="278"/>
      <c r="K2848" s="278"/>
    </row>
    <row r="2849" spans="1:11" x14ac:dyDescent="0.15">
      <c r="A2849" s="278"/>
      <c r="B2849" s="278"/>
      <c r="C2849" s="278"/>
      <c r="D2849" s="278"/>
      <c r="E2849" s="278"/>
      <c r="F2849" s="278"/>
      <c r="G2849" s="278"/>
      <c r="H2849" s="278"/>
      <c r="I2849" s="278"/>
      <c r="J2849" s="278"/>
      <c r="K2849" s="278"/>
    </row>
    <row r="2850" spans="1:11" x14ac:dyDescent="0.15">
      <c r="A2850" s="278"/>
      <c r="B2850" s="278"/>
      <c r="C2850" s="278"/>
      <c r="D2850" s="278"/>
      <c r="E2850" s="278"/>
      <c r="F2850" s="278"/>
      <c r="G2850" s="278"/>
      <c r="H2850" s="278"/>
      <c r="I2850" s="278"/>
      <c r="J2850" s="278"/>
      <c r="K2850" s="278"/>
    </row>
    <row r="2851" spans="1:11" x14ac:dyDescent="0.15">
      <c r="A2851" s="278"/>
      <c r="B2851" s="278"/>
      <c r="C2851" s="278"/>
      <c r="D2851" s="278"/>
      <c r="E2851" s="278"/>
      <c r="F2851" s="278"/>
      <c r="G2851" s="278"/>
      <c r="H2851" s="278"/>
      <c r="I2851" s="278"/>
      <c r="J2851" s="278"/>
      <c r="K2851" s="278"/>
    </row>
    <row r="2852" spans="1:11" x14ac:dyDescent="0.15">
      <c r="A2852" s="278"/>
      <c r="B2852" s="278"/>
      <c r="C2852" s="278"/>
      <c r="D2852" s="278"/>
      <c r="E2852" s="278"/>
      <c r="F2852" s="278"/>
      <c r="G2852" s="278"/>
      <c r="H2852" s="278"/>
      <c r="I2852" s="278"/>
      <c r="J2852" s="278"/>
      <c r="K2852" s="278"/>
    </row>
    <row r="2853" spans="1:11" x14ac:dyDescent="0.15">
      <c r="A2853" s="278"/>
      <c r="B2853" s="278"/>
      <c r="C2853" s="278"/>
      <c r="D2853" s="278"/>
      <c r="E2853" s="278"/>
      <c r="F2853" s="278"/>
      <c r="G2853" s="278"/>
      <c r="H2853" s="278"/>
      <c r="I2853" s="278"/>
      <c r="J2853" s="278"/>
      <c r="K2853" s="278"/>
    </row>
    <row r="2854" spans="1:11" x14ac:dyDescent="0.15">
      <c r="A2854" s="278"/>
      <c r="B2854" s="278"/>
      <c r="C2854" s="278"/>
      <c r="D2854" s="278"/>
      <c r="E2854" s="278"/>
      <c r="F2854" s="278"/>
      <c r="G2854" s="278"/>
      <c r="H2854" s="278"/>
      <c r="I2854" s="278"/>
      <c r="J2854" s="278"/>
      <c r="K2854" s="278"/>
    </row>
    <row r="2855" spans="1:11" x14ac:dyDescent="0.15">
      <c r="A2855" s="278"/>
      <c r="B2855" s="278"/>
      <c r="C2855" s="278"/>
      <c r="D2855" s="278"/>
      <c r="E2855" s="278"/>
      <c r="F2855" s="278"/>
      <c r="G2855" s="278"/>
      <c r="H2855" s="278"/>
      <c r="I2855" s="278"/>
      <c r="J2855" s="278"/>
      <c r="K2855" s="278"/>
    </row>
    <row r="2856" spans="1:11" x14ac:dyDescent="0.15">
      <c r="A2856" s="278"/>
      <c r="B2856" s="278"/>
      <c r="C2856" s="278"/>
      <c r="D2856" s="278"/>
      <c r="E2856" s="278"/>
      <c r="F2856" s="278"/>
      <c r="G2856" s="278"/>
      <c r="H2856" s="278"/>
      <c r="I2856" s="278"/>
      <c r="J2856" s="278"/>
      <c r="K2856" s="278"/>
    </row>
    <row r="2857" spans="1:11" x14ac:dyDescent="0.15">
      <c r="A2857" s="278"/>
      <c r="B2857" s="278"/>
      <c r="C2857" s="278"/>
      <c r="D2857" s="278"/>
      <c r="E2857" s="278"/>
      <c r="F2857" s="278"/>
      <c r="G2857" s="278"/>
      <c r="H2857" s="278"/>
      <c r="I2857" s="278"/>
      <c r="J2857" s="278"/>
      <c r="K2857" s="278"/>
    </row>
    <row r="2858" spans="1:11" x14ac:dyDescent="0.15">
      <c r="A2858" s="278"/>
      <c r="B2858" s="278"/>
      <c r="C2858" s="278"/>
      <c r="D2858" s="278"/>
      <c r="E2858" s="278"/>
      <c r="F2858" s="278"/>
      <c r="G2858" s="278"/>
      <c r="H2858" s="278"/>
      <c r="I2858" s="278"/>
      <c r="J2858" s="278"/>
      <c r="K2858" s="278"/>
    </row>
    <row r="2859" spans="1:11" x14ac:dyDescent="0.15">
      <c r="A2859" s="278"/>
      <c r="B2859" s="278"/>
      <c r="C2859" s="278"/>
      <c r="D2859" s="278"/>
      <c r="E2859" s="278"/>
      <c r="F2859" s="278"/>
      <c r="G2859" s="278"/>
      <c r="H2859" s="278"/>
      <c r="I2859" s="278"/>
      <c r="J2859" s="278"/>
      <c r="K2859" s="278"/>
    </row>
    <row r="2860" spans="1:11" x14ac:dyDescent="0.15">
      <c r="A2860" s="278"/>
      <c r="B2860" s="278"/>
      <c r="C2860" s="278"/>
      <c r="D2860" s="278"/>
      <c r="E2860" s="278"/>
      <c r="F2860" s="278"/>
      <c r="G2860" s="278"/>
      <c r="H2860" s="278"/>
      <c r="I2860" s="278"/>
      <c r="J2860" s="278"/>
      <c r="K2860" s="278"/>
    </row>
    <row r="2861" spans="1:11" x14ac:dyDescent="0.15">
      <c r="A2861" s="278"/>
      <c r="B2861" s="278"/>
      <c r="C2861" s="278"/>
      <c r="D2861" s="278"/>
      <c r="E2861" s="278"/>
      <c r="F2861" s="278"/>
      <c r="G2861" s="278"/>
      <c r="H2861" s="278"/>
      <c r="I2861" s="278"/>
      <c r="J2861" s="278"/>
      <c r="K2861" s="278"/>
    </row>
    <row r="2862" spans="1:11" x14ac:dyDescent="0.15">
      <c r="A2862" s="278"/>
      <c r="B2862" s="278"/>
      <c r="C2862" s="278"/>
      <c r="D2862" s="278"/>
      <c r="E2862" s="278"/>
      <c r="F2862" s="278"/>
      <c r="G2862" s="278"/>
      <c r="H2862" s="278"/>
      <c r="I2862" s="278"/>
      <c r="J2862" s="278"/>
      <c r="K2862" s="278"/>
    </row>
    <row r="2863" spans="1:11" x14ac:dyDescent="0.15">
      <c r="A2863" s="278"/>
      <c r="B2863" s="278"/>
      <c r="C2863" s="278"/>
      <c r="D2863" s="278"/>
      <c r="E2863" s="278"/>
      <c r="F2863" s="278"/>
      <c r="G2863" s="278"/>
      <c r="H2863" s="278"/>
      <c r="I2863" s="278"/>
      <c r="J2863" s="278"/>
      <c r="K2863" s="278"/>
    </row>
    <row r="2864" spans="1:11" x14ac:dyDescent="0.15">
      <c r="A2864" s="278"/>
      <c r="B2864" s="278"/>
      <c r="C2864" s="278"/>
      <c r="D2864" s="278"/>
      <c r="E2864" s="278"/>
      <c r="F2864" s="278"/>
      <c r="G2864" s="278"/>
      <c r="H2864" s="278"/>
      <c r="I2864" s="278"/>
      <c r="J2864" s="278"/>
      <c r="K2864" s="278"/>
    </row>
    <row r="2865" spans="1:11" x14ac:dyDescent="0.15">
      <c r="A2865" s="278"/>
      <c r="B2865" s="278"/>
      <c r="C2865" s="278"/>
      <c r="D2865" s="278"/>
      <c r="E2865" s="278"/>
      <c r="F2865" s="278"/>
      <c r="G2865" s="278"/>
      <c r="H2865" s="278"/>
      <c r="I2865" s="278"/>
      <c r="J2865" s="278"/>
      <c r="K2865" s="278"/>
    </row>
    <row r="2866" spans="1:11" x14ac:dyDescent="0.15">
      <c r="A2866" s="278"/>
      <c r="B2866" s="278"/>
      <c r="C2866" s="278"/>
      <c r="D2866" s="278"/>
      <c r="E2866" s="278"/>
      <c r="F2866" s="278"/>
      <c r="G2866" s="278"/>
      <c r="H2866" s="278"/>
      <c r="I2866" s="278"/>
      <c r="J2866" s="278"/>
      <c r="K2866" s="278"/>
    </row>
    <row r="2867" spans="1:11" x14ac:dyDescent="0.15">
      <c r="A2867" s="278"/>
      <c r="B2867" s="278"/>
      <c r="C2867" s="278"/>
      <c r="D2867" s="278"/>
      <c r="E2867" s="278"/>
      <c r="F2867" s="278"/>
      <c r="G2867" s="278"/>
      <c r="H2867" s="278"/>
      <c r="I2867" s="278"/>
      <c r="J2867" s="278"/>
      <c r="K2867" s="278"/>
    </row>
    <row r="2868" spans="1:11" x14ac:dyDescent="0.15">
      <c r="A2868" s="278"/>
      <c r="B2868" s="278"/>
      <c r="C2868" s="278"/>
      <c r="D2868" s="278"/>
      <c r="E2868" s="278"/>
      <c r="F2868" s="278"/>
      <c r="G2868" s="278"/>
      <c r="H2868" s="278"/>
      <c r="I2868" s="278"/>
      <c r="J2868" s="278"/>
      <c r="K2868" s="278"/>
    </row>
    <row r="2869" spans="1:11" x14ac:dyDescent="0.15">
      <c r="A2869" s="278"/>
      <c r="B2869" s="278"/>
      <c r="C2869" s="278"/>
      <c r="D2869" s="278"/>
      <c r="E2869" s="278"/>
      <c r="F2869" s="278"/>
      <c r="G2869" s="278"/>
      <c r="H2869" s="278"/>
      <c r="I2869" s="278"/>
      <c r="J2869" s="278"/>
      <c r="K2869" s="278"/>
    </row>
    <row r="2870" spans="1:11" x14ac:dyDescent="0.15">
      <c r="A2870" s="278"/>
      <c r="B2870" s="278"/>
      <c r="C2870" s="278"/>
      <c r="D2870" s="278"/>
      <c r="E2870" s="278"/>
      <c r="F2870" s="278"/>
      <c r="G2870" s="278"/>
      <c r="H2870" s="278"/>
      <c r="I2870" s="278"/>
      <c r="J2870" s="278"/>
      <c r="K2870" s="278"/>
    </row>
    <row r="2871" spans="1:11" x14ac:dyDescent="0.15">
      <c r="A2871" s="278"/>
      <c r="B2871" s="278"/>
      <c r="C2871" s="278"/>
      <c r="D2871" s="278"/>
      <c r="E2871" s="278"/>
      <c r="F2871" s="278"/>
      <c r="G2871" s="278"/>
      <c r="H2871" s="278"/>
      <c r="I2871" s="278"/>
      <c r="J2871" s="278"/>
      <c r="K2871" s="278"/>
    </row>
    <row r="2872" spans="1:11" x14ac:dyDescent="0.15">
      <c r="A2872" s="278"/>
      <c r="B2872" s="278"/>
      <c r="C2872" s="278"/>
      <c r="D2872" s="278"/>
      <c r="E2872" s="278"/>
      <c r="F2872" s="278"/>
      <c r="G2872" s="278"/>
      <c r="H2872" s="278"/>
      <c r="I2872" s="278"/>
      <c r="J2872" s="278"/>
      <c r="K2872" s="278"/>
    </row>
    <row r="2873" spans="1:11" x14ac:dyDescent="0.15">
      <c r="A2873" s="278"/>
      <c r="B2873" s="278"/>
      <c r="C2873" s="278"/>
      <c r="D2873" s="278"/>
      <c r="E2873" s="278"/>
      <c r="F2873" s="278"/>
      <c r="G2873" s="278"/>
      <c r="H2873" s="278"/>
      <c r="I2873" s="278"/>
      <c r="J2873" s="278"/>
      <c r="K2873" s="278"/>
    </row>
    <row r="2874" spans="1:11" x14ac:dyDescent="0.15">
      <c r="A2874" s="278"/>
      <c r="B2874" s="278"/>
      <c r="C2874" s="278"/>
      <c r="D2874" s="278"/>
      <c r="E2874" s="278"/>
      <c r="F2874" s="278"/>
      <c r="G2874" s="278"/>
      <c r="H2874" s="278"/>
      <c r="I2874" s="278"/>
      <c r="J2874" s="278"/>
      <c r="K2874" s="278"/>
    </row>
    <row r="2875" spans="1:11" x14ac:dyDescent="0.15">
      <c r="A2875" s="278"/>
      <c r="B2875" s="278"/>
      <c r="C2875" s="278"/>
      <c r="D2875" s="278"/>
      <c r="E2875" s="278"/>
      <c r="F2875" s="278"/>
      <c r="G2875" s="278"/>
      <c r="H2875" s="278"/>
      <c r="I2875" s="278"/>
      <c r="J2875" s="278"/>
      <c r="K2875" s="278"/>
    </row>
    <row r="2876" spans="1:11" x14ac:dyDescent="0.15">
      <c r="A2876" s="278"/>
      <c r="B2876" s="278"/>
      <c r="C2876" s="278"/>
      <c r="D2876" s="278"/>
      <c r="E2876" s="278"/>
      <c r="F2876" s="278"/>
      <c r="G2876" s="278"/>
      <c r="H2876" s="278"/>
      <c r="I2876" s="278"/>
      <c r="J2876" s="278"/>
      <c r="K2876" s="278"/>
    </row>
    <row r="2877" spans="1:11" x14ac:dyDescent="0.15">
      <c r="A2877" s="278"/>
      <c r="B2877" s="278"/>
      <c r="C2877" s="278"/>
      <c r="D2877" s="278"/>
      <c r="E2877" s="278"/>
      <c r="F2877" s="278"/>
      <c r="G2877" s="278"/>
      <c r="H2877" s="278"/>
      <c r="I2877" s="278"/>
      <c r="J2877" s="278"/>
      <c r="K2877" s="278"/>
    </row>
    <row r="2878" spans="1:11" x14ac:dyDescent="0.15">
      <c r="A2878" s="278"/>
      <c r="B2878" s="278"/>
      <c r="C2878" s="278"/>
      <c r="D2878" s="278"/>
      <c r="E2878" s="278"/>
      <c r="F2878" s="278"/>
      <c r="G2878" s="278"/>
      <c r="H2878" s="278"/>
      <c r="I2878" s="278"/>
      <c r="J2878" s="278"/>
      <c r="K2878" s="278"/>
    </row>
    <row r="2879" spans="1:11" x14ac:dyDescent="0.15">
      <c r="A2879" s="278"/>
      <c r="B2879" s="278"/>
      <c r="C2879" s="278"/>
      <c r="D2879" s="278"/>
      <c r="E2879" s="278"/>
      <c r="F2879" s="278"/>
      <c r="G2879" s="278"/>
      <c r="H2879" s="278"/>
      <c r="I2879" s="278"/>
      <c r="J2879" s="278"/>
      <c r="K2879" s="278"/>
    </row>
    <row r="2880" spans="1:11" x14ac:dyDescent="0.15">
      <c r="A2880" s="278"/>
      <c r="B2880" s="278"/>
      <c r="C2880" s="278"/>
      <c r="D2880" s="278"/>
      <c r="E2880" s="278"/>
      <c r="F2880" s="278"/>
      <c r="G2880" s="278"/>
      <c r="H2880" s="278"/>
      <c r="I2880" s="278"/>
      <c r="J2880" s="278"/>
      <c r="K2880" s="278"/>
    </row>
    <row r="2881" spans="1:11" x14ac:dyDescent="0.15">
      <c r="A2881" s="278"/>
      <c r="B2881" s="278"/>
      <c r="C2881" s="278"/>
      <c r="D2881" s="278"/>
      <c r="E2881" s="278"/>
      <c r="F2881" s="278"/>
      <c r="G2881" s="278"/>
      <c r="H2881" s="278"/>
      <c r="I2881" s="278"/>
      <c r="J2881" s="278"/>
      <c r="K2881" s="278"/>
    </row>
    <row r="2882" spans="1:11" x14ac:dyDescent="0.15">
      <c r="A2882" s="278"/>
      <c r="B2882" s="278"/>
      <c r="C2882" s="278"/>
      <c r="D2882" s="278"/>
      <c r="E2882" s="278"/>
      <c r="F2882" s="278"/>
      <c r="G2882" s="278"/>
      <c r="H2882" s="278"/>
      <c r="I2882" s="278"/>
      <c r="J2882" s="278"/>
      <c r="K2882" s="278"/>
    </row>
    <row r="2883" spans="1:11" x14ac:dyDescent="0.15">
      <c r="A2883" s="278"/>
      <c r="B2883" s="278"/>
      <c r="C2883" s="278"/>
      <c r="D2883" s="278"/>
      <c r="E2883" s="278"/>
      <c r="F2883" s="278"/>
      <c r="G2883" s="278"/>
      <c r="H2883" s="278"/>
      <c r="I2883" s="278"/>
      <c r="J2883" s="278"/>
      <c r="K2883" s="278"/>
    </row>
    <row r="2884" spans="1:11" x14ac:dyDescent="0.15">
      <c r="A2884" s="278"/>
      <c r="B2884" s="278"/>
      <c r="C2884" s="278"/>
      <c r="D2884" s="278"/>
      <c r="E2884" s="278"/>
      <c r="F2884" s="278"/>
      <c r="G2884" s="278"/>
      <c r="H2884" s="278"/>
      <c r="I2884" s="278"/>
      <c r="J2884" s="278"/>
      <c r="K2884" s="278"/>
    </row>
    <row r="2885" spans="1:11" x14ac:dyDescent="0.15">
      <c r="A2885" s="278"/>
      <c r="B2885" s="278"/>
      <c r="C2885" s="278"/>
      <c r="D2885" s="278"/>
      <c r="E2885" s="278"/>
      <c r="F2885" s="278"/>
      <c r="G2885" s="278"/>
      <c r="H2885" s="278"/>
      <c r="I2885" s="278"/>
      <c r="J2885" s="278"/>
      <c r="K2885" s="278"/>
    </row>
    <row r="2886" spans="1:11" x14ac:dyDescent="0.15">
      <c r="A2886" s="278"/>
      <c r="B2886" s="278"/>
      <c r="C2886" s="278"/>
      <c r="D2886" s="278"/>
      <c r="E2886" s="278"/>
      <c r="F2886" s="278"/>
      <c r="G2886" s="278"/>
      <c r="H2886" s="278"/>
      <c r="I2886" s="278"/>
      <c r="J2886" s="278"/>
      <c r="K2886" s="278"/>
    </row>
    <row r="2887" spans="1:11" x14ac:dyDescent="0.15">
      <c r="A2887" s="278"/>
      <c r="B2887" s="278"/>
      <c r="C2887" s="278"/>
      <c r="D2887" s="278"/>
      <c r="E2887" s="278"/>
      <c r="F2887" s="278"/>
      <c r="G2887" s="278"/>
      <c r="H2887" s="278"/>
      <c r="I2887" s="278"/>
      <c r="J2887" s="278"/>
      <c r="K2887" s="278"/>
    </row>
    <row r="2888" spans="1:11" x14ac:dyDescent="0.15">
      <c r="A2888" s="278"/>
      <c r="B2888" s="278"/>
      <c r="C2888" s="278"/>
      <c r="D2888" s="278"/>
      <c r="E2888" s="278"/>
      <c r="F2888" s="278"/>
      <c r="G2888" s="278"/>
      <c r="H2888" s="278"/>
      <c r="I2888" s="278"/>
      <c r="J2888" s="278"/>
      <c r="K2888" s="278"/>
    </row>
    <row r="2889" spans="1:11" x14ac:dyDescent="0.15">
      <c r="A2889" s="278"/>
      <c r="B2889" s="278"/>
      <c r="C2889" s="278"/>
      <c r="D2889" s="278"/>
      <c r="E2889" s="278"/>
      <c r="F2889" s="278"/>
      <c r="G2889" s="278"/>
      <c r="H2889" s="278"/>
      <c r="I2889" s="278"/>
      <c r="J2889" s="278"/>
      <c r="K2889" s="278"/>
    </row>
    <row r="2890" spans="1:11" x14ac:dyDescent="0.15">
      <c r="A2890" s="278"/>
      <c r="B2890" s="278"/>
      <c r="C2890" s="278"/>
      <c r="D2890" s="278"/>
      <c r="E2890" s="278"/>
      <c r="F2890" s="278"/>
      <c r="G2890" s="278"/>
      <c r="H2890" s="278"/>
      <c r="I2890" s="278"/>
      <c r="J2890" s="278"/>
      <c r="K2890" s="278"/>
    </row>
    <row r="2891" spans="1:11" x14ac:dyDescent="0.15">
      <c r="A2891" s="278"/>
      <c r="B2891" s="278"/>
      <c r="C2891" s="278"/>
      <c r="D2891" s="278"/>
      <c r="E2891" s="278"/>
      <c r="F2891" s="278"/>
      <c r="G2891" s="278"/>
      <c r="H2891" s="278"/>
      <c r="I2891" s="278"/>
      <c r="J2891" s="278"/>
      <c r="K2891" s="278"/>
    </row>
    <row r="2892" spans="1:11" x14ac:dyDescent="0.15">
      <c r="A2892" s="278"/>
      <c r="B2892" s="278"/>
      <c r="C2892" s="278"/>
      <c r="D2892" s="278"/>
      <c r="E2892" s="278"/>
      <c r="F2892" s="278"/>
      <c r="G2892" s="278"/>
      <c r="H2892" s="278"/>
      <c r="I2892" s="278"/>
      <c r="J2892" s="278"/>
      <c r="K2892" s="278"/>
    </row>
    <row r="2893" spans="1:11" x14ac:dyDescent="0.15">
      <c r="A2893" s="278"/>
      <c r="B2893" s="278"/>
      <c r="C2893" s="278"/>
      <c r="D2893" s="278"/>
      <c r="E2893" s="278"/>
      <c r="F2893" s="278"/>
      <c r="G2893" s="278"/>
      <c r="H2893" s="278"/>
      <c r="I2893" s="278"/>
      <c r="J2893" s="278"/>
      <c r="K2893" s="278"/>
    </row>
    <row r="2894" spans="1:11" x14ac:dyDescent="0.15">
      <c r="A2894" s="278"/>
      <c r="B2894" s="278"/>
      <c r="C2894" s="278"/>
      <c r="D2894" s="278"/>
      <c r="E2894" s="278"/>
      <c r="F2894" s="278"/>
      <c r="G2894" s="278"/>
      <c r="H2894" s="278"/>
      <c r="I2894" s="278"/>
      <c r="J2894" s="278"/>
      <c r="K2894" s="278"/>
    </row>
    <row r="2895" spans="1:11" x14ac:dyDescent="0.15">
      <c r="A2895" s="278"/>
      <c r="B2895" s="278"/>
      <c r="C2895" s="278"/>
      <c r="D2895" s="278"/>
      <c r="E2895" s="278"/>
      <c r="F2895" s="278"/>
      <c r="G2895" s="278"/>
      <c r="H2895" s="278"/>
      <c r="I2895" s="278"/>
      <c r="J2895" s="278"/>
      <c r="K2895" s="278"/>
    </row>
    <row r="2896" spans="1:11" x14ac:dyDescent="0.15">
      <c r="A2896" s="278"/>
      <c r="B2896" s="278"/>
      <c r="C2896" s="278"/>
      <c r="D2896" s="278"/>
      <c r="E2896" s="278"/>
      <c r="F2896" s="278"/>
      <c r="G2896" s="278"/>
      <c r="H2896" s="278"/>
      <c r="I2896" s="278"/>
      <c r="J2896" s="278"/>
      <c r="K2896" s="278"/>
    </row>
    <row r="2897" spans="1:11" x14ac:dyDescent="0.15">
      <c r="A2897" s="278"/>
      <c r="B2897" s="278"/>
      <c r="C2897" s="278"/>
      <c r="D2897" s="278"/>
      <c r="E2897" s="278"/>
      <c r="F2897" s="278"/>
      <c r="G2897" s="278"/>
      <c r="H2897" s="278"/>
      <c r="I2897" s="278"/>
      <c r="J2897" s="278"/>
      <c r="K2897" s="278"/>
    </row>
    <row r="2898" spans="1:11" x14ac:dyDescent="0.15">
      <c r="A2898" s="278"/>
      <c r="B2898" s="278"/>
      <c r="C2898" s="278"/>
      <c r="D2898" s="278"/>
      <c r="E2898" s="278"/>
      <c r="F2898" s="278"/>
      <c r="G2898" s="278"/>
      <c r="H2898" s="278"/>
      <c r="I2898" s="278"/>
      <c r="J2898" s="278"/>
      <c r="K2898" s="278"/>
    </row>
    <row r="2899" spans="1:11" x14ac:dyDescent="0.15">
      <c r="A2899" s="278"/>
      <c r="B2899" s="278"/>
      <c r="C2899" s="278"/>
      <c r="D2899" s="278"/>
      <c r="E2899" s="278"/>
      <c r="F2899" s="278"/>
      <c r="G2899" s="278"/>
      <c r="H2899" s="278"/>
      <c r="I2899" s="278"/>
      <c r="J2899" s="278"/>
      <c r="K2899" s="278"/>
    </row>
    <row r="2900" spans="1:11" x14ac:dyDescent="0.15">
      <c r="A2900" s="278"/>
      <c r="B2900" s="278"/>
      <c r="C2900" s="278"/>
      <c r="D2900" s="278"/>
      <c r="E2900" s="278"/>
      <c r="F2900" s="278"/>
      <c r="G2900" s="278"/>
      <c r="H2900" s="278"/>
      <c r="I2900" s="278"/>
      <c r="J2900" s="278"/>
      <c r="K2900" s="278"/>
    </row>
    <row r="2901" spans="1:11" x14ac:dyDescent="0.15">
      <c r="A2901" s="278"/>
      <c r="B2901" s="278"/>
      <c r="C2901" s="278"/>
      <c r="D2901" s="278"/>
      <c r="E2901" s="278"/>
      <c r="F2901" s="278"/>
      <c r="G2901" s="278"/>
      <c r="H2901" s="278"/>
      <c r="I2901" s="278"/>
      <c r="J2901" s="278"/>
      <c r="K2901" s="278"/>
    </row>
    <row r="2902" spans="1:11" x14ac:dyDescent="0.15">
      <c r="A2902" s="278"/>
      <c r="B2902" s="278"/>
      <c r="C2902" s="278"/>
      <c r="D2902" s="278"/>
      <c r="E2902" s="278"/>
      <c r="F2902" s="278"/>
      <c r="G2902" s="278"/>
      <c r="H2902" s="278"/>
      <c r="I2902" s="278"/>
      <c r="J2902" s="278"/>
      <c r="K2902" s="278"/>
    </row>
    <row r="2903" spans="1:11" x14ac:dyDescent="0.15">
      <c r="A2903" s="278"/>
      <c r="B2903" s="278"/>
      <c r="C2903" s="278"/>
      <c r="D2903" s="278"/>
      <c r="E2903" s="278"/>
      <c r="F2903" s="278"/>
      <c r="G2903" s="278"/>
      <c r="H2903" s="278"/>
      <c r="I2903" s="278"/>
      <c r="J2903" s="278"/>
      <c r="K2903" s="278"/>
    </row>
    <row r="2904" spans="1:11" x14ac:dyDescent="0.15">
      <c r="A2904" s="278"/>
      <c r="B2904" s="278"/>
      <c r="C2904" s="278"/>
      <c r="D2904" s="278"/>
      <c r="E2904" s="278"/>
      <c r="F2904" s="278"/>
      <c r="G2904" s="278"/>
      <c r="H2904" s="278"/>
      <c r="I2904" s="278"/>
      <c r="J2904" s="278"/>
      <c r="K2904" s="278"/>
    </row>
    <row r="2905" spans="1:11" x14ac:dyDescent="0.15">
      <c r="A2905" s="278"/>
      <c r="B2905" s="278"/>
      <c r="C2905" s="278"/>
      <c r="D2905" s="278"/>
      <c r="E2905" s="278"/>
      <c r="F2905" s="278"/>
      <c r="G2905" s="278"/>
      <c r="H2905" s="278"/>
      <c r="I2905" s="278"/>
      <c r="J2905" s="278"/>
      <c r="K2905" s="278"/>
    </row>
    <row r="2906" spans="1:11" x14ac:dyDescent="0.15">
      <c r="A2906" s="278"/>
      <c r="B2906" s="278"/>
      <c r="C2906" s="278"/>
      <c r="D2906" s="278"/>
      <c r="E2906" s="278"/>
      <c r="F2906" s="278"/>
      <c r="G2906" s="278"/>
      <c r="H2906" s="278"/>
      <c r="I2906" s="278"/>
      <c r="J2906" s="278"/>
      <c r="K2906" s="278"/>
    </row>
    <row r="2907" spans="1:11" x14ac:dyDescent="0.15">
      <c r="A2907" s="278"/>
      <c r="B2907" s="278"/>
      <c r="C2907" s="278"/>
      <c r="D2907" s="278"/>
      <c r="E2907" s="278"/>
      <c r="F2907" s="278"/>
      <c r="G2907" s="278"/>
      <c r="H2907" s="278"/>
      <c r="I2907" s="278"/>
      <c r="J2907" s="278"/>
      <c r="K2907" s="278"/>
    </row>
    <row r="2908" spans="1:11" x14ac:dyDescent="0.15">
      <c r="A2908" s="278"/>
      <c r="B2908" s="278"/>
      <c r="C2908" s="278"/>
      <c r="D2908" s="278"/>
      <c r="E2908" s="278"/>
      <c r="F2908" s="278"/>
      <c r="G2908" s="278"/>
      <c r="H2908" s="278"/>
      <c r="I2908" s="278"/>
      <c r="J2908" s="278"/>
      <c r="K2908" s="278"/>
    </row>
    <row r="2909" spans="1:11" x14ac:dyDescent="0.15">
      <c r="A2909" s="278"/>
      <c r="B2909" s="278"/>
      <c r="C2909" s="278"/>
      <c r="D2909" s="278"/>
      <c r="E2909" s="278"/>
      <c r="F2909" s="278"/>
      <c r="G2909" s="278"/>
      <c r="H2909" s="278"/>
      <c r="I2909" s="278"/>
      <c r="J2909" s="278"/>
      <c r="K2909" s="278"/>
    </row>
    <row r="2910" spans="1:11" x14ac:dyDescent="0.15">
      <c r="A2910" s="278"/>
      <c r="B2910" s="278"/>
      <c r="C2910" s="278"/>
      <c r="D2910" s="278"/>
      <c r="E2910" s="278"/>
      <c r="F2910" s="278"/>
      <c r="G2910" s="278"/>
      <c r="H2910" s="278"/>
      <c r="I2910" s="278"/>
      <c r="J2910" s="278"/>
      <c r="K2910" s="278"/>
    </row>
    <row r="2911" spans="1:11" x14ac:dyDescent="0.15">
      <c r="A2911" s="278"/>
      <c r="B2911" s="278"/>
      <c r="C2911" s="278"/>
      <c r="D2911" s="278"/>
      <c r="E2911" s="278"/>
      <c r="F2911" s="278"/>
      <c r="G2911" s="278"/>
      <c r="H2911" s="278"/>
      <c r="I2911" s="278"/>
      <c r="J2911" s="278"/>
      <c r="K2911" s="278"/>
    </row>
    <row r="2912" spans="1:11" x14ac:dyDescent="0.15">
      <c r="A2912" s="278"/>
      <c r="B2912" s="278"/>
      <c r="C2912" s="278"/>
      <c r="D2912" s="278"/>
      <c r="E2912" s="278"/>
      <c r="F2912" s="278"/>
      <c r="G2912" s="278"/>
      <c r="H2912" s="278"/>
      <c r="I2912" s="278"/>
      <c r="J2912" s="278"/>
      <c r="K2912" s="278"/>
    </row>
    <row r="2913" spans="1:11" x14ac:dyDescent="0.15">
      <c r="A2913" s="278"/>
      <c r="B2913" s="278"/>
      <c r="C2913" s="278"/>
      <c r="D2913" s="278"/>
      <c r="E2913" s="278"/>
      <c r="F2913" s="278"/>
      <c r="G2913" s="278"/>
      <c r="H2913" s="278"/>
      <c r="I2913" s="278"/>
      <c r="J2913" s="278"/>
      <c r="K2913" s="278"/>
    </row>
    <row r="2914" spans="1:11" x14ac:dyDescent="0.15">
      <c r="A2914" s="278"/>
      <c r="B2914" s="278"/>
      <c r="C2914" s="278"/>
      <c r="D2914" s="278"/>
      <c r="E2914" s="278"/>
      <c r="F2914" s="278"/>
      <c r="G2914" s="278"/>
      <c r="H2914" s="278"/>
      <c r="I2914" s="278"/>
      <c r="J2914" s="278"/>
      <c r="K2914" s="278"/>
    </row>
    <row r="2915" spans="1:11" x14ac:dyDescent="0.15">
      <c r="A2915" s="278"/>
      <c r="B2915" s="278"/>
      <c r="C2915" s="278"/>
      <c r="D2915" s="278"/>
      <c r="E2915" s="278"/>
      <c r="F2915" s="278"/>
      <c r="G2915" s="278"/>
      <c r="H2915" s="278"/>
      <c r="I2915" s="278"/>
      <c r="J2915" s="278"/>
      <c r="K2915" s="278"/>
    </row>
    <row r="2916" spans="1:11" x14ac:dyDescent="0.15">
      <c r="A2916" s="278"/>
      <c r="B2916" s="278"/>
      <c r="C2916" s="278"/>
      <c r="D2916" s="278"/>
      <c r="E2916" s="278"/>
      <c r="F2916" s="278"/>
      <c r="G2916" s="278"/>
      <c r="H2916" s="278"/>
      <c r="I2916" s="278"/>
      <c r="J2916" s="278"/>
      <c r="K2916" s="278"/>
    </row>
    <row r="2917" spans="1:11" x14ac:dyDescent="0.15">
      <c r="A2917" s="278"/>
      <c r="B2917" s="278"/>
      <c r="C2917" s="278"/>
      <c r="D2917" s="278"/>
      <c r="E2917" s="278"/>
      <c r="F2917" s="278"/>
      <c r="G2917" s="278"/>
      <c r="H2917" s="278"/>
      <c r="I2917" s="278"/>
      <c r="J2917" s="278"/>
      <c r="K2917" s="278"/>
    </row>
    <row r="2918" spans="1:11" x14ac:dyDescent="0.15">
      <c r="A2918" s="278"/>
      <c r="B2918" s="278"/>
      <c r="C2918" s="278"/>
      <c r="D2918" s="278"/>
      <c r="E2918" s="278"/>
      <c r="F2918" s="278"/>
      <c r="G2918" s="278"/>
      <c r="H2918" s="278"/>
      <c r="I2918" s="278"/>
      <c r="J2918" s="278"/>
      <c r="K2918" s="278"/>
    </row>
    <row r="2919" spans="1:11" x14ac:dyDescent="0.15">
      <c r="A2919" s="278"/>
      <c r="B2919" s="278"/>
      <c r="C2919" s="278"/>
      <c r="D2919" s="278"/>
      <c r="E2919" s="278"/>
      <c r="F2919" s="278"/>
      <c r="G2919" s="278"/>
      <c r="H2919" s="278"/>
      <c r="I2919" s="278"/>
      <c r="J2919" s="278"/>
      <c r="K2919" s="278"/>
    </row>
    <row r="2920" spans="1:11" x14ac:dyDescent="0.15">
      <c r="A2920" s="278"/>
      <c r="B2920" s="278"/>
      <c r="C2920" s="278"/>
      <c r="D2920" s="278"/>
      <c r="E2920" s="278"/>
      <c r="F2920" s="278"/>
      <c r="G2920" s="278"/>
      <c r="H2920" s="278"/>
      <c r="I2920" s="278"/>
      <c r="J2920" s="278"/>
      <c r="K2920" s="278"/>
    </row>
    <row r="2921" spans="1:11" x14ac:dyDescent="0.15">
      <c r="A2921" s="278"/>
      <c r="B2921" s="278"/>
      <c r="C2921" s="278"/>
      <c r="D2921" s="278"/>
      <c r="E2921" s="278"/>
      <c r="F2921" s="278"/>
      <c r="G2921" s="278"/>
      <c r="H2921" s="278"/>
      <c r="I2921" s="278"/>
      <c r="J2921" s="278"/>
      <c r="K2921" s="278"/>
    </row>
    <row r="2922" spans="1:11" x14ac:dyDescent="0.15">
      <c r="A2922" s="278"/>
      <c r="B2922" s="278"/>
      <c r="C2922" s="278"/>
      <c r="D2922" s="278"/>
      <c r="E2922" s="278"/>
      <c r="F2922" s="278"/>
      <c r="G2922" s="278"/>
      <c r="H2922" s="278"/>
      <c r="I2922" s="278"/>
      <c r="J2922" s="278"/>
      <c r="K2922" s="278"/>
    </row>
    <row r="2923" spans="1:11" x14ac:dyDescent="0.15">
      <c r="A2923" s="278"/>
      <c r="B2923" s="278"/>
      <c r="C2923" s="278"/>
      <c r="D2923" s="278"/>
      <c r="E2923" s="278"/>
      <c r="F2923" s="278"/>
      <c r="G2923" s="278"/>
      <c r="H2923" s="278"/>
      <c r="I2923" s="278"/>
      <c r="J2923" s="278"/>
      <c r="K2923" s="278"/>
    </row>
    <row r="2924" spans="1:11" x14ac:dyDescent="0.15">
      <c r="A2924" s="278"/>
      <c r="B2924" s="278"/>
      <c r="C2924" s="278"/>
      <c r="D2924" s="278"/>
      <c r="E2924" s="278"/>
      <c r="F2924" s="278"/>
      <c r="G2924" s="278"/>
      <c r="H2924" s="278"/>
      <c r="I2924" s="278"/>
      <c r="J2924" s="278"/>
      <c r="K2924" s="278"/>
    </row>
    <row r="2925" spans="1:11" x14ac:dyDescent="0.15">
      <c r="A2925" s="278"/>
      <c r="B2925" s="278"/>
      <c r="C2925" s="278"/>
      <c r="D2925" s="278"/>
      <c r="E2925" s="278"/>
      <c r="F2925" s="278"/>
      <c r="G2925" s="278"/>
      <c r="H2925" s="278"/>
      <c r="I2925" s="278"/>
      <c r="J2925" s="278"/>
      <c r="K2925" s="278"/>
    </row>
    <row r="2926" spans="1:11" x14ac:dyDescent="0.15">
      <c r="A2926" s="278"/>
      <c r="B2926" s="278"/>
      <c r="C2926" s="278"/>
      <c r="D2926" s="278"/>
      <c r="E2926" s="278"/>
      <c r="F2926" s="278"/>
      <c r="G2926" s="278"/>
      <c r="H2926" s="278"/>
      <c r="I2926" s="278"/>
      <c r="J2926" s="278"/>
      <c r="K2926" s="278"/>
    </row>
    <row r="2927" spans="1:11" x14ac:dyDescent="0.15">
      <c r="A2927" s="278"/>
      <c r="B2927" s="278"/>
      <c r="C2927" s="278"/>
      <c r="D2927" s="278"/>
      <c r="E2927" s="278"/>
      <c r="F2927" s="278"/>
      <c r="G2927" s="278"/>
      <c r="H2927" s="278"/>
      <c r="I2927" s="278"/>
      <c r="J2927" s="278"/>
      <c r="K2927" s="278"/>
    </row>
    <row r="2928" spans="1:11" x14ac:dyDescent="0.15">
      <c r="A2928" s="278"/>
      <c r="B2928" s="278"/>
      <c r="C2928" s="278"/>
      <c r="D2928" s="278"/>
      <c r="E2928" s="278"/>
      <c r="F2928" s="278"/>
      <c r="G2928" s="278"/>
      <c r="H2928" s="278"/>
      <c r="I2928" s="278"/>
      <c r="J2928" s="278"/>
      <c r="K2928" s="278"/>
    </row>
    <row r="2929" spans="1:11" x14ac:dyDescent="0.15">
      <c r="A2929" s="278"/>
      <c r="B2929" s="278"/>
      <c r="C2929" s="278"/>
      <c r="D2929" s="278"/>
      <c r="E2929" s="278"/>
      <c r="F2929" s="278"/>
      <c r="G2929" s="278"/>
      <c r="H2929" s="278"/>
      <c r="I2929" s="278"/>
      <c r="J2929" s="278"/>
      <c r="K2929" s="278"/>
    </row>
    <row r="2930" spans="1:11" x14ac:dyDescent="0.15">
      <c r="A2930" s="278"/>
      <c r="B2930" s="278"/>
      <c r="C2930" s="278"/>
      <c r="D2930" s="278"/>
      <c r="E2930" s="278"/>
      <c r="F2930" s="278"/>
      <c r="G2930" s="278"/>
      <c r="H2930" s="278"/>
      <c r="I2930" s="278"/>
      <c r="J2930" s="278"/>
      <c r="K2930" s="278"/>
    </row>
    <row r="2931" spans="1:11" x14ac:dyDescent="0.15">
      <c r="A2931" s="278"/>
      <c r="B2931" s="278"/>
      <c r="C2931" s="278"/>
      <c r="D2931" s="278"/>
      <c r="E2931" s="278"/>
      <c r="F2931" s="278"/>
      <c r="G2931" s="278"/>
      <c r="H2931" s="278"/>
      <c r="I2931" s="278"/>
      <c r="J2931" s="278"/>
      <c r="K2931" s="278"/>
    </row>
    <row r="2932" spans="1:11" x14ac:dyDescent="0.15">
      <c r="A2932" s="278"/>
      <c r="B2932" s="278"/>
      <c r="C2932" s="278"/>
      <c r="D2932" s="278"/>
      <c r="E2932" s="278"/>
      <c r="F2932" s="278"/>
      <c r="G2932" s="278"/>
      <c r="H2932" s="278"/>
      <c r="I2932" s="278"/>
      <c r="J2932" s="278"/>
      <c r="K2932" s="278"/>
    </row>
    <row r="2933" spans="1:11" x14ac:dyDescent="0.15">
      <c r="A2933" s="278"/>
      <c r="B2933" s="278"/>
      <c r="C2933" s="278"/>
      <c r="D2933" s="278"/>
      <c r="E2933" s="278"/>
      <c r="F2933" s="278"/>
      <c r="G2933" s="278"/>
      <c r="H2933" s="278"/>
      <c r="I2933" s="278"/>
      <c r="J2933" s="278"/>
      <c r="K2933" s="278"/>
    </row>
    <row r="2934" spans="1:11" x14ac:dyDescent="0.15">
      <c r="A2934" s="278"/>
      <c r="B2934" s="278"/>
      <c r="C2934" s="278"/>
      <c r="D2934" s="278"/>
      <c r="E2934" s="278"/>
      <c r="F2934" s="278"/>
      <c r="G2934" s="278"/>
      <c r="H2934" s="278"/>
      <c r="I2934" s="278"/>
      <c r="J2934" s="278"/>
      <c r="K2934" s="278"/>
    </row>
    <row r="2935" spans="1:11" x14ac:dyDescent="0.15">
      <c r="A2935" s="278"/>
      <c r="B2935" s="278"/>
      <c r="C2935" s="278"/>
      <c r="D2935" s="278"/>
      <c r="E2935" s="278"/>
      <c r="F2935" s="278"/>
      <c r="G2935" s="278"/>
      <c r="H2935" s="278"/>
      <c r="I2935" s="278"/>
      <c r="J2935" s="278"/>
      <c r="K2935" s="278"/>
    </row>
    <row r="2936" spans="1:11" x14ac:dyDescent="0.15">
      <c r="A2936" s="278"/>
      <c r="B2936" s="278"/>
      <c r="C2936" s="278"/>
      <c r="D2936" s="278"/>
      <c r="E2936" s="278"/>
      <c r="F2936" s="278"/>
      <c r="G2936" s="278"/>
      <c r="H2936" s="278"/>
      <c r="I2936" s="278"/>
      <c r="J2936" s="278"/>
      <c r="K2936" s="278"/>
    </row>
    <row r="2937" spans="1:11" x14ac:dyDescent="0.15">
      <c r="A2937" s="278"/>
      <c r="B2937" s="278"/>
      <c r="C2937" s="278"/>
      <c r="D2937" s="278"/>
      <c r="E2937" s="278"/>
      <c r="F2937" s="278"/>
      <c r="G2937" s="278"/>
      <c r="H2937" s="278"/>
      <c r="I2937" s="278"/>
      <c r="J2937" s="278"/>
      <c r="K2937" s="278"/>
    </row>
    <row r="2938" spans="1:11" x14ac:dyDescent="0.15">
      <c r="A2938" s="278"/>
      <c r="B2938" s="278"/>
      <c r="C2938" s="278"/>
      <c r="D2938" s="278"/>
      <c r="E2938" s="278"/>
      <c r="F2938" s="278"/>
      <c r="G2938" s="278"/>
      <c r="H2938" s="278"/>
      <c r="I2938" s="278"/>
      <c r="J2938" s="278"/>
      <c r="K2938" s="278"/>
    </row>
    <row r="2939" spans="1:11" x14ac:dyDescent="0.15">
      <c r="A2939" s="278"/>
      <c r="B2939" s="278"/>
      <c r="C2939" s="278"/>
      <c r="D2939" s="278"/>
      <c r="E2939" s="278"/>
      <c r="F2939" s="278"/>
      <c r="G2939" s="278"/>
      <c r="H2939" s="278"/>
      <c r="I2939" s="278"/>
      <c r="J2939" s="278"/>
      <c r="K2939" s="278"/>
    </row>
    <row r="2940" spans="1:11" x14ac:dyDescent="0.15">
      <c r="A2940" s="278"/>
      <c r="B2940" s="278"/>
      <c r="C2940" s="278"/>
      <c r="D2940" s="278"/>
      <c r="E2940" s="278"/>
      <c r="F2940" s="278"/>
      <c r="G2940" s="278"/>
      <c r="H2940" s="278"/>
      <c r="I2940" s="278"/>
      <c r="J2940" s="278"/>
      <c r="K2940" s="278"/>
    </row>
    <row r="2941" spans="1:11" x14ac:dyDescent="0.15">
      <c r="A2941" s="278"/>
      <c r="B2941" s="278"/>
      <c r="C2941" s="278"/>
      <c r="D2941" s="278"/>
      <c r="E2941" s="278"/>
      <c r="F2941" s="278"/>
      <c r="G2941" s="278"/>
      <c r="H2941" s="278"/>
      <c r="I2941" s="278"/>
      <c r="J2941" s="278"/>
      <c r="K2941" s="278"/>
    </row>
    <row r="2942" spans="1:11" x14ac:dyDescent="0.15">
      <c r="A2942" s="278"/>
      <c r="B2942" s="278"/>
      <c r="C2942" s="278"/>
      <c r="D2942" s="278"/>
      <c r="E2942" s="278"/>
      <c r="F2942" s="278"/>
      <c r="G2942" s="278"/>
      <c r="H2942" s="278"/>
      <c r="I2942" s="278"/>
      <c r="J2942" s="278"/>
      <c r="K2942" s="278"/>
    </row>
    <row r="2943" spans="1:11" x14ac:dyDescent="0.15">
      <c r="A2943" s="278"/>
      <c r="B2943" s="278"/>
      <c r="C2943" s="278"/>
      <c r="D2943" s="278"/>
      <c r="E2943" s="278"/>
      <c r="F2943" s="278"/>
      <c r="G2943" s="278"/>
      <c r="H2943" s="278"/>
      <c r="I2943" s="278"/>
      <c r="J2943" s="278"/>
      <c r="K2943" s="278"/>
    </row>
    <row r="2944" spans="1:11" x14ac:dyDescent="0.15">
      <c r="A2944" s="278"/>
      <c r="B2944" s="278"/>
      <c r="C2944" s="278"/>
      <c r="D2944" s="278"/>
      <c r="E2944" s="278"/>
      <c r="F2944" s="278"/>
      <c r="G2944" s="278"/>
      <c r="H2944" s="278"/>
      <c r="I2944" s="278"/>
      <c r="J2944" s="278"/>
      <c r="K2944" s="278"/>
    </row>
    <row r="2945" spans="1:11" x14ac:dyDescent="0.15">
      <c r="A2945" s="278"/>
      <c r="B2945" s="278"/>
      <c r="C2945" s="278"/>
      <c r="D2945" s="278"/>
      <c r="E2945" s="278"/>
      <c r="F2945" s="278"/>
      <c r="G2945" s="278"/>
      <c r="H2945" s="278"/>
      <c r="I2945" s="278"/>
      <c r="J2945" s="278"/>
      <c r="K2945" s="278"/>
    </row>
    <row r="2946" spans="1:11" x14ac:dyDescent="0.15">
      <c r="A2946" s="278"/>
      <c r="B2946" s="278"/>
      <c r="C2946" s="278"/>
      <c r="D2946" s="278"/>
      <c r="E2946" s="278"/>
      <c r="F2946" s="278"/>
      <c r="G2946" s="278"/>
      <c r="H2946" s="278"/>
      <c r="I2946" s="278"/>
      <c r="J2946" s="278"/>
      <c r="K2946" s="278"/>
    </row>
    <row r="2947" spans="1:11" x14ac:dyDescent="0.15">
      <c r="A2947" s="278"/>
      <c r="B2947" s="278"/>
      <c r="C2947" s="278"/>
      <c r="D2947" s="278"/>
      <c r="E2947" s="278"/>
      <c r="F2947" s="278"/>
      <c r="G2947" s="278"/>
      <c r="H2947" s="278"/>
      <c r="I2947" s="278"/>
      <c r="J2947" s="278"/>
      <c r="K2947" s="278"/>
    </row>
    <row r="2948" spans="1:11" x14ac:dyDescent="0.15">
      <c r="A2948" s="278"/>
      <c r="B2948" s="278"/>
      <c r="C2948" s="278"/>
      <c r="D2948" s="278"/>
      <c r="E2948" s="278"/>
      <c r="F2948" s="278"/>
      <c r="G2948" s="278"/>
      <c r="H2948" s="278"/>
      <c r="I2948" s="278"/>
      <c r="J2948" s="278"/>
      <c r="K2948" s="278"/>
    </row>
    <row r="2949" spans="1:11" x14ac:dyDescent="0.15">
      <c r="A2949" s="278"/>
      <c r="B2949" s="278"/>
      <c r="C2949" s="278"/>
      <c r="D2949" s="278"/>
      <c r="E2949" s="278"/>
      <c r="F2949" s="278"/>
      <c r="G2949" s="278"/>
      <c r="H2949" s="278"/>
      <c r="I2949" s="278"/>
      <c r="J2949" s="278"/>
      <c r="K2949" s="278"/>
    </row>
    <row r="2950" spans="1:11" x14ac:dyDescent="0.15">
      <c r="A2950" s="278"/>
      <c r="B2950" s="278"/>
      <c r="C2950" s="278"/>
      <c r="D2950" s="278"/>
      <c r="E2950" s="278"/>
      <c r="F2950" s="278"/>
      <c r="G2950" s="278"/>
      <c r="H2950" s="278"/>
      <c r="I2950" s="278"/>
      <c r="J2950" s="278"/>
      <c r="K2950" s="278"/>
    </row>
    <row r="2951" spans="1:11" x14ac:dyDescent="0.15">
      <c r="A2951" s="278"/>
      <c r="B2951" s="278"/>
      <c r="C2951" s="278"/>
      <c r="D2951" s="278"/>
      <c r="E2951" s="278"/>
      <c r="F2951" s="278"/>
      <c r="G2951" s="278"/>
      <c r="H2951" s="278"/>
      <c r="I2951" s="278"/>
      <c r="J2951" s="278"/>
      <c r="K2951" s="278"/>
    </row>
    <row r="2952" spans="1:11" x14ac:dyDescent="0.15">
      <c r="A2952" s="278"/>
      <c r="B2952" s="278"/>
      <c r="C2952" s="278"/>
      <c r="D2952" s="278"/>
      <c r="E2952" s="278"/>
      <c r="F2952" s="278"/>
      <c r="G2952" s="278"/>
      <c r="H2952" s="278"/>
      <c r="I2952" s="278"/>
      <c r="J2952" s="278"/>
      <c r="K2952" s="278"/>
    </row>
    <row r="2953" spans="1:11" x14ac:dyDescent="0.15">
      <c r="A2953" s="278"/>
      <c r="B2953" s="278"/>
      <c r="C2953" s="278"/>
      <c r="D2953" s="278"/>
      <c r="E2953" s="278"/>
      <c r="F2953" s="278"/>
      <c r="G2953" s="278"/>
      <c r="H2953" s="278"/>
      <c r="I2953" s="278"/>
      <c r="J2953" s="278"/>
      <c r="K2953" s="278"/>
    </row>
    <row r="2954" spans="1:11" x14ac:dyDescent="0.15">
      <c r="A2954" s="278"/>
      <c r="B2954" s="278"/>
      <c r="C2954" s="278"/>
      <c r="D2954" s="278"/>
      <c r="E2954" s="278"/>
      <c r="F2954" s="278"/>
      <c r="G2954" s="278"/>
      <c r="H2954" s="278"/>
      <c r="I2954" s="278"/>
      <c r="J2954" s="278"/>
      <c r="K2954" s="278"/>
    </row>
    <row r="2955" spans="1:11" x14ac:dyDescent="0.15">
      <c r="A2955" s="278"/>
      <c r="B2955" s="278"/>
      <c r="C2955" s="278"/>
      <c r="D2955" s="278"/>
      <c r="E2955" s="278"/>
      <c r="F2955" s="278"/>
      <c r="G2955" s="278"/>
      <c r="H2955" s="278"/>
      <c r="I2955" s="278"/>
      <c r="J2955" s="278"/>
      <c r="K2955" s="278"/>
    </row>
    <row r="2956" spans="1:11" x14ac:dyDescent="0.15">
      <c r="A2956" s="278"/>
      <c r="B2956" s="278"/>
      <c r="C2956" s="278"/>
      <c r="D2956" s="278"/>
      <c r="E2956" s="278"/>
      <c r="F2956" s="278"/>
      <c r="G2956" s="278"/>
      <c r="H2956" s="278"/>
      <c r="I2956" s="278"/>
      <c r="J2956" s="278"/>
      <c r="K2956" s="278"/>
    </row>
    <row r="2957" spans="1:11" x14ac:dyDescent="0.15">
      <c r="A2957" s="278"/>
      <c r="B2957" s="278"/>
      <c r="C2957" s="278"/>
      <c r="D2957" s="278"/>
      <c r="E2957" s="278"/>
      <c r="F2957" s="278"/>
      <c r="G2957" s="278"/>
      <c r="H2957" s="278"/>
      <c r="I2957" s="278"/>
      <c r="J2957" s="278"/>
      <c r="K2957" s="278"/>
    </row>
    <row r="2958" spans="1:11" x14ac:dyDescent="0.15">
      <c r="A2958" s="278"/>
      <c r="B2958" s="278"/>
      <c r="C2958" s="278"/>
      <c r="D2958" s="278"/>
      <c r="E2958" s="278"/>
      <c r="F2958" s="278"/>
      <c r="G2958" s="278"/>
      <c r="H2958" s="278"/>
      <c r="I2958" s="278"/>
      <c r="J2958" s="278"/>
      <c r="K2958" s="278"/>
    </row>
    <row r="2959" spans="1:11" x14ac:dyDescent="0.15">
      <c r="A2959" s="278"/>
      <c r="B2959" s="278"/>
      <c r="C2959" s="278"/>
      <c r="D2959" s="278"/>
      <c r="E2959" s="278"/>
      <c r="F2959" s="278"/>
      <c r="G2959" s="278"/>
      <c r="H2959" s="278"/>
      <c r="I2959" s="278"/>
      <c r="J2959" s="278"/>
      <c r="K2959" s="278"/>
    </row>
    <row r="2960" spans="1:11" x14ac:dyDescent="0.15">
      <c r="A2960" s="278"/>
      <c r="B2960" s="278"/>
      <c r="C2960" s="278"/>
      <c r="D2960" s="278"/>
      <c r="E2960" s="278"/>
      <c r="F2960" s="278"/>
      <c r="G2960" s="278"/>
      <c r="H2960" s="278"/>
      <c r="I2960" s="278"/>
      <c r="J2960" s="278"/>
      <c r="K2960" s="278"/>
    </row>
    <row r="2961" spans="1:11" x14ac:dyDescent="0.15">
      <c r="A2961" s="278"/>
      <c r="B2961" s="278"/>
      <c r="C2961" s="278"/>
      <c r="D2961" s="278"/>
      <c r="E2961" s="278"/>
      <c r="F2961" s="278"/>
      <c r="G2961" s="278"/>
      <c r="H2961" s="278"/>
      <c r="I2961" s="278"/>
      <c r="J2961" s="278"/>
      <c r="K2961" s="278"/>
    </row>
    <row r="2962" spans="1:11" x14ac:dyDescent="0.15">
      <c r="A2962" s="278"/>
      <c r="B2962" s="278"/>
      <c r="C2962" s="278"/>
      <c r="D2962" s="278"/>
      <c r="E2962" s="278"/>
      <c r="F2962" s="278"/>
      <c r="G2962" s="278"/>
      <c r="H2962" s="278"/>
      <c r="I2962" s="278"/>
      <c r="J2962" s="278"/>
      <c r="K2962" s="278"/>
    </row>
    <row r="2963" spans="1:11" x14ac:dyDescent="0.15">
      <c r="A2963" s="278"/>
      <c r="B2963" s="278"/>
      <c r="C2963" s="278"/>
      <c r="D2963" s="278"/>
      <c r="E2963" s="278"/>
      <c r="F2963" s="278"/>
      <c r="G2963" s="278"/>
      <c r="H2963" s="278"/>
      <c r="I2963" s="278"/>
      <c r="J2963" s="278"/>
      <c r="K2963" s="278"/>
    </row>
    <row r="2964" spans="1:11" x14ac:dyDescent="0.15">
      <c r="A2964" s="278"/>
      <c r="B2964" s="278"/>
      <c r="C2964" s="278"/>
      <c r="D2964" s="278"/>
      <c r="E2964" s="278"/>
      <c r="F2964" s="278"/>
      <c r="G2964" s="278"/>
      <c r="H2964" s="278"/>
      <c r="I2964" s="278"/>
      <c r="J2964" s="278"/>
      <c r="K2964" s="278"/>
    </row>
    <row r="2965" spans="1:11" x14ac:dyDescent="0.15">
      <c r="A2965" s="278"/>
      <c r="B2965" s="278"/>
      <c r="C2965" s="278"/>
      <c r="D2965" s="278"/>
      <c r="E2965" s="278"/>
      <c r="F2965" s="278"/>
      <c r="G2965" s="278"/>
      <c r="H2965" s="278"/>
      <c r="I2965" s="278"/>
      <c r="J2965" s="278"/>
      <c r="K2965" s="278"/>
    </row>
    <row r="2966" spans="1:11" x14ac:dyDescent="0.15">
      <c r="A2966" s="278"/>
      <c r="B2966" s="278"/>
      <c r="C2966" s="278"/>
      <c r="D2966" s="278"/>
      <c r="E2966" s="278"/>
      <c r="F2966" s="278"/>
      <c r="G2966" s="278"/>
      <c r="H2966" s="278"/>
      <c r="I2966" s="278"/>
      <c r="J2966" s="278"/>
      <c r="K2966" s="278"/>
    </row>
    <row r="2967" spans="1:11" x14ac:dyDescent="0.15">
      <c r="A2967" s="278"/>
      <c r="B2967" s="278"/>
      <c r="C2967" s="278"/>
      <c r="D2967" s="278"/>
      <c r="E2967" s="278"/>
      <c r="F2967" s="278"/>
      <c r="G2967" s="278"/>
      <c r="H2967" s="278"/>
      <c r="I2967" s="278"/>
      <c r="J2967" s="278"/>
      <c r="K2967" s="278"/>
    </row>
    <row r="2968" spans="1:11" x14ac:dyDescent="0.15">
      <c r="A2968" s="278"/>
      <c r="B2968" s="278"/>
      <c r="C2968" s="278"/>
      <c r="D2968" s="278"/>
      <c r="E2968" s="278"/>
      <c r="F2968" s="278"/>
      <c r="G2968" s="278"/>
      <c r="H2968" s="278"/>
      <c r="I2968" s="278"/>
      <c r="J2968" s="278"/>
      <c r="K2968" s="278"/>
    </row>
    <row r="2969" spans="1:11" x14ac:dyDescent="0.15">
      <c r="A2969" s="278"/>
      <c r="B2969" s="278"/>
      <c r="C2969" s="278"/>
      <c r="D2969" s="278"/>
      <c r="E2969" s="278"/>
      <c r="F2969" s="278"/>
      <c r="G2969" s="278"/>
      <c r="H2969" s="278"/>
      <c r="I2969" s="278"/>
      <c r="J2969" s="278"/>
      <c r="K2969" s="278"/>
    </row>
    <row r="2970" spans="1:11" x14ac:dyDescent="0.15">
      <c r="A2970" s="278"/>
      <c r="B2970" s="278"/>
      <c r="C2970" s="278"/>
      <c r="D2970" s="278"/>
      <c r="E2970" s="278"/>
      <c r="F2970" s="278"/>
      <c r="G2970" s="278"/>
      <c r="H2970" s="278"/>
      <c r="I2970" s="278"/>
      <c r="J2970" s="278"/>
      <c r="K2970" s="278"/>
    </row>
    <row r="2971" spans="1:11" x14ac:dyDescent="0.15">
      <c r="A2971" s="278"/>
      <c r="B2971" s="278"/>
      <c r="C2971" s="278"/>
      <c r="D2971" s="278"/>
      <c r="E2971" s="278"/>
      <c r="F2971" s="278"/>
      <c r="G2971" s="278"/>
      <c r="H2971" s="278"/>
      <c r="I2971" s="278"/>
      <c r="J2971" s="278"/>
      <c r="K2971" s="278"/>
    </row>
    <row r="2972" spans="1:11" x14ac:dyDescent="0.15">
      <c r="A2972" s="278"/>
      <c r="B2972" s="278"/>
      <c r="C2972" s="278"/>
      <c r="D2972" s="278"/>
      <c r="E2972" s="278"/>
      <c r="F2972" s="278"/>
      <c r="G2972" s="278"/>
      <c r="H2972" s="278"/>
      <c r="I2972" s="278"/>
      <c r="J2972" s="278"/>
      <c r="K2972" s="278"/>
    </row>
    <row r="2973" spans="1:11" x14ac:dyDescent="0.15">
      <c r="A2973" s="278"/>
      <c r="B2973" s="278"/>
      <c r="C2973" s="278"/>
      <c r="D2973" s="278"/>
      <c r="E2973" s="278"/>
      <c r="F2973" s="278"/>
      <c r="G2973" s="278"/>
      <c r="H2973" s="278"/>
      <c r="I2973" s="278"/>
      <c r="J2973" s="278"/>
      <c r="K2973" s="278"/>
    </row>
    <row r="2974" spans="1:11" x14ac:dyDescent="0.15">
      <c r="A2974" s="278"/>
      <c r="B2974" s="278"/>
      <c r="C2974" s="278"/>
      <c r="D2974" s="278"/>
      <c r="E2974" s="278"/>
      <c r="F2974" s="278"/>
      <c r="G2974" s="278"/>
      <c r="H2974" s="278"/>
      <c r="I2974" s="278"/>
      <c r="J2974" s="278"/>
      <c r="K2974" s="278"/>
    </row>
    <row r="2975" spans="1:11" x14ac:dyDescent="0.15">
      <c r="A2975" s="278"/>
      <c r="B2975" s="278"/>
      <c r="C2975" s="278"/>
      <c r="D2975" s="278"/>
      <c r="E2975" s="278"/>
      <c r="F2975" s="278"/>
      <c r="G2975" s="278"/>
      <c r="H2975" s="278"/>
      <c r="I2975" s="278"/>
      <c r="J2975" s="278"/>
      <c r="K2975" s="278"/>
    </row>
    <row r="2976" spans="1:11" x14ac:dyDescent="0.15">
      <c r="A2976" s="278"/>
      <c r="B2976" s="278"/>
      <c r="C2976" s="278"/>
      <c r="D2976" s="278"/>
      <c r="E2976" s="278"/>
      <c r="F2976" s="278"/>
      <c r="G2976" s="278"/>
      <c r="H2976" s="278"/>
      <c r="I2976" s="278"/>
      <c r="J2976" s="278"/>
      <c r="K2976" s="278"/>
    </row>
    <row r="2977" spans="1:11" x14ac:dyDescent="0.15">
      <c r="A2977" s="278"/>
      <c r="B2977" s="278"/>
      <c r="C2977" s="278"/>
      <c r="D2977" s="278"/>
      <c r="E2977" s="278"/>
      <c r="F2977" s="278"/>
      <c r="G2977" s="278"/>
      <c r="H2977" s="278"/>
      <c r="I2977" s="278"/>
      <c r="J2977" s="278"/>
      <c r="K2977" s="278"/>
    </row>
    <row r="2978" spans="1:11" x14ac:dyDescent="0.15">
      <c r="A2978" s="278"/>
      <c r="B2978" s="278"/>
      <c r="C2978" s="278"/>
      <c r="D2978" s="278"/>
      <c r="E2978" s="278"/>
      <c r="F2978" s="278"/>
      <c r="G2978" s="278"/>
      <c r="H2978" s="278"/>
      <c r="I2978" s="278"/>
      <c r="J2978" s="278"/>
      <c r="K2978" s="278"/>
    </row>
    <row r="2979" spans="1:11" x14ac:dyDescent="0.15">
      <c r="A2979" s="278"/>
      <c r="B2979" s="278"/>
      <c r="C2979" s="278"/>
      <c r="D2979" s="278"/>
      <c r="E2979" s="278"/>
      <c r="F2979" s="278"/>
      <c r="G2979" s="278"/>
      <c r="H2979" s="278"/>
      <c r="I2979" s="278"/>
      <c r="J2979" s="278"/>
      <c r="K2979" s="278"/>
    </row>
    <row r="2980" spans="1:11" x14ac:dyDescent="0.15">
      <c r="A2980" s="278"/>
      <c r="B2980" s="278"/>
      <c r="C2980" s="278"/>
      <c r="D2980" s="278"/>
      <c r="E2980" s="278"/>
      <c r="F2980" s="278"/>
      <c r="G2980" s="278"/>
      <c r="H2980" s="278"/>
      <c r="I2980" s="278"/>
      <c r="J2980" s="278"/>
      <c r="K2980" s="278"/>
    </row>
    <row r="2981" spans="1:11" x14ac:dyDescent="0.15">
      <c r="A2981" s="278"/>
      <c r="B2981" s="278"/>
      <c r="C2981" s="278"/>
      <c r="D2981" s="278"/>
      <c r="E2981" s="278"/>
      <c r="F2981" s="278"/>
      <c r="G2981" s="278"/>
      <c r="H2981" s="278"/>
      <c r="I2981" s="278"/>
      <c r="J2981" s="278"/>
      <c r="K2981" s="278"/>
    </row>
    <row r="2982" spans="1:11" x14ac:dyDescent="0.15">
      <c r="A2982" s="278"/>
      <c r="B2982" s="278"/>
      <c r="C2982" s="278"/>
      <c r="D2982" s="278"/>
      <c r="E2982" s="278"/>
      <c r="F2982" s="278"/>
      <c r="G2982" s="278"/>
      <c r="H2982" s="278"/>
      <c r="I2982" s="278"/>
      <c r="J2982" s="278"/>
      <c r="K2982" s="278"/>
    </row>
    <row r="2983" spans="1:11" x14ac:dyDescent="0.15">
      <c r="A2983" s="278"/>
      <c r="B2983" s="278"/>
      <c r="C2983" s="278"/>
      <c r="D2983" s="278"/>
      <c r="E2983" s="278"/>
      <c r="F2983" s="278"/>
      <c r="G2983" s="278"/>
      <c r="H2983" s="278"/>
      <c r="I2983" s="278"/>
      <c r="J2983" s="278"/>
      <c r="K2983" s="278"/>
    </row>
    <row r="2984" spans="1:11" x14ac:dyDescent="0.15">
      <c r="A2984" s="278"/>
      <c r="B2984" s="278"/>
      <c r="C2984" s="278"/>
      <c r="D2984" s="278"/>
      <c r="E2984" s="278"/>
      <c r="F2984" s="278"/>
      <c r="G2984" s="278"/>
      <c r="H2984" s="278"/>
      <c r="I2984" s="278"/>
      <c r="J2984" s="278"/>
      <c r="K2984" s="278"/>
    </row>
    <row r="2985" spans="1:11" x14ac:dyDescent="0.15">
      <c r="A2985" s="278"/>
      <c r="B2985" s="278"/>
      <c r="C2985" s="278"/>
      <c r="D2985" s="278"/>
      <c r="E2985" s="278"/>
      <c r="F2985" s="278"/>
      <c r="G2985" s="278"/>
      <c r="H2985" s="278"/>
      <c r="I2985" s="278"/>
      <c r="J2985" s="278"/>
      <c r="K2985" s="278"/>
    </row>
    <row r="2986" spans="1:11" x14ac:dyDescent="0.15">
      <c r="A2986" s="278"/>
      <c r="B2986" s="278"/>
      <c r="C2986" s="278"/>
      <c r="D2986" s="278"/>
      <c r="E2986" s="278"/>
      <c r="F2986" s="278"/>
      <c r="G2986" s="278"/>
      <c r="H2986" s="278"/>
      <c r="I2986" s="278"/>
      <c r="J2986" s="278"/>
      <c r="K2986" s="278"/>
    </row>
    <row r="2987" spans="1:11" x14ac:dyDescent="0.15">
      <c r="A2987" s="278"/>
      <c r="B2987" s="278"/>
      <c r="C2987" s="278"/>
      <c r="D2987" s="278"/>
      <c r="E2987" s="278"/>
      <c r="F2987" s="278"/>
      <c r="G2987" s="278"/>
      <c r="H2987" s="278"/>
      <c r="I2987" s="278"/>
      <c r="J2987" s="278"/>
      <c r="K2987" s="278"/>
    </row>
    <row r="2988" spans="1:11" x14ac:dyDescent="0.15">
      <c r="A2988" s="278"/>
      <c r="B2988" s="278"/>
      <c r="C2988" s="278"/>
      <c r="D2988" s="278"/>
      <c r="E2988" s="278"/>
      <c r="F2988" s="278"/>
      <c r="G2988" s="278"/>
      <c r="H2988" s="278"/>
      <c r="I2988" s="278"/>
      <c r="J2988" s="278"/>
      <c r="K2988" s="278"/>
    </row>
    <row r="2989" spans="1:11" x14ac:dyDescent="0.15">
      <c r="A2989" s="278"/>
      <c r="B2989" s="278"/>
      <c r="C2989" s="278"/>
      <c r="D2989" s="278"/>
      <c r="E2989" s="278"/>
      <c r="F2989" s="278"/>
      <c r="G2989" s="278"/>
      <c r="H2989" s="278"/>
      <c r="I2989" s="278"/>
      <c r="J2989" s="278"/>
      <c r="K2989" s="278"/>
    </row>
    <row r="2990" spans="1:11" x14ac:dyDescent="0.15">
      <c r="A2990" s="278"/>
      <c r="B2990" s="278"/>
      <c r="C2990" s="278"/>
      <c r="D2990" s="278"/>
      <c r="E2990" s="278"/>
      <c r="F2990" s="278"/>
      <c r="G2990" s="278"/>
      <c r="H2990" s="278"/>
      <c r="I2990" s="278"/>
      <c r="J2990" s="278"/>
      <c r="K2990" s="278"/>
    </row>
    <row r="2991" spans="1:11" x14ac:dyDescent="0.15">
      <c r="A2991" s="278"/>
      <c r="B2991" s="278"/>
      <c r="C2991" s="278"/>
      <c r="D2991" s="278"/>
      <c r="E2991" s="278"/>
      <c r="F2991" s="278"/>
      <c r="G2991" s="278"/>
      <c r="H2991" s="278"/>
      <c r="I2991" s="278"/>
      <c r="J2991" s="278"/>
      <c r="K2991" s="278"/>
    </row>
    <row r="2992" spans="1:11" x14ac:dyDescent="0.15">
      <c r="A2992" s="278"/>
      <c r="B2992" s="278"/>
      <c r="C2992" s="278"/>
      <c r="D2992" s="278"/>
      <c r="E2992" s="278"/>
      <c r="F2992" s="278"/>
      <c r="G2992" s="278"/>
      <c r="H2992" s="278"/>
      <c r="I2992" s="278"/>
      <c r="J2992" s="278"/>
      <c r="K2992" s="278"/>
    </row>
    <row r="2993" spans="1:11" x14ac:dyDescent="0.15">
      <c r="A2993" s="278"/>
      <c r="B2993" s="278"/>
      <c r="C2993" s="278"/>
      <c r="D2993" s="278"/>
      <c r="E2993" s="278"/>
      <c r="F2993" s="278"/>
      <c r="G2993" s="278"/>
      <c r="H2993" s="278"/>
      <c r="I2993" s="278"/>
      <c r="J2993" s="278"/>
      <c r="K2993" s="278"/>
    </row>
    <row r="2994" spans="1:11" x14ac:dyDescent="0.15">
      <c r="A2994" s="278"/>
      <c r="B2994" s="278"/>
      <c r="C2994" s="278"/>
      <c r="D2994" s="278"/>
      <c r="E2994" s="278"/>
      <c r="F2994" s="278"/>
      <c r="G2994" s="278"/>
      <c r="H2994" s="278"/>
      <c r="I2994" s="278"/>
      <c r="J2994" s="278"/>
      <c r="K2994" s="278"/>
    </row>
    <row r="2995" spans="1:11" x14ac:dyDescent="0.15">
      <c r="A2995" s="278"/>
      <c r="B2995" s="278"/>
      <c r="C2995" s="278"/>
      <c r="D2995" s="278"/>
      <c r="E2995" s="278"/>
      <c r="F2995" s="278"/>
      <c r="G2995" s="278"/>
      <c r="H2995" s="278"/>
      <c r="I2995" s="278"/>
      <c r="J2995" s="278"/>
      <c r="K2995" s="278"/>
    </row>
    <row r="2996" spans="1:11" x14ac:dyDescent="0.15">
      <c r="A2996" s="278"/>
      <c r="B2996" s="278"/>
      <c r="C2996" s="278"/>
      <c r="D2996" s="278"/>
      <c r="E2996" s="278"/>
      <c r="F2996" s="278"/>
      <c r="G2996" s="278"/>
      <c r="H2996" s="278"/>
      <c r="I2996" s="278"/>
      <c r="J2996" s="278"/>
      <c r="K2996" s="278"/>
    </row>
    <row r="2997" spans="1:11" x14ac:dyDescent="0.15">
      <c r="A2997" s="278"/>
      <c r="B2997" s="278"/>
      <c r="C2997" s="278"/>
      <c r="D2997" s="278"/>
      <c r="E2997" s="278"/>
      <c r="F2997" s="278"/>
      <c r="G2997" s="278"/>
      <c r="H2997" s="278"/>
      <c r="I2997" s="278"/>
      <c r="J2997" s="278"/>
      <c r="K2997" s="278"/>
    </row>
    <row r="2998" spans="1:11" x14ac:dyDescent="0.15">
      <c r="A2998" s="278"/>
      <c r="B2998" s="278"/>
      <c r="C2998" s="278"/>
      <c r="D2998" s="278"/>
      <c r="E2998" s="278"/>
      <c r="F2998" s="278"/>
      <c r="G2998" s="278"/>
      <c r="H2998" s="278"/>
      <c r="I2998" s="278"/>
      <c r="J2998" s="278"/>
      <c r="K2998" s="278"/>
    </row>
    <row r="2999" spans="1:11" x14ac:dyDescent="0.15">
      <c r="A2999" s="278"/>
      <c r="B2999" s="278"/>
      <c r="C2999" s="278"/>
      <c r="D2999" s="278"/>
      <c r="E2999" s="278"/>
      <c r="F2999" s="278"/>
      <c r="G2999" s="278"/>
      <c r="H2999" s="278"/>
      <c r="I2999" s="278"/>
      <c r="J2999" s="278"/>
      <c r="K2999" s="278"/>
    </row>
    <row r="3000" spans="1:11" x14ac:dyDescent="0.15">
      <c r="A3000" s="278"/>
      <c r="B3000" s="278"/>
      <c r="C3000" s="278"/>
      <c r="D3000" s="278"/>
      <c r="E3000" s="278"/>
      <c r="F3000" s="278"/>
      <c r="G3000" s="278"/>
      <c r="H3000" s="278"/>
      <c r="I3000" s="278"/>
      <c r="J3000" s="278"/>
      <c r="K3000" s="278"/>
    </row>
    <row r="3001" spans="1:11" x14ac:dyDescent="0.15">
      <c r="A3001" s="278"/>
      <c r="B3001" s="278"/>
      <c r="C3001" s="278"/>
      <c r="D3001" s="278"/>
      <c r="E3001" s="278"/>
      <c r="F3001" s="278"/>
      <c r="G3001" s="278"/>
      <c r="H3001" s="278"/>
      <c r="I3001" s="278"/>
      <c r="J3001" s="278"/>
      <c r="K3001" s="278"/>
    </row>
    <row r="3002" spans="1:11" x14ac:dyDescent="0.15">
      <c r="A3002" s="278"/>
      <c r="B3002" s="278"/>
      <c r="C3002" s="278"/>
      <c r="D3002" s="278"/>
      <c r="E3002" s="278"/>
      <c r="F3002" s="278"/>
      <c r="G3002" s="278"/>
      <c r="H3002" s="278"/>
      <c r="I3002" s="278"/>
      <c r="J3002" s="278"/>
      <c r="K3002" s="278"/>
    </row>
    <row r="3003" spans="1:11" x14ac:dyDescent="0.15">
      <c r="A3003" s="278"/>
      <c r="B3003" s="278"/>
      <c r="C3003" s="278"/>
      <c r="D3003" s="278"/>
      <c r="E3003" s="278"/>
      <c r="F3003" s="278"/>
      <c r="G3003" s="278"/>
      <c r="H3003" s="278"/>
      <c r="I3003" s="278"/>
      <c r="J3003" s="278"/>
      <c r="K3003" s="278"/>
    </row>
    <row r="3004" spans="1:11" x14ac:dyDescent="0.15">
      <c r="A3004" s="278"/>
      <c r="B3004" s="278"/>
      <c r="C3004" s="278"/>
      <c r="D3004" s="278"/>
      <c r="E3004" s="278"/>
      <c r="F3004" s="278"/>
      <c r="G3004" s="278"/>
      <c r="H3004" s="278"/>
      <c r="I3004" s="278"/>
      <c r="J3004" s="278"/>
      <c r="K3004" s="278"/>
    </row>
    <row r="3005" spans="1:11" x14ac:dyDescent="0.15">
      <c r="A3005" s="278"/>
      <c r="B3005" s="278"/>
      <c r="C3005" s="278"/>
      <c r="D3005" s="278"/>
      <c r="E3005" s="278"/>
      <c r="F3005" s="278"/>
      <c r="G3005" s="278"/>
      <c r="H3005" s="278"/>
      <c r="I3005" s="278"/>
      <c r="J3005" s="278"/>
      <c r="K3005" s="278"/>
    </row>
    <row r="3006" spans="1:11" x14ac:dyDescent="0.15">
      <c r="A3006" s="278"/>
      <c r="B3006" s="278"/>
      <c r="C3006" s="278"/>
      <c r="D3006" s="278"/>
      <c r="E3006" s="278"/>
      <c r="F3006" s="278"/>
      <c r="G3006" s="278"/>
      <c r="H3006" s="278"/>
      <c r="I3006" s="278"/>
      <c r="J3006" s="278"/>
      <c r="K3006" s="278"/>
    </row>
    <row r="3007" spans="1:11" x14ac:dyDescent="0.15">
      <c r="A3007" s="278"/>
      <c r="B3007" s="278"/>
      <c r="C3007" s="278"/>
      <c r="D3007" s="278"/>
      <c r="E3007" s="278"/>
      <c r="F3007" s="278"/>
      <c r="G3007" s="278"/>
      <c r="H3007" s="278"/>
      <c r="I3007" s="278"/>
      <c r="J3007" s="278"/>
      <c r="K3007" s="278"/>
    </row>
    <row r="3008" spans="1:11" x14ac:dyDescent="0.15">
      <c r="A3008" s="278"/>
      <c r="B3008" s="278"/>
      <c r="C3008" s="278"/>
      <c r="D3008" s="278"/>
      <c r="E3008" s="278"/>
      <c r="F3008" s="278"/>
      <c r="G3008" s="278"/>
      <c r="H3008" s="278"/>
      <c r="I3008" s="278"/>
      <c r="J3008" s="278"/>
      <c r="K3008" s="278"/>
    </row>
    <row r="3009" spans="1:11" x14ac:dyDescent="0.15">
      <c r="A3009" s="278"/>
      <c r="B3009" s="278"/>
      <c r="C3009" s="278"/>
      <c r="D3009" s="278"/>
      <c r="E3009" s="278"/>
      <c r="F3009" s="278"/>
      <c r="G3009" s="278"/>
      <c r="H3009" s="278"/>
      <c r="I3009" s="278"/>
      <c r="J3009" s="278"/>
      <c r="K3009" s="278"/>
    </row>
    <row r="3010" spans="1:11" x14ac:dyDescent="0.15">
      <c r="A3010" s="278"/>
      <c r="B3010" s="278"/>
      <c r="C3010" s="278"/>
      <c r="D3010" s="278"/>
      <c r="E3010" s="278"/>
      <c r="F3010" s="278"/>
      <c r="G3010" s="278"/>
      <c r="H3010" s="278"/>
      <c r="I3010" s="278"/>
      <c r="J3010" s="278"/>
      <c r="K3010" s="278"/>
    </row>
    <row r="3011" spans="1:11" x14ac:dyDescent="0.15">
      <c r="A3011" s="278"/>
      <c r="B3011" s="278"/>
      <c r="C3011" s="278"/>
      <c r="D3011" s="278"/>
      <c r="E3011" s="278"/>
      <c r="F3011" s="278"/>
      <c r="G3011" s="278"/>
      <c r="H3011" s="278"/>
      <c r="I3011" s="278"/>
      <c r="J3011" s="278"/>
      <c r="K3011" s="278"/>
    </row>
    <row r="3012" spans="1:11" x14ac:dyDescent="0.15">
      <c r="A3012" s="278"/>
      <c r="B3012" s="278"/>
      <c r="C3012" s="278"/>
      <c r="D3012" s="278"/>
      <c r="E3012" s="278"/>
      <c r="F3012" s="278"/>
      <c r="G3012" s="278"/>
      <c r="H3012" s="278"/>
      <c r="I3012" s="278"/>
      <c r="J3012" s="278"/>
      <c r="K3012" s="278"/>
    </row>
    <row r="3013" spans="1:11" x14ac:dyDescent="0.15">
      <c r="A3013" s="278"/>
      <c r="B3013" s="278"/>
      <c r="C3013" s="278"/>
      <c r="D3013" s="278"/>
      <c r="E3013" s="278"/>
      <c r="F3013" s="278"/>
      <c r="G3013" s="278"/>
      <c r="H3013" s="278"/>
      <c r="I3013" s="278"/>
      <c r="J3013" s="278"/>
      <c r="K3013" s="278"/>
    </row>
    <row r="3014" spans="1:11" x14ac:dyDescent="0.15">
      <c r="A3014" s="278"/>
      <c r="B3014" s="278"/>
      <c r="C3014" s="278"/>
      <c r="D3014" s="278"/>
      <c r="E3014" s="278"/>
      <c r="F3014" s="278"/>
      <c r="G3014" s="278"/>
      <c r="H3014" s="278"/>
      <c r="I3014" s="278"/>
      <c r="J3014" s="278"/>
      <c r="K3014" s="278"/>
    </row>
    <row r="3015" spans="1:11" x14ac:dyDescent="0.15">
      <c r="A3015" s="278"/>
      <c r="B3015" s="278"/>
      <c r="C3015" s="278"/>
      <c r="D3015" s="278"/>
      <c r="E3015" s="278"/>
      <c r="F3015" s="278"/>
      <c r="G3015" s="278"/>
      <c r="H3015" s="278"/>
      <c r="I3015" s="278"/>
      <c r="J3015" s="278"/>
      <c r="K3015" s="278"/>
    </row>
    <row r="3016" spans="1:11" x14ac:dyDescent="0.15">
      <c r="A3016" s="278"/>
      <c r="B3016" s="278"/>
      <c r="C3016" s="278"/>
      <c r="D3016" s="278"/>
      <c r="E3016" s="278"/>
      <c r="F3016" s="278"/>
      <c r="G3016" s="278"/>
      <c r="H3016" s="278"/>
      <c r="I3016" s="278"/>
      <c r="J3016" s="278"/>
      <c r="K3016" s="278"/>
    </row>
    <row r="3017" spans="1:11" x14ac:dyDescent="0.15">
      <c r="A3017" s="278"/>
      <c r="B3017" s="278"/>
      <c r="C3017" s="278"/>
      <c r="D3017" s="278"/>
      <c r="E3017" s="278"/>
      <c r="F3017" s="278"/>
      <c r="G3017" s="278"/>
      <c r="H3017" s="278"/>
      <c r="I3017" s="278"/>
      <c r="J3017" s="278"/>
      <c r="K3017" s="278"/>
    </row>
    <row r="3018" spans="1:11" x14ac:dyDescent="0.15">
      <c r="A3018" s="278"/>
      <c r="B3018" s="278"/>
      <c r="C3018" s="278"/>
      <c r="D3018" s="278"/>
      <c r="E3018" s="278"/>
      <c r="F3018" s="278"/>
      <c r="G3018" s="278"/>
      <c r="H3018" s="278"/>
      <c r="I3018" s="278"/>
      <c r="J3018" s="278"/>
      <c r="K3018" s="278"/>
    </row>
    <row r="3019" spans="1:11" x14ac:dyDescent="0.15">
      <c r="A3019" s="278"/>
      <c r="B3019" s="278"/>
      <c r="C3019" s="278"/>
      <c r="D3019" s="278"/>
      <c r="E3019" s="278"/>
      <c r="F3019" s="278"/>
      <c r="G3019" s="278"/>
      <c r="H3019" s="278"/>
      <c r="I3019" s="278"/>
      <c r="J3019" s="278"/>
      <c r="K3019" s="278"/>
    </row>
    <row r="3020" spans="1:11" x14ac:dyDescent="0.15">
      <c r="A3020" s="278"/>
      <c r="B3020" s="278"/>
      <c r="C3020" s="278"/>
      <c r="D3020" s="278"/>
      <c r="E3020" s="278"/>
      <c r="F3020" s="278"/>
      <c r="G3020" s="278"/>
      <c r="H3020" s="278"/>
      <c r="I3020" s="278"/>
      <c r="J3020" s="278"/>
      <c r="K3020" s="278"/>
    </row>
    <row r="3021" spans="1:11" x14ac:dyDescent="0.15">
      <c r="A3021" s="278"/>
      <c r="B3021" s="278"/>
      <c r="C3021" s="278"/>
      <c r="D3021" s="278"/>
      <c r="E3021" s="278"/>
      <c r="F3021" s="278"/>
      <c r="G3021" s="278"/>
      <c r="H3021" s="278"/>
      <c r="I3021" s="278"/>
      <c r="J3021" s="278"/>
      <c r="K3021" s="278"/>
    </row>
    <row r="3022" spans="1:11" x14ac:dyDescent="0.15">
      <c r="A3022" s="278"/>
      <c r="B3022" s="278"/>
      <c r="C3022" s="278"/>
      <c r="D3022" s="278"/>
      <c r="E3022" s="278"/>
      <c r="F3022" s="278"/>
      <c r="G3022" s="278"/>
      <c r="H3022" s="278"/>
      <c r="I3022" s="278"/>
      <c r="J3022" s="278"/>
      <c r="K3022" s="278"/>
    </row>
    <row r="3023" spans="1:11" x14ac:dyDescent="0.15">
      <c r="A3023" s="278"/>
      <c r="B3023" s="278"/>
      <c r="C3023" s="278"/>
      <c r="D3023" s="278"/>
      <c r="E3023" s="278"/>
      <c r="F3023" s="278"/>
      <c r="G3023" s="278"/>
      <c r="H3023" s="278"/>
      <c r="I3023" s="278"/>
      <c r="J3023" s="278"/>
      <c r="K3023" s="278"/>
    </row>
    <row r="3024" spans="1:11" x14ac:dyDescent="0.15">
      <c r="A3024" s="278"/>
      <c r="B3024" s="278"/>
      <c r="C3024" s="278"/>
      <c r="D3024" s="278"/>
      <c r="E3024" s="278"/>
      <c r="F3024" s="278"/>
      <c r="G3024" s="278"/>
      <c r="H3024" s="278"/>
      <c r="I3024" s="278"/>
      <c r="J3024" s="278"/>
      <c r="K3024" s="278"/>
    </row>
    <row r="3025" spans="1:11" x14ac:dyDescent="0.15">
      <c r="A3025" s="278"/>
      <c r="B3025" s="278"/>
      <c r="C3025" s="278"/>
      <c r="D3025" s="278"/>
      <c r="E3025" s="278"/>
      <c r="F3025" s="278"/>
      <c r="G3025" s="278"/>
      <c r="H3025" s="278"/>
      <c r="I3025" s="278"/>
      <c r="J3025" s="278"/>
      <c r="K3025" s="278"/>
    </row>
    <row r="3026" spans="1:11" x14ac:dyDescent="0.15">
      <c r="A3026" s="278"/>
      <c r="B3026" s="278"/>
      <c r="C3026" s="278"/>
      <c r="D3026" s="278"/>
      <c r="E3026" s="278"/>
      <c r="F3026" s="278"/>
      <c r="G3026" s="278"/>
      <c r="H3026" s="278"/>
      <c r="I3026" s="278"/>
      <c r="J3026" s="278"/>
      <c r="K3026" s="278"/>
    </row>
    <row r="3027" spans="1:11" x14ac:dyDescent="0.15">
      <c r="A3027" s="278"/>
      <c r="B3027" s="278"/>
      <c r="C3027" s="278"/>
      <c r="D3027" s="278"/>
      <c r="E3027" s="278"/>
      <c r="F3027" s="278"/>
      <c r="G3027" s="278"/>
      <c r="H3027" s="278"/>
      <c r="I3027" s="278"/>
      <c r="J3027" s="278"/>
      <c r="K3027" s="278"/>
    </row>
    <row r="3028" spans="1:11" x14ac:dyDescent="0.15">
      <c r="A3028" s="278"/>
      <c r="B3028" s="278"/>
      <c r="C3028" s="278"/>
      <c r="D3028" s="278"/>
      <c r="E3028" s="278"/>
      <c r="F3028" s="278"/>
      <c r="G3028" s="278"/>
      <c r="H3028" s="278"/>
      <c r="I3028" s="278"/>
      <c r="J3028" s="278"/>
      <c r="K3028" s="278"/>
    </row>
    <row r="3029" spans="1:11" x14ac:dyDescent="0.15">
      <c r="A3029" s="278"/>
      <c r="B3029" s="278"/>
      <c r="C3029" s="278"/>
      <c r="D3029" s="278"/>
      <c r="E3029" s="278"/>
      <c r="F3029" s="278"/>
      <c r="G3029" s="278"/>
      <c r="H3029" s="278"/>
      <c r="I3029" s="278"/>
      <c r="J3029" s="278"/>
      <c r="K3029" s="278"/>
    </row>
    <row r="3030" spans="1:11" x14ac:dyDescent="0.15">
      <c r="A3030" s="278"/>
      <c r="B3030" s="278"/>
      <c r="C3030" s="278"/>
      <c r="D3030" s="278"/>
      <c r="E3030" s="278"/>
      <c r="F3030" s="278"/>
      <c r="G3030" s="278"/>
      <c r="H3030" s="278"/>
      <c r="I3030" s="278"/>
      <c r="J3030" s="278"/>
      <c r="K3030" s="278"/>
    </row>
    <row r="3031" spans="1:11" x14ac:dyDescent="0.15">
      <c r="A3031" s="278"/>
      <c r="B3031" s="278"/>
      <c r="C3031" s="278"/>
      <c r="D3031" s="278"/>
      <c r="E3031" s="278"/>
      <c r="F3031" s="278"/>
      <c r="G3031" s="278"/>
      <c r="H3031" s="278"/>
      <c r="I3031" s="278"/>
      <c r="J3031" s="278"/>
      <c r="K3031" s="278"/>
    </row>
    <row r="3032" spans="1:11" x14ac:dyDescent="0.15">
      <c r="A3032" s="278"/>
      <c r="B3032" s="278"/>
      <c r="C3032" s="278"/>
      <c r="D3032" s="278"/>
      <c r="E3032" s="278"/>
      <c r="F3032" s="278"/>
      <c r="G3032" s="278"/>
      <c r="H3032" s="278"/>
      <c r="I3032" s="278"/>
      <c r="J3032" s="278"/>
      <c r="K3032" s="278"/>
    </row>
    <row r="3033" spans="1:11" x14ac:dyDescent="0.15">
      <c r="A3033" s="278"/>
      <c r="B3033" s="278"/>
      <c r="C3033" s="278"/>
      <c r="D3033" s="278"/>
      <c r="E3033" s="278"/>
      <c r="F3033" s="278"/>
      <c r="G3033" s="278"/>
      <c r="H3033" s="278"/>
      <c r="I3033" s="278"/>
      <c r="J3033" s="278"/>
      <c r="K3033" s="278"/>
    </row>
    <row r="3034" spans="1:11" x14ac:dyDescent="0.15">
      <c r="A3034" s="278"/>
      <c r="B3034" s="278"/>
      <c r="C3034" s="278"/>
      <c r="D3034" s="278"/>
      <c r="E3034" s="278"/>
      <c r="F3034" s="278"/>
      <c r="G3034" s="278"/>
      <c r="H3034" s="278"/>
      <c r="I3034" s="278"/>
      <c r="J3034" s="278"/>
      <c r="K3034" s="278"/>
    </row>
    <row r="3035" spans="1:11" x14ac:dyDescent="0.15">
      <c r="A3035" s="278"/>
      <c r="B3035" s="278"/>
      <c r="C3035" s="278"/>
      <c r="D3035" s="278"/>
      <c r="E3035" s="278"/>
      <c r="F3035" s="278"/>
      <c r="G3035" s="278"/>
      <c r="H3035" s="278"/>
      <c r="I3035" s="278"/>
      <c r="J3035" s="278"/>
      <c r="K3035" s="278"/>
    </row>
    <row r="3036" spans="1:11" x14ac:dyDescent="0.15">
      <c r="A3036" s="278"/>
      <c r="B3036" s="278"/>
      <c r="C3036" s="278"/>
      <c r="D3036" s="278"/>
      <c r="E3036" s="278"/>
      <c r="F3036" s="278"/>
      <c r="G3036" s="278"/>
      <c r="H3036" s="278"/>
      <c r="I3036" s="278"/>
      <c r="J3036" s="278"/>
      <c r="K3036" s="278"/>
    </row>
    <row r="3037" spans="1:11" x14ac:dyDescent="0.15">
      <c r="A3037" s="278"/>
      <c r="B3037" s="278"/>
      <c r="C3037" s="278"/>
      <c r="D3037" s="278"/>
      <c r="E3037" s="278"/>
      <c r="F3037" s="278"/>
      <c r="G3037" s="278"/>
      <c r="H3037" s="278"/>
      <c r="I3037" s="278"/>
      <c r="J3037" s="278"/>
      <c r="K3037" s="278"/>
    </row>
    <row r="3038" spans="1:11" x14ac:dyDescent="0.15">
      <c r="A3038" s="278"/>
      <c r="B3038" s="278"/>
      <c r="C3038" s="278"/>
      <c r="D3038" s="278"/>
      <c r="E3038" s="278"/>
      <c r="F3038" s="278"/>
      <c r="G3038" s="278"/>
      <c r="H3038" s="278"/>
      <c r="I3038" s="278"/>
      <c r="J3038" s="278"/>
      <c r="K3038" s="278"/>
    </row>
    <row r="3039" spans="1:11" x14ac:dyDescent="0.15">
      <c r="A3039" s="278"/>
      <c r="B3039" s="278"/>
      <c r="C3039" s="278"/>
      <c r="D3039" s="278"/>
      <c r="E3039" s="278"/>
      <c r="F3039" s="278"/>
      <c r="G3039" s="278"/>
      <c r="H3039" s="278"/>
      <c r="I3039" s="278"/>
      <c r="J3039" s="278"/>
      <c r="K3039" s="278"/>
    </row>
    <row r="3040" spans="1:11" x14ac:dyDescent="0.15">
      <c r="A3040" s="278"/>
      <c r="B3040" s="278"/>
      <c r="C3040" s="278"/>
      <c r="D3040" s="278"/>
      <c r="E3040" s="278"/>
      <c r="F3040" s="278"/>
      <c r="G3040" s="278"/>
      <c r="H3040" s="278"/>
      <c r="I3040" s="278"/>
      <c r="J3040" s="278"/>
      <c r="K3040" s="278"/>
    </row>
    <row r="3041" spans="1:11" x14ac:dyDescent="0.15">
      <c r="A3041" s="278"/>
      <c r="B3041" s="278"/>
      <c r="C3041" s="278"/>
      <c r="D3041" s="278"/>
      <c r="E3041" s="278"/>
      <c r="F3041" s="278"/>
      <c r="G3041" s="278"/>
      <c r="H3041" s="278"/>
      <c r="I3041" s="278"/>
      <c r="J3041" s="278"/>
      <c r="K3041" s="278"/>
    </row>
    <row r="3042" spans="1:11" x14ac:dyDescent="0.15">
      <c r="A3042" s="278"/>
      <c r="B3042" s="278"/>
      <c r="C3042" s="278"/>
      <c r="D3042" s="278"/>
      <c r="E3042" s="278"/>
      <c r="F3042" s="278"/>
      <c r="G3042" s="278"/>
      <c r="H3042" s="278"/>
      <c r="I3042" s="278"/>
      <c r="J3042" s="278"/>
      <c r="K3042" s="278"/>
    </row>
    <row r="3043" spans="1:11" x14ac:dyDescent="0.15">
      <c r="A3043" s="278"/>
      <c r="B3043" s="278"/>
      <c r="C3043" s="278"/>
      <c r="D3043" s="278"/>
      <c r="E3043" s="278"/>
      <c r="F3043" s="278"/>
      <c r="G3043" s="278"/>
      <c r="H3043" s="278"/>
      <c r="I3043" s="278"/>
      <c r="J3043" s="278"/>
      <c r="K3043" s="278"/>
    </row>
    <row r="3044" spans="1:11" x14ac:dyDescent="0.15">
      <c r="A3044" s="278"/>
      <c r="B3044" s="278"/>
      <c r="C3044" s="278"/>
      <c r="D3044" s="278"/>
      <c r="E3044" s="278"/>
      <c r="F3044" s="278"/>
      <c r="G3044" s="278"/>
      <c r="H3044" s="278"/>
      <c r="I3044" s="278"/>
      <c r="J3044" s="278"/>
      <c r="K3044" s="278"/>
    </row>
    <row r="3045" spans="1:11" x14ac:dyDescent="0.15">
      <c r="A3045" s="278"/>
      <c r="B3045" s="278"/>
      <c r="C3045" s="278"/>
      <c r="D3045" s="278"/>
      <c r="E3045" s="278"/>
      <c r="F3045" s="278"/>
      <c r="G3045" s="278"/>
      <c r="H3045" s="278"/>
      <c r="I3045" s="278"/>
      <c r="J3045" s="278"/>
      <c r="K3045" s="278"/>
    </row>
    <row r="3046" spans="1:11" x14ac:dyDescent="0.15">
      <c r="A3046" s="278"/>
      <c r="B3046" s="278"/>
      <c r="C3046" s="278"/>
      <c r="D3046" s="278"/>
      <c r="E3046" s="278"/>
      <c r="F3046" s="278"/>
      <c r="G3046" s="278"/>
      <c r="H3046" s="278"/>
      <c r="I3046" s="278"/>
      <c r="J3046" s="278"/>
      <c r="K3046" s="278"/>
    </row>
    <row r="3047" spans="1:11" x14ac:dyDescent="0.15">
      <c r="A3047" s="278"/>
      <c r="B3047" s="278"/>
      <c r="C3047" s="278"/>
      <c r="D3047" s="278"/>
      <c r="E3047" s="278"/>
      <c r="F3047" s="278"/>
      <c r="G3047" s="278"/>
      <c r="H3047" s="278"/>
      <c r="I3047" s="278"/>
      <c r="J3047" s="278"/>
      <c r="K3047" s="278"/>
    </row>
    <row r="3048" spans="1:11" x14ac:dyDescent="0.15">
      <c r="A3048" s="278"/>
      <c r="B3048" s="278"/>
      <c r="C3048" s="278"/>
      <c r="D3048" s="278"/>
      <c r="E3048" s="278"/>
      <c r="F3048" s="278"/>
      <c r="G3048" s="278"/>
      <c r="H3048" s="278"/>
      <c r="I3048" s="278"/>
      <c r="J3048" s="278"/>
      <c r="K3048" s="278"/>
    </row>
    <row r="3049" spans="1:11" x14ac:dyDescent="0.15">
      <c r="A3049" s="278"/>
      <c r="B3049" s="278"/>
      <c r="C3049" s="278"/>
      <c r="D3049" s="278"/>
      <c r="E3049" s="278"/>
      <c r="F3049" s="278"/>
      <c r="G3049" s="278"/>
      <c r="H3049" s="278"/>
      <c r="I3049" s="278"/>
      <c r="J3049" s="278"/>
      <c r="K3049" s="278"/>
    </row>
    <row r="3050" spans="1:11" x14ac:dyDescent="0.15">
      <c r="A3050" s="278"/>
      <c r="B3050" s="278"/>
      <c r="C3050" s="278"/>
      <c r="D3050" s="278"/>
      <c r="E3050" s="278"/>
      <c r="F3050" s="278"/>
      <c r="G3050" s="278"/>
      <c r="H3050" s="278"/>
      <c r="I3050" s="278"/>
      <c r="J3050" s="278"/>
      <c r="K3050" s="278"/>
    </row>
    <row r="3051" spans="1:11" x14ac:dyDescent="0.15">
      <c r="A3051" s="278"/>
      <c r="B3051" s="278"/>
      <c r="C3051" s="278"/>
      <c r="D3051" s="278"/>
      <c r="E3051" s="278"/>
      <c r="F3051" s="278"/>
      <c r="G3051" s="278"/>
      <c r="H3051" s="278"/>
      <c r="I3051" s="278"/>
      <c r="J3051" s="278"/>
      <c r="K3051" s="278"/>
    </row>
    <row r="3052" spans="1:11" x14ac:dyDescent="0.15">
      <c r="A3052" s="278"/>
      <c r="B3052" s="278"/>
      <c r="C3052" s="278"/>
      <c r="D3052" s="278"/>
      <c r="E3052" s="278"/>
      <c r="F3052" s="278"/>
      <c r="G3052" s="278"/>
      <c r="H3052" s="278"/>
      <c r="I3052" s="278"/>
      <c r="J3052" s="278"/>
      <c r="K3052" s="278"/>
    </row>
    <row r="3053" spans="1:11" x14ac:dyDescent="0.15">
      <c r="A3053" s="278"/>
      <c r="B3053" s="278"/>
      <c r="C3053" s="278"/>
      <c r="D3053" s="278"/>
      <c r="E3053" s="278"/>
      <c r="F3053" s="278"/>
      <c r="G3053" s="278"/>
      <c r="H3053" s="278"/>
      <c r="I3053" s="278"/>
      <c r="J3053" s="278"/>
      <c r="K3053" s="278"/>
    </row>
    <row r="3054" spans="1:11" x14ac:dyDescent="0.15">
      <c r="A3054" s="278"/>
      <c r="B3054" s="278"/>
      <c r="C3054" s="278"/>
      <c r="D3054" s="278"/>
      <c r="E3054" s="278"/>
      <c r="F3054" s="278"/>
      <c r="G3054" s="278"/>
      <c r="H3054" s="278"/>
      <c r="I3054" s="278"/>
      <c r="J3054" s="278"/>
      <c r="K3054" s="278"/>
    </row>
    <row r="3055" spans="1:11" x14ac:dyDescent="0.15">
      <c r="A3055" s="278"/>
      <c r="B3055" s="278"/>
      <c r="C3055" s="278"/>
      <c r="D3055" s="278"/>
      <c r="E3055" s="278"/>
      <c r="F3055" s="278"/>
      <c r="G3055" s="278"/>
      <c r="H3055" s="278"/>
      <c r="I3055" s="278"/>
      <c r="J3055" s="278"/>
      <c r="K3055" s="278"/>
    </row>
    <row r="3056" spans="1:11" x14ac:dyDescent="0.15">
      <c r="A3056" s="278"/>
      <c r="B3056" s="278"/>
      <c r="C3056" s="278"/>
      <c r="D3056" s="278"/>
      <c r="E3056" s="278"/>
      <c r="F3056" s="278"/>
      <c r="G3056" s="278"/>
      <c r="H3056" s="278"/>
      <c r="I3056" s="278"/>
      <c r="J3056" s="278"/>
      <c r="K3056" s="278"/>
    </row>
    <row r="3057" spans="1:11" x14ac:dyDescent="0.15">
      <c r="A3057" s="278"/>
      <c r="B3057" s="278"/>
      <c r="C3057" s="278"/>
      <c r="D3057" s="278"/>
      <c r="E3057" s="278"/>
      <c r="F3057" s="278"/>
      <c r="G3057" s="278"/>
      <c r="H3057" s="278"/>
      <c r="I3057" s="278"/>
      <c r="J3057" s="278"/>
      <c r="K3057" s="278"/>
    </row>
    <row r="3058" spans="1:11" x14ac:dyDescent="0.15">
      <c r="A3058" s="278"/>
      <c r="B3058" s="278"/>
      <c r="C3058" s="278"/>
      <c r="D3058" s="278"/>
      <c r="E3058" s="278"/>
      <c r="F3058" s="278"/>
      <c r="G3058" s="278"/>
      <c r="H3058" s="278"/>
      <c r="I3058" s="278"/>
      <c r="J3058" s="278"/>
      <c r="K3058" s="278"/>
    </row>
    <row r="3059" spans="1:11" x14ac:dyDescent="0.15">
      <c r="A3059" s="278"/>
      <c r="B3059" s="278"/>
      <c r="C3059" s="278"/>
      <c r="D3059" s="278"/>
      <c r="E3059" s="278"/>
      <c r="F3059" s="278"/>
      <c r="G3059" s="278"/>
      <c r="H3059" s="278"/>
      <c r="I3059" s="278"/>
      <c r="J3059" s="278"/>
      <c r="K3059" s="278"/>
    </row>
    <row r="3060" spans="1:11" x14ac:dyDescent="0.15">
      <c r="A3060" s="278"/>
      <c r="B3060" s="278"/>
      <c r="C3060" s="278"/>
      <c r="D3060" s="278"/>
      <c r="E3060" s="278"/>
      <c r="F3060" s="278"/>
      <c r="G3060" s="278"/>
      <c r="H3060" s="278"/>
      <c r="I3060" s="278"/>
      <c r="J3060" s="278"/>
      <c r="K3060" s="278"/>
    </row>
    <row r="3061" spans="1:11" x14ac:dyDescent="0.15">
      <c r="A3061" s="278"/>
      <c r="B3061" s="278"/>
      <c r="C3061" s="278"/>
      <c r="D3061" s="278"/>
      <c r="E3061" s="278"/>
      <c r="F3061" s="278"/>
      <c r="G3061" s="278"/>
      <c r="H3061" s="278"/>
      <c r="I3061" s="278"/>
      <c r="J3061" s="278"/>
      <c r="K3061" s="278"/>
    </row>
    <row r="3062" spans="1:11" x14ac:dyDescent="0.15">
      <c r="A3062" s="278"/>
      <c r="B3062" s="278"/>
      <c r="C3062" s="278"/>
      <c r="D3062" s="278"/>
      <c r="E3062" s="278"/>
      <c r="F3062" s="278"/>
      <c r="G3062" s="278"/>
      <c r="H3062" s="278"/>
      <c r="I3062" s="278"/>
      <c r="J3062" s="278"/>
      <c r="K3062" s="278"/>
    </row>
    <row r="3063" spans="1:11" x14ac:dyDescent="0.15">
      <c r="A3063" s="278"/>
      <c r="B3063" s="278"/>
      <c r="C3063" s="278"/>
      <c r="D3063" s="278"/>
      <c r="E3063" s="278"/>
      <c r="F3063" s="278"/>
      <c r="G3063" s="278"/>
      <c r="H3063" s="278"/>
      <c r="I3063" s="278"/>
      <c r="J3063" s="278"/>
      <c r="K3063" s="278"/>
    </row>
    <row r="3064" spans="1:11" x14ac:dyDescent="0.15">
      <c r="A3064" s="278"/>
      <c r="B3064" s="278"/>
      <c r="C3064" s="278"/>
      <c r="D3064" s="278"/>
      <c r="E3064" s="278"/>
      <c r="F3064" s="278"/>
      <c r="G3064" s="278"/>
      <c r="H3064" s="278"/>
      <c r="I3064" s="278"/>
      <c r="J3064" s="278"/>
      <c r="K3064" s="278"/>
    </row>
    <row r="3065" spans="1:11" x14ac:dyDescent="0.15">
      <c r="A3065" s="278"/>
      <c r="B3065" s="278"/>
      <c r="C3065" s="278"/>
      <c r="D3065" s="278"/>
      <c r="E3065" s="278"/>
      <c r="F3065" s="278"/>
      <c r="G3065" s="278"/>
      <c r="H3065" s="278"/>
      <c r="I3065" s="278"/>
      <c r="J3065" s="278"/>
      <c r="K3065" s="278"/>
    </row>
    <row r="3066" spans="1:11" x14ac:dyDescent="0.15">
      <c r="A3066" s="278"/>
      <c r="B3066" s="278"/>
      <c r="C3066" s="278"/>
      <c r="D3066" s="278"/>
      <c r="E3066" s="278"/>
      <c r="F3066" s="278"/>
      <c r="G3066" s="278"/>
      <c r="H3066" s="278"/>
      <c r="I3066" s="278"/>
      <c r="J3066" s="278"/>
      <c r="K3066" s="278"/>
    </row>
    <row r="3067" spans="1:11" x14ac:dyDescent="0.15">
      <c r="A3067" s="278"/>
      <c r="B3067" s="278"/>
      <c r="C3067" s="278"/>
      <c r="D3067" s="278"/>
      <c r="E3067" s="278"/>
      <c r="F3067" s="278"/>
      <c r="G3067" s="278"/>
      <c r="H3067" s="278"/>
      <c r="I3067" s="278"/>
      <c r="J3067" s="278"/>
      <c r="K3067" s="278"/>
    </row>
    <row r="3068" spans="1:11" x14ac:dyDescent="0.15">
      <c r="A3068" s="278"/>
      <c r="B3068" s="278"/>
      <c r="C3068" s="278"/>
      <c r="D3068" s="278"/>
      <c r="E3068" s="278"/>
      <c r="F3068" s="278"/>
      <c r="G3068" s="278"/>
      <c r="H3068" s="278"/>
      <c r="I3068" s="278"/>
      <c r="J3068" s="278"/>
      <c r="K3068" s="278"/>
    </row>
    <row r="3069" spans="1:11" x14ac:dyDescent="0.15">
      <c r="A3069" s="278"/>
      <c r="B3069" s="278"/>
      <c r="C3069" s="278"/>
      <c r="D3069" s="278"/>
      <c r="E3069" s="278"/>
      <c r="F3069" s="278"/>
      <c r="G3069" s="278"/>
      <c r="H3069" s="278"/>
      <c r="I3069" s="278"/>
      <c r="J3069" s="278"/>
      <c r="K3069" s="278"/>
    </row>
    <row r="3070" spans="1:11" x14ac:dyDescent="0.15">
      <c r="A3070" s="278"/>
      <c r="B3070" s="278"/>
      <c r="C3070" s="278"/>
      <c r="D3070" s="278"/>
      <c r="E3070" s="278"/>
      <c r="F3070" s="278"/>
      <c r="G3070" s="278"/>
      <c r="H3070" s="278"/>
      <c r="I3070" s="278"/>
      <c r="J3070" s="278"/>
      <c r="K3070" s="278"/>
    </row>
    <row r="3071" spans="1:11" x14ac:dyDescent="0.15">
      <c r="A3071" s="278"/>
      <c r="B3071" s="278"/>
      <c r="C3071" s="278"/>
      <c r="D3071" s="278"/>
      <c r="E3071" s="278"/>
      <c r="F3071" s="278"/>
      <c r="G3071" s="278"/>
      <c r="H3071" s="278"/>
      <c r="I3071" s="278"/>
      <c r="J3071" s="278"/>
      <c r="K3071" s="278"/>
    </row>
    <row r="3072" spans="1:11" x14ac:dyDescent="0.15">
      <c r="A3072" s="278"/>
      <c r="B3072" s="278"/>
      <c r="C3072" s="278"/>
      <c r="D3072" s="278"/>
      <c r="E3072" s="278"/>
      <c r="F3072" s="278"/>
      <c r="G3072" s="278"/>
      <c r="H3072" s="278"/>
      <c r="I3072" s="278"/>
      <c r="J3072" s="278"/>
      <c r="K3072" s="278"/>
    </row>
    <row r="3073" spans="1:11" x14ac:dyDescent="0.15">
      <c r="A3073" s="278"/>
      <c r="B3073" s="278"/>
      <c r="C3073" s="278"/>
      <c r="D3073" s="278"/>
      <c r="E3073" s="278"/>
      <c r="F3073" s="278"/>
      <c r="G3073" s="278"/>
      <c r="H3073" s="278"/>
      <c r="I3073" s="278"/>
      <c r="J3073" s="278"/>
      <c r="K3073" s="278"/>
    </row>
    <row r="3074" spans="1:11" x14ac:dyDescent="0.15">
      <c r="A3074" s="278"/>
      <c r="B3074" s="278"/>
      <c r="C3074" s="278"/>
      <c r="D3074" s="278"/>
      <c r="E3074" s="278"/>
      <c r="F3074" s="278"/>
      <c r="G3074" s="278"/>
      <c r="H3074" s="278"/>
      <c r="I3074" s="278"/>
      <c r="J3074" s="278"/>
      <c r="K3074" s="278"/>
    </row>
    <row r="3075" spans="1:11" x14ac:dyDescent="0.15">
      <c r="A3075" s="278"/>
      <c r="B3075" s="278"/>
      <c r="C3075" s="278"/>
      <c r="D3075" s="278"/>
      <c r="E3075" s="278"/>
      <c r="F3075" s="278"/>
      <c r="G3075" s="278"/>
      <c r="H3075" s="278"/>
      <c r="I3075" s="278"/>
      <c r="J3075" s="278"/>
      <c r="K3075" s="278"/>
    </row>
    <row r="3076" spans="1:11" x14ac:dyDescent="0.15">
      <c r="A3076" s="278"/>
      <c r="B3076" s="278"/>
      <c r="C3076" s="278"/>
      <c r="D3076" s="278"/>
      <c r="E3076" s="278"/>
      <c r="F3076" s="278"/>
      <c r="G3076" s="278"/>
      <c r="H3076" s="278"/>
      <c r="I3076" s="278"/>
      <c r="J3076" s="278"/>
      <c r="K3076" s="278"/>
    </row>
    <row r="3077" spans="1:11" x14ac:dyDescent="0.15">
      <c r="A3077" s="278"/>
      <c r="B3077" s="278"/>
      <c r="C3077" s="278"/>
      <c r="D3077" s="278"/>
      <c r="E3077" s="278"/>
      <c r="F3077" s="278"/>
      <c r="G3077" s="278"/>
      <c r="H3077" s="278"/>
      <c r="I3077" s="278"/>
      <c r="J3077" s="278"/>
      <c r="K3077" s="278"/>
    </row>
    <row r="3078" spans="1:11" x14ac:dyDescent="0.15">
      <c r="A3078" s="278"/>
      <c r="B3078" s="278"/>
      <c r="C3078" s="278"/>
      <c r="D3078" s="278"/>
      <c r="E3078" s="278"/>
      <c r="F3078" s="278"/>
      <c r="G3078" s="278"/>
      <c r="H3078" s="278"/>
      <c r="I3078" s="278"/>
      <c r="J3078" s="278"/>
      <c r="K3078" s="278"/>
    </row>
    <row r="3079" spans="1:11" x14ac:dyDescent="0.15">
      <c r="A3079" s="278"/>
      <c r="B3079" s="278"/>
      <c r="C3079" s="278"/>
      <c r="D3079" s="278"/>
      <c r="E3079" s="278"/>
      <c r="F3079" s="278"/>
      <c r="G3079" s="278"/>
      <c r="H3079" s="278"/>
      <c r="I3079" s="278"/>
      <c r="J3079" s="278"/>
      <c r="K3079" s="278"/>
    </row>
    <row r="3080" spans="1:11" x14ac:dyDescent="0.15">
      <c r="A3080" s="278"/>
      <c r="B3080" s="278"/>
      <c r="C3080" s="278"/>
      <c r="D3080" s="278"/>
      <c r="E3080" s="278"/>
      <c r="F3080" s="278"/>
      <c r="G3080" s="278"/>
      <c r="H3080" s="278"/>
      <c r="I3080" s="278"/>
      <c r="J3080" s="278"/>
      <c r="K3080" s="278"/>
    </row>
    <row r="3081" spans="1:11" x14ac:dyDescent="0.15">
      <c r="A3081" s="278"/>
      <c r="B3081" s="278"/>
      <c r="C3081" s="278"/>
      <c r="D3081" s="278"/>
      <c r="E3081" s="278"/>
      <c r="F3081" s="278"/>
      <c r="G3081" s="278"/>
      <c r="H3081" s="278"/>
      <c r="I3081" s="278"/>
      <c r="J3081" s="278"/>
      <c r="K3081" s="278"/>
    </row>
    <row r="3082" spans="1:11" x14ac:dyDescent="0.15">
      <c r="A3082" s="278"/>
      <c r="B3082" s="278"/>
      <c r="C3082" s="278"/>
      <c r="D3082" s="278"/>
      <c r="E3082" s="278"/>
      <c r="F3082" s="278"/>
      <c r="G3082" s="278"/>
      <c r="H3082" s="278"/>
      <c r="I3082" s="278"/>
      <c r="J3082" s="278"/>
      <c r="K3082" s="278"/>
    </row>
    <row r="3083" spans="1:11" x14ac:dyDescent="0.15">
      <c r="A3083" s="278"/>
      <c r="B3083" s="278"/>
      <c r="C3083" s="278"/>
      <c r="D3083" s="278"/>
      <c r="E3083" s="278"/>
      <c r="F3083" s="278"/>
      <c r="G3083" s="278"/>
      <c r="H3083" s="278"/>
      <c r="I3083" s="278"/>
      <c r="J3083" s="278"/>
      <c r="K3083" s="278"/>
    </row>
    <row r="3084" spans="1:11" x14ac:dyDescent="0.15">
      <c r="A3084" s="278"/>
      <c r="B3084" s="278"/>
      <c r="C3084" s="278"/>
      <c r="D3084" s="278"/>
      <c r="E3084" s="278"/>
      <c r="F3084" s="278"/>
      <c r="G3084" s="278"/>
      <c r="H3084" s="278"/>
      <c r="I3084" s="278"/>
      <c r="J3084" s="278"/>
      <c r="K3084" s="278"/>
    </row>
    <row r="3085" spans="1:11" x14ac:dyDescent="0.15">
      <c r="A3085" s="278"/>
      <c r="B3085" s="278"/>
      <c r="C3085" s="278"/>
      <c r="D3085" s="278"/>
      <c r="E3085" s="278"/>
      <c r="F3085" s="278"/>
      <c r="G3085" s="278"/>
      <c r="H3085" s="278"/>
      <c r="I3085" s="278"/>
      <c r="J3085" s="278"/>
      <c r="K3085" s="278"/>
    </row>
    <row r="3086" spans="1:11" x14ac:dyDescent="0.15">
      <c r="A3086" s="278"/>
      <c r="B3086" s="278"/>
      <c r="C3086" s="278"/>
      <c r="D3086" s="278"/>
      <c r="E3086" s="278"/>
      <c r="F3086" s="278"/>
      <c r="G3086" s="278"/>
      <c r="H3086" s="278"/>
      <c r="I3086" s="278"/>
      <c r="J3086" s="278"/>
      <c r="K3086" s="278"/>
    </row>
    <row r="3087" spans="1:11" x14ac:dyDescent="0.15">
      <c r="A3087" s="278"/>
      <c r="B3087" s="278"/>
      <c r="C3087" s="278"/>
      <c r="D3087" s="278"/>
      <c r="E3087" s="278"/>
      <c r="F3087" s="278"/>
      <c r="G3087" s="278"/>
      <c r="H3087" s="278"/>
      <c r="I3087" s="278"/>
      <c r="J3087" s="278"/>
      <c r="K3087" s="278"/>
    </row>
    <row r="3088" spans="1:11" x14ac:dyDescent="0.15">
      <c r="A3088" s="278"/>
      <c r="B3088" s="278"/>
      <c r="C3088" s="278"/>
      <c r="D3088" s="278"/>
      <c r="E3088" s="278"/>
      <c r="F3088" s="278"/>
      <c r="G3088" s="278"/>
      <c r="H3088" s="278"/>
      <c r="I3088" s="278"/>
      <c r="J3088" s="278"/>
      <c r="K3088" s="278"/>
    </row>
    <row r="3089" spans="1:11" x14ac:dyDescent="0.15">
      <c r="A3089" s="278"/>
      <c r="B3089" s="278"/>
      <c r="C3089" s="278"/>
      <c r="D3089" s="278"/>
      <c r="E3089" s="278"/>
      <c r="F3089" s="278"/>
      <c r="G3089" s="278"/>
      <c r="H3089" s="278"/>
      <c r="I3089" s="278"/>
      <c r="J3089" s="278"/>
      <c r="K3089" s="278"/>
    </row>
    <row r="3090" spans="1:11" x14ac:dyDescent="0.15">
      <c r="A3090" s="278"/>
      <c r="B3090" s="278"/>
      <c r="C3090" s="278"/>
      <c r="D3090" s="278"/>
      <c r="E3090" s="278"/>
      <c r="F3090" s="278"/>
      <c r="G3090" s="278"/>
      <c r="H3090" s="278"/>
      <c r="I3090" s="278"/>
      <c r="J3090" s="278"/>
      <c r="K3090" s="278"/>
    </row>
    <row r="3091" spans="1:11" x14ac:dyDescent="0.15">
      <c r="A3091" s="278"/>
      <c r="B3091" s="278"/>
      <c r="C3091" s="278"/>
      <c r="D3091" s="278"/>
      <c r="E3091" s="278"/>
      <c r="F3091" s="278"/>
      <c r="G3091" s="278"/>
      <c r="H3091" s="278"/>
      <c r="I3091" s="278"/>
      <c r="J3091" s="278"/>
      <c r="K3091" s="278"/>
    </row>
    <row r="3092" spans="1:11" x14ac:dyDescent="0.15">
      <c r="A3092" s="278"/>
      <c r="B3092" s="278"/>
      <c r="C3092" s="278"/>
      <c r="D3092" s="278"/>
      <c r="E3092" s="278"/>
      <c r="F3092" s="278"/>
      <c r="G3092" s="278"/>
      <c r="H3092" s="278"/>
      <c r="I3092" s="278"/>
      <c r="J3092" s="278"/>
      <c r="K3092" s="278"/>
    </row>
    <row r="3093" spans="1:11" x14ac:dyDescent="0.15">
      <c r="A3093" s="278"/>
      <c r="B3093" s="278"/>
      <c r="C3093" s="278"/>
      <c r="D3093" s="278"/>
      <c r="E3093" s="278"/>
      <c r="F3093" s="278"/>
      <c r="G3093" s="278"/>
      <c r="H3093" s="278"/>
      <c r="I3093" s="278"/>
      <c r="J3093" s="278"/>
      <c r="K3093" s="278"/>
    </row>
    <row r="3094" spans="1:11" x14ac:dyDescent="0.15">
      <c r="A3094" s="278"/>
      <c r="B3094" s="278"/>
      <c r="C3094" s="278"/>
      <c r="D3094" s="278"/>
      <c r="E3094" s="278"/>
      <c r="F3094" s="278"/>
      <c r="G3094" s="278"/>
      <c r="H3094" s="278"/>
      <c r="I3094" s="278"/>
      <c r="J3094" s="278"/>
      <c r="K3094" s="278"/>
    </row>
    <row r="3095" spans="1:11" x14ac:dyDescent="0.15">
      <c r="A3095" s="278"/>
      <c r="B3095" s="278"/>
      <c r="C3095" s="278"/>
      <c r="D3095" s="278"/>
      <c r="E3095" s="278"/>
      <c r="F3095" s="278"/>
      <c r="G3095" s="278"/>
      <c r="H3095" s="278"/>
      <c r="I3095" s="278"/>
      <c r="J3095" s="278"/>
      <c r="K3095" s="278"/>
    </row>
    <row r="3096" spans="1:11" x14ac:dyDescent="0.15">
      <c r="A3096" s="278"/>
      <c r="B3096" s="278"/>
      <c r="C3096" s="278"/>
      <c r="D3096" s="278"/>
      <c r="E3096" s="278"/>
      <c r="F3096" s="278"/>
      <c r="G3096" s="278"/>
      <c r="H3096" s="278"/>
      <c r="I3096" s="278"/>
      <c r="J3096" s="278"/>
      <c r="K3096" s="278"/>
    </row>
    <row r="3097" spans="1:11" x14ac:dyDescent="0.15">
      <c r="A3097" s="278"/>
      <c r="B3097" s="278"/>
      <c r="C3097" s="278"/>
      <c r="D3097" s="278"/>
      <c r="E3097" s="278"/>
      <c r="F3097" s="278"/>
      <c r="G3097" s="278"/>
      <c r="H3097" s="278"/>
      <c r="I3097" s="278"/>
      <c r="J3097" s="278"/>
      <c r="K3097" s="278"/>
    </row>
    <row r="3098" spans="1:11" x14ac:dyDescent="0.15">
      <c r="A3098" s="278"/>
      <c r="B3098" s="278"/>
      <c r="C3098" s="278"/>
      <c r="D3098" s="278"/>
      <c r="E3098" s="278"/>
      <c r="F3098" s="278"/>
      <c r="G3098" s="278"/>
      <c r="H3098" s="278"/>
      <c r="I3098" s="278"/>
      <c r="J3098" s="278"/>
      <c r="K3098" s="278"/>
    </row>
    <row r="3099" spans="1:11" x14ac:dyDescent="0.15">
      <c r="A3099" s="278"/>
      <c r="B3099" s="278"/>
      <c r="C3099" s="278"/>
      <c r="D3099" s="278"/>
      <c r="E3099" s="278"/>
      <c r="F3099" s="278"/>
      <c r="G3099" s="278"/>
      <c r="H3099" s="278"/>
      <c r="I3099" s="278"/>
      <c r="J3099" s="278"/>
      <c r="K3099" s="278"/>
    </row>
    <row r="3100" spans="1:11" x14ac:dyDescent="0.15">
      <c r="A3100" s="278"/>
      <c r="B3100" s="278"/>
      <c r="C3100" s="278"/>
      <c r="D3100" s="278"/>
      <c r="E3100" s="278"/>
      <c r="F3100" s="278"/>
      <c r="G3100" s="278"/>
      <c r="H3100" s="278"/>
      <c r="I3100" s="278"/>
      <c r="J3100" s="278"/>
      <c r="K3100" s="278"/>
    </row>
    <row r="3101" spans="1:11" x14ac:dyDescent="0.15">
      <c r="A3101" s="278"/>
      <c r="B3101" s="278"/>
      <c r="C3101" s="278"/>
      <c r="D3101" s="278"/>
      <c r="E3101" s="278"/>
      <c r="F3101" s="278"/>
      <c r="G3101" s="278"/>
      <c r="H3101" s="278"/>
      <c r="I3101" s="278"/>
      <c r="J3101" s="278"/>
      <c r="K3101" s="278"/>
    </row>
    <row r="3102" spans="1:11" x14ac:dyDescent="0.15">
      <c r="A3102" s="278"/>
      <c r="B3102" s="278"/>
      <c r="C3102" s="278"/>
      <c r="D3102" s="278"/>
      <c r="E3102" s="278"/>
      <c r="F3102" s="278"/>
      <c r="G3102" s="278"/>
      <c r="H3102" s="278"/>
      <c r="I3102" s="278"/>
      <c r="J3102" s="278"/>
      <c r="K3102" s="278"/>
    </row>
    <row r="3103" spans="1:11" x14ac:dyDescent="0.15">
      <c r="A3103" s="278"/>
      <c r="B3103" s="278"/>
      <c r="C3103" s="278"/>
      <c r="D3103" s="278"/>
      <c r="E3103" s="278"/>
      <c r="F3103" s="278"/>
      <c r="G3103" s="278"/>
      <c r="H3103" s="278"/>
      <c r="I3103" s="278"/>
      <c r="J3103" s="278"/>
      <c r="K3103" s="278"/>
    </row>
    <row r="3104" spans="1:11" x14ac:dyDescent="0.15">
      <c r="A3104" s="278"/>
      <c r="B3104" s="278"/>
      <c r="C3104" s="278"/>
      <c r="D3104" s="278"/>
      <c r="E3104" s="278"/>
      <c r="F3104" s="278"/>
      <c r="G3104" s="278"/>
      <c r="H3104" s="278"/>
      <c r="I3104" s="278"/>
      <c r="J3104" s="278"/>
      <c r="K3104" s="278"/>
    </row>
    <row r="3105" spans="1:11" x14ac:dyDescent="0.15">
      <c r="A3105" s="278"/>
      <c r="B3105" s="278"/>
      <c r="C3105" s="278"/>
      <c r="D3105" s="278"/>
      <c r="E3105" s="278"/>
      <c r="F3105" s="278"/>
      <c r="G3105" s="278"/>
      <c r="H3105" s="278"/>
      <c r="I3105" s="278"/>
      <c r="J3105" s="278"/>
      <c r="K3105" s="278"/>
    </row>
    <row r="3106" spans="1:11" x14ac:dyDescent="0.15">
      <c r="A3106" s="278"/>
      <c r="B3106" s="278"/>
      <c r="C3106" s="278"/>
      <c r="D3106" s="278"/>
      <c r="E3106" s="278"/>
      <c r="F3106" s="278"/>
      <c r="G3106" s="278"/>
      <c r="H3106" s="278"/>
      <c r="I3106" s="278"/>
      <c r="J3106" s="278"/>
      <c r="K3106" s="278"/>
    </row>
    <row r="3107" spans="1:11" x14ac:dyDescent="0.15">
      <c r="A3107" s="278"/>
      <c r="B3107" s="278"/>
      <c r="C3107" s="278"/>
      <c r="D3107" s="278"/>
      <c r="E3107" s="278"/>
      <c r="F3107" s="278"/>
      <c r="G3107" s="278"/>
      <c r="H3107" s="278"/>
      <c r="I3107" s="278"/>
      <c r="J3107" s="278"/>
      <c r="K3107" s="278"/>
    </row>
    <row r="3108" spans="1:11" x14ac:dyDescent="0.15">
      <c r="A3108" s="278"/>
      <c r="B3108" s="278"/>
      <c r="C3108" s="278"/>
      <c r="D3108" s="278"/>
      <c r="E3108" s="278"/>
      <c r="F3108" s="278"/>
      <c r="G3108" s="278"/>
      <c r="H3108" s="278"/>
      <c r="I3108" s="278"/>
      <c r="J3108" s="278"/>
      <c r="K3108" s="278"/>
    </row>
    <row r="3109" spans="1:11" x14ac:dyDescent="0.15">
      <c r="A3109" s="278"/>
      <c r="B3109" s="278"/>
      <c r="C3109" s="278"/>
      <c r="D3109" s="278"/>
      <c r="E3109" s="278"/>
      <c r="F3109" s="278"/>
      <c r="G3109" s="278"/>
      <c r="H3109" s="278"/>
      <c r="I3109" s="278"/>
      <c r="J3109" s="278"/>
      <c r="K3109" s="278"/>
    </row>
    <row r="3110" spans="1:11" x14ac:dyDescent="0.15">
      <c r="A3110" s="278"/>
      <c r="B3110" s="278"/>
      <c r="C3110" s="278"/>
      <c r="D3110" s="278"/>
      <c r="E3110" s="278"/>
      <c r="F3110" s="278"/>
      <c r="G3110" s="278"/>
      <c r="H3110" s="278"/>
      <c r="I3110" s="278"/>
      <c r="J3110" s="278"/>
      <c r="K3110" s="278"/>
    </row>
    <row r="3111" spans="1:11" x14ac:dyDescent="0.15">
      <c r="A3111" s="278"/>
      <c r="B3111" s="278"/>
      <c r="C3111" s="278"/>
      <c r="D3111" s="278"/>
      <c r="E3111" s="278"/>
      <c r="F3111" s="278"/>
      <c r="G3111" s="278"/>
      <c r="H3111" s="278"/>
      <c r="I3111" s="278"/>
      <c r="J3111" s="278"/>
      <c r="K3111" s="278"/>
    </row>
    <row r="3112" spans="1:11" x14ac:dyDescent="0.15">
      <c r="A3112" s="278"/>
      <c r="B3112" s="278"/>
      <c r="C3112" s="278"/>
      <c r="D3112" s="278"/>
      <c r="E3112" s="278"/>
      <c r="F3112" s="278"/>
      <c r="G3112" s="278"/>
      <c r="H3112" s="278"/>
      <c r="I3112" s="278"/>
      <c r="J3112" s="278"/>
      <c r="K3112" s="278"/>
    </row>
    <row r="3113" spans="1:11" x14ac:dyDescent="0.15">
      <c r="A3113" s="278"/>
      <c r="B3113" s="278"/>
      <c r="C3113" s="278"/>
      <c r="D3113" s="278"/>
      <c r="E3113" s="278"/>
      <c r="F3113" s="278"/>
      <c r="G3113" s="278"/>
      <c r="H3113" s="278"/>
      <c r="I3113" s="278"/>
      <c r="J3113" s="278"/>
      <c r="K3113" s="278"/>
    </row>
    <row r="3114" spans="1:11" x14ac:dyDescent="0.15">
      <c r="A3114" s="278"/>
      <c r="B3114" s="278"/>
      <c r="C3114" s="278"/>
      <c r="D3114" s="278"/>
      <c r="E3114" s="278"/>
      <c r="F3114" s="278"/>
      <c r="G3114" s="278"/>
      <c r="H3114" s="278"/>
      <c r="I3114" s="278"/>
      <c r="J3114" s="278"/>
      <c r="K3114" s="278"/>
    </row>
    <row r="3115" spans="1:11" x14ac:dyDescent="0.15">
      <c r="A3115" s="278"/>
      <c r="B3115" s="278"/>
      <c r="C3115" s="278"/>
      <c r="D3115" s="278"/>
      <c r="E3115" s="278"/>
      <c r="F3115" s="278"/>
      <c r="G3115" s="278"/>
      <c r="H3115" s="278"/>
      <c r="I3115" s="278"/>
      <c r="J3115" s="278"/>
      <c r="K3115" s="278"/>
    </row>
    <row r="3116" spans="1:11" x14ac:dyDescent="0.15">
      <c r="A3116" s="278"/>
      <c r="B3116" s="278"/>
      <c r="C3116" s="278"/>
      <c r="D3116" s="278"/>
      <c r="E3116" s="278"/>
      <c r="F3116" s="278"/>
      <c r="G3116" s="278"/>
      <c r="H3116" s="278"/>
      <c r="I3116" s="278"/>
      <c r="J3116" s="278"/>
      <c r="K3116" s="278"/>
    </row>
    <row r="3117" spans="1:11" x14ac:dyDescent="0.15">
      <c r="A3117" s="278"/>
      <c r="B3117" s="278"/>
      <c r="C3117" s="278"/>
      <c r="D3117" s="278"/>
      <c r="E3117" s="278"/>
      <c r="F3117" s="278"/>
      <c r="G3117" s="278"/>
      <c r="H3117" s="278"/>
      <c r="I3117" s="278"/>
      <c r="J3117" s="278"/>
      <c r="K3117" s="278"/>
    </row>
    <row r="3118" spans="1:11" x14ac:dyDescent="0.15">
      <c r="A3118" s="278"/>
      <c r="B3118" s="278"/>
      <c r="C3118" s="278"/>
      <c r="D3118" s="278"/>
      <c r="E3118" s="278"/>
      <c r="F3118" s="278"/>
      <c r="G3118" s="278"/>
      <c r="H3118" s="278"/>
      <c r="I3118" s="278"/>
      <c r="J3118" s="278"/>
      <c r="K3118" s="278"/>
    </row>
    <row r="3119" spans="1:11" x14ac:dyDescent="0.15">
      <c r="A3119" s="278"/>
      <c r="B3119" s="278"/>
      <c r="C3119" s="278"/>
      <c r="D3119" s="278"/>
      <c r="E3119" s="278"/>
      <c r="F3119" s="278"/>
      <c r="G3119" s="278"/>
      <c r="H3119" s="278"/>
      <c r="I3119" s="278"/>
      <c r="J3119" s="278"/>
      <c r="K3119" s="278"/>
    </row>
    <row r="3120" spans="1:11" x14ac:dyDescent="0.15">
      <c r="A3120" s="278"/>
      <c r="B3120" s="278"/>
      <c r="C3120" s="278"/>
      <c r="D3120" s="278"/>
      <c r="E3120" s="278"/>
      <c r="F3120" s="278"/>
      <c r="G3120" s="278"/>
      <c r="H3120" s="278"/>
      <c r="I3120" s="278"/>
      <c r="J3120" s="278"/>
      <c r="K3120" s="278"/>
    </row>
    <row r="3121" spans="1:11" x14ac:dyDescent="0.15">
      <c r="A3121" s="278"/>
      <c r="B3121" s="278"/>
      <c r="C3121" s="278"/>
      <c r="D3121" s="278"/>
      <c r="E3121" s="278"/>
      <c r="F3121" s="278"/>
      <c r="G3121" s="278"/>
      <c r="H3121" s="278"/>
      <c r="I3121" s="278"/>
      <c r="J3121" s="278"/>
      <c r="K3121" s="278"/>
    </row>
    <row r="3122" spans="1:11" x14ac:dyDescent="0.15">
      <c r="A3122" s="278"/>
      <c r="B3122" s="278"/>
      <c r="C3122" s="278"/>
      <c r="D3122" s="278"/>
      <c r="E3122" s="278"/>
      <c r="F3122" s="278"/>
      <c r="G3122" s="278"/>
      <c r="H3122" s="278"/>
      <c r="I3122" s="278"/>
      <c r="J3122" s="278"/>
      <c r="K3122" s="278"/>
    </row>
    <row r="3123" spans="1:11" x14ac:dyDescent="0.15">
      <c r="A3123" s="278"/>
      <c r="B3123" s="278"/>
      <c r="C3123" s="278"/>
      <c r="D3123" s="278"/>
      <c r="E3123" s="278"/>
      <c r="F3123" s="278"/>
      <c r="G3123" s="278"/>
      <c r="H3123" s="278"/>
      <c r="I3123" s="278"/>
      <c r="J3123" s="278"/>
      <c r="K3123" s="278"/>
    </row>
    <row r="3124" spans="1:11" x14ac:dyDescent="0.15">
      <c r="A3124" s="278"/>
      <c r="B3124" s="278"/>
      <c r="C3124" s="278"/>
      <c r="D3124" s="278"/>
      <c r="E3124" s="278"/>
      <c r="F3124" s="278"/>
      <c r="G3124" s="278"/>
      <c r="H3124" s="278"/>
      <c r="I3124" s="278"/>
      <c r="J3124" s="278"/>
      <c r="K3124" s="278"/>
    </row>
    <row r="3125" spans="1:11" x14ac:dyDescent="0.15">
      <c r="A3125" s="278"/>
      <c r="B3125" s="278"/>
      <c r="C3125" s="278"/>
      <c r="D3125" s="278"/>
      <c r="E3125" s="278"/>
      <c r="F3125" s="278"/>
      <c r="G3125" s="278"/>
      <c r="H3125" s="278"/>
      <c r="I3125" s="278"/>
      <c r="J3125" s="278"/>
      <c r="K3125" s="278"/>
    </row>
    <row r="3126" spans="1:11" x14ac:dyDescent="0.15">
      <c r="A3126" s="278"/>
      <c r="B3126" s="278"/>
      <c r="C3126" s="278"/>
      <c r="D3126" s="278"/>
      <c r="E3126" s="278"/>
      <c r="F3126" s="278"/>
      <c r="G3126" s="278"/>
      <c r="H3126" s="278"/>
      <c r="I3126" s="278"/>
      <c r="J3126" s="278"/>
      <c r="K3126" s="278"/>
    </row>
    <row r="3127" spans="1:11" x14ac:dyDescent="0.15">
      <c r="A3127" s="278"/>
      <c r="B3127" s="278"/>
      <c r="C3127" s="278"/>
      <c r="D3127" s="278"/>
      <c r="E3127" s="278"/>
      <c r="F3127" s="278"/>
      <c r="G3127" s="278"/>
      <c r="H3127" s="278"/>
      <c r="I3127" s="278"/>
      <c r="J3127" s="278"/>
      <c r="K3127" s="278"/>
    </row>
    <row r="3128" spans="1:11" x14ac:dyDescent="0.15">
      <c r="A3128" s="278"/>
      <c r="B3128" s="278"/>
      <c r="C3128" s="278"/>
      <c r="D3128" s="278"/>
      <c r="E3128" s="278"/>
      <c r="F3128" s="278"/>
      <c r="G3128" s="278"/>
      <c r="H3128" s="278"/>
      <c r="I3128" s="278"/>
      <c r="J3128" s="278"/>
      <c r="K3128" s="278"/>
    </row>
    <row r="3129" spans="1:11" x14ac:dyDescent="0.15">
      <c r="A3129" s="278"/>
      <c r="B3129" s="278"/>
      <c r="C3129" s="278"/>
      <c r="D3129" s="278"/>
      <c r="E3129" s="278"/>
      <c r="F3129" s="278"/>
      <c r="G3129" s="278"/>
      <c r="H3129" s="278"/>
      <c r="I3129" s="278"/>
      <c r="J3129" s="278"/>
      <c r="K3129" s="278"/>
    </row>
    <row r="3130" spans="1:11" x14ac:dyDescent="0.15">
      <c r="A3130" s="278"/>
      <c r="B3130" s="278"/>
      <c r="C3130" s="278"/>
      <c r="D3130" s="278"/>
      <c r="E3130" s="278"/>
      <c r="F3130" s="278"/>
      <c r="G3130" s="278"/>
      <c r="H3130" s="278"/>
      <c r="I3130" s="278"/>
      <c r="J3130" s="278"/>
      <c r="K3130" s="278"/>
    </row>
    <row r="3131" spans="1:11" x14ac:dyDescent="0.15">
      <c r="A3131" s="278"/>
      <c r="B3131" s="278"/>
      <c r="C3131" s="278"/>
      <c r="D3131" s="278"/>
      <c r="E3131" s="278"/>
      <c r="F3131" s="278"/>
      <c r="G3131" s="278"/>
      <c r="H3131" s="278"/>
      <c r="I3131" s="278"/>
      <c r="J3131" s="278"/>
      <c r="K3131" s="278"/>
    </row>
    <row r="3132" spans="1:11" x14ac:dyDescent="0.15">
      <c r="A3132" s="278"/>
      <c r="B3132" s="278"/>
      <c r="C3132" s="278"/>
      <c r="D3132" s="278"/>
      <c r="E3132" s="278"/>
      <c r="F3132" s="278"/>
      <c r="G3132" s="278"/>
      <c r="H3132" s="278"/>
      <c r="I3132" s="278"/>
      <c r="J3132" s="278"/>
      <c r="K3132" s="278"/>
    </row>
    <row r="3133" spans="1:11" x14ac:dyDescent="0.15">
      <c r="A3133" s="278"/>
      <c r="B3133" s="278"/>
      <c r="C3133" s="278"/>
      <c r="D3133" s="278"/>
      <c r="E3133" s="278"/>
      <c r="F3133" s="278"/>
      <c r="G3133" s="278"/>
      <c r="H3133" s="278"/>
      <c r="I3133" s="278"/>
      <c r="J3133" s="278"/>
      <c r="K3133" s="278"/>
    </row>
    <row r="3134" spans="1:11" x14ac:dyDescent="0.15">
      <c r="A3134" s="278"/>
      <c r="B3134" s="278"/>
      <c r="C3134" s="278"/>
      <c r="D3134" s="278"/>
      <c r="E3134" s="278"/>
      <c r="F3134" s="278"/>
      <c r="G3134" s="278"/>
      <c r="H3134" s="278"/>
      <c r="I3134" s="278"/>
      <c r="J3134" s="278"/>
      <c r="K3134" s="278"/>
    </row>
    <row r="3135" spans="1:11" x14ac:dyDescent="0.15">
      <c r="A3135" s="278"/>
      <c r="B3135" s="278"/>
      <c r="C3135" s="278"/>
      <c r="D3135" s="278"/>
      <c r="E3135" s="278"/>
      <c r="F3135" s="278"/>
      <c r="G3135" s="278"/>
      <c r="H3135" s="278"/>
      <c r="I3135" s="278"/>
      <c r="J3135" s="278"/>
      <c r="K3135" s="278"/>
    </row>
    <row r="3136" spans="1:11" x14ac:dyDescent="0.15">
      <c r="A3136" s="278"/>
      <c r="B3136" s="278"/>
      <c r="C3136" s="278"/>
      <c r="D3136" s="278"/>
      <c r="E3136" s="278"/>
      <c r="F3136" s="278"/>
      <c r="G3136" s="278"/>
      <c r="H3136" s="278"/>
      <c r="I3136" s="278"/>
      <c r="J3136" s="278"/>
      <c r="K3136" s="278"/>
    </row>
    <row r="3137" spans="1:11" x14ac:dyDescent="0.15">
      <c r="A3137" s="278"/>
      <c r="B3137" s="278"/>
      <c r="C3137" s="278"/>
      <c r="D3137" s="278"/>
      <c r="E3137" s="278"/>
      <c r="F3137" s="278"/>
      <c r="G3137" s="278"/>
      <c r="H3137" s="278"/>
      <c r="I3137" s="278"/>
      <c r="J3137" s="278"/>
      <c r="K3137" s="278"/>
    </row>
    <row r="3138" spans="1:11" x14ac:dyDescent="0.15">
      <c r="A3138" s="278"/>
      <c r="B3138" s="278"/>
      <c r="C3138" s="278"/>
      <c r="D3138" s="278"/>
      <c r="E3138" s="278"/>
      <c r="F3138" s="278"/>
      <c r="G3138" s="278"/>
      <c r="H3138" s="278"/>
      <c r="I3138" s="278"/>
      <c r="J3138" s="278"/>
      <c r="K3138" s="278"/>
    </row>
    <row r="3139" spans="1:11" x14ac:dyDescent="0.15">
      <c r="A3139" s="278"/>
      <c r="B3139" s="278"/>
      <c r="C3139" s="278"/>
      <c r="D3139" s="278"/>
      <c r="E3139" s="278"/>
      <c r="F3139" s="278"/>
      <c r="G3139" s="278"/>
      <c r="H3139" s="278"/>
      <c r="I3139" s="278"/>
      <c r="J3139" s="278"/>
      <c r="K3139" s="278"/>
    </row>
    <row r="3140" spans="1:11" x14ac:dyDescent="0.15">
      <c r="A3140" s="278"/>
      <c r="B3140" s="278"/>
      <c r="C3140" s="278"/>
      <c r="D3140" s="278"/>
      <c r="E3140" s="278"/>
      <c r="F3140" s="278"/>
      <c r="G3140" s="278"/>
      <c r="H3140" s="278"/>
      <c r="I3140" s="278"/>
      <c r="J3140" s="278"/>
      <c r="K3140" s="278"/>
    </row>
    <row r="3141" spans="1:11" x14ac:dyDescent="0.15">
      <c r="A3141" s="278"/>
      <c r="B3141" s="278"/>
      <c r="C3141" s="278"/>
      <c r="D3141" s="278"/>
      <c r="E3141" s="278"/>
      <c r="F3141" s="278"/>
      <c r="G3141" s="278"/>
      <c r="H3141" s="278"/>
      <c r="I3141" s="278"/>
      <c r="J3141" s="278"/>
      <c r="K3141" s="278"/>
    </row>
    <row r="3142" spans="1:11" x14ac:dyDescent="0.15">
      <c r="A3142" s="278"/>
      <c r="B3142" s="278"/>
      <c r="C3142" s="278"/>
      <c r="D3142" s="278"/>
      <c r="E3142" s="278"/>
      <c r="F3142" s="278"/>
      <c r="G3142" s="278"/>
      <c r="H3142" s="278"/>
      <c r="I3142" s="278"/>
      <c r="J3142" s="278"/>
      <c r="K3142" s="278"/>
    </row>
    <row r="3143" spans="1:11" x14ac:dyDescent="0.15">
      <c r="A3143" s="278"/>
      <c r="B3143" s="278"/>
      <c r="C3143" s="278"/>
      <c r="D3143" s="278"/>
      <c r="E3143" s="278"/>
      <c r="F3143" s="278"/>
      <c r="G3143" s="278"/>
      <c r="H3143" s="278"/>
      <c r="I3143" s="278"/>
      <c r="J3143" s="278"/>
      <c r="K3143" s="278"/>
    </row>
    <row r="3144" spans="1:11" x14ac:dyDescent="0.15">
      <c r="A3144" s="278"/>
      <c r="B3144" s="278"/>
      <c r="C3144" s="278"/>
      <c r="D3144" s="278"/>
      <c r="E3144" s="278"/>
      <c r="F3144" s="278"/>
      <c r="G3144" s="278"/>
      <c r="H3144" s="278"/>
      <c r="I3144" s="278"/>
      <c r="J3144" s="278"/>
      <c r="K3144" s="278"/>
    </row>
    <row r="3145" spans="1:11" x14ac:dyDescent="0.15">
      <c r="A3145" s="278"/>
      <c r="B3145" s="278"/>
      <c r="C3145" s="278"/>
      <c r="D3145" s="278"/>
      <c r="E3145" s="278"/>
      <c r="F3145" s="278"/>
      <c r="G3145" s="278"/>
      <c r="H3145" s="278"/>
      <c r="I3145" s="278"/>
      <c r="J3145" s="278"/>
      <c r="K3145" s="278"/>
    </row>
    <row r="3146" spans="1:11" x14ac:dyDescent="0.15">
      <c r="A3146" s="278"/>
      <c r="B3146" s="278"/>
      <c r="C3146" s="278"/>
      <c r="D3146" s="278"/>
      <c r="E3146" s="278"/>
      <c r="F3146" s="278"/>
      <c r="G3146" s="278"/>
      <c r="H3146" s="278"/>
      <c r="I3146" s="278"/>
      <c r="J3146" s="278"/>
      <c r="K3146" s="278"/>
    </row>
    <row r="3147" spans="1:11" x14ac:dyDescent="0.15">
      <c r="A3147" s="278"/>
      <c r="B3147" s="278"/>
      <c r="C3147" s="278"/>
      <c r="D3147" s="278"/>
      <c r="E3147" s="278"/>
      <c r="F3147" s="278"/>
      <c r="G3147" s="278"/>
      <c r="H3147" s="278"/>
      <c r="I3147" s="278"/>
      <c r="J3147" s="278"/>
      <c r="K3147" s="278"/>
    </row>
    <row r="3148" spans="1:11" x14ac:dyDescent="0.15">
      <c r="A3148" s="278"/>
      <c r="B3148" s="278"/>
      <c r="C3148" s="278"/>
      <c r="D3148" s="278"/>
      <c r="E3148" s="278"/>
      <c r="F3148" s="278"/>
      <c r="G3148" s="278"/>
      <c r="H3148" s="278"/>
      <c r="I3148" s="278"/>
      <c r="J3148" s="278"/>
      <c r="K3148" s="278"/>
    </row>
    <row r="3149" spans="1:11" x14ac:dyDescent="0.15">
      <c r="A3149" s="278"/>
      <c r="B3149" s="278"/>
      <c r="C3149" s="278"/>
      <c r="D3149" s="278"/>
      <c r="E3149" s="278"/>
      <c r="F3149" s="278"/>
      <c r="G3149" s="278"/>
      <c r="H3149" s="278"/>
      <c r="I3149" s="278"/>
      <c r="J3149" s="278"/>
      <c r="K3149" s="278"/>
    </row>
    <row r="3150" spans="1:11" x14ac:dyDescent="0.15">
      <c r="A3150" s="278"/>
      <c r="B3150" s="278"/>
      <c r="C3150" s="278"/>
      <c r="D3150" s="278"/>
      <c r="E3150" s="278"/>
      <c r="F3150" s="278"/>
      <c r="G3150" s="278"/>
      <c r="H3150" s="278"/>
      <c r="I3150" s="278"/>
      <c r="J3150" s="278"/>
      <c r="K3150" s="278"/>
    </row>
    <row r="3151" spans="1:11" x14ac:dyDescent="0.15">
      <c r="A3151" s="278"/>
      <c r="B3151" s="278"/>
      <c r="C3151" s="278"/>
      <c r="D3151" s="278"/>
      <c r="E3151" s="278"/>
      <c r="F3151" s="278"/>
      <c r="G3151" s="278"/>
      <c r="H3151" s="278"/>
      <c r="I3151" s="278"/>
      <c r="J3151" s="278"/>
      <c r="K3151" s="278"/>
    </row>
    <row r="3152" spans="1:11" x14ac:dyDescent="0.15">
      <c r="A3152" s="278"/>
      <c r="B3152" s="278"/>
      <c r="C3152" s="278"/>
      <c r="D3152" s="278"/>
      <c r="E3152" s="278"/>
      <c r="F3152" s="278"/>
      <c r="G3152" s="278"/>
      <c r="H3152" s="278"/>
      <c r="I3152" s="278"/>
      <c r="J3152" s="278"/>
      <c r="K3152" s="278"/>
    </row>
    <row r="3153" spans="1:11" x14ac:dyDescent="0.15">
      <c r="A3153" s="278"/>
      <c r="B3153" s="278"/>
      <c r="C3153" s="278"/>
      <c r="D3153" s="278"/>
      <c r="E3153" s="278"/>
      <c r="F3153" s="278"/>
      <c r="G3153" s="278"/>
      <c r="H3153" s="278"/>
      <c r="I3153" s="278"/>
      <c r="J3153" s="278"/>
      <c r="K3153" s="278"/>
    </row>
    <row r="3154" spans="1:11" x14ac:dyDescent="0.15">
      <c r="A3154" s="278"/>
      <c r="B3154" s="278"/>
      <c r="C3154" s="278"/>
      <c r="D3154" s="278"/>
      <c r="E3154" s="278"/>
      <c r="F3154" s="278"/>
      <c r="G3154" s="278"/>
      <c r="H3154" s="278"/>
      <c r="I3154" s="278"/>
      <c r="J3154" s="278"/>
      <c r="K3154" s="278"/>
    </row>
    <row r="3155" spans="1:11" x14ac:dyDescent="0.15">
      <c r="A3155" s="278"/>
      <c r="B3155" s="278"/>
      <c r="C3155" s="278"/>
      <c r="D3155" s="278"/>
      <c r="E3155" s="278"/>
      <c r="F3155" s="278"/>
      <c r="G3155" s="278"/>
      <c r="H3155" s="278"/>
      <c r="I3155" s="278"/>
      <c r="J3155" s="278"/>
      <c r="K3155" s="278"/>
    </row>
    <row r="3156" spans="1:11" x14ac:dyDescent="0.15">
      <c r="A3156" s="278"/>
      <c r="B3156" s="278"/>
      <c r="C3156" s="278"/>
      <c r="D3156" s="278"/>
      <c r="E3156" s="278"/>
      <c r="F3156" s="278"/>
      <c r="G3156" s="278"/>
      <c r="H3156" s="278"/>
      <c r="I3156" s="278"/>
      <c r="J3156" s="278"/>
      <c r="K3156" s="278"/>
    </row>
    <row r="3157" spans="1:11" x14ac:dyDescent="0.15">
      <c r="A3157" s="278"/>
      <c r="B3157" s="278"/>
      <c r="C3157" s="278"/>
      <c r="D3157" s="278"/>
      <c r="E3157" s="278"/>
      <c r="F3157" s="278"/>
      <c r="G3157" s="278"/>
      <c r="H3157" s="278"/>
      <c r="I3157" s="278"/>
      <c r="J3157" s="278"/>
      <c r="K3157" s="278"/>
    </row>
    <row r="3158" spans="1:11" x14ac:dyDescent="0.15">
      <c r="A3158" s="278"/>
      <c r="B3158" s="278"/>
      <c r="C3158" s="278"/>
      <c r="D3158" s="278"/>
      <c r="E3158" s="278"/>
      <c r="F3158" s="278"/>
      <c r="G3158" s="278"/>
      <c r="H3158" s="278"/>
      <c r="I3158" s="278"/>
      <c r="J3158" s="278"/>
      <c r="K3158" s="278"/>
    </row>
    <row r="3159" spans="1:11" x14ac:dyDescent="0.15">
      <c r="A3159" s="278"/>
      <c r="B3159" s="278"/>
      <c r="C3159" s="278"/>
      <c r="D3159" s="278"/>
      <c r="E3159" s="278"/>
      <c r="F3159" s="278"/>
      <c r="G3159" s="278"/>
      <c r="H3159" s="278"/>
      <c r="I3159" s="278"/>
      <c r="J3159" s="278"/>
      <c r="K3159" s="278"/>
    </row>
    <row r="3160" spans="1:11" x14ac:dyDescent="0.15">
      <c r="A3160" s="278"/>
      <c r="B3160" s="278"/>
      <c r="C3160" s="278"/>
      <c r="D3160" s="278"/>
      <c r="E3160" s="278"/>
      <c r="F3160" s="278"/>
      <c r="G3160" s="278"/>
      <c r="H3160" s="278"/>
      <c r="I3160" s="278"/>
      <c r="J3160" s="278"/>
      <c r="K3160" s="278"/>
    </row>
    <row r="3161" spans="1:11" x14ac:dyDescent="0.15">
      <c r="A3161" s="278"/>
      <c r="B3161" s="278"/>
      <c r="C3161" s="278"/>
      <c r="D3161" s="278"/>
      <c r="E3161" s="278"/>
      <c r="F3161" s="278"/>
      <c r="G3161" s="278"/>
      <c r="H3161" s="278"/>
      <c r="I3161" s="278"/>
      <c r="J3161" s="278"/>
      <c r="K3161" s="278"/>
    </row>
    <row r="3162" spans="1:11" x14ac:dyDescent="0.15">
      <c r="A3162" s="278"/>
      <c r="B3162" s="278"/>
      <c r="C3162" s="278"/>
      <c r="D3162" s="278"/>
      <c r="E3162" s="278"/>
      <c r="F3162" s="278"/>
      <c r="G3162" s="278"/>
      <c r="H3162" s="278"/>
      <c r="I3162" s="278"/>
      <c r="J3162" s="278"/>
      <c r="K3162" s="278"/>
    </row>
    <row r="3163" spans="1:11" x14ac:dyDescent="0.15">
      <c r="A3163" s="278"/>
      <c r="B3163" s="278"/>
      <c r="C3163" s="278"/>
      <c r="D3163" s="278"/>
      <c r="E3163" s="278"/>
      <c r="F3163" s="278"/>
      <c r="G3163" s="278"/>
      <c r="H3163" s="278"/>
      <c r="I3163" s="278"/>
      <c r="J3163" s="278"/>
      <c r="K3163" s="278"/>
    </row>
    <row r="3164" spans="1:11" x14ac:dyDescent="0.15">
      <c r="A3164" s="278"/>
      <c r="B3164" s="278"/>
      <c r="C3164" s="278"/>
      <c r="D3164" s="278"/>
      <c r="E3164" s="278"/>
      <c r="F3164" s="278"/>
      <c r="G3164" s="278"/>
      <c r="H3164" s="278"/>
      <c r="I3164" s="278"/>
      <c r="J3164" s="278"/>
      <c r="K3164" s="278"/>
    </row>
    <row r="3165" spans="1:11" x14ac:dyDescent="0.15">
      <c r="A3165" s="278"/>
      <c r="B3165" s="278"/>
      <c r="C3165" s="278"/>
      <c r="D3165" s="278"/>
      <c r="E3165" s="278"/>
      <c r="F3165" s="278"/>
      <c r="G3165" s="278"/>
      <c r="H3165" s="278"/>
      <c r="I3165" s="278"/>
      <c r="J3165" s="278"/>
      <c r="K3165" s="278"/>
    </row>
    <row r="3166" spans="1:11" x14ac:dyDescent="0.15">
      <c r="A3166" s="278"/>
      <c r="B3166" s="278"/>
      <c r="C3166" s="278"/>
      <c r="D3166" s="278"/>
      <c r="E3166" s="278"/>
      <c r="F3166" s="278"/>
      <c r="G3166" s="278"/>
      <c r="H3166" s="278"/>
      <c r="I3166" s="278"/>
      <c r="J3166" s="278"/>
      <c r="K3166" s="278"/>
    </row>
    <row r="3167" spans="1:11" x14ac:dyDescent="0.15">
      <c r="A3167" s="278"/>
      <c r="B3167" s="278"/>
      <c r="C3167" s="278"/>
      <c r="D3167" s="278"/>
      <c r="E3167" s="278"/>
      <c r="F3167" s="278"/>
      <c r="G3167" s="278"/>
      <c r="H3167" s="278"/>
      <c r="I3167" s="278"/>
      <c r="J3167" s="278"/>
      <c r="K3167" s="278"/>
    </row>
    <row r="3168" spans="1:11" x14ac:dyDescent="0.15">
      <c r="A3168" s="278"/>
      <c r="B3168" s="278"/>
      <c r="C3168" s="278"/>
      <c r="D3168" s="278"/>
      <c r="E3168" s="278"/>
      <c r="F3168" s="278"/>
      <c r="G3168" s="278"/>
      <c r="H3168" s="278"/>
      <c r="I3168" s="278"/>
      <c r="J3168" s="278"/>
      <c r="K3168" s="278"/>
    </row>
    <row r="3169" spans="1:11" x14ac:dyDescent="0.15">
      <c r="A3169" s="278"/>
      <c r="B3169" s="278"/>
      <c r="C3169" s="278"/>
      <c r="D3169" s="278"/>
      <c r="E3169" s="278"/>
      <c r="F3169" s="278"/>
      <c r="G3169" s="278"/>
      <c r="H3169" s="278"/>
      <c r="I3169" s="278"/>
      <c r="J3169" s="278"/>
      <c r="K3169" s="278"/>
    </row>
    <row r="3170" spans="1:11" x14ac:dyDescent="0.15">
      <c r="A3170" s="278"/>
      <c r="B3170" s="278"/>
      <c r="C3170" s="278"/>
      <c r="D3170" s="278"/>
      <c r="E3170" s="278"/>
      <c r="F3170" s="278"/>
      <c r="G3170" s="278"/>
      <c r="H3170" s="278"/>
      <c r="I3170" s="278"/>
      <c r="J3170" s="278"/>
      <c r="K3170" s="278"/>
    </row>
    <row r="3171" spans="1:11" x14ac:dyDescent="0.15">
      <c r="A3171" s="278"/>
      <c r="B3171" s="278"/>
      <c r="C3171" s="278"/>
      <c r="D3171" s="278"/>
      <c r="E3171" s="278"/>
      <c r="F3171" s="278"/>
      <c r="G3171" s="278"/>
      <c r="H3171" s="278"/>
      <c r="I3171" s="278"/>
      <c r="J3171" s="278"/>
      <c r="K3171" s="278"/>
    </row>
    <row r="3172" spans="1:11" x14ac:dyDescent="0.15">
      <c r="A3172" s="278"/>
      <c r="B3172" s="278"/>
      <c r="C3172" s="278"/>
      <c r="D3172" s="278"/>
      <c r="E3172" s="278"/>
      <c r="F3172" s="278"/>
      <c r="G3172" s="278"/>
      <c r="H3172" s="278"/>
      <c r="I3172" s="278"/>
      <c r="J3172" s="278"/>
      <c r="K3172" s="278"/>
    </row>
    <row r="3173" spans="1:11" x14ac:dyDescent="0.15">
      <c r="A3173" s="278"/>
      <c r="B3173" s="278"/>
      <c r="C3173" s="278"/>
      <c r="D3173" s="278"/>
      <c r="E3173" s="278"/>
      <c r="F3173" s="278"/>
      <c r="G3173" s="278"/>
      <c r="H3173" s="278"/>
      <c r="I3173" s="278"/>
      <c r="J3173" s="278"/>
      <c r="K3173" s="278"/>
    </row>
    <row r="3174" spans="1:11" x14ac:dyDescent="0.15">
      <c r="A3174" s="278"/>
      <c r="B3174" s="278"/>
      <c r="C3174" s="278"/>
      <c r="D3174" s="278"/>
      <c r="E3174" s="278"/>
      <c r="F3174" s="278"/>
      <c r="G3174" s="278"/>
      <c r="H3174" s="278"/>
      <c r="I3174" s="278"/>
      <c r="J3174" s="278"/>
      <c r="K3174" s="278"/>
    </row>
    <row r="3175" spans="1:11" x14ac:dyDescent="0.15">
      <c r="A3175" s="278"/>
      <c r="B3175" s="278"/>
      <c r="C3175" s="278"/>
      <c r="D3175" s="278"/>
      <c r="E3175" s="278"/>
      <c r="F3175" s="278"/>
      <c r="G3175" s="278"/>
      <c r="H3175" s="278"/>
      <c r="I3175" s="278"/>
      <c r="J3175" s="278"/>
      <c r="K3175" s="278"/>
    </row>
    <row r="3176" spans="1:11" x14ac:dyDescent="0.15">
      <c r="A3176" s="278"/>
      <c r="B3176" s="278"/>
      <c r="C3176" s="278"/>
      <c r="D3176" s="278"/>
      <c r="E3176" s="278"/>
      <c r="F3176" s="278"/>
      <c r="G3176" s="278"/>
      <c r="H3176" s="278"/>
      <c r="I3176" s="278"/>
      <c r="J3176" s="278"/>
      <c r="K3176" s="278"/>
    </row>
    <row r="3177" spans="1:11" x14ac:dyDescent="0.15">
      <c r="A3177" s="278"/>
      <c r="B3177" s="278"/>
      <c r="C3177" s="278"/>
      <c r="D3177" s="278"/>
      <c r="E3177" s="278"/>
      <c r="F3177" s="278"/>
      <c r="G3177" s="278"/>
      <c r="H3177" s="278"/>
      <c r="I3177" s="278"/>
      <c r="J3177" s="278"/>
      <c r="K3177" s="278"/>
    </row>
    <row r="3178" spans="1:11" x14ac:dyDescent="0.15">
      <c r="A3178" s="278"/>
      <c r="B3178" s="278"/>
      <c r="C3178" s="278"/>
      <c r="D3178" s="278"/>
      <c r="E3178" s="278"/>
      <c r="F3178" s="278"/>
      <c r="G3178" s="278"/>
      <c r="H3178" s="278"/>
      <c r="I3178" s="278"/>
      <c r="J3178" s="278"/>
      <c r="K3178" s="278"/>
    </row>
    <row r="3179" spans="1:11" x14ac:dyDescent="0.15">
      <c r="A3179" s="278"/>
      <c r="B3179" s="278"/>
      <c r="C3179" s="278"/>
      <c r="D3179" s="278"/>
      <c r="E3179" s="278"/>
      <c r="F3179" s="278"/>
      <c r="G3179" s="278"/>
      <c r="H3179" s="278"/>
      <c r="I3179" s="278"/>
      <c r="J3179" s="278"/>
      <c r="K3179" s="278"/>
    </row>
    <row r="3180" spans="1:11" x14ac:dyDescent="0.15">
      <c r="A3180" s="278"/>
      <c r="B3180" s="278"/>
      <c r="C3180" s="278"/>
      <c r="D3180" s="278"/>
      <c r="E3180" s="278"/>
      <c r="F3180" s="278"/>
      <c r="G3180" s="278"/>
      <c r="H3180" s="278"/>
      <c r="I3180" s="278"/>
      <c r="J3180" s="278"/>
      <c r="K3180" s="278"/>
    </row>
    <row r="3181" spans="1:11" x14ac:dyDescent="0.15">
      <c r="A3181" s="278"/>
      <c r="B3181" s="278"/>
      <c r="C3181" s="278"/>
      <c r="D3181" s="278"/>
      <c r="E3181" s="278"/>
      <c r="F3181" s="278"/>
      <c r="G3181" s="278"/>
      <c r="H3181" s="278"/>
      <c r="I3181" s="278"/>
      <c r="J3181" s="278"/>
      <c r="K3181" s="278"/>
    </row>
    <row r="3182" spans="1:11" x14ac:dyDescent="0.15">
      <c r="A3182" s="278"/>
      <c r="B3182" s="278"/>
      <c r="C3182" s="278"/>
      <c r="D3182" s="278"/>
      <c r="E3182" s="278"/>
      <c r="F3182" s="278"/>
      <c r="G3182" s="278"/>
      <c r="H3182" s="278"/>
      <c r="I3182" s="278"/>
      <c r="J3182" s="278"/>
      <c r="K3182" s="278"/>
    </row>
    <row r="3183" spans="1:11" x14ac:dyDescent="0.15">
      <c r="A3183" s="278"/>
      <c r="B3183" s="278"/>
      <c r="C3183" s="278"/>
      <c r="D3183" s="278"/>
      <c r="E3183" s="278"/>
      <c r="F3183" s="278"/>
      <c r="G3183" s="278"/>
      <c r="H3183" s="278"/>
      <c r="I3183" s="278"/>
      <c r="J3183" s="278"/>
      <c r="K3183" s="278"/>
    </row>
    <row r="3184" spans="1:11" x14ac:dyDescent="0.15">
      <c r="A3184" s="278"/>
      <c r="B3184" s="278"/>
      <c r="C3184" s="278"/>
      <c r="D3184" s="278"/>
      <c r="E3184" s="278"/>
      <c r="F3184" s="278"/>
      <c r="G3184" s="278"/>
      <c r="H3184" s="278"/>
      <c r="I3184" s="278"/>
      <c r="J3184" s="278"/>
      <c r="K3184" s="278"/>
    </row>
    <row r="3185" spans="1:11" x14ac:dyDescent="0.15">
      <c r="A3185" s="278"/>
      <c r="B3185" s="278"/>
      <c r="C3185" s="278"/>
      <c r="D3185" s="278"/>
      <c r="E3185" s="278"/>
      <c r="F3185" s="278"/>
      <c r="G3185" s="278"/>
      <c r="H3185" s="278"/>
      <c r="I3185" s="278"/>
      <c r="J3185" s="278"/>
      <c r="K3185" s="278"/>
    </row>
    <row r="3186" spans="1:11" x14ac:dyDescent="0.15">
      <c r="A3186" s="278"/>
      <c r="B3186" s="278"/>
      <c r="C3186" s="278"/>
      <c r="D3186" s="278"/>
      <c r="E3186" s="278"/>
      <c r="F3186" s="278"/>
      <c r="G3186" s="278"/>
      <c r="H3186" s="278"/>
      <c r="I3186" s="278"/>
      <c r="J3186" s="278"/>
      <c r="K3186" s="278"/>
    </row>
    <row r="3187" spans="1:11" x14ac:dyDescent="0.15">
      <c r="A3187" s="278"/>
      <c r="B3187" s="278"/>
      <c r="C3187" s="278"/>
      <c r="D3187" s="278"/>
      <c r="E3187" s="278"/>
      <c r="F3187" s="278"/>
      <c r="G3187" s="278"/>
      <c r="H3187" s="278"/>
      <c r="I3187" s="278"/>
      <c r="J3187" s="278"/>
      <c r="K3187" s="278"/>
    </row>
    <row r="3188" spans="1:11" x14ac:dyDescent="0.15">
      <c r="A3188" s="278"/>
      <c r="B3188" s="278"/>
      <c r="C3188" s="278"/>
      <c r="D3188" s="278"/>
      <c r="E3188" s="278"/>
      <c r="F3188" s="278"/>
      <c r="G3188" s="278"/>
      <c r="H3188" s="278"/>
      <c r="I3188" s="278"/>
      <c r="J3188" s="278"/>
      <c r="K3188" s="278"/>
    </row>
    <row r="3189" spans="1:11" x14ac:dyDescent="0.15">
      <c r="A3189" s="278"/>
      <c r="B3189" s="278"/>
      <c r="C3189" s="278"/>
      <c r="D3189" s="278"/>
      <c r="E3189" s="278"/>
      <c r="F3189" s="278"/>
      <c r="G3189" s="278"/>
      <c r="H3189" s="278"/>
      <c r="I3189" s="278"/>
      <c r="J3189" s="278"/>
      <c r="K3189" s="278"/>
    </row>
    <row r="3190" spans="1:11" x14ac:dyDescent="0.15">
      <c r="A3190" s="278"/>
      <c r="B3190" s="278"/>
      <c r="C3190" s="278"/>
      <c r="D3190" s="278"/>
      <c r="E3190" s="278"/>
      <c r="F3190" s="278"/>
      <c r="G3190" s="278"/>
      <c r="H3190" s="278"/>
      <c r="I3190" s="278"/>
      <c r="J3190" s="278"/>
      <c r="K3190" s="278"/>
    </row>
    <row r="3191" spans="1:11" x14ac:dyDescent="0.15">
      <c r="A3191" s="278"/>
      <c r="B3191" s="278"/>
      <c r="C3191" s="278"/>
      <c r="D3191" s="278"/>
      <c r="E3191" s="278"/>
      <c r="F3191" s="278"/>
      <c r="G3191" s="278"/>
      <c r="H3191" s="278"/>
      <c r="I3191" s="278"/>
      <c r="J3191" s="278"/>
      <c r="K3191" s="278"/>
    </row>
    <row r="3192" spans="1:11" x14ac:dyDescent="0.15">
      <c r="A3192" s="278"/>
      <c r="B3192" s="278"/>
      <c r="C3192" s="278"/>
      <c r="D3192" s="278"/>
      <c r="E3192" s="278"/>
      <c r="F3192" s="278"/>
      <c r="G3192" s="278"/>
      <c r="H3192" s="278"/>
      <c r="I3192" s="278"/>
      <c r="J3192" s="278"/>
      <c r="K3192" s="278"/>
    </row>
    <row r="3193" spans="1:11" x14ac:dyDescent="0.15">
      <c r="A3193" s="278"/>
      <c r="B3193" s="278"/>
      <c r="C3193" s="278"/>
      <c r="D3193" s="278"/>
      <c r="E3193" s="278"/>
      <c r="F3193" s="278"/>
      <c r="G3193" s="278"/>
      <c r="H3193" s="278"/>
      <c r="I3193" s="278"/>
      <c r="J3193" s="278"/>
      <c r="K3193" s="278"/>
    </row>
    <row r="3194" spans="1:11" x14ac:dyDescent="0.15">
      <c r="A3194" s="278"/>
      <c r="B3194" s="278"/>
      <c r="C3194" s="278"/>
      <c r="D3194" s="278"/>
      <c r="E3194" s="278"/>
      <c r="F3194" s="278"/>
      <c r="G3194" s="278"/>
      <c r="H3194" s="278"/>
      <c r="I3194" s="278"/>
      <c r="J3194" s="278"/>
      <c r="K3194" s="278"/>
    </row>
    <row r="3195" spans="1:11" x14ac:dyDescent="0.15">
      <c r="A3195" s="278"/>
      <c r="B3195" s="278"/>
      <c r="C3195" s="278"/>
      <c r="D3195" s="278"/>
      <c r="E3195" s="278"/>
      <c r="F3195" s="278"/>
      <c r="G3195" s="278"/>
      <c r="H3195" s="278"/>
      <c r="I3195" s="278"/>
      <c r="J3195" s="278"/>
      <c r="K3195" s="278"/>
    </row>
    <row r="3196" spans="1:11" x14ac:dyDescent="0.15">
      <c r="A3196" s="278"/>
      <c r="B3196" s="278"/>
      <c r="C3196" s="278"/>
      <c r="D3196" s="278"/>
      <c r="E3196" s="278"/>
      <c r="F3196" s="278"/>
      <c r="G3196" s="278"/>
      <c r="H3196" s="278"/>
      <c r="I3196" s="278"/>
      <c r="J3196" s="278"/>
      <c r="K3196" s="278"/>
    </row>
    <row r="3197" spans="1:11" x14ac:dyDescent="0.15">
      <c r="A3197" s="278"/>
      <c r="B3197" s="278"/>
      <c r="C3197" s="278"/>
      <c r="D3197" s="278"/>
      <c r="E3197" s="278"/>
      <c r="F3197" s="278"/>
      <c r="G3197" s="278"/>
      <c r="H3197" s="278"/>
      <c r="I3197" s="278"/>
      <c r="J3197" s="278"/>
      <c r="K3197" s="278"/>
    </row>
    <row r="3198" spans="1:11" x14ac:dyDescent="0.15">
      <c r="A3198" s="278"/>
      <c r="B3198" s="278"/>
      <c r="C3198" s="278"/>
      <c r="D3198" s="278"/>
      <c r="E3198" s="278"/>
      <c r="F3198" s="278"/>
      <c r="G3198" s="278"/>
      <c r="H3198" s="278"/>
      <c r="I3198" s="278"/>
      <c r="J3198" s="278"/>
      <c r="K3198" s="278"/>
    </row>
    <row r="3199" spans="1:11" x14ac:dyDescent="0.15">
      <c r="A3199" s="278"/>
      <c r="B3199" s="278"/>
      <c r="C3199" s="278"/>
      <c r="D3199" s="278"/>
      <c r="E3199" s="278"/>
      <c r="F3199" s="278"/>
      <c r="G3199" s="278"/>
      <c r="H3199" s="278"/>
      <c r="I3199" s="278"/>
      <c r="J3199" s="278"/>
      <c r="K3199" s="278"/>
    </row>
    <row r="3200" spans="1:11" x14ac:dyDescent="0.15">
      <c r="A3200" s="278"/>
      <c r="B3200" s="278"/>
      <c r="C3200" s="278"/>
      <c r="D3200" s="278"/>
      <c r="E3200" s="278"/>
      <c r="F3200" s="278"/>
      <c r="G3200" s="278"/>
      <c r="H3200" s="278"/>
      <c r="I3200" s="278"/>
      <c r="J3200" s="278"/>
      <c r="K3200" s="278"/>
    </row>
    <row r="3201" spans="1:11" x14ac:dyDescent="0.15">
      <c r="A3201" s="278"/>
      <c r="B3201" s="278"/>
      <c r="C3201" s="278"/>
      <c r="D3201" s="278"/>
      <c r="E3201" s="278"/>
      <c r="F3201" s="278"/>
      <c r="G3201" s="278"/>
      <c r="H3201" s="278"/>
      <c r="I3201" s="278"/>
      <c r="J3201" s="278"/>
      <c r="K3201" s="278"/>
    </row>
    <row r="3202" spans="1:11" x14ac:dyDescent="0.15">
      <c r="A3202" s="278"/>
      <c r="B3202" s="278"/>
      <c r="C3202" s="278"/>
      <c r="D3202" s="278"/>
      <c r="E3202" s="278"/>
      <c r="F3202" s="278"/>
      <c r="G3202" s="278"/>
      <c r="H3202" s="278"/>
      <c r="I3202" s="278"/>
      <c r="J3202" s="278"/>
      <c r="K3202" s="278"/>
    </row>
    <row r="3203" spans="1:11" x14ac:dyDescent="0.15">
      <c r="A3203" s="278"/>
      <c r="B3203" s="278"/>
      <c r="C3203" s="278"/>
      <c r="D3203" s="278"/>
      <c r="E3203" s="278"/>
      <c r="F3203" s="278"/>
      <c r="G3203" s="278"/>
      <c r="H3203" s="278"/>
      <c r="I3203" s="278"/>
      <c r="J3203" s="278"/>
      <c r="K3203" s="278"/>
    </row>
    <row r="3204" spans="1:11" x14ac:dyDescent="0.15">
      <c r="A3204" s="278"/>
      <c r="B3204" s="278"/>
      <c r="C3204" s="278"/>
      <c r="D3204" s="278"/>
      <c r="E3204" s="278"/>
      <c r="F3204" s="278"/>
      <c r="G3204" s="278"/>
      <c r="H3204" s="278"/>
      <c r="I3204" s="278"/>
      <c r="J3204" s="278"/>
      <c r="K3204" s="278"/>
    </row>
    <row r="3205" spans="1:11" x14ac:dyDescent="0.15">
      <c r="A3205" s="278"/>
      <c r="B3205" s="278"/>
      <c r="C3205" s="278"/>
      <c r="D3205" s="278"/>
      <c r="E3205" s="278"/>
      <c r="F3205" s="278"/>
      <c r="G3205" s="278"/>
      <c r="H3205" s="278"/>
      <c r="I3205" s="278"/>
      <c r="J3205" s="278"/>
      <c r="K3205" s="278"/>
    </row>
    <row r="3206" spans="1:11" x14ac:dyDescent="0.15">
      <c r="A3206" s="278"/>
      <c r="B3206" s="278"/>
      <c r="C3206" s="278"/>
      <c r="D3206" s="278"/>
      <c r="E3206" s="278"/>
      <c r="F3206" s="278"/>
      <c r="G3206" s="278"/>
      <c r="H3206" s="278"/>
      <c r="I3206" s="278"/>
      <c r="J3206" s="278"/>
      <c r="K3206" s="278"/>
    </row>
    <row r="3207" spans="1:11" x14ac:dyDescent="0.15">
      <c r="A3207" s="278"/>
      <c r="B3207" s="278"/>
      <c r="C3207" s="278"/>
      <c r="D3207" s="278"/>
      <c r="E3207" s="278"/>
      <c r="F3207" s="278"/>
      <c r="G3207" s="278"/>
      <c r="H3207" s="278"/>
      <c r="I3207" s="278"/>
      <c r="J3207" s="278"/>
      <c r="K3207" s="278"/>
    </row>
    <row r="3208" spans="1:11" x14ac:dyDescent="0.15">
      <c r="A3208" s="278"/>
      <c r="B3208" s="278"/>
      <c r="C3208" s="278"/>
      <c r="D3208" s="278"/>
      <c r="E3208" s="278"/>
      <c r="F3208" s="278"/>
      <c r="G3208" s="278"/>
      <c r="H3208" s="278"/>
      <c r="I3208" s="278"/>
      <c r="J3208" s="278"/>
      <c r="K3208" s="278"/>
    </row>
    <row r="3209" spans="1:11" x14ac:dyDescent="0.15">
      <c r="A3209" s="278"/>
      <c r="B3209" s="278"/>
      <c r="C3209" s="278"/>
      <c r="D3209" s="278"/>
      <c r="E3209" s="278"/>
      <c r="F3209" s="278"/>
      <c r="G3209" s="278"/>
      <c r="H3209" s="278"/>
      <c r="I3209" s="278"/>
      <c r="J3209" s="278"/>
      <c r="K3209" s="278"/>
    </row>
    <row r="3210" spans="1:11" x14ac:dyDescent="0.15">
      <c r="A3210" s="278"/>
      <c r="B3210" s="278"/>
      <c r="C3210" s="278"/>
      <c r="D3210" s="278"/>
      <c r="E3210" s="278"/>
      <c r="F3210" s="278"/>
      <c r="G3210" s="278"/>
      <c r="H3210" s="278"/>
      <c r="I3210" s="278"/>
      <c r="J3210" s="278"/>
      <c r="K3210" s="278"/>
    </row>
    <row r="3211" spans="1:11" x14ac:dyDescent="0.15">
      <c r="A3211" s="278"/>
      <c r="B3211" s="278"/>
      <c r="C3211" s="278"/>
      <c r="D3211" s="278"/>
      <c r="E3211" s="278"/>
      <c r="F3211" s="278"/>
      <c r="G3211" s="278"/>
      <c r="H3211" s="278"/>
      <c r="I3211" s="278"/>
      <c r="J3211" s="278"/>
      <c r="K3211" s="278"/>
    </row>
    <row r="3212" spans="1:11" x14ac:dyDescent="0.15">
      <c r="A3212" s="278"/>
      <c r="B3212" s="278"/>
      <c r="C3212" s="278"/>
      <c r="D3212" s="278"/>
      <c r="E3212" s="278"/>
      <c r="F3212" s="278"/>
      <c r="G3212" s="278"/>
      <c r="H3212" s="278"/>
      <c r="I3212" s="278"/>
      <c r="J3212" s="278"/>
      <c r="K3212" s="278"/>
    </row>
    <row r="3213" spans="1:11" x14ac:dyDescent="0.15">
      <c r="A3213" s="278"/>
      <c r="B3213" s="278"/>
      <c r="C3213" s="278"/>
      <c r="D3213" s="278"/>
      <c r="E3213" s="278"/>
      <c r="F3213" s="278"/>
      <c r="G3213" s="278"/>
      <c r="H3213" s="278"/>
      <c r="I3213" s="278"/>
      <c r="J3213" s="278"/>
      <c r="K3213" s="278"/>
    </row>
    <row r="3214" spans="1:11" x14ac:dyDescent="0.15">
      <c r="A3214" s="278"/>
      <c r="B3214" s="278"/>
      <c r="C3214" s="278"/>
      <c r="D3214" s="278"/>
      <c r="E3214" s="278"/>
      <c r="F3214" s="278"/>
      <c r="G3214" s="278"/>
      <c r="H3214" s="278"/>
      <c r="I3214" s="278"/>
      <c r="J3214" s="278"/>
      <c r="K3214" s="278"/>
    </row>
    <row r="3215" spans="1:11" x14ac:dyDescent="0.15">
      <c r="A3215" s="278"/>
      <c r="B3215" s="278"/>
      <c r="C3215" s="278"/>
      <c r="D3215" s="278"/>
      <c r="E3215" s="278"/>
      <c r="F3215" s="278"/>
      <c r="G3215" s="278"/>
      <c r="H3215" s="278"/>
      <c r="I3215" s="278"/>
      <c r="J3215" s="278"/>
      <c r="K3215" s="278"/>
    </row>
    <row r="3216" spans="1:11" x14ac:dyDescent="0.15">
      <c r="A3216" s="278"/>
      <c r="B3216" s="278"/>
      <c r="C3216" s="278"/>
      <c r="D3216" s="278"/>
      <c r="E3216" s="278"/>
      <c r="F3216" s="278"/>
      <c r="G3216" s="278"/>
      <c r="H3216" s="278"/>
      <c r="I3216" s="278"/>
      <c r="J3216" s="278"/>
      <c r="K3216" s="278"/>
    </row>
    <row r="3217" spans="1:11" x14ac:dyDescent="0.15">
      <c r="A3217" s="278"/>
      <c r="B3217" s="278"/>
      <c r="C3217" s="278"/>
      <c r="D3217" s="278"/>
      <c r="E3217" s="278"/>
      <c r="F3217" s="278"/>
      <c r="G3217" s="278"/>
      <c r="H3217" s="278"/>
      <c r="I3217" s="278"/>
      <c r="J3217" s="278"/>
      <c r="K3217" s="278"/>
    </row>
    <row r="3218" spans="1:11" x14ac:dyDescent="0.15">
      <c r="A3218" s="278"/>
      <c r="B3218" s="278"/>
      <c r="C3218" s="278"/>
      <c r="D3218" s="278"/>
      <c r="E3218" s="278"/>
      <c r="F3218" s="278"/>
      <c r="G3218" s="278"/>
      <c r="H3218" s="278"/>
      <c r="I3218" s="278"/>
      <c r="J3218" s="278"/>
      <c r="K3218" s="278"/>
    </row>
    <row r="3219" spans="1:11" x14ac:dyDescent="0.15">
      <c r="A3219" s="278"/>
      <c r="B3219" s="278"/>
      <c r="C3219" s="278"/>
      <c r="D3219" s="278"/>
      <c r="E3219" s="278"/>
      <c r="F3219" s="278"/>
      <c r="G3219" s="278"/>
      <c r="H3219" s="278"/>
      <c r="I3219" s="278"/>
      <c r="J3219" s="278"/>
      <c r="K3219" s="278"/>
    </row>
    <row r="3220" spans="1:11" x14ac:dyDescent="0.15">
      <c r="A3220" s="278"/>
      <c r="B3220" s="278"/>
      <c r="C3220" s="278"/>
      <c r="D3220" s="278"/>
      <c r="E3220" s="278"/>
      <c r="F3220" s="278"/>
      <c r="G3220" s="278"/>
      <c r="H3220" s="278"/>
      <c r="I3220" s="278"/>
      <c r="J3220" s="278"/>
      <c r="K3220" s="278"/>
    </row>
    <row r="3221" spans="1:11" x14ac:dyDescent="0.15">
      <c r="A3221" s="278"/>
      <c r="B3221" s="278"/>
      <c r="C3221" s="278"/>
      <c r="D3221" s="278"/>
      <c r="E3221" s="278"/>
      <c r="F3221" s="278"/>
      <c r="G3221" s="278"/>
      <c r="H3221" s="278"/>
      <c r="I3221" s="278"/>
      <c r="J3221" s="278"/>
      <c r="K3221" s="278"/>
    </row>
    <row r="3222" spans="1:11" x14ac:dyDescent="0.15">
      <c r="A3222" s="278"/>
      <c r="B3222" s="278"/>
      <c r="C3222" s="278"/>
      <c r="D3222" s="278"/>
      <c r="E3222" s="278"/>
      <c r="F3222" s="278"/>
      <c r="G3222" s="278"/>
      <c r="H3222" s="278"/>
      <c r="I3222" s="278"/>
      <c r="J3222" s="278"/>
      <c r="K3222" s="278"/>
    </row>
    <row r="3223" spans="1:11" x14ac:dyDescent="0.15">
      <c r="A3223" s="278"/>
      <c r="B3223" s="278"/>
      <c r="C3223" s="278"/>
      <c r="D3223" s="278"/>
      <c r="E3223" s="278"/>
      <c r="F3223" s="278"/>
      <c r="G3223" s="278"/>
      <c r="H3223" s="278"/>
      <c r="I3223" s="278"/>
      <c r="J3223" s="278"/>
      <c r="K3223" s="278"/>
    </row>
    <row r="3224" spans="1:11" x14ac:dyDescent="0.15">
      <c r="A3224" s="278"/>
      <c r="B3224" s="278"/>
      <c r="C3224" s="278"/>
      <c r="D3224" s="278"/>
      <c r="E3224" s="278"/>
      <c r="F3224" s="278"/>
      <c r="G3224" s="278"/>
      <c r="H3224" s="278"/>
      <c r="I3224" s="278"/>
      <c r="J3224" s="278"/>
      <c r="K3224" s="278"/>
    </row>
    <row r="3225" spans="1:11" x14ac:dyDescent="0.15">
      <c r="A3225" s="278"/>
      <c r="B3225" s="278"/>
      <c r="C3225" s="278"/>
      <c r="D3225" s="278"/>
      <c r="E3225" s="278"/>
      <c r="F3225" s="278"/>
      <c r="G3225" s="278"/>
      <c r="H3225" s="278"/>
      <c r="I3225" s="278"/>
      <c r="J3225" s="278"/>
      <c r="K3225" s="278"/>
    </row>
    <row r="3226" spans="1:11" x14ac:dyDescent="0.15">
      <c r="A3226" s="278"/>
      <c r="B3226" s="278"/>
      <c r="C3226" s="278"/>
      <c r="D3226" s="278"/>
      <c r="E3226" s="278"/>
      <c r="F3226" s="278"/>
      <c r="G3226" s="278"/>
      <c r="H3226" s="278"/>
      <c r="I3226" s="278"/>
      <c r="J3226" s="278"/>
      <c r="K3226" s="278"/>
    </row>
    <row r="3227" spans="1:11" x14ac:dyDescent="0.15">
      <c r="A3227" s="278"/>
      <c r="B3227" s="278"/>
      <c r="C3227" s="278"/>
      <c r="D3227" s="278"/>
      <c r="E3227" s="278"/>
      <c r="F3227" s="278"/>
      <c r="G3227" s="278"/>
      <c r="H3227" s="278"/>
      <c r="I3227" s="278"/>
      <c r="J3227" s="278"/>
      <c r="K3227" s="278"/>
    </row>
    <row r="3228" spans="1:11" x14ac:dyDescent="0.15">
      <c r="A3228" s="278"/>
      <c r="B3228" s="278"/>
      <c r="C3228" s="278"/>
      <c r="D3228" s="278"/>
      <c r="E3228" s="278"/>
      <c r="F3228" s="278"/>
      <c r="G3228" s="278"/>
      <c r="H3228" s="278"/>
      <c r="I3228" s="278"/>
      <c r="J3228" s="278"/>
      <c r="K3228" s="278"/>
    </row>
    <row r="3229" spans="1:11" x14ac:dyDescent="0.15">
      <c r="A3229" s="278"/>
      <c r="B3229" s="278"/>
      <c r="C3229" s="278"/>
      <c r="D3229" s="278"/>
      <c r="E3229" s="278"/>
      <c r="F3229" s="278"/>
      <c r="G3229" s="278"/>
      <c r="H3229" s="278"/>
      <c r="I3229" s="278"/>
      <c r="J3229" s="278"/>
      <c r="K3229" s="278"/>
    </row>
    <row r="3230" spans="1:11" x14ac:dyDescent="0.15">
      <c r="A3230" s="278"/>
      <c r="B3230" s="278"/>
      <c r="C3230" s="278"/>
      <c r="D3230" s="278"/>
      <c r="E3230" s="278"/>
      <c r="F3230" s="278"/>
      <c r="G3230" s="278"/>
      <c r="H3230" s="278"/>
      <c r="I3230" s="278"/>
      <c r="J3230" s="278"/>
      <c r="K3230" s="278"/>
    </row>
    <row r="3231" spans="1:11" x14ac:dyDescent="0.15">
      <c r="A3231" s="278"/>
      <c r="B3231" s="278"/>
      <c r="C3231" s="278"/>
      <c r="D3231" s="278"/>
      <c r="E3231" s="278"/>
      <c r="F3231" s="278"/>
      <c r="G3231" s="278"/>
      <c r="H3231" s="278"/>
      <c r="I3231" s="278"/>
      <c r="J3231" s="278"/>
      <c r="K3231" s="278"/>
    </row>
    <row r="3232" spans="1:11" x14ac:dyDescent="0.15">
      <c r="A3232" s="278"/>
      <c r="B3232" s="278"/>
      <c r="C3232" s="278"/>
      <c r="D3232" s="278"/>
      <c r="E3232" s="278"/>
      <c r="F3232" s="278"/>
      <c r="G3232" s="278"/>
      <c r="H3232" s="278"/>
      <c r="I3232" s="278"/>
      <c r="J3232" s="278"/>
      <c r="K3232" s="278"/>
    </row>
    <row r="3233" spans="1:11" x14ac:dyDescent="0.15">
      <c r="A3233" s="278"/>
      <c r="B3233" s="278"/>
      <c r="C3233" s="278"/>
      <c r="D3233" s="278"/>
      <c r="E3233" s="278"/>
      <c r="F3233" s="278"/>
      <c r="G3233" s="278"/>
      <c r="H3233" s="278"/>
      <c r="I3233" s="278"/>
      <c r="J3233" s="278"/>
      <c r="K3233" s="278"/>
    </row>
    <row r="3234" spans="1:11" x14ac:dyDescent="0.15">
      <c r="A3234" s="278"/>
      <c r="B3234" s="278"/>
      <c r="C3234" s="278"/>
      <c r="D3234" s="278"/>
      <c r="E3234" s="278"/>
      <c r="F3234" s="278"/>
      <c r="G3234" s="278"/>
      <c r="H3234" s="278"/>
      <c r="I3234" s="278"/>
      <c r="J3234" s="278"/>
      <c r="K3234" s="278"/>
    </row>
    <row r="3235" spans="1:11" x14ac:dyDescent="0.15">
      <c r="A3235" s="278"/>
      <c r="B3235" s="278"/>
      <c r="C3235" s="278"/>
      <c r="D3235" s="278"/>
      <c r="E3235" s="278"/>
      <c r="F3235" s="278"/>
      <c r="G3235" s="278"/>
      <c r="H3235" s="278"/>
      <c r="I3235" s="278"/>
      <c r="J3235" s="278"/>
      <c r="K3235" s="278"/>
    </row>
    <row r="3236" spans="1:11" x14ac:dyDescent="0.15">
      <c r="A3236" s="278"/>
      <c r="B3236" s="278"/>
      <c r="C3236" s="278"/>
      <c r="D3236" s="278"/>
      <c r="E3236" s="278"/>
      <c r="F3236" s="278"/>
      <c r="G3236" s="278"/>
      <c r="H3236" s="278"/>
      <c r="I3236" s="278"/>
      <c r="J3236" s="278"/>
      <c r="K3236" s="278"/>
    </row>
    <row r="3237" spans="1:11" x14ac:dyDescent="0.15">
      <c r="A3237" s="278"/>
      <c r="B3237" s="278"/>
      <c r="C3237" s="278"/>
      <c r="D3237" s="278"/>
      <c r="E3237" s="278"/>
      <c r="F3237" s="278"/>
      <c r="G3237" s="278"/>
      <c r="H3237" s="278"/>
      <c r="I3237" s="278"/>
      <c r="J3237" s="278"/>
      <c r="K3237" s="278"/>
    </row>
    <row r="3238" spans="1:11" x14ac:dyDescent="0.15">
      <c r="A3238" s="278"/>
      <c r="B3238" s="278"/>
      <c r="C3238" s="278"/>
      <c r="D3238" s="278"/>
      <c r="E3238" s="278"/>
      <c r="F3238" s="278"/>
      <c r="G3238" s="278"/>
      <c r="H3238" s="278"/>
      <c r="I3238" s="278"/>
      <c r="J3238" s="278"/>
      <c r="K3238" s="278"/>
    </row>
    <row r="3239" spans="1:11" x14ac:dyDescent="0.15">
      <c r="A3239" s="278"/>
      <c r="B3239" s="278"/>
      <c r="C3239" s="278"/>
      <c r="D3239" s="278"/>
      <c r="E3239" s="278"/>
      <c r="F3239" s="278"/>
      <c r="G3239" s="278"/>
      <c r="H3239" s="278"/>
      <c r="I3239" s="278"/>
      <c r="J3239" s="278"/>
      <c r="K3239" s="278"/>
    </row>
    <row r="3240" spans="1:11" x14ac:dyDescent="0.15">
      <c r="A3240" s="278"/>
      <c r="B3240" s="278"/>
      <c r="C3240" s="278"/>
      <c r="D3240" s="278"/>
      <c r="E3240" s="278"/>
      <c r="F3240" s="278"/>
      <c r="G3240" s="278"/>
      <c r="H3240" s="278"/>
      <c r="I3240" s="278"/>
      <c r="J3240" s="278"/>
      <c r="K3240" s="278"/>
    </row>
    <row r="3241" spans="1:11" x14ac:dyDescent="0.15">
      <c r="A3241" s="278"/>
      <c r="B3241" s="278"/>
      <c r="C3241" s="278"/>
      <c r="D3241" s="278"/>
      <c r="E3241" s="278"/>
      <c r="F3241" s="278"/>
      <c r="G3241" s="278"/>
      <c r="H3241" s="278"/>
      <c r="I3241" s="278"/>
      <c r="J3241" s="278"/>
      <c r="K3241" s="278"/>
    </row>
    <row r="3242" spans="1:11" x14ac:dyDescent="0.15">
      <c r="A3242" s="278"/>
      <c r="B3242" s="278"/>
      <c r="C3242" s="278"/>
      <c r="D3242" s="278"/>
      <c r="E3242" s="278"/>
      <c r="F3242" s="278"/>
      <c r="G3242" s="278"/>
      <c r="H3242" s="278"/>
      <c r="I3242" s="278"/>
      <c r="J3242" s="278"/>
      <c r="K3242" s="278"/>
    </row>
    <row r="3243" spans="1:11" x14ac:dyDescent="0.15">
      <c r="A3243" s="278"/>
      <c r="B3243" s="278"/>
      <c r="C3243" s="278"/>
      <c r="D3243" s="278"/>
      <c r="E3243" s="278"/>
      <c r="F3243" s="278"/>
      <c r="G3243" s="278"/>
      <c r="H3243" s="278"/>
      <c r="I3243" s="278"/>
      <c r="J3243" s="278"/>
      <c r="K3243" s="278"/>
    </row>
    <row r="3244" spans="1:11" x14ac:dyDescent="0.15">
      <c r="A3244" s="278"/>
      <c r="B3244" s="278"/>
      <c r="C3244" s="278"/>
      <c r="D3244" s="278"/>
      <c r="E3244" s="278"/>
      <c r="F3244" s="278"/>
      <c r="G3244" s="278"/>
      <c r="H3244" s="278"/>
      <c r="I3244" s="278"/>
      <c r="J3244" s="278"/>
      <c r="K3244" s="278"/>
    </row>
    <row r="3245" spans="1:11" x14ac:dyDescent="0.15">
      <c r="A3245" s="278"/>
      <c r="B3245" s="278"/>
      <c r="C3245" s="278"/>
      <c r="D3245" s="278"/>
      <c r="E3245" s="278"/>
      <c r="F3245" s="278"/>
      <c r="G3245" s="278"/>
      <c r="H3245" s="278"/>
      <c r="I3245" s="278"/>
      <c r="J3245" s="278"/>
      <c r="K3245" s="278"/>
    </row>
    <row r="3246" spans="1:11" x14ac:dyDescent="0.15">
      <c r="A3246" s="278"/>
      <c r="B3246" s="278"/>
      <c r="C3246" s="278"/>
      <c r="D3246" s="278"/>
      <c r="E3246" s="278"/>
      <c r="F3246" s="278"/>
      <c r="G3246" s="278"/>
      <c r="H3246" s="278"/>
      <c r="I3246" s="278"/>
      <c r="J3246" s="278"/>
      <c r="K3246" s="278"/>
    </row>
    <row r="3247" spans="1:11" x14ac:dyDescent="0.15">
      <c r="A3247" s="278"/>
      <c r="B3247" s="278"/>
      <c r="C3247" s="278"/>
      <c r="D3247" s="278"/>
      <c r="E3247" s="278"/>
      <c r="F3247" s="278"/>
      <c r="G3247" s="278"/>
      <c r="H3247" s="278"/>
      <c r="I3247" s="278"/>
      <c r="J3247" s="278"/>
      <c r="K3247" s="278"/>
    </row>
    <row r="3248" spans="1:11" x14ac:dyDescent="0.15">
      <c r="A3248" s="278"/>
      <c r="B3248" s="278"/>
      <c r="C3248" s="278"/>
      <c r="D3248" s="278"/>
      <c r="E3248" s="278"/>
      <c r="F3248" s="278"/>
      <c r="G3248" s="278"/>
      <c r="H3248" s="278"/>
      <c r="I3248" s="278"/>
      <c r="J3248" s="278"/>
      <c r="K3248" s="278"/>
    </row>
    <row r="3249" spans="1:11" x14ac:dyDescent="0.15">
      <c r="A3249" s="278"/>
      <c r="B3249" s="278"/>
      <c r="C3249" s="278"/>
      <c r="D3249" s="278"/>
      <c r="E3249" s="278"/>
      <c r="F3249" s="278"/>
      <c r="G3249" s="278"/>
      <c r="H3249" s="278"/>
      <c r="I3249" s="278"/>
      <c r="J3249" s="278"/>
      <c r="K3249" s="278"/>
    </row>
    <row r="3250" spans="1:11" x14ac:dyDescent="0.15">
      <c r="A3250" s="278"/>
      <c r="B3250" s="278"/>
      <c r="C3250" s="278"/>
      <c r="D3250" s="278"/>
      <c r="E3250" s="278"/>
      <c r="F3250" s="278"/>
      <c r="G3250" s="278"/>
      <c r="H3250" s="278"/>
      <c r="I3250" s="278"/>
      <c r="J3250" s="278"/>
      <c r="K3250" s="278"/>
    </row>
    <row r="3251" spans="1:11" x14ac:dyDescent="0.15">
      <c r="A3251" s="278"/>
      <c r="B3251" s="278"/>
      <c r="C3251" s="278"/>
      <c r="D3251" s="278"/>
      <c r="E3251" s="278"/>
      <c r="F3251" s="278"/>
      <c r="G3251" s="278"/>
      <c r="H3251" s="278"/>
      <c r="I3251" s="278"/>
      <c r="J3251" s="278"/>
      <c r="K3251" s="278"/>
    </row>
    <row r="3252" spans="1:11" x14ac:dyDescent="0.15">
      <c r="A3252" s="278"/>
      <c r="B3252" s="278"/>
      <c r="C3252" s="278"/>
      <c r="D3252" s="278"/>
      <c r="E3252" s="278"/>
      <c r="F3252" s="278"/>
      <c r="G3252" s="278"/>
      <c r="H3252" s="278"/>
      <c r="I3252" s="278"/>
      <c r="J3252" s="278"/>
      <c r="K3252" s="278"/>
    </row>
    <row r="3253" spans="1:11" x14ac:dyDescent="0.15">
      <c r="A3253" s="278"/>
      <c r="B3253" s="278"/>
      <c r="C3253" s="278"/>
      <c r="D3253" s="278"/>
      <c r="E3253" s="278"/>
      <c r="F3253" s="278"/>
      <c r="G3253" s="278"/>
      <c r="H3253" s="278"/>
      <c r="I3253" s="278"/>
      <c r="J3253" s="278"/>
      <c r="K3253" s="278"/>
    </row>
    <row r="3254" spans="1:11" x14ac:dyDescent="0.15">
      <c r="A3254" s="278"/>
      <c r="B3254" s="278"/>
      <c r="C3254" s="278"/>
      <c r="D3254" s="278"/>
      <c r="E3254" s="278"/>
      <c r="F3254" s="278"/>
      <c r="G3254" s="278"/>
      <c r="H3254" s="278"/>
      <c r="I3254" s="278"/>
      <c r="J3254" s="278"/>
      <c r="K3254" s="278"/>
    </row>
    <row r="3255" spans="1:11" x14ac:dyDescent="0.15">
      <c r="A3255" s="278"/>
      <c r="B3255" s="278"/>
      <c r="C3255" s="278"/>
      <c r="D3255" s="278"/>
      <c r="E3255" s="278"/>
      <c r="F3255" s="278"/>
      <c r="G3255" s="278"/>
      <c r="H3255" s="278"/>
      <c r="I3255" s="278"/>
      <c r="J3255" s="278"/>
      <c r="K3255" s="278"/>
    </row>
    <row r="3256" spans="1:11" x14ac:dyDescent="0.15">
      <c r="A3256" s="278"/>
      <c r="B3256" s="278"/>
      <c r="C3256" s="278"/>
      <c r="D3256" s="278"/>
      <c r="E3256" s="278"/>
      <c r="F3256" s="278"/>
      <c r="G3256" s="278"/>
      <c r="H3256" s="278"/>
      <c r="I3256" s="278"/>
      <c r="J3256" s="278"/>
      <c r="K3256" s="278"/>
    </row>
    <row r="3257" spans="1:11" x14ac:dyDescent="0.15">
      <c r="A3257" s="278"/>
      <c r="B3257" s="278"/>
      <c r="C3257" s="278"/>
      <c r="D3257" s="278"/>
      <c r="E3257" s="278"/>
      <c r="F3257" s="278"/>
      <c r="G3257" s="278"/>
      <c r="H3257" s="278"/>
      <c r="I3257" s="278"/>
      <c r="J3257" s="278"/>
      <c r="K3257" s="278"/>
    </row>
    <row r="3258" spans="1:11" x14ac:dyDescent="0.15">
      <c r="A3258" s="278"/>
      <c r="B3258" s="278"/>
      <c r="C3258" s="278"/>
      <c r="D3258" s="278"/>
      <c r="E3258" s="278"/>
      <c r="F3258" s="278"/>
      <c r="G3258" s="278"/>
      <c r="H3258" s="278"/>
      <c r="I3258" s="278"/>
      <c r="J3258" s="278"/>
      <c r="K3258" s="278"/>
    </row>
    <row r="3259" spans="1:11" x14ac:dyDescent="0.15">
      <c r="A3259" s="278"/>
      <c r="B3259" s="278"/>
      <c r="C3259" s="278"/>
      <c r="D3259" s="278"/>
      <c r="E3259" s="278"/>
      <c r="F3259" s="278"/>
      <c r="G3259" s="278"/>
      <c r="H3259" s="278"/>
      <c r="I3259" s="278"/>
      <c r="J3259" s="278"/>
      <c r="K3259" s="278"/>
    </row>
    <row r="3260" spans="1:11" x14ac:dyDescent="0.15">
      <c r="A3260" s="278"/>
      <c r="B3260" s="278"/>
      <c r="C3260" s="278"/>
      <c r="D3260" s="278"/>
      <c r="E3260" s="278"/>
      <c r="F3260" s="278"/>
      <c r="G3260" s="278"/>
      <c r="H3260" s="278"/>
      <c r="I3260" s="278"/>
      <c r="J3260" s="278"/>
      <c r="K3260" s="278"/>
    </row>
    <row r="3261" spans="1:11" x14ac:dyDescent="0.15">
      <c r="A3261" s="278"/>
      <c r="B3261" s="278"/>
      <c r="C3261" s="278"/>
      <c r="D3261" s="278"/>
      <c r="E3261" s="278"/>
      <c r="F3261" s="278"/>
      <c r="G3261" s="278"/>
      <c r="H3261" s="278"/>
      <c r="I3261" s="278"/>
      <c r="J3261" s="278"/>
      <c r="K3261" s="278"/>
    </row>
    <row r="3262" spans="1:11" x14ac:dyDescent="0.15">
      <c r="A3262" s="278"/>
      <c r="B3262" s="278"/>
      <c r="C3262" s="278"/>
      <c r="D3262" s="278"/>
      <c r="E3262" s="278"/>
      <c r="F3262" s="278"/>
      <c r="G3262" s="278"/>
      <c r="H3262" s="278"/>
      <c r="I3262" s="278"/>
      <c r="J3262" s="278"/>
      <c r="K3262" s="278"/>
    </row>
    <row r="3263" spans="1:11" x14ac:dyDescent="0.15">
      <c r="A3263" s="278"/>
      <c r="B3263" s="278"/>
      <c r="C3263" s="278"/>
      <c r="D3263" s="278"/>
      <c r="E3263" s="278"/>
      <c r="F3263" s="278"/>
      <c r="G3263" s="278"/>
      <c r="H3263" s="278"/>
      <c r="I3263" s="278"/>
      <c r="J3263" s="278"/>
      <c r="K3263" s="278"/>
    </row>
    <row r="3264" spans="1:11" x14ac:dyDescent="0.15">
      <c r="A3264" s="278"/>
      <c r="B3264" s="278"/>
      <c r="C3264" s="278"/>
      <c r="D3264" s="278"/>
      <c r="E3264" s="278"/>
      <c r="F3264" s="278"/>
      <c r="G3264" s="278"/>
      <c r="H3264" s="278"/>
      <c r="I3264" s="278"/>
      <c r="J3264" s="278"/>
      <c r="K3264" s="278"/>
    </row>
    <row r="3265" spans="1:11" x14ac:dyDescent="0.15">
      <c r="A3265" s="278"/>
      <c r="B3265" s="278"/>
      <c r="C3265" s="278"/>
      <c r="D3265" s="278"/>
      <c r="E3265" s="278"/>
      <c r="F3265" s="278"/>
      <c r="G3265" s="278"/>
      <c r="H3265" s="278"/>
      <c r="I3265" s="278"/>
      <c r="J3265" s="278"/>
      <c r="K3265" s="278"/>
    </row>
    <row r="3266" spans="1:11" x14ac:dyDescent="0.15">
      <c r="A3266" s="278"/>
      <c r="B3266" s="278"/>
      <c r="C3266" s="278"/>
      <c r="D3266" s="278"/>
      <c r="E3266" s="278"/>
      <c r="F3266" s="278"/>
      <c r="G3266" s="278"/>
      <c r="H3266" s="278"/>
      <c r="I3266" s="278"/>
      <c r="J3266" s="278"/>
      <c r="K3266" s="278"/>
    </row>
    <row r="3267" spans="1:11" x14ac:dyDescent="0.15">
      <c r="A3267" s="278"/>
      <c r="B3267" s="278"/>
      <c r="C3267" s="278"/>
      <c r="D3267" s="278"/>
      <c r="E3267" s="278"/>
      <c r="F3267" s="278"/>
      <c r="G3267" s="278"/>
      <c r="H3267" s="278"/>
      <c r="I3267" s="278"/>
      <c r="J3267" s="278"/>
      <c r="K3267" s="278"/>
    </row>
    <row r="3268" spans="1:11" x14ac:dyDescent="0.15">
      <c r="A3268" s="278"/>
      <c r="B3268" s="278"/>
      <c r="C3268" s="278"/>
      <c r="D3268" s="278"/>
      <c r="E3268" s="278"/>
      <c r="F3268" s="278"/>
      <c r="G3268" s="278"/>
      <c r="H3268" s="278"/>
      <c r="I3268" s="278"/>
      <c r="J3268" s="278"/>
      <c r="K3268" s="278"/>
    </row>
    <row r="3269" spans="1:11" x14ac:dyDescent="0.15">
      <c r="A3269" s="278"/>
      <c r="B3269" s="278"/>
      <c r="C3269" s="278"/>
      <c r="D3269" s="278"/>
      <c r="E3269" s="278"/>
      <c r="F3269" s="278"/>
      <c r="G3269" s="278"/>
      <c r="H3269" s="278"/>
      <c r="I3269" s="278"/>
      <c r="J3269" s="278"/>
      <c r="K3269" s="278"/>
    </row>
    <row r="3270" spans="1:11" x14ac:dyDescent="0.15">
      <c r="A3270" s="278"/>
      <c r="B3270" s="278"/>
      <c r="C3270" s="278"/>
      <c r="D3270" s="278"/>
      <c r="E3270" s="278"/>
      <c r="F3270" s="278"/>
      <c r="G3270" s="278"/>
      <c r="H3270" s="278"/>
      <c r="I3270" s="278"/>
      <c r="J3270" s="278"/>
      <c r="K3270" s="278"/>
    </row>
    <row r="3271" spans="1:11" x14ac:dyDescent="0.15">
      <c r="A3271" s="278"/>
      <c r="B3271" s="278"/>
      <c r="C3271" s="278"/>
      <c r="D3271" s="278"/>
      <c r="E3271" s="278"/>
      <c r="F3271" s="278"/>
      <c r="G3271" s="278"/>
      <c r="H3271" s="278"/>
      <c r="I3271" s="278"/>
      <c r="J3271" s="278"/>
      <c r="K3271" s="278"/>
    </row>
    <row r="3272" spans="1:11" x14ac:dyDescent="0.15">
      <c r="A3272" s="278"/>
      <c r="B3272" s="278"/>
      <c r="C3272" s="278"/>
      <c r="D3272" s="278"/>
      <c r="E3272" s="278"/>
      <c r="F3272" s="278"/>
      <c r="G3272" s="278"/>
      <c r="H3272" s="278"/>
      <c r="I3272" s="278"/>
      <c r="J3272" s="278"/>
      <c r="K3272" s="278"/>
    </row>
    <row r="3273" spans="1:11" x14ac:dyDescent="0.15">
      <c r="A3273" s="278"/>
      <c r="B3273" s="278"/>
      <c r="C3273" s="278"/>
      <c r="D3273" s="278"/>
      <c r="E3273" s="278"/>
      <c r="F3273" s="278"/>
      <c r="G3273" s="278"/>
      <c r="H3273" s="278"/>
      <c r="I3273" s="278"/>
      <c r="J3273" s="278"/>
      <c r="K3273" s="278"/>
    </row>
    <row r="3274" spans="1:11" x14ac:dyDescent="0.15">
      <c r="A3274" s="278"/>
      <c r="B3274" s="278"/>
      <c r="C3274" s="278"/>
      <c r="D3274" s="278"/>
      <c r="E3274" s="278"/>
      <c r="F3274" s="278"/>
      <c r="G3274" s="278"/>
      <c r="H3274" s="278"/>
      <c r="I3274" s="278"/>
      <c r="J3274" s="278"/>
      <c r="K3274" s="278"/>
    </row>
    <row r="3275" spans="1:11" x14ac:dyDescent="0.15">
      <c r="A3275" s="278"/>
      <c r="B3275" s="278"/>
      <c r="C3275" s="278"/>
      <c r="D3275" s="278"/>
      <c r="E3275" s="278"/>
      <c r="F3275" s="278"/>
      <c r="G3275" s="278"/>
      <c r="H3275" s="278"/>
      <c r="I3275" s="278"/>
      <c r="J3275" s="278"/>
      <c r="K3275" s="278"/>
    </row>
    <row r="3276" spans="1:11" x14ac:dyDescent="0.15">
      <c r="A3276" s="278"/>
      <c r="B3276" s="278"/>
      <c r="C3276" s="278"/>
      <c r="D3276" s="278"/>
      <c r="E3276" s="278"/>
      <c r="F3276" s="278"/>
      <c r="G3276" s="278"/>
      <c r="H3276" s="278"/>
      <c r="I3276" s="278"/>
      <c r="J3276" s="278"/>
      <c r="K3276" s="278"/>
    </row>
    <row r="3277" spans="1:11" x14ac:dyDescent="0.15">
      <c r="A3277" s="278"/>
      <c r="B3277" s="278"/>
      <c r="C3277" s="278"/>
      <c r="D3277" s="278"/>
      <c r="E3277" s="278"/>
      <c r="F3277" s="278"/>
      <c r="G3277" s="278"/>
      <c r="H3277" s="278"/>
      <c r="I3277" s="278"/>
      <c r="J3277" s="278"/>
      <c r="K3277" s="278"/>
    </row>
    <row r="3278" spans="1:11" x14ac:dyDescent="0.15">
      <c r="A3278" s="278"/>
      <c r="B3278" s="278"/>
      <c r="C3278" s="278"/>
      <c r="D3278" s="278"/>
      <c r="E3278" s="278"/>
      <c r="F3278" s="278"/>
      <c r="G3278" s="278"/>
      <c r="H3278" s="278"/>
      <c r="I3278" s="278"/>
      <c r="J3278" s="278"/>
      <c r="K3278" s="278"/>
    </row>
    <row r="3279" spans="1:11" x14ac:dyDescent="0.15">
      <c r="A3279" s="278"/>
      <c r="B3279" s="278"/>
      <c r="C3279" s="278"/>
      <c r="D3279" s="278"/>
      <c r="E3279" s="278"/>
      <c r="F3279" s="278"/>
      <c r="G3279" s="278"/>
      <c r="H3279" s="278"/>
      <c r="I3279" s="278"/>
      <c r="J3279" s="278"/>
      <c r="K3279" s="278"/>
    </row>
    <row r="3280" spans="1:11" x14ac:dyDescent="0.15">
      <c r="A3280" s="278"/>
      <c r="B3280" s="278"/>
      <c r="C3280" s="278"/>
      <c r="D3280" s="278"/>
      <c r="E3280" s="278"/>
      <c r="F3280" s="278"/>
      <c r="G3280" s="278"/>
      <c r="H3280" s="278"/>
      <c r="I3280" s="278"/>
      <c r="J3280" s="278"/>
      <c r="K3280" s="278"/>
    </row>
    <row r="3281" spans="1:11" x14ac:dyDescent="0.15">
      <c r="A3281" s="278"/>
      <c r="B3281" s="278"/>
      <c r="C3281" s="278"/>
      <c r="D3281" s="278"/>
      <c r="E3281" s="278"/>
      <c r="F3281" s="278"/>
      <c r="G3281" s="278"/>
      <c r="H3281" s="278"/>
      <c r="I3281" s="278"/>
      <c r="J3281" s="278"/>
      <c r="K3281" s="278"/>
    </row>
    <row r="3282" spans="1:11" x14ac:dyDescent="0.15">
      <c r="A3282" s="278"/>
      <c r="B3282" s="278"/>
      <c r="C3282" s="278"/>
      <c r="D3282" s="278"/>
      <c r="E3282" s="278"/>
      <c r="F3282" s="278"/>
      <c r="G3282" s="278"/>
      <c r="H3282" s="278"/>
      <c r="I3282" s="278"/>
      <c r="J3282" s="278"/>
      <c r="K3282" s="278"/>
    </row>
    <row r="3283" spans="1:11" x14ac:dyDescent="0.15">
      <c r="A3283" s="278"/>
      <c r="B3283" s="278"/>
      <c r="C3283" s="278"/>
      <c r="D3283" s="278"/>
      <c r="E3283" s="278"/>
      <c r="F3283" s="278"/>
      <c r="G3283" s="278"/>
      <c r="H3283" s="278"/>
      <c r="I3283" s="278"/>
      <c r="J3283" s="278"/>
      <c r="K3283" s="278"/>
    </row>
    <row r="3284" spans="1:11" x14ac:dyDescent="0.15">
      <c r="A3284" s="278"/>
      <c r="B3284" s="278"/>
      <c r="C3284" s="278"/>
      <c r="D3284" s="278"/>
      <c r="E3284" s="278"/>
      <c r="F3284" s="278"/>
      <c r="G3284" s="278"/>
      <c r="H3284" s="278"/>
      <c r="I3284" s="278"/>
      <c r="J3284" s="278"/>
      <c r="K3284" s="278"/>
    </row>
    <row r="3285" spans="1:11" x14ac:dyDescent="0.15">
      <c r="A3285" s="278"/>
      <c r="B3285" s="278"/>
      <c r="C3285" s="278"/>
      <c r="D3285" s="278"/>
      <c r="E3285" s="278"/>
      <c r="F3285" s="278"/>
      <c r="G3285" s="278"/>
      <c r="H3285" s="278"/>
      <c r="I3285" s="278"/>
      <c r="J3285" s="278"/>
      <c r="K3285" s="278"/>
    </row>
    <row r="3286" spans="1:11" x14ac:dyDescent="0.15">
      <c r="A3286" s="278"/>
      <c r="B3286" s="278"/>
      <c r="C3286" s="278"/>
      <c r="D3286" s="278"/>
      <c r="E3286" s="278"/>
      <c r="F3286" s="278"/>
      <c r="G3286" s="278"/>
      <c r="H3286" s="278"/>
      <c r="I3286" s="278"/>
      <c r="J3286" s="278"/>
      <c r="K3286" s="278"/>
    </row>
    <row r="3287" spans="1:11" x14ac:dyDescent="0.15">
      <c r="A3287" s="278"/>
      <c r="B3287" s="278"/>
      <c r="C3287" s="278"/>
      <c r="D3287" s="278"/>
      <c r="E3287" s="278"/>
      <c r="F3287" s="278"/>
      <c r="G3287" s="278"/>
      <c r="H3287" s="278"/>
      <c r="I3287" s="278"/>
      <c r="J3287" s="278"/>
      <c r="K3287" s="278"/>
    </row>
    <row r="3288" spans="1:11" x14ac:dyDescent="0.15">
      <c r="A3288" s="278"/>
      <c r="B3288" s="278"/>
      <c r="C3288" s="278"/>
      <c r="D3288" s="278"/>
      <c r="E3288" s="278"/>
      <c r="F3288" s="278"/>
      <c r="G3288" s="278"/>
      <c r="H3288" s="278"/>
      <c r="I3288" s="278"/>
      <c r="J3288" s="278"/>
      <c r="K3288" s="278"/>
    </row>
    <row r="3289" spans="1:11" x14ac:dyDescent="0.15">
      <c r="A3289" s="278"/>
      <c r="B3289" s="278"/>
      <c r="C3289" s="278"/>
      <c r="D3289" s="278"/>
      <c r="E3289" s="278"/>
      <c r="F3289" s="278"/>
      <c r="G3289" s="278"/>
      <c r="H3289" s="278"/>
      <c r="I3289" s="278"/>
      <c r="J3289" s="278"/>
      <c r="K3289" s="278"/>
    </row>
    <row r="3290" spans="1:11" x14ac:dyDescent="0.15">
      <c r="A3290" s="278"/>
      <c r="B3290" s="278"/>
      <c r="C3290" s="278"/>
      <c r="D3290" s="278"/>
      <c r="E3290" s="278"/>
      <c r="F3290" s="278"/>
      <c r="G3290" s="278"/>
      <c r="H3290" s="278"/>
      <c r="I3290" s="278"/>
      <c r="J3290" s="278"/>
      <c r="K3290" s="278"/>
    </row>
    <row r="3291" spans="1:11" x14ac:dyDescent="0.15">
      <c r="A3291" s="278"/>
      <c r="B3291" s="278"/>
      <c r="C3291" s="278"/>
      <c r="D3291" s="278"/>
      <c r="E3291" s="278"/>
      <c r="F3291" s="278"/>
      <c r="G3291" s="278"/>
      <c r="H3291" s="278"/>
      <c r="I3291" s="278"/>
      <c r="J3291" s="278"/>
      <c r="K3291" s="278"/>
    </row>
    <row r="3292" spans="1:11" x14ac:dyDescent="0.15">
      <c r="A3292" s="278"/>
      <c r="B3292" s="278"/>
      <c r="C3292" s="278"/>
      <c r="D3292" s="278"/>
      <c r="E3292" s="278"/>
      <c r="F3292" s="278"/>
      <c r="G3292" s="278"/>
      <c r="H3292" s="278"/>
      <c r="I3292" s="278"/>
      <c r="J3292" s="278"/>
      <c r="K3292" s="278"/>
    </row>
    <row r="3293" spans="1:11" x14ac:dyDescent="0.15">
      <c r="A3293" s="278"/>
      <c r="B3293" s="278"/>
      <c r="C3293" s="278"/>
      <c r="D3293" s="278"/>
      <c r="E3293" s="278"/>
      <c r="F3293" s="278"/>
      <c r="G3293" s="278"/>
      <c r="H3293" s="278"/>
      <c r="I3293" s="278"/>
      <c r="J3293" s="278"/>
      <c r="K3293" s="278"/>
    </row>
    <row r="3294" spans="1:11" x14ac:dyDescent="0.15">
      <c r="A3294" s="278"/>
      <c r="B3294" s="278"/>
      <c r="C3294" s="278"/>
      <c r="D3294" s="278"/>
      <c r="E3294" s="278"/>
      <c r="F3294" s="278"/>
      <c r="G3294" s="278"/>
      <c r="H3294" s="278"/>
      <c r="I3294" s="278"/>
      <c r="J3294" s="278"/>
      <c r="K3294" s="278"/>
    </row>
    <row r="3295" spans="1:11" x14ac:dyDescent="0.15">
      <c r="A3295" s="278"/>
      <c r="B3295" s="278"/>
      <c r="C3295" s="278"/>
      <c r="D3295" s="278"/>
      <c r="E3295" s="278"/>
      <c r="F3295" s="278"/>
      <c r="G3295" s="278"/>
      <c r="H3295" s="278"/>
      <c r="I3295" s="278"/>
      <c r="J3295" s="278"/>
      <c r="K3295" s="278"/>
    </row>
    <row r="3296" spans="1:11" x14ac:dyDescent="0.15">
      <c r="A3296" s="278"/>
      <c r="B3296" s="278"/>
      <c r="C3296" s="278"/>
      <c r="D3296" s="278"/>
      <c r="E3296" s="278"/>
      <c r="F3296" s="278"/>
      <c r="G3296" s="278"/>
      <c r="H3296" s="278"/>
      <c r="I3296" s="278"/>
      <c r="J3296" s="278"/>
      <c r="K3296" s="278"/>
    </row>
    <row r="3297" spans="1:11" x14ac:dyDescent="0.15">
      <c r="A3297" s="278"/>
      <c r="B3297" s="278"/>
      <c r="C3297" s="278"/>
      <c r="D3297" s="278"/>
      <c r="E3297" s="278"/>
      <c r="F3297" s="278"/>
      <c r="G3297" s="278"/>
      <c r="H3297" s="278"/>
      <c r="I3297" s="278"/>
      <c r="J3297" s="278"/>
      <c r="K3297" s="278"/>
    </row>
    <row r="3298" spans="1:11" x14ac:dyDescent="0.15">
      <c r="A3298" s="278"/>
      <c r="B3298" s="278"/>
      <c r="C3298" s="278"/>
      <c r="D3298" s="278"/>
      <c r="E3298" s="278"/>
      <c r="F3298" s="278"/>
      <c r="G3298" s="278"/>
      <c r="H3298" s="278"/>
      <c r="I3298" s="278"/>
      <c r="J3298" s="278"/>
      <c r="K3298" s="278"/>
    </row>
    <row r="3299" spans="1:11" x14ac:dyDescent="0.15">
      <c r="A3299" s="278"/>
      <c r="B3299" s="278"/>
      <c r="C3299" s="278"/>
      <c r="D3299" s="278"/>
      <c r="E3299" s="278"/>
      <c r="F3299" s="278"/>
      <c r="G3299" s="278"/>
      <c r="H3299" s="278"/>
      <c r="I3299" s="278"/>
      <c r="J3299" s="278"/>
      <c r="K3299" s="278"/>
    </row>
    <row r="3300" spans="1:11" x14ac:dyDescent="0.15">
      <c r="A3300" s="278"/>
      <c r="B3300" s="278"/>
      <c r="C3300" s="278"/>
      <c r="D3300" s="278"/>
      <c r="E3300" s="278"/>
      <c r="F3300" s="278"/>
      <c r="G3300" s="278"/>
      <c r="H3300" s="278"/>
      <c r="I3300" s="278"/>
      <c r="J3300" s="278"/>
      <c r="K3300" s="278"/>
    </row>
    <row r="3301" spans="1:11" x14ac:dyDescent="0.15">
      <c r="A3301" s="278"/>
      <c r="B3301" s="278"/>
      <c r="C3301" s="278"/>
      <c r="D3301" s="278"/>
      <c r="E3301" s="278"/>
      <c r="F3301" s="278"/>
      <c r="G3301" s="278"/>
      <c r="H3301" s="278"/>
      <c r="I3301" s="278"/>
      <c r="J3301" s="278"/>
      <c r="K3301" s="278"/>
    </row>
    <row r="3302" spans="1:11" x14ac:dyDescent="0.15">
      <c r="A3302" s="278"/>
      <c r="B3302" s="278"/>
      <c r="C3302" s="278"/>
      <c r="D3302" s="278"/>
      <c r="E3302" s="278"/>
      <c r="F3302" s="278"/>
      <c r="G3302" s="278"/>
      <c r="H3302" s="278"/>
      <c r="I3302" s="278"/>
      <c r="J3302" s="278"/>
      <c r="K3302" s="278"/>
    </row>
    <row r="3303" spans="1:11" x14ac:dyDescent="0.15">
      <c r="A3303" s="278"/>
      <c r="B3303" s="278"/>
      <c r="C3303" s="278"/>
      <c r="D3303" s="278"/>
      <c r="E3303" s="278"/>
      <c r="F3303" s="278"/>
      <c r="G3303" s="278"/>
      <c r="H3303" s="278"/>
      <c r="I3303" s="278"/>
      <c r="J3303" s="278"/>
      <c r="K3303" s="278"/>
    </row>
    <row r="3304" spans="1:11" x14ac:dyDescent="0.15">
      <c r="A3304" s="278"/>
      <c r="B3304" s="278"/>
      <c r="C3304" s="278"/>
      <c r="D3304" s="278"/>
      <c r="E3304" s="278"/>
      <c r="F3304" s="278"/>
      <c r="G3304" s="278"/>
      <c r="H3304" s="278"/>
      <c r="I3304" s="278"/>
      <c r="J3304" s="278"/>
      <c r="K3304" s="278"/>
    </row>
    <row r="3305" spans="1:11" x14ac:dyDescent="0.15">
      <c r="A3305" s="278"/>
      <c r="B3305" s="278"/>
      <c r="C3305" s="278"/>
      <c r="D3305" s="278"/>
      <c r="E3305" s="278"/>
      <c r="F3305" s="278"/>
      <c r="G3305" s="278"/>
      <c r="H3305" s="278"/>
      <c r="I3305" s="278"/>
      <c r="J3305" s="278"/>
      <c r="K3305" s="278"/>
    </row>
    <row r="3306" spans="1:11" x14ac:dyDescent="0.15">
      <c r="A3306" s="278"/>
      <c r="B3306" s="278"/>
      <c r="C3306" s="278"/>
      <c r="D3306" s="278"/>
      <c r="E3306" s="278"/>
      <c r="F3306" s="278"/>
      <c r="G3306" s="278"/>
      <c r="H3306" s="278"/>
      <c r="I3306" s="278"/>
      <c r="J3306" s="278"/>
      <c r="K3306" s="278"/>
    </row>
    <row r="3307" spans="1:11" x14ac:dyDescent="0.15">
      <c r="A3307" s="278"/>
      <c r="B3307" s="278"/>
      <c r="C3307" s="278"/>
      <c r="D3307" s="278"/>
      <c r="E3307" s="278"/>
      <c r="F3307" s="278"/>
      <c r="G3307" s="278"/>
      <c r="H3307" s="278"/>
      <c r="I3307" s="278"/>
      <c r="J3307" s="278"/>
      <c r="K3307" s="278"/>
    </row>
    <row r="3308" spans="1:11" x14ac:dyDescent="0.15">
      <c r="A3308" s="278"/>
      <c r="B3308" s="278"/>
      <c r="C3308" s="278"/>
      <c r="D3308" s="278"/>
      <c r="E3308" s="278"/>
      <c r="F3308" s="278"/>
      <c r="G3308" s="278"/>
      <c r="H3308" s="278"/>
      <c r="I3308" s="278"/>
      <c r="J3308" s="278"/>
      <c r="K3308" s="278"/>
    </row>
    <row r="3309" spans="1:11" x14ac:dyDescent="0.15">
      <c r="A3309" s="278"/>
      <c r="B3309" s="278"/>
      <c r="C3309" s="278"/>
      <c r="D3309" s="278"/>
      <c r="E3309" s="278"/>
      <c r="F3309" s="278"/>
      <c r="G3309" s="278"/>
      <c r="H3309" s="278"/>
      <c r="I3309" s="278"/>
      <c r="J3309" s="278"/>
      <c r="K3309" s="278"/>
    </row>
    <row r="3310" spans="1:11" x14ac:dyDescent="0.15">
      <c r="A3310" s="278"/>
      <c r="B3310" s="278"/>
      <c r="C3310" s="278"/>
      <c r="D3310" s="278"/>
      <c r="E3310" s="278"/>
      <c r="F3310" s="278"/>
      <c r="G3310" s="278"/>
      <c r="H3310" s="278"/>
      <c r="I3310" s="278"/>
      <c r="J3310" s="278"/>
      <c r="K3310" s="278"/>
    </row>
    <row r="3311" spans="1:11" x14ac:dyDescent="0.15">
      <c r="A3311" s="278"/>
      <c r="B3311" s="278"/>
      <c r="C3311" s="278"/>
      <c r="D3311" s="278"/>
      <c r="E3311" s="278"/>
      <c r="F3311" s="278"/>
      <c r="G3311" s="278"/>
      <c r="H3311" s="278"/>
      <c r="I3311" s="278"/>
      <c r="J3311" s="278"/>
      <c r="K3311" s="278"/>
    </row>
    <row r="3312" spans="1:11" x14ac:dyDescent="0.15">
      <c r="A3312" s="278"/>
      <c r="B3312" s="278"/>
      <c r="C3312" s="278"/>
      <c r="D3312" s="278"/>
      <c r="E3312" s="278"/>
      <c r="F3312" s="278"/>
      <c r="G3312" s="278"/>
      <c r="H3312" s="278"/>
      <c r="I3312" s="278"/>
      <c r="J3312" s="278"/>
      <c r="K3312" s="278"/>
    </row>
    <row r="3313" spans="1:11" x14ac:dyDescent="0.15">
      <c r="A3313" s="278"/>
      <c r="B3313" s="278"/>
      <c r="C3313" s="278"/>
      <c r="D3313" s="278"/>
      <c r="E3313" s="278"/>
      <c r="F3313" s="278"/>
      <c r="G3313" s="278"/>
      <c r="H3313" s="278"/>
      <c r="I3313" s="278"/>
      <c r="J3313" s="278"/>
      <c r="K3313" s="278"/>
    </row>
    <row r="3314" spans="1:11" x14ac:dyDescent="0.15">
      <c r="A3314" s="278"/>
      <c r="B3314" s="278"/>
      <c r="C3314" s="278"/>
      <c r="D3314" s="278"/>
      <c r="E3314" s="278"/>
      <c r="F3314" s="278"/>
      <c r="G3314" s="278"/>
      <c r="H3314" s="278"/>
      <c r="I3314" s="278"/>
      <c r="J3314" s="278"/>
      <c r="K3314" s="278"/>
    </row>
    <row r="3315" spans="1:11" x14ac:dyDescent="0.15">
      <c r="A3315" s="278"/>
      <c r="B3315" s="278"/>
      <c r="C3315" s="278"/>
      <c r="D3315" s="278"/>
      <c r="E3315" s="278"/>
      <c r="F3315" s="278"/>
      <c r="G3315" s="278"/>
      <c r="H3315" s="278"/>
      <c r="I3315" s="278"/>
      <c r="J3315" s="278"/>
      <c r="K3315" s="278"/>
    </row>
    <row r="3316" spans="1:11" x14ac:dyDescent="0.15">
      <c r="A3316" s="278"/>
      <c r="B3316" s="278"/>
      <c r="C3316" s="278"/>
      <c r="D3316" s="278"/>
      <c r="E3316" s="278"/>
      <c r="F3316" s="278"/>
      <c r="G3316" s="278"/>
      <c r="H3316" s="278"/>
      <c r="I3316" s="278"/>
      <c r="J3316" s="278"/>
      <c r="K3316" s="278"/>
    </row>
    <row r="3317" spans="1:11" x14ac:dyDescent="0.15">
      <c r="A3317" s="278"/>
      <c r="B3317" s="278"/>
      <c r="C3317" s="278"/>
      <c r="D3317" s="278"/>
      <c r="E3317" s="278"/>
      <c r="F3317" s="278"/>
      <c r="G3317" s="278"/>
      <c r="H3317" s="278"/>
      <c r="I3317" s="278"/>
      <c r="J3317" s="278"/>
      <c r="K3317" s="278"/>
    </row>
    <row r="3318" spans="1:11" x14ac:dyDescent="0.15">
      <c r="A3318" s="278"/>
      <c r="B3318" s="278"/>
      <c r="C3318" s="278"/>
      <c r="D3318" s="278"/>
      <c r="E3318" s="278"/>
      <c r="F3318" s="278"/>
      <c r="G3318" s="278"/>
      <c r="H3318" s="278"/>
      <c r="I3318" s="278"/>
      <c r="J3318" s="278"/>
      <c r="K3318" s="278"/>
    </row>
    <row r="3319" spans="1:11" x14ac:dyDescent="0.15">
      <c r="A3319" s="278"/>
      <c r="B3319" s="278"/>
      <c r="C3319" s="278"/>
      <c r="D3319" s="278"/>
      <c r="E3319" s="278"/>
      <c r="F3319" s="278"/>
      <c r="G3319" s="278"/>
      <c r="H3319" s="278"/>
      <c r="I3319" s="278"/>
      <c r="J3319" s="278"/>
      <c r="K3319" s="278"/>
    </row>
    <row r="3320" spans="1:11" x14ac:dyDescent="0.15">
      <c r="A3320" s="278"/>
      <c r="B3320" s="278"/>
      <c r="C3320" s="278"/>
      <c r="D3320" s="278"/>
      <c r="E3320" s="278"/>
      <c r="F3320" s="278"/>
      <c r="G3320" s="278"/>
      <c r="H3320" s="278"/>
      <c r="I3320" s="278"/>
      <c r="J3320" s="278"/>
      <c r="K3320" s="278"/>
    </row>
    <row r="3321" spans="1:11" x14ac:dyDescent="0.15">
      <c r="A3321" s="278"/>
      <c r="B3321" s="278"/>
      <c r="C3321" s="278"/>
      <c r="D3321" s="278"/>
      <c r="E3321" s="278"/>
      <c r="F3321" s="278"/>
      <c r="G3321" s="278"/>
      <c r="H3321" s="278"/>
      <c r="I3321" s="278"/>
      <c r="J3321" s="278"/>
      <c r="K3321" s="278"/>
    </row>
    <row r="3322" spans="1:11" x14ac:dyDescent="0.15">
      <c r="A3322" s="278"/>
      <c r="B3322" s="278"/>
      <c r="C3322" s="278"/>
      <c r="D3322" s="278"/>
      <c r="E3322" s="278"/>
      <c r="F3322" s="278"/>
      <c r="G3322" s="278"/>
      <c r="H3322" s="278"/>
      <c r="I3322" s="278"/>
      <c r="J3322" s="278"/>
      <c r="K3322" s="278"/>
    </row>
    <row r="3323" spans="1:11" x14ac:dyDescent="0.15">
      <c r="A3323" s="278"/>
      <c r="B3323" s="278"/>
      <c r="C3323" s="278"/>
      <c r="D3323" s="278"/>
      <c r="E3323" s="278"/>
      <c r="F3323" s="278"/>
      <c r="G3323" s="278"/>
      <c r="H3323" s="278"/>
      <c r="I3323" s="278"/>
      <c r="J3323" s="278"/>
      <c r="K3323" s="278"/>
    </row>
    <row r="3324" spans="1:11" x14ac:dyDescent="0.15">
      <c r="A3324" s="278"/>
      <c r="B3324" s="278"/>
      <c r="C3324" s="278"/>
      <c r="D3324" s="278"/>
      <c r="E3324" s="278"/>
      <c r="F3324" s="278"/>
      <c r="G3324" s="278"/>
      <c r="H3324" s="278"/>
      <c r="I3324" s="278"/>
      <c r="J3324" s="278"/>
      <c r="K3324" s="278"/>
    </row>
    <row r="3325" spans="1:11" x14ac:dyDescent="0.15">
      <c r="A3325" s="278"/>
      <c r="B3325" s="278"/>
      <c r="C3325" s="278"/>
      <c r="D3325" s="278"/>
      <c r="E3325" s="278"/>
      <c r="F3325" s="278"/>
      <c r="G3325" s="278"/>
      <c r="H3325" s="278"/>
      <c r="I3325" s="278"/>
      <c r="J3325" s="278"/>
      <c r="K3325" s="278"/>
    </row>
    <row r="3326" spans="1:11" x14ac:dyDescent="0.15">
      <c r="A3326" s="278"/>
      <c r="B3326" s="278"/>
      <c r="C3326" s="278"/>
      <c r="D3326" s="278"/>
      <c r="E3326" s="278"/>
      <c r="F3326" s="278"/>
      <c r="G3326" s="278"/>
      <c r="H3326" s="278"/>
      <c r="I3326" s="278"/>
      <c r="J3326" s="278"/>
      <c r="K3326" s="278"/>
    </row>
    <row r="3327" spans="1:11" x14ac:dyDescent="0.15">
      <c r="A3327" s="278"/>
      <c r="B3327" s="278"/>
      <c r="C3327" s="278"/>
      <c r="D3327" s="278"/>
      <c r="E3327" s="278"/>
      <c r="F3327" s="278"/>
      <c r="G3327" s="278"/>
      <c r="H3327" s="278"/>
      <c r="I3327" s="278"/>
      <c r="J3327" s="278"/>
      <c r="K3327" s="278"/>
    </row>
    <row r="3328" spans="1:11" x14ac:dyDescent="0.15">
      <c r="A3328" s="278"/>
      <c r="B3328" s="278"/>
      <c r="C3328" s="278"/>
      <c r="D3328" s="278"/>
      <c r="E3328" s="278"/>
      <c r="F3328" s="278"/>
      <c r="G3328" s="278"/>
      <c r="H3328" s="278"/>
      <c r="I3328" s="278"/>
      <c r="J3328" s="278"/>
      <c r="K3328" s="278"/>
    </row>
    <row r="3329" spans="1:11" x14ac:dyDescent="0.15">
      <c r="A3329" s="278"/>
      <c r="B3329" s="278"/>
      <c r="C3329" s="278"/>
      <c r="D3329" s="278"/>
      <c r="E3329" s="278"/>
      <c r="F3329" s="278"/>
      <c r="G3329" s="278"/>
      <c r="H3329" s="278"/>
      <c r="I3329" s="278"/>
      <c r="J3329" s="278"/>
      <c r="K3329" s="278"/>
    </row>
    <row r="3330" spans="1:11" x14ac:dyDescent="0.15">
      <c r="A3330" s="278"/>
      <c r="B3330" s="278"/>
      <c r="C3330" s="278"/>
      <c r="D3330" s="278"/>
      <c r="E3330" s="278"/>
      <c r="F3330" s="278"/>
      <c r="G3330" s="278"/>
      <c r="H3330" s="278"/>
      <c r="I3330" s="278"/>
      <c r="J3330" s="278"/>
      <c r="K3330" s="278"/>
    </row>
    <row r="3331" spans="1:11" x14ac:dyDescent="0.15">
      <c r="A3331" s="278"/>
      <c r="B3331" s="278"/>
      <c r="C3331" s="278"/>
      <c r="D3331" s="278"/>
      <c r="E3331" s="278"/>
      <c r="F3331" s="278"/>
      <c r="G3331" s="278"/>
      <c r="H3331" s="278"/>
      <c r="I3331" s="278"/>
      <c r="J3331" s="278"/>
      <c r="K3331" s="278"/>
    </row>
    <row r="3332" spans="1:11" x14ac:dyDescent="0.15">
      <c r="A3332" s="278"/>
      <c r="B3332" s="278"/>
      <c r="C3332" s="278"/>
      <c r="D3332" s="278"/>
      <c r="E3332" s="278"/>
      <c r="F3332" s="278"/>
      <c r="G3332" s="278"/>
      <c r="H3332" s="278"/>
      <c r="I3332" s="278"/>
      <c r="J3332" s="278"/>
      <c r="K3332" s="278"/>
    </row>
    <row r="3333" spans="1:11" x14ac:dyDescent="0.15">
      <c r="A3333" s="278"/>
      <c r="B3333" s="278"/>
      <c r="C3333" s="278"/>
      <c r="D3333" s="278"/>
      <c r="E3333" s="278"/>
      <c r="F3333" s="278"/>
      <c r="G3333" s="278"/>
      <c r="H3333" s="278"/>
      <c r="I3333" s="278"/>
      <c r="J3333" s="278"/>
      <c r="K3333" s="278"/>
    </row>
    <row r="3334" spans="1:11" x14ac:dyDescent="0.15">
      <c r="A3334" s="278"/>
      <c r="B3334" s="278"/>
      <c r="C3334" s="278"/>
      <c r="D3334" s="278"/>
      <c r="E3334" s="278"/>
      <c r="F3334" s="278"/>
      <c r="G3334" s="278"/>
      <c r="H3334" s="278"/>
      <c r="I3334" s="278"/>
      <c r="J3334" s="278"/>
      <c r="K3334" s="278"/>
    </row>
    <row r="3335" spans="1:11" x14ac:dyDescent="0.15">
      <c r="A3335" s="278"/>
      <c r="B3335" s="278"/>
      <c r="C3335" s="278"/>
      <c r="D3335" s="278"/>
      <c r="E3335" s="278"/>
      <c r="F3335" s="278"/>
      <c r="G3335" s="278"/>
      <c r="H3335" s="278"/>
      <c r="I3335" s="278"/>
      <c r="J3335" s="278"/>
      <c r="K3335" s="278"/>
    </row>
    <row r="3336" spans="1:11" x14ac:dyDescent="0.15">
      <c r="A3336" s="278"/>
      <c r="B3336" s="278"/>
      <c r="C3336" s="278"/>
      <c r="D3336" s="278"/>
      <c r="E3336" s="278"/>
      <c r="F3336" s="278"/>
      <c r="G3336" s="278"/>
      <c r="H3336" s="278"/>
      <c r="I3336" s="278"/>
      <c r="J3336" s="278"/>
      <c r="K3336" s="278"/>
    </row>
    <row r="3337" spans="1:11" x14ac:dyDescent="0.15">
      <c r="A3337" s="278"/>
      <c r="B3337" s="278"/>
      <c r="C3337" s="278"/>
      <c r="D3337" s="278"/>
      <c r="E3337" s="278"/>
      <c r="F3337" s="278"/>
      <c r="G3337" s="278"/>
      <c r="H3337" s="278"/>
      <c r="I3337" s="278"/>
      <c r="J3337" s="278"/>
      <c r="K3337" s="278"/>
    </row>
    <row r="3338" spans="1:11" x14ac:dyDescent="0.15">
      <c r="A3338" s="278"/>
      <c r="B3338" s="278"/>
      <c r="C3338" s="278"/>
      <c r="D3338" s="278"/>
      <c r="E3338" s="278"/>
      <c r="F3338" s="278"/>
      <c r="G3338" s="278"/>
      <c r="H3338" s="278"/>
      <c r="I3338" s="278"/>
      <c r="J3338" s="278"/>
      <c r="K3338" s="278"/>
    </row>
    <row r="3339" spans="1:11" x14ac:dyDescent="0.15">
      <c r="A3339" s="278"/>
      <c r="B3339" s="278"/>
      <c r="C3339" s="278"/>
      <c r="D3339" s="278"/>
      <c r="E3339" s="278"/>
      <c r="F3339" s="278"/>
      <c r="G3339" s="278"/>
      <c r="H3339" s="278"/>
      <c r="I3339" s="278"/>
      <c r="J3339" s="278"/>
      <c r="K3339" s="278"/>
    </row>
    <row r="3340" spans="1:11" x14ac:dyDescent="0.15">
      <c r="A3340" s="278"/>
      <c r="B3340" s="278"/>
      <c r="C3340" s="278"/>
      <c r="D3340" s="278"/>
      <c r="E3340" s="278"/>
      <c r="F3340" s="278"/>
      <c r="G3340" s="278"/>
      <c r="H3340" s="278"/>
      <c r="I3340" s="278"/>
      <c r="J3340" s="278"/>
      <c r="K3340" s="278"/>
    </row>
    <row r="3341" spans="1:11" x14ac:dyDescent="0.15">
      <c r="A3341" s="278"/>
      <c r="B3341" s="278"/>
      <c r="C3341" s="278"/>
      <c r="D3341" s="278"/>
      <c r="E3341" s="278"/>
      <c r="F3341" s="278"/>
      <c r="G3341" s="278"/>
      <c r="H3341" s="278"/>
      <c r="I3341" s="278"/>
      <c r="J3341" s="278"/>
      <c r="K3341" s="278"/>
    </row>
    <row r="3342" spans="1:11" x14ac:dyDescent="0.15">
      <c r="A3342" s="278"/>
      <c r="B3342" s="278"/>
      <c r="C3342" s="278"/>
      <c r="D3342" s="278"/>
      <c r="E3342" s="278"/>
      <c r="F3342" s="278"/>
      <c r="G3342" s="278"/>
      <c r="H3342" s="278"/>
      <c r="I3342" s="278"/>
      <c r="J3342" s="278"/>
      <c r="K3342" s="278"/>
    </row>
    <row r="3343" spans="1:11" x14ac:dyDescent="0.15">
      <c r="A3343" s="278"/>
      <c r="B3343" s="278"/>
      <c r="C3343" s="278"/>
      <c r="D3343" s="278"/>
      <c r="E3343" s="278"/>
      <c r="F3343" s="278"/>
      <c r="G3343" s="278"/>
      <c r="H3343" s="278"/>
      <c r="I3343" s="278"/>
      <c r="J3343" s="278"/>
      <c r="K3343" s="278"/>
    </row>
    <row r="3344" spans="1:11" x14ac:dyDescent="0.15">
      <c r="A3344" s="278"/>
      <c r="B3344" s="278"/>
      <c r="C3344" s="278"/>
      <c r="D3344" s="278"/>
      <c r="E3344" s="278"/>
      <c r="F3344" s="278"/>
      <c r="G3344" s="278"/>
      <c r="H3344" s="278"/>
      <c r="I3344" s="278"/>
      <c r="J3344" s="278"/>
      <c r="K3344" s="278"/>
    </row>
    <row r="3345" spans="1:11" x14ac:dyDescent="0.15">
      <c r="A3345" s="278"/>
      <c r="B3345" s="278"/>
      <c r="C3345" s="278"/>
      <c r="D3345" s="278"/>
      <c r="E3345" s="278"/>
      <c r="F3345" s="278"/>
      <c r="G3345" s="278"/>
      <c r="H3345" s="278"/>
      <c r="I3345" s="278"/>
      <c r="J3345" s="278"/>
      <c r="K3345" s="278"/>
    </row>
    <row r="3346" spans="1:11" x14ac:dyDescent="0.15">
      <c r="A3346" s="278"/>
      <c r="B3346" s="278"/>
      <c r="C3346" s="278"/>
      <c r="D3346" s="278"/>
      <c r="E3346" s="278"/>
      <c r="F3346" s="278"/>
      <c r="G3346" s="278"/>
      <c r="H3346" s="278"/>
      <c r="I3346" s="278"/>
      <c r="J3346" s="278"/>
      <c r="K3346" s="278"/>
    </row>
    <row r="3347" spans="1:11" x14ac:dyDescent="0.15">
      <c r="A3347" s="278"/>
      <c r="B3347" s="278"/>
      <c r="C3347" s="278"/>
      <c r="D3347" s="278"/>
      <c r="E3347" s="278"/>
      <c r="F3347" s="278"/>
      <c r="G3347" s="278"/>
      <c r="H3347" s="278"/>
      <c r="I3347" s="278"/>
      <c r="J3347" s="278"/>
      <c r="K3347" s="278"/>
    </row>
    <row r="3348" spans="1:11" x14ac:dyDescent="0.15">
      <c r="A3348" s="278"/>
      <c r="B3348" s="278"/>
      <c r="C3348" s="278"/>
      <c r="D3348" s="278"/>
      <c r="E3348" s="278"/>
      <c r="F3348" s="278"/>
      <c r="G3348" s="278"/>
      <c r="H3348" s="278"/>
      <c r="I3348" s="278"/>
      <c r="J3348" s="278"/>
      <c r="K3348" s="278"/>
    </row>
    <row r="3349" spans="1:11" x14ac:dyDescent="0.15">
      <c r="A3349" s="278"/>
      <c r="B3349" s="278"/>
      <c r="C3349" s="278"/>
      <c r="D3349" s="278"/>
      <c r="E3349" s="278"/>
      <c r="F3349" s="278"/>
      <c r="G3349" s="278"/>
      <c r="H3349" s="278"/>
      <c r="I3349" s="278"/>
      <c r="J3349" s="278"/>
      <c r="K3349" s="278"/>
    </row>
    <row r="3350" spans="1:11" x14ac:dyDescent="0.15">
      <c r="A3350" s="278"/>
      <c r="B3350" s="278"/>
      <c r="C3350" s="278"/>
      <c r="D3350" s="278"/>
      <c r="E3350" s="278"/>
      <c r="F3350" s="278"/>
      <c r="G3350" s="278"/>
      <c r="H3350" s="278"/>
      <c r="I3350" s="278"/>
      <c r="J3350" s="278"/>
      <c r="K3350" s="278"/>
    </row>
    <row r="3351" spans="1:11" x14ac:dyDescent="0.15">
      <c r="A3351" s="278"/>
      <c r="B3351" s="278"/>
      <c r="C3351" s="278"/>
      <c r="D3351" s="278"/>
      <c r="E3351" s="278"/>
      <c r="F3351" s="278"/>
      <c r="G3351" s="278"/>
      <c r="H3351" s="278"/>
      <c r="I3351" s="278"/>
      <c r="J3351" s="278"/>
      <c r="K3351" s="278"/>
    </row>
    <row r="3352" spans="1:11" x14ac:dyDescent="0.15">
      <c r="A3352" s="278"/>
      <c r="B3352" s="278"/>
      <c r="C3352" s="278"/>
      <c r="D3352" s="278"/>
      <c r="E3352" s="278"/>
      <c r="F3352" s="278"/>
      <c r="G3352" s="278"/>
      <c r="H3352" s="278"/>
      <c r="I3352" s="278"/>
      <c r="J3352" s="278"/>
      <c r="K3352" s="278"/>
    </row>
    <row r="3353" spans="1:11" x14ac:dyDescent="0.15">
      <c r="A3353" s="278"/>
      <c r="B3353" s="278"/>
      <c r="C3353" s="278"/>
      <c r="D3353" s="278"/>
      <c r="E3353" s="278"/>
      <c r="F3353" s="278"/>
      <c r="G3353" s="278"/>
      <c r="H3353" s="278"/>
      <c r="I3353" s="278"/>
      <c r="J3353" s="278"/>
      <c r="K3353" s="278"/>
    </row>
    <row r="3354" spans="1:11" x14ac:dyDescent="0.15">
      <c r="A3354" s="278"/>
      <c r="B3354" s="278"/>
      <c r="C3354" s="278"/>
      <c r="D3354" s="278"/>
      <c r="E3354" s="278"/>
      <c r="F3354" s="278"/>
      <c r="G3354" s="278"/>
      <c r="H3354" s="278"/>
      <c r="I3354" s="278"/>
      <c r="J3354" s="278"/>
      <c r="K3354" s="278"/>
    </row>
    <row r="3355" spans="1:11" x14ac:dyDescent="0.15">
      <c r="A3355" s="278"/>
      <c r="B3355" s="278"/>
      <c r="C3355" s="278"/>
      <c r="D3355" s="278"/>
      <c r="E3355" s="278"/>
      <c r="F3355" s="278"/>
      <c r="G3355" s="278"/>
      <c r="H3355" s="278"/>
      <c r="I3355" s="278"/>
      <c r="J3355" s="278"/>
      <c r="K3355" s="278"/>
    </row>
    <row r="3356" spans="1:11" x14ac:dyDescent="0.15">
      <c r="A3356" s="278"/>
      <c r="B3356" s="278"/>
      <c r="C3356" s="278"/>
      <c r="D3356" s="278"/>
      <c r="E3356" s="278"/>
      <c r="F3356" s="278"/>
      <c r="G3356" s="278"/>
      <c r="H3356" s="278"/>
      <c r="I3356" s="278"/>
      <c r="J3356" s="278"/>
      <c r="K3356" s="278"/>
    </row>
    <row r="3357" spans="1:11" x14ac:dyDescent="0.15">
      <c r="A3357" s="278"/>
      <c r="B3357" s="278"/>
      <c r="C3357" s="278"/>
      <c r="D3357" s="278"/>
      <c r="E3357" s="278"/>
      <c r="F3357" s="278"/>
      <c r="G3357" s="278"/>
      <c r="H3357" s="278"/>
      <c r="I3357" s="278"/>
      <c r="J3357" s="278"/>
      <c r="K3357" s="278"/>
    </row>
    <row r="3358" spans="1:11" x14ac:dyDescent="0.15">
      <c r="A3358" s="278"/>
      <c r="B3358" s="278"/>
      <c r="C3358" s="278"/>
      <c r="D3358" s="278"/>
      <c r="E3358" s="278"/>
      <c r="F3358" s="278"/>
      <c r="G3358" s="278"/>
      <c r="H3358" s="278"/>
      <c r="I3358" s="278"/>
      <c r="J3358" s="278"/>
      <c r="K3358" s="278"/>
    </row>
    <row r="3359" spans="1:11" x14ac:dyDescent="0.15">
      <c r="A3359" s="278"/>
      <c r="B3359" s="278"/>
      <c r="C3359" s="278"/>
      <c r="D3359" s="278"/>
      <c r="E3359" s="278"/>
      <c r="F3359" s="278"/>
      <c r="G3359" s="278"/>
      <c r="H3359" s="278"/>
      <c r="I3359" s="278"/>
      <c r="J3359" s="278"/>
      <c r="K3359" s="278"/>
    </row>
    <row r="3360" spans="1:11" x14ac:dyDescent="0.15">
      <c r="A3360" s="278"/>
      <c r="B3360" s="278"/>
      <c r="C3360" s="278"/>
      <c r="D3360" s="278"/>
      <c r="E3360" s="278"/>
      <c r="F3360" s="278"/>
      <c r="G3360" s="278"/>
      <c r="H3360" s="278"/>
      <c r="I3360" s="278"/>
      <c r="J3360" s="278"/>
      <c r="K3360" s="278"/>
    </row>
    <row r="3361" spans="1:11" x14ac:dyDescent="0.15">
      <c r="A3361" s="278"/>
      <c r="B3361" s="278"/>
      <c r="C3361" s="278"/>
      <c r="D3361" s="278"/>
      <c r="E3361" s="278"/>
      <c r="F3361" s="278"/>
      <c r="G3361" s="278"/>
      <c r="H3361" s="278"/>
      <c r="I3361" s="278"/>
      <c r="J3361" s="278"/>
      <c r="K3361" s="278"/>
    </row>
    <row r="3362" spans="1:11" x14ac:dyDescent="0.15">
      <c r="A3362" s="278"/>
      <c r="B3362" s="278"/>
      <c r="C3362" s="278"/>
      <c r="D3362" s="278"/>
      <c r="E3362" s="278"/>
      <c r="F3362" s="278"/>
      <c r="G3362" s="278"/>
      <c r="H3362" s="278"/>
      <c r="I3362" s="278"/>
      <c r="J3362" s="278"/>
      <c r="K3362" s="278"/>
    </row>
    <row r="3363" spans="1:11" x14ac:dyDescent="0.15">
      <c r="A3363" s="278"/>
      <c r="B3363" s="278"/>
      <c r="C3363" s="278"/>
      <c r="D3363" s="278"/>
      <c r="E3363" s="278"/>
      <c r="F3363" s="278"/>
      <c r="G3363" s="278"/>
      <c r="H3363" s="278"/>
      <c r="I3363" s="278"/>
      <c r="J3363" s="278"/>
      <c r="K3363" s="278"/>
    </row>
    <row r="3364" spans="1:11" x14ac:dyDescent="0.15">
      <c r="A3364" s="278"/>
      <c r="B3364" s="278"/>
      <c r="C3364" s="278"/>
      <c r="D3364" s="278"/>
      <c r="E3364" s="278"/>
      <c r="F3364" s="278"/>
      <c r="G3364" s="278"/>
      <c r="H3364" s="278"/>
      <c r="I3364" s="278"/>
      <c r="J3364" s="278"/>
      <c r="K3364" s="278"/>
    </row>
    <row r="3365" spans="1:11" x14ac:dyDescent="0.15">
      <c r="A3365" s="278"/>
      <c r="B3365" s="278"/>
      <c r="C3365" s="278"/>
      <c r="D3365" s="278"/>
      <c r="E3365" s="278"/>
      <c r="F3365" s="278"/>
      <c r="G3365" s="278"/>
      <c r="H3365" s="278"/>
      <c r="I3365" s="278"/>
      <c r="J3365" s="278"/>
      <c r="K3365" s="278"/>
    </row>
    <row r="3366" spans="1:11" x14ac:dyDescent="0.15">
      <c r="A3366" s="278"/>
      <c r="B3366" s="278"/>
      <c r="C3366" s="278"/>
      <c r="D3366" s="278"/>
      <c r="E3366" s="278"/>
      <c r="F3366" s="278"/>
      <c r="G3366" s="278"/>
      <c r="H3366" s="278"/>
      <c r="I3366" s="278"/>
      <c r="J3366" s="278"/>
      <c r="K3366" s="278"/>
    </row>
    <row r="3367" spans="1:11" x14ac:dyDescent="0.15">
      <c r="A3367" s="278"/>
      <c r="B3367" s="278"/>
      <c r="C3367" s="278"/>
      <c r="D3367" s="278"/>
      <c r="E3367" s="278"/>
      <c r="F3367" s="278"/>
      <c r="G3367" s="278"/>
      <c r="H3367" s="278"/>
      <c r="I3367" s="278"/>
      <c r="J3367" s="278"/>
      <c r="K3367" s="278"/>
    </row>
    <row r="3368" spans="1:11" x14ac:dyDescent="0.15">
      <c r="A3368" s="278"/>
      <c r="B3368" s="278"/>
      <c r="C3368" s="278"/>
      <c r="D3368" s="278"/>
      <c r="E3368" s="278"/>
      <c r="F3368" s="278"/>
      <c r="G3368" s="278"/>
      <c r="H3368" s="278"/>
      <c r="I3368" s="278"/>
      <c r="J3368" s="278"/>
      <c r="K3368" s="278"/>
    </row>
    <row r="3369" spans="1:11" x14ac:dyDescent="0.15">
      <c r="A3369" s="278"/>
      <c r="B3369" s="278"/>
      <c r="C3369" s="278"/>
      <c r="D3369" s="278"/>
      <c r="E3369" s="278"/>
      <c r="F3369" s="278"/>
      <c r="G3369" s="278"/>
      <c r="H3369" s="278"/>
      <c r="I3369" s="278"/>
      <c r="J3369" s="278"/>
      <c r="K3369" s="278"/>
    </row>
    <row r="3370" spans="1:11" x14ac:dyDescent="0.15">
      <c r="A3370" s="278"/>
      <c r="B3370" s="278"/>
      <c r="C3370" s="278"/>
      <c r="D3370" s="278"/>
      <c r="E3370" s="278"/>
      <c r="F3370" s="278"/>
      <c r="G3370" s="278"/>
      <c r="H3370" s="278"/>
      <c r="I3370" s="278"/>
      <c r="J3370" s="278"/>
      <c r="K3370" s="278"/>
    </row>
    <row r="3371" spans="1:11" x14ac:dyDescent="0.15">
      <c r="A3371" s="278"/>
      <c r="B3371" s="278"/>
      <c r="C3371" s="278"/>
      <c r="D3371" s="278"/>
      <c r="E3371" s="278"/>
      <c r="F3371" s="278"/>
      <c r="G3371" s="278"/>
      <c r="H3371" s="278"/>
      <c r="I3371" s="278"/>
      <c r="J3371" s="278"/>
      <c r="K3371" s="278"/>
    </row>
    <row r="3372" spans="1:11" x14ac:dyDescent="0.15">
      <c r="A3372" s="278"/>
      <c r="B3372" s="278"/>
      <c r="C3372" s="278"/>
      <c r="D3372" s="278"/>
      <c r="E3372" s="278"/>
      <c r="F3372" s="278"/>
      <c r="G3372" s="278"/>
      <c r="H3372" s="278"/>
      <c r="I3372" s="278"/>
      <c r="J3372" s="278"/>
      <c r="K3372" s="278"/>
    </row>
    <row r="3373" spans="1:11" x14ac:dyDescent="0.15">
      <c r="A3373" s="278"/>
      <c r="B3373" s="278"/>
      <c r="C3373" s="278"/>
      <c r="D3373" s="278"/>
      <c r="E3373" s="278"/>
      <c r="F3373" s="278"/>
      <c r="G3373" s="278"/>
      <c r="H3373" s="278"/>
      <c r="I3373" s="278"/>
      <c r="J3373" s="278"/>
      <c r="K3373" s="278"/>
    </row>
    <row r="3374" spans="1:11" x14ac:dyDescent="0.15">
      <c r="A3374" s="278"/>
      <c r="B3374" s="278"/>
      <c r="C3374" s="278"/>
      <c r="D3374" s="278"/>
      <c r="E3374" s="278"/>
      <c r="F3374" s="278"/>
      <c r="G3374" s="278"/>
      <c r="H3374" s="278"/>
      <c r="I3374" s="278"/>
      <c r="J3374" s="278"/>
      <c r="K3374" s="278"/>
    </row>
    <row r="3375" spans="1:11" x14ac:dyDescent="0.15">
      <c r="A3375" s="278"/>
      <c r="B3375" s="278"/>
      <c r="C3375" s="278"/>
      <c r="D3375" s="278"/>
      <c r="E3375" s="278"/>
      <c r="F3375" s="278"/>
      <c r="G3375" s="278"/>
      <c r="H3375" s="278"/>
      <c r="I3375" s="278"/>
      <c r="J3375" s="278"/>
      <c r="K3375" s="278"/>
    </row>
    <row r="3376" spans="1:11" x14ac:dyDescent="0.15">
      <c r="A3376" s="278"/>
      <c r="B3376" s="278"/>
      <c r="C3376" s="278"/>
      <c r="D3376" s="278"/>
      <c r="E3376" s="278"/>
      <c r="F3376" s="278"/>
      <c r="G3376" s="278"/>
      <c r="H3376" s="278"/>
      <c r="I3376" s="278"/>
      <c r="J3376" s="278"/>
      <c r="K3376" s="278"/>
    </row>
    <row r="3377" spans="1:11" x14ac:dyDescent="0.15">
      <c r="A3377" s="278"/>
      <c r="B3377" s="278"/>
      <c r="C3377" s="278"/>
      <c r="D3377" s="278"/>
      <c r="E3377" s="278"/>
      <c r="F3377" s="278"/>
      <c r="G3377" s="278"/>
      <c r="H3377" s="278"/>
      <c r="I3377" s="278"/>
      <c r="J3377" s="278"/>
      <c r="K3377" s="278"/>
    </row>
    <row r="3378" spans="1:11" x14ac:dyDescent="0.15">
      <c r="A3378" s="278"/>
      <c r="B3378" s="278"/>
      <c r="C3378" s="278"/>
      <c r="D3378" s="278"/>
      <c r="E3378" s="278"/>
      <c r="F3378" s="278"/>
      <c r="G3378" s="278"/>
      <c r="H3378" s="278"/>
      <c r="I3378" s="278"/>
      <c r="J3378" s="278"/>
      <c r="K3378" s="278"/>
    </row>
    <row r="3379" spans="1:11" x14ac:dyDescent="0.15">
      <c r="A3379" s="278"/>
      <c r="B3379" s="278"/>
      <c r="C3379" s="278"/>
      <c r="D3379" s="278"/>
      <c r="E3379" s="278"/>
      <c r="F3379" s="278"/>
      <c r="G3379" s="278"/>
      <c r="H3379" s="278"/>
      <c r="I3379" s="278"/>
      <c r="J3379" s="278"/>
      <c r="K3379" s="278"/>
    </row>
    <row r="3380" spans="1:11" x14ac:dyDescent="0.15">
      <c r="A3380" s="278"/>
      <c r="B3380" s="278"/>
      <c r="C3380" s="278"/>
      <c r="D3380" s="278"/>
      <c r="E3380" s="278"/>
      <c r="F3380" s="278"/>
      <c r="G3380" s="278"/>
      <c r="H3380" s="278"/>
      <c r="I3380" s="278"/>
      <c r="J3380" s="278"/>
      <c r="K3380" s="278"/>
    </row>
    <row r="3381" spans="1:11" x14ac:dyDescent="0.15">
      <c r="A3381" s="278"/>
      <c r="B3381" s="278"/>
      <c r="C3381" s="278"/>
      <c r="D3381" s="278"/>
      <c r="E3381" s="278"/>
      <c r="F3381" s="278"/>
      <c r="G3381" s="278"/>
      <c r="H3381" s="278"/>
      <c r="I3381" s="278"/>
      <c r="J3381" s="278"/>
      <c r="K3381" s="278"/>
    </row>
    <row r="3382" spans="1:11" x14ac:dyDescent="0.15">
      <c r="A3382" s="278"/>
      <c r="B3382" s="278"/>
      <c r="C3382" s="278"/>
      <c r="D3382" s="278"/>
      <c r="E3382" s="278"/>
      <c r="F3382" s="278"/>
      <c r="G3382" s="278"/>
      <c r="H3382" s="278"/>
      <c r="I3382" s="278"/>
      <c r="J3382" s="278"/>
      <c r="K3382" s="278"/>
    </row>
    <row r="3383" spans="1:11" x14ac:dyDescent="0.15">
      <c r="A3383" s="278"/>
      <c r="B3383" s="278"/>
      <c r="C3383" s="278"/>
      <c r="D3383" s="278"/>
      <c r="E3383" s="278"/>
      <c r="F3383" s="278"/>
      <c r="G3383" s="278"/>
      <c r="H3383" s="278"/>
      <c r="I3383" s="278"/>
      <c r="J3383" s="278"/>
      <c r="K3383" s="278"/>
    </row>
    <row r="3384" spans="1:11" x14ac:dyDescent="0.15">
      <c r="A3384" s="278"/>
      <c r="B3384" s="278"/>
      <c r="C3384" s="278"/>
      <c r="D3384" s="278"/>
      <c r="E3384" s="278"/>
      <c r="F3384" s="278"/>
      <c r="G3384" s="278"/>
      <c r="H3384" s="278"/>
      <c r="I3384" s="278"/>
      <c r="J3384" s="278"/>
      <c r="K3384" s="278"/>
    </row>
    <row r="3385" spans="1:11" x14ac:dyDescent="0.15">
      <c r="A3385" s="278"/>
      <c r="B3385" s="278"/>
      <c r="C3385" s="278"/>
      <c r="D3385" s="278"/>
      <c r="E3385" s="278"/>
      <c r="F3385" s="278"/>
      <c r="G3385" s="278"/>
      <c r="H3385" s="278"/>
      <c r="I3385" s="278"/>
      <c r="J3385" s="278"/>
      <c r="K3385" s="278"/>
    </row>
    <row r="3386" spans="1:11" x14ac:dyDescent="0.15">
      <c r="A3386" s="278"/>
      <c r="B3386" s="278"/>
      <c r="C3386" s="278"/>
      <c r="D3386" s="278"/>
      <c r="E3386" s="278"/>
      <c r="F3386" s="278"/>
      <c r="G3386" s="278"/>
      <c r="H3386" s="278"/>
      <c r="I3386" s="278"/>
      <c r="J3386" s="278"/>
      <c r="K3386" s="278"/>
    </row>
    <row r="3387" spans="1:11" x14ac:dyDescent="0.15">
      <c r="A3387" s="278"/>
      <c r="B3387" s="278"/>
      <c r="C3387" s="278"/>
      <c r="D3387" s="278"/>
      <c r="E3387" s="278"/>
      <c r="F3387" s="278"/>
      <c r="G3387" s="278"/>
      <c r="H3387" s="278"/>
      <c r="I3387" s="278"/>
      <c r="J3387" s="278"/>
      <c r="K3387" s="278"/>
    </row>
    <row r="3388" spans="1:11" x14ac:dyDescent="0.15">
      <c r="A3388" s="278"/>
      <c r="B3388" s="278"/>
      <c r="C3388" s="278"/>
      <c r="D3388" s="278"/>
      <c r="E3388" s="278"/>
      <c r="F3388" s="278"/>
      <c r="G3388" s="278"/>
      <c r="H3388" s="278"/>
      <c r="I3388" s="278"/>
      <c r="J3388" s="278"/>
      <c r="K3388" s="278"/>
    </row>
    <row r="3389" spans="1:11" x14ac:dyDescent="0.15">
      <c r="A3389" s="278"/>
      <c r="B3389" s="278"/>
      <c r="C3389" s="278"/>
      <c r="D3389" s="278"/>
      <c r="E3389" s="278"/>
      <c r="F3389" s="278"/>
      <c r="G3389" s="278"/>
      <c r="H3389" s="278"/>
      <c r="I3389" s="278"/>
      <c r="J3389" s="278"/>
      <c r="K3389" s="278"/>
    </row>
    <row r="3390" spans="1:11" x14ac:dyDescent="0.15">
      <c r="A3390" s="278"/>
      <c r="B3390" s="278"/>
      <c r="C3390" s="278"/>
      <c r="D3390" s="278"/>
      <c r="E3390" s="278"/>
      <c r="F3390" s="278"/>
      <c r="G3390" s="278"/>
      <c r="H3390" s="278"/>
      <c r="I3390" s="278"/>
      <c r="J3390" s="278"/>
      <c r="K3390" s="278"/>
    </row>
    <row r="3391" spans="1:11" x14ac:dyDescent="0.15">
      <c r="A3391" s="278"/>
      <c r="B3391" s="278"/>
      <c r="C3391" s="278"/>
      <c r="D3391" s="278"/>
      <c r="E3391" s="278"/>
      <c r="F3391" s="278"/>
      <c r="G3391" s="278"/>
      <c r="H3391" s="278"/>
      <c r="I3391" s="278"/>
      <c r="J3391" s="278"/>
      <c r="K3391" s="278"/>
    </row>
    <row r="3392" spans="1:11" x14ac:dyDescent="0.15">
      <c r="A3392" s="278"/>
      <c r="B3392" s="278"/>
      <c r="C3392" s="278"/>
      <c r="D3392" s="278"/>
      <c r="E3392" s="278"/>
      <c r="F3392" s="278"/>
      <c r="G3392" s="278"/>
      <c r="H3392" s="278"/>
      <c r="I3392" s="278"/>
      <c r="J3392" s="278"/>
      <c r="K3392" s="278"/>
    </row>
    <row r="3393" spans="1:11" x14ac:dyDescent="0.15">
      <c r="A3393" s="278"/>
      <c r="B3393" s="278"/>
      <c r="C3393" s="278"/>
      <c r="D3393" s="278"/>
      <c r="E3393" s="278"/>
      <c r="F3393" s="278"/>
      <c r="G3393" s="278"/>
      <c r="H3393" s="278"/>
      <c r="I3393" s="278"/>
      <c r="J3393" s="278"/>
      <c r="K3393" s="278"/>
    </row>
    <row r="3394" spans="1:11" x14ac:dyDescent="0.15">
      <c r="A3394" s="278"/>
      <c r="B3394" s="278"/>
      <c r="C3394" s="278"/>
      <c r="D3394" s="278"/>
      <c r="E3394" s="278"/>
      <c r="F3394" s="278"/>
      <c r="G3394" s="278"/>
      <c r="H3394" s="278"/>
      <c r="I3394" s="278"/>
      <c r="J3394" s="278"/>
      <c r="K3394" s="278"/>
    </row>
    <row r="3395" spans="1:11" x14ac:dyDescent="0.15">
      <c r="A3395" s="278"/>
      <c r="B3395" s="278"/>
      <c r="C3395" s="278"/>
      <c r="D3395" s="278"/>
      <c r="E3395" s="278"/>
      <c r="F3395" s="278"/>
      <c r="G3395" s="278"/>
      <c r="H3395" s="278"/>
      <c r="I3395" s="278"/>
      <c r="J3395" s="278"/>
      <c r="K3395" s="278"/>
    </row>
    <row r="3396" spans="1:11" x14ac:dyDescent="0.15">
      <c r="A3396" s="278"/>
      <c r="B3396" s="278"/>
      <c r="C3396" s="278"/>
      <c r="D3396" s="278"/>
      <c r="E3396" s="278"/>
      <c r="F3396" s="278"/>
      <c r="G3396" s="278"/>
      <c r="H3396" s="278"/>
      <c r="I3396" s="278"/>
      <c r="J3396" s="278"/>
      <c r="K3396" s="278"/>
    </row>
    <row r="3397" spans="1:11" x14ac:dyDescent="0.15">
      <c r="A3397" s="278"/>
      <c r="B3397" s="278"/>
      <c r="C3397" s="278"/>
      <c r="D3397" s="278"/>
      <c r="E3397" s="278"/>
      <c r="F3397" s="278"/>
      <c r="G3397" s="278"/>
      <c r="H3397" s="278"/>
      <c r="I3397" s="278"/>
      <c r="J3397" s="278"/>
      <c r="K3397" s="278"/>
    </row>
    <row r="3398" spans="1:11" x14ac:dyDescent="0.15">
      <c r="A3398" s="278"/>
      <c r="B3398" s="278"/>
      <c r="C3398" s="278"/>
      <c r="D3398" s="278"/>
      <c r="E3398" s="278"/>
      <c r="F3398" s="278"/>
      <c r="G3398" s="278"/>
      <c r="H3398" s="278"/>
      <c r="I3398" s="278"/>
      <c r="J3398" s="278"/>
      <c r="K3398" s="278"/>
    </row>
    <row r="3399" spans="1:11" x14ac:dyDescent="0.15">
      <c r="A3399" s="278"/>
      <c r="B3399" s="278"/>
      <c r="C3399" s="278"/>
      <c r="D3399" s="278"/>
      <c r="E3399" s="278"/>
      <c r="F3399" s="278"/>
      <c r="G3399" s="278"/>
      <c r="H3399" s="278"/>
      <c r="I3399" s="278"/>
      <c r="J3399" s="278"/>
      <c r="K3399" s="278"/>
    </row>
    <row r="3400" spans="1:11" x14ac:dyDescent="0.15">
      <c r="A3400" s="278"/>
      <c r="B3400" s="278"/>
      <c r="C3400" s="278"/>
      <c r="D3400" s="278"/>
      <c r="E3400" s="278"/>
      <c r="F3400" s="278"/>
      <c r="G3400" s="278"/>
      <c r="H3400" s="278"/>
      <c r="I3400" s="278"/>
      <c r="J3400" s="278"/>
      <c r="K3400" s="278"/>
    </row>
    <row r="3401" spans="1:11" x14ac:dyDescent="0.15">
      <c r="A3401" s="278"/>
      <c r="B3401" s="278"/>
      <c r="C3401" s="278"/>
      <c r="D3401" s="278"/>
      <c r="E3401" s="278"/>
      <c r="F3401" s="278"/>
      <c r="G3401" s="278"/>
      <c r="H3401" s="278"/>
      <c r="I3401" s="278"/>
      <c r="J3401" s="278"/>
      <c r="K3401" s="278"/>
    </row>
    <row r="3402" spans="1:11" x14ac:dyDescent="0.15">
      <c r="A3402" s="278"/>
      <c r="B3402" s="278"/>
      <c r="C3402" s="278"/>
      <c r="D3402" s="278"/>
      <c r="E3402" s="278"/>
      <c r="F3402" s="278"/>
      <c r="G3402" s="278"/>
      <c r="H3402" s="278"/>
      <c r="I3402" s="278"/>
      <c r="J3402" s="278"/>
      <c r="K3402" s="278"/>
    </row>
    <row r="3403" spans="1:11" x14ac:dyDescent="0.15">
      <c r="A3403" s="278"/>
      <c r="B3403" s="278"/>
      <c r="C3403" s="278"/>
      <c r="D3403" s="278"/>
      <c r="E3403" s="278"/>
      <c r="F3403" s="278"/>
      <c r="G3403" s="278"/>
      <c r="H3403" s="278"/>
      <c r="I3403" s="278"/>
      <c r="J3403" s="278"/>
      <c r="K3403" s="278"/>
    </row>
    <row r="3404" spans="1:11" x14ac:dyDescent="0.15">
      <c r="A3404" s="278"/>
      <c r="B3404" s="278"/>
      <c r="C3404" s="278"/>
      <c r="D3404" s="278"/>
      <c r="E3404" s="278"/>
      <c r="F3404" s="278"/>
      <c r="G3404" s="278"/>
      <c r="H3404" s="278"/>
      <c r="I3404" s="278"/>
      <c r="J3404" s="278"/>
      <c r="K3404" s="278"/>
    </row>
    <row r="3405" spans="1:11" x14ac:dyDescent="0.15">
      <c r="A3405" s="278"/>
      <c r="B3405" s="278"/>
      <c r="C3405" s="278"/>
      <c r="D3405" s="278"/>
      <c r="E3405" s="278"/>
      <c r="F3405" s="278"/>
      <c r="G3405" s="278"/>
      <c r="H3405" s="278"/>
      <c r="I3405" s="278"/>
      <c r="J3405" s="278"/>
      <c r="K3405" s="278"/>
    </row>
    <row r="3406" spans="1:11" x14ac:dyDescent="0.15">
      <c r="A3406" s="278"/>
      <c r="B3406" s="278"/>
      <c r="C3406" s="278"/>
      <c r="D3406" s="278"/>
      <c r="E3406" s="278"/>
      <c r="F3406" s="278"/>
      <c r="G3406" s="278"/>
      <c r="H3406" s="278"/>
      <c r="I3406" s="278"/>
      <c r="J3406" s="278"/>
      <c r="K3406" s="278"/>
    </row>
    <row r="3407" spans="1:11" x14ac:dyDescent="0.15">
      <c r="A3407" s="278"/>
      <c r="B3407" s="278"/>
      <c r="C3407" s="278"/>
      <c r="D3407" s="278"/>
      <c r="E3407" s="278"/>
      <c r="F3407" s="278"/>
      <c r="G3407" s="278"/>
      <c r="H3407" s="278"/>
      <c r="I3407" s="278"/>
      <c r="J3407" s="278"/>
      <c r="K3407" s="278"/>
    </row>
    <row r="3408" spans="1:11" x14ac:dyDescent="0.15">
      <c r="A3408" s="278"/>
      <c r="B3408" s="278"/>
      <c r="C3408" s="278"/>
      <c r="D3408" s="278"/>
      <c r="E3408" s="278"/>
      <c r="F3408" s="278"/>
      <c r="G3408" s="278"/>
      <c r="H3408" s="278"/>
      <c r="I3408" s="278"/>
      <c r="J3408" s="278"/>
      <c r="K3408" s="278"/>
    </row>
    <row r="3409" spans="1:11" x14ac:dyDescent="0.15">
      <c r="A3409" s="278"/>
      <c r="B3409" s="278"/>
      <c r="C3409" s="278"/>
      <c r="D3409" s="278"/>
      <c r="E3409" s="278"/>
      <c r="F3409" s="278"/>
      <c r="G3409" s="278"/>
      <c r="H3409" s="278"/>
      <c r="I3409" s="278"/>
      <c r="J3409" s="278"/>
      <c r="K3409" s="278"/>
    </row>
    <row r="3410" spans="1:11" x14ac:dyDescent="0.15">
      <c r="A3410" s="278"/>
      <c r="B3410" s="278"/>
      <c r="C3410" s="278"/>
      <c r="D3410" s="278"/>
      <c r="E3410" s="278"/>
      <c r="F3410" s="278"/>
      <c r="G3410" s="278"/>
      <c r="H3410" s="278"/>
      <c r="I3410" s="278"/>
      <c r="J3410" s="278"/>
      <c r="K3410" s="278"/>
    </row>
    <row r="3411" spans="1:11" x14ac:dyDescent="0.15">
      <c r="A3411" s="278"/>
      <c r="B3411" s="278"/>
      <c r="C3411" s="278"/>
      <c r="D3411" s="278"/>
      <c r="E3411" s="278"/>
      <c r="F3411" s="278"/>
      <c r="G3411" s="278"/>
      <c r="H3411" s="278"/>
      <c r="I3411" s="278"/>
      <c r="J3411" s="278"/>
      <c r="K3411" s="278"/>
    </row>
    <row r="3412" spans="1:11" x14ac:dyDescent="0.15">
      <c r="A3412" s="278"/>
      <c r="B3412" s="278"/>
      <c r="C3412" s="278"/>
      <c r="D3412" s="278"/>
      <c r="E3412" s="278"/>
      <c r="F3412" s="278"/>
      <c r="G3412" s="278"/>
      <c r="H3412" s="278"/>
      <c r="I3412" s="278"/>
      <c r="J3412" s="278"/>
      <c r="K3412" s="278"/>
    </row>
    <row r="3413" spans="1:11" x14ac:dyDescent="0.15">
      <c r="A3413" s="278"/>
      <c r="B3413" s="278"/>
      <c r="C3413" s="278"/>
      <c r="D3413" s="278"/>
      <c r="E3413" s="278"/>
      <c r="F3413" s="278"/>
      <c r="G3413" s="278"/>
      <c r="H3413" s="278"/>
      <c r="I3413" s="278"/>
      <c r="J3413" s="278"/>
      <c r="K3413" s="278"/>
    </row>
    <row r="3414" spans="1:11" x14ac:dyDescent="0.15">
      <c r="A3414" s="278"/>
      <c r="B3414" s="278"/>
      <c r="C3414" s="278"/>
      <c r="D3414" s="278"/>
      <c r="E3414" s="278"/>
      <c r="F3414" s="278"/>
      <c r="G3414" s="278"/>
      <c r="H3414" s="278"/>
      <c r="I3414" s="278"/>
      <c r="J3414" s="278"/>
      <c r="K3414" s="278"/>
    </row>
    <row r="3415" spans="1:11" x14ac:dyDescent="0.15">
      <c r="A3415" s="278"/>
      <c r="B3415" s="278"/>
      <c r="C3415" s="278"/>
      <c r="D3415" s="278"/>
      <c r="E3415" s="278"/>
      <c r="F3415" s="278"/>
      <c r="G3415" s="278"/>
      <c r="H3415" s="278"/>
      <c r="I3415" s="278"/>
      <c r="J3415" s="278"/>
      <c r="K3415" s="278"/>
    </row>
    <row r="3416" spans="1:11" x14ac:dyDescent="0.15">
      <c r="A3416" s="278"/>
      <c r="B3416" s="278"/>
      <c r="C3416" s="278"/>
      <c r="D3416" s="278"/>
      <c r="E3416" s="278"/>
      <c r="F3416" s="278"/>
      <c r="G3416" s="278"/>
      <c r="H3416" s="278"/>
      <c r="I3416" s="278"/>
      <c r="J3416" s="278"/>
      <c r="K3416" s="278"/>
    </row>
    <row r="3417" spans="1:11" x14ac:dyDescent="0.15">
      <c r="A3417" s="278"/>
      <c r="B3417" s="278"/>
      <c r="C3417" s="278"/>
      <c r="D3417" s="278"/>
      <c r="E3417" s="278"/>
      <c r="F3417" s="278"/>
      <c r="G3417" s="278"/>
      <c r="H3417" s="278"/>
      <c r="I3417" s="278"/>
      <c r="J3417" s="278"/>
      <c r="K3417" s="278"/>
    </row>
    <row r="3418" spans="1:11" x14ac:dyDescent="0.15">
      <c r="A3418" s="278"/>
      <c r="B3418" s="278"/>
      <c r="C3418" s="278"/>
      <c r="D3418" s="278"/>
      <c r="E3418" s="278"/>
      <c r="F3418" s="278"/>
      <c r="G3418" s="278"/>
      <c r="H3418" s="278"/>
      <c r="I3418" s="278"/>
      <c r="J3418" s="278"/>
      <c r="K3418" s="278"/>
    </row>
    <row r="3419" spans="1:11" x14ac:dyDescent="0.15">
      <c r="A3419" s="278"/>
      <c r="B3419" s="278"/>
      <c r="C3419" s="278"/>
      <c r="D3419" s="278"/>
      <c r="E3419" s="278"/>
      <c r="F3419" s="278"/>
      <c r="G3419" s="278"/>
      <c r="H3419" s="278"/>
      <c r="I3419" s="278"/>
      <c r="J3419" s="278"/>
      <c r="K3419" s="278"/>
    </row>
    <row r="3420" spans="1:11" x14ac:dyDescent="0.15">
      <c r="A3420" s="278"/>
      <c r="B3420" s="278"/>
      <c r="C3420" s="278"/>
      <c r="D3420" s="278"/>
      <c r="E3420" s="278"/>
      <c r="F3420" s="278"/>
      <c r="G3420" s="278"/>
      <c r="H3420" s="278"/>
      <c r="I3420" s="278"/>
      <c r="J3420" s="278"/>
      <c r="K3420" s="278"/>
    </row>
    <row r="3421" spans="1:11" x14ac:dyDescent="0.15">
      <c r="A3421" s="278"/>
      <c r="B3421" s="278"/>
      <c r="C3421" s="278"/>
      <c r="D3421" s="278"/>
      <c r="E3421" s="278"/>
      <c r="F3421" s="278"/>
      <c r="G3421" s="278"/>
      <c r="H3421" s="278"/>
      <c r="I3421" s="278"/>
      <c r="J3421" s="278"/>
      <c r="K3421" s="278"/>
    </row>
    <row r="3422" spans="1:11" x14ac:dyDescent="0.15">
      <c r="A3422" s="278"/>
      <c r="B3422" s="278"/>
      <c r="C3422" s="278"/>
      <c r="D3422" s="278"/>
      <c r="E3422" s="278"/>
      <c r="F3422" s="278"/>
      <c r="G3422" s="278"/>
      <c r="H3422" s="278"/>
      <c r="I3422" s="278"/>
      <c r="J3422" s="278"/>
      <c r="K3422" s="278"/>
    </row>
    <row r="3423" spans="1:11" x14ac:dyDescent="0.15">
      <c r="A3423" s="278"/>
      <c r="B3423" s="278"/>
      <c r="C3423" s="278"/>
      <c r="D3423" s="278"/>
      <c r="E3423" s="278"/>
      <c r="F3423" s="278"/>
      <c r="G3423" s="278"/>
      <c r="H3423" s="278"/>
      <c r="I3423" s="278"/>
      <c r="J3423" s="278"/>
      <c r="K3423" s="278"/>
    </row>
    <row r="3424" spans="1:11" x14ac:dyDescent="0.15">
      <c r="A3424" s="278"/>
      <c r="B3424" s="278"/>
      <c r="C3424" s="278"/>
      <c r="D3424" s="278"/>
      <c r="E3424" s="278"/>
      <c r="F3424" s="278"/>
      <c r="G3424" s="278"/>
      <c r="H3424" s="278"/>
      <c r="I3424" s="278"/>
      <c r="J3424" s="278"/>
      <c r="K3424" s="278"/>
    </row>
    <row r="3425" spans="1:11" x14ac:dyDescent="0.15">
      <c r="A3425" s="278"/>
      <c r="B3425" s="278"/>
      <c r="C3425" s="278"/>
      <c r="D3425" s="278"/>
      <c r="E3425" s="278"/>
      <c r="F3425" s="278"/>
      <c r="G3425" s="278"/>
      <c r="H3425" s="278"/>
      <c r="I3425" s="278"/>
      <c r="J3425" s="278"/>
      <c r="K3425" s="278"/>
    </row>
    <row r="3426" spans="1:11" x14ac:dyDescent="0.15">
      <c r="A3426" s="278"/>
      <c r="B3426" s="278"/>
      <c r="C3426" s="278"/>
      <c r="D3426" s="278"/>
      <c r="E3426" s="278"/>
      <c r="F3426" s="278"/>
      <c r="G3426" s="278"/>
      <c r="H3426" s="278"/>
      <c r="I3426" s="278"/>
      <c r="J3426" s="278"/>
      <c r="K3426" s="278"/>
    </row>
    <row r="3427" spans="1:11" x14ac:dyDescent="0.15">
      <c r="A3427" s="278"/>
      <c r="B3427" s="278"/>
      <c r="C3427" s="278"/>
      <c r="D3427" s="278"/>
      <c r="E3427" s="278"/>
      <c r="F3427" s="278"/>
      <c r="G3427" s="278"/>
      <c r="H3427" s="278"/>
      <c r="I3427" s="278"/>
      <c r="J3427" s="278"/>
      <c r="K3427" s="278"/>
    </row>
    <row r="3428" spans="1:11" x14ac:dyDescent="0.15">
      <c r="A3428" s="278"/>
      <c r="B3428" s="278"/>
      <c r="C3428" s="278"/>
      <c r="D3428" s="278"/>
      <c r="E3428" s="278"/>
      <c r="F3428" s="278"/>
      <c r="G3428" s="278"/>
      <c r="H3428" s="278"/>
      <c r="I3428" s="278"/>
      <c r="J3428" s="278"/>
      <c r="K3428" s="278"/>
    </row>
    <row r="3429" spans="1:11" x14ac:dyDescent="0.15">
      <c r="A3429" s="278"/>
      <c r="B3429" s="278"/>
      <c r="C3429" s="278"/>
      <c r="D3429" s="278"/>
      <c r="E3429" s="278"/>
      <c r="F3429" s="278"/>
      <c r="G3429" s="278"/>
      <c r="H3429" s="278"/>
      <c r="I3429" s="278"/>
      <c r="J3429" s="278"/>
      <c r="K3429" s="278"/>
    </row>
    <row r="3430" spans="1:11" x14ac:dyDescent="0.15">
      <c r="A3430" s="278"/>
      <c r="B3430" s="278"/>
      <c r="C3430" s="278"/>
      <c r="D3430" s="278"/>
      <c r="E3430" s="278"/>
      <c r="F3430" s="278"/>
      <c r="G3430" s="278"/>
      <c r="H3430" s="278"/>
      <c r="I3430" s="278"/>
      <c r="J3430" s="278"/>
      <c r="K3430" s="278"/>
    </row>
    <row r="3431" spans="1:11" x14ac:dyDescent="0.15">
      <c r="A3431" s="278"/>
      <c r="B3431" s="278"/>
      <c r="C3431" s="278"/>
      <c r="D3431" s="278"/>
      <c r="E3431" s="278"/>
      <c r="F3431" s="278"/>
      <c r="G3431" s="278"/>
      <c r="H3431" s="278"/>
      <c r="I3431" s="278"/>
      <c r="J3431" s="278"/>
      <c r="K3431" s="278"/>
    </row>
    <row r="3432" spans="1:11" x14ac:dyDescent="0.15">
      <c r="A3432" s="278"/>
      <c r="B3432" s="278"/>
      <c r="C3432" s="278"/>
      <c r="D3432" s="278"/>
      <c r="E3432" s="278"/>
      <c r="F3432" s="278"/>
      <c r="G3432" s="278"/>
      <c r="H3432" s="278"/>
      <c r="I3432" s="278"/>
      <c r="J3432" s="278"/>
      <c r="K3432" s="278"/>
    </row>
    <row r="3433" spans="1:11" x14ac:dyDescent="0.15">
      <c r="A3433" s="278"/>
      <c r="B3433" s="278"/>
      <c r="C3433" s="278"/>
      <c r="D3433" s="278"/>
      <c r="E3433" s="278"/>
      <c r="F3433" s="278"/>
      <c r="G3433" s="278"/>
      <c r="H3433" s="278"/>
      <c r="I3433" s="278"/>
      <c r="J3433" s="278"/>
      <c r="K3433" s="278"/>
    </row>
    <row r="3434" spans="1:11" x14ac:dyDescent="0.15">
      <c r="A3434" s="278"/>
      <c r="B3434" s="278"/>
      <c r="C3434" s="278"/>
      <c r="D3434" s="278"/>
      <c r="E3434" s="278"/>
      <c r="F3434" s="278"/>
      <c r="G3434" s="278"/>
      <c r="H3434" s="278"/>
      <c r="I3434" s="278"/>
      <c r="J3434" s="278"/>
      <c r="K3434" s="278"/>
    </row>
    <row r="3435" spans="1:11" x14ac:dyDescent="0.15">
      <c r="A3435" s="278"/>
      <c r="B3435" s="278"/>
      <c r="C3435" s="278"/>
      <c r="D3435" s="278"/>
      <c r="E3435" s="278"/>
      <c r="F3435" s="278"/>
      <c r="G3435" s="278"/>
      <c r="H3435" s="278"/>
      <c r="I3435" s="278"/>
      <c r="J3435" s="278"/>
      <c r="K3435" s="278"/>
    </row>
    <row r="3436" spans="1:11" x14ac:dyDescent="0.15">
      <c r="A3436" s="278"/>
      <c r="B3436" s="278"/>
      <c r="C3436" s="278"/>
      <c r="D3436" s="278"/>
      <c r="E3436" s="278"/>
      <c r="F3436" s="278"/>
      <c r="G3436" s="278"/>
      <c r="H3436" s="278"/>
      <c r="I3436" s="278"/>
      <c r="J3436" s="278"/>
      <c r="K3436" s="278"/>
    </row>
    <row r="3437" spans="1:11" x14ac:dyDescent="0.15">
      <c r="A3437" s="278"/>
      <c r="B3437" s="278"/>
      <c r="C3437" s="278"/>
      <c r="D3437" s="278"/>
      <c r="E3437" s="278"/>
      <c r="F3437" s="278"/>
      <c r="G3437" s="278"/>
      <c r="H3437" s="278"/>
      <c r="I3437" s="278"/>
      <c r="J3437" s="278"/>
      <c r="K3437" s="278"/>
    </row>
    <row r="3438" spans="1:11" x14ac:dyDescent="0.15">
      <c r="A3438" s="278"/>
      <c r="B3438" s="278"/>
      <c r="C3438" s="278"/>
      <c r="D3438" s="278"/>
      <c r="E3438" s="278"/>
      <c r="F3438" s="278"/>
      <c r="G3438" s="278"/>
      <c r="H3438" s="278"/>
      <c r="I3438" s="278"/>
      <c r="J3438" s="278"/>
      <c r="K3438" s="278"/>
    </row>
    <row r="3439" spans="1:11" x14ac:dyDescent="0.15">
      <c r="A3439" s="278"/>
      <c r="B3439" s="278"/>
      <c r="C3439" s="278"/>
      <c r="D3439" s="278"/>
      <c r="E3439" s="278"/>
      <c r="F3439" s="278"/>
      <c r="G3439" s="278"/>
      <c r="H3439" s="278"/>
      <c r="I3439" s="278"/>
      <c r="J3439" s="278"/>
      <c r="K3439" s="278"/>
    </row>
    <row r="3440" spans="1:11" x14ac:dyDescent="0.15">
      <c r="A3440" s="278"/>
      <c r="B3440" s="278"/>
      <c r="C3440" s="278"/>
      <c r="D3440" s="278"/>
      <c r="E3440" s="278"/>
      <c r="F3440" s="278"/>
      <c r="G3440" s="278"/>
      <c r="H3440" s="278"/>
      <c r="I3440" s="278"/>
      <c r="J3440" s="278"/>
      <c r="K3440" s="278"/>
    </row>
    <row r="3441" spans="1:11" x14ac:dyDescent="0.15">
      <c r="A3441" s="278"/>
      <c r="B3441" s="278"/>
      <c r="C3441" s="278"/>
      <c r="D3441" s="278"/>
      <c r="E3441" s="278"/>
      <c r="F3441" s="278"/>
      <c r="G3441" s="278"/>
      <c r="H3441" s="278"/>
      <c r="I3441" s="278"/>
      <c r="J3441" s="278"/>
      <c r="K3441" s="278"/>
    </row>
    <row r="3442" spans="1:11" x14ac:dyDescent="0.15">
      <c r="A3442" s="278"/>
      <c r="B3442" s="278"/>
      <c r="C3442" s="278"/>
      <c r="D3442" s="278"/>
      <c r="E3442" s="278"/>
      <c r="F3442" s="278"/>
      <c r="G3442" s="278"/>
      <c r="H3442" s="278"/>
      <c r="I3442" s="278"/>
      <c r="J3442" s="278"/>
      <c r="K3442" s="278"/>
    </row>
    <row r="3443" spans="1:11" x14ac:dyDescent="0.15">
      <c r="A3443" s="278"/>
      <c r="B3443" s="278"/>
      <c r="C3443" s="278"/>
      <c r="D3443" s="278"/>
      <c r="E3443" s="278"/>
      <c r="F3443" s="278"/>
      <c r="G3443" s="278"/>
      <c r="H3443" s="278"/>
      <c r="I3443" s="278"/>
      <c r="J3443" s="278"/>
      <c r="K3443" s="278"/>
    </row>
    <row r="3444" spans="1:11" x14ac:dyDescent="0.15">
      <c r="A3444" s="278"/>
      <c r="B3444" s="278"/>
      <c r="C3444" s="278"/>
      <c r="D3444" s="278"/>
      <c r="E3444" s="278"/>
      <c r="F3444" s="278"/>
      <c r="G3444" s="278"/>
      <c r="H3444" s="278"/>
      <c r="I3444" s="278"/>
      <c r="J3444" s="278"/>
      <c r="K3444" s="278"/>
    </row>
    <row r="3445" spans="1:11" x14ac:dyDescent="0.15">
      <c r="A3445" s="278"/>
      <c r="B3445" s="278"/>
      <c r="C3445" s="278"/>
      <c r="D3445" s="278"/>
      <c r="E3445" s="278"/>
      <c r="F3445" s="278"/>
      <c r="G3445" s="278"/>
      <c r="H3445" s="278"/>
      <c r="I3445" s="278"/>
      <c r="J3445" s="278"/>
      <c r="K3445" s="278"/>
    </row>
    <row r="3446" spans="1:11" x14ac:dyDescent="0.15">
      <c r="A3446" s="278"/>
      <c r="B3446" s="278"/>
      <c r="C3446" s="278"/>
      <c r="D3446" s="278"/>
      <c r="E3446" s="278"/>
      <c r="F3446" s="278"/>
      <c r="G3446" s="278"/>
      <c r="H3446" s="278"/>
      <c r="I3446" s="278"/>
      <c r="J3446" s="278"/>
      <c r="K3446" s="278"/>
    </row>
    <row r="3447" spans="1:11" x14ac:dyDescent="0.15">
      <c r="A3447" s="278"/>
      <c r="B3447" s="278"/>
      <c r="C3447" s="278"/>
      <c r="D3447" s="278"/>
      <c r="E3447" s="278"/>
      <c r="F3447" s="278"/>
      <c r="G3447" s="278"/>
      <c r="H3447" s="278"/>
      <c r="I3447" s="278"/>
      <c r="J3447" s="278"/>
      <c r="K3447" s="278"/>
    </row>
    <row r="3448" spans="1:11" x14ac:dyDescent="0.15">
      <c r="A3448" s="278"/>
      <c r="B3448" s="278"/>
      <c r="C3448" s="278"/>
      <c r="D3448" s="278"/>
      <c r="E3448" s="278"/>
      <c r="F3448" s="278"/>
      <c r="G3448" s="278"/>
      <c r="H3448" s="278"/>
      <c r="I3448" s="278"/>
      <c r="J3448" s="278"/>
      <c r="K3448" s="278"/>
    </row>
    <row r="3449" spans="1:11" x14ac:dyDescent="0.15">
      <c r="A3449" s="278"/>
      <c r="B3449" s="278"/>
      <c r="C3449" s="278"/>
      <c r="D3449" s="278"/>
      <c r="E3449" s="278"/>
      <c r="F3449" s="278"/>
      <c r="G3449" s="278"/>
      <c r="H3449" s="278"/>
      <c r="I3449" s="278"/>
      <c r="J3449" s="278"/>
      <c r="K3449" s="278"/>
    </row>
    <row r="3450" spans="1:11" x14ac:dyDescent="0.15">
      <c r="A3450" s="278"/>
      <c r="B3450" s="278"/>
      <c r="C3450" s="278"/>
      <c r="D3450" s="278"/>
      <c r="E3450" s="278"/>
      <c r="F3450" s="278"/>
      <c r="G3450" s="278"/>
      <c r="H3450" s="278"/>
      <c r="I3450" s="278"/>
      <c r="J3450" s="278"/>
      <c r="K3450" s="278"/>
    </row>
    <row r="3451" spans="1:11" x14ac:dyDescent="0.15">
      <c r="A3451" s="278"/>
      <c r="B3451" s="278"/>
      <c r="C3451" s="278"/>
      <c r="D3451" s="278"/>
      <c r="E3451" s="278"/>
      <c r="F3451" s="278"/>
      <c r="G3451" s="278"/>
      <c r="H3451" s="278"/>
      <c r="I3451" s="278"/>
      <c r="J3451" s="278"/>
      <c r="K3451" s="278"/>
    </row>
    <row r="3452" spans="1:11" x14ac:dyDescent="0.15">
      <c r="A3452" s="278"/>
      <c r="B3452" s="278"/>
      <c r="C3452" s="278"/>
      <c r="D3452" s="278"/>
      <c r="E3452" s="278"/>
      <c r="F3452" s="278"/>
      <c r="G3452" s="278"/>
      <c r="H3452" s="278"/>
      <c r="I3452" s="278"/>
      <c r="J3452" s="278"/>
      <c r="K3452" s="278"/>
    </row>
    <row r="3453" spans="1:11" x14ac:dyDescent="0.15">
      <c r="A3453" s="278"/>
      <c r="B3453" s="278"/>
      <c r="C3453" s="278"/>
      <c r="D3453" s="278"/>
      <c r="E3453" s="278"/>
      <c r="F3453" s="278"/>
      <c r="G3453" s="278"/>
      <c r="H3453" s="278"/>
      <c r="I3453" s="278"/>
      <c r="J3453" s="278"/>
      <c r="K3453" s="278"/>
    </row>
    <row r="3454" spans="1:11" x14ac:dyDescent="0.15">
      <c r="A3454" s="278"/>
      <c r="B3454" s="278"/>
      <c r="C3454" s="278"/>
      <c r="D3454" s="278"/>
      <c r="E3454" s="278"/>
      <c r="F3454" s="278"/>
      <c r="G3454" s="278"/>
      <c r="H3454" s="278"/>
      <c r="I3454" s="278"/>
      <c r="J3454" s="278"/>
      <c r="K3454" s="278"/>
    </row>
    <row r="3455" spans="1:11" x14ac:dyDescent="0.15">
      <c r="A3455" s="278"/>
      <c r="B3455" s="278"/>
      <c r="C3455" s="278"/>
      <c r="D3455" s="278"/>
      <c r="E3455" s="278"/>
      <c r="F3455" s="278"/>
      <c r="G3455" s="278"/>
      <c r="H3455" s="278"/>
      <c r="I3455" s="278"/>
      <c r="J3455" s="278"/>
      <c r="K3455" s="278"/>
    </row>
    <row r="3456" spans="1:11" x14ac:dyDescent="0.15">
      <c r="A3456" s="278"/>
      <c r="B3456" s="278"/>
      <c r="C3456" s="278"/>
      <c r="D3456" s="278"/>
      <c r="E3456" s="278"/>
      <c r="F3456" s="278"/>
      <c r="G3456" s="278"/>
      <c r="H3456" s="278"/>
      <c r="I3456" s="278"/>
      <c r="J3456" s="278"/>
      <c r="K3456" s="278"/>
    </row>
    <row r="3457" spans="1:11" x14ac:dyDescent="0.15">
      <c r="A3457" s="278"/>
      <c r="B3457" s="278"/>
      <c r="C3457" s="278"/>
      <c r="D3457" s="278"/>
      <c r="E3457" s="278"/>
      <c r="F3457" s="278"/>
      <c r="G3457" s="278"/>
      <c r="H3457" s="278"/>
      <c r="I3457" s="278"/>
      <c r="J3457" s="278"/>
      <c r="K3457" s="278"/>
    </row>
    <row r="3458" spans="1:11" x14ac:dyDescent="0.15">
      <c r="A3458" s="278"/>
      <c r="B3458" s="278"/>
      <c r="C3458" s="278"/>
      <c r="D3458" s="278"/>
      <c r="E3458" s="278"/>
      <c r="F3458" s="278"/>
      <c r="G3458" s="278"/>
      <c r="H3458" s="278"/>
      <c r="I3458" s="278"/>
      <c r="J3458" s="278"/>
      <c r="K3458" s="278"/>
    </row>
    <row r="3459" spans="1:11" x14ac:dyDescent="0.15">
      <c r="A3459" s="278"/>
      <c r="B3459" s="278"/>
      <c r="C3459" s="278"/>
      <c r="D3459" s="278"/>
      <c r="E3459" s="278"/>
      <c r="F3459" s="278"/>
      <c r="G3459" s="278"/>
      <c r="H3459" s="278"/>
      <c r="I3459" s="278"/>
      <c r="J3459" s="278"/>
      <c r="K3459" s="278"/>
    </row>
    <row r="3460" spans="1:11" x14ac:dyDescent="0.15">
      <c r="A3460" s="278"/>
      <c r="B3460" s="278"/>
      <c r="C3460" s="278"/>
      <c r="D3460" s="278"/>
      <c r="E3460" s="278"/>
      <c r="F3460" s="278"/>
      <c r="G3460" s="278"/>
      <c r="H3460" s="278"/>
      <c r="I3460" s="278"/>
      <c r="J3460" s="278"/>
      <c r="K3460" s="278"/>
    </row>
    <row r="3461" spans="1:11" x14ac:dyDescent="0.15">
      <c r="A3461" s="278"/>
      <c r="B3461" s="278"/>
      <c r="C3461" s="278"/>
      <c r="D3461" s="278"/>
      <c r="E3461" s="278"/>
      <c r="F3461" s="278"/>
      <c r="G3461" s="278"/>
      <c r="H3461" s="278"/>
      <c r="I3461" s="278"/>
      <c r="J3461" s="278"/>
      <c r="K3461" s="278"/>
    </row>
    <row r="3462" spans="1:11" x14ac:dyDescent="0.15">
      <c r="A3462" s="278"/>
      <c r="B3462" s="278"/>
      <c r="C3462" s="278"/>
      <c r="D3462" s="278"/>
      <c r="E3462" s="278"/>
      <c r="F3462" s="278"/>
      <c r="G3462" s="278"/>
      <c r="H3462" s="278"/>
      <c r="I3462" s="278"/>
      <c r="J3462" s="278"/>
      <c r="K3462" s="278"/>
    </row>
    <row r="3463" spans="1:11" x14ac:dyDescent="0.15">
      <c r="A3463" s="278"/>
      <c r="B3463" s="278"/>
      <c r="C3463" s="278"/>
      <c r="D3463" s="278"/>
      <c r="E3463" s="278"/>
      <c r="F3463" s="278"/>
      <c r="G3463" s="278"/>
      <c r="H3463" s="278"/>
      <c r="I3463" s="278"/>
      <c r="J3463" s="278"/>
      <c r="K3463" s="278"/>
    </row>
    <row r="3464" spans="1:11" x14ac:dyDescent="0.15">
      <c r="A3464" s="278"/>
      <c r="B3464" s="278"/>
      <c r="C3464" s="278"/>
      <c r="D3464" s="278"/>
      <c r="E3464" s="278"/>
      <c r="F3464" s="278"/>
      <c r="G3464" s="278"/>
      <c r="H3464" s="278"/>
      <c r="I3464" s="278"/>
      <c r="J3464" s="278"/>
      <c r="K3464" s="278"/>
    </row>
    <row r="3465" spans="1:11" x14ac:dyDescent="0.15">
      <c r="A3465" s="278"/>
      <c r="B3465" s="278"/>
      <c r="C3465" s="278"/>
      <c r="D3465" s="278"/>
      <c r="E3465" s="278"/>
      <c r="F3465" s="278"/>
      <c r="G3465" s="278"/>
      <c r="H3465" s="278"/>
      <c r="I3465" s="278"/>
      <c r="J3465" s="278"/>
      <c r="K3465" s="278"/>
    </row>
    <row r="3466" spans="1:11" x14ac:dyDescent="0.15">
      <c r="A3466" s="278"/>
      <c r="B3466" s="278"/>
      <c r="C3466" s="278"/>
      <c r="D3466" s="278"/>
      <c r="E3466" s="278"/>
      <c r="F3466" s="278"/>
      <c r="G3466" s="278"/>
      <c r="H3466" s="278"/>
      <c r="I3466" s="278"/>
      <c r="J3466" s="278"/>
      <c r="K3466" s="278"/>
    </row>
    <row r="3467" spans="1:11" x14ac:dyDescent="0.15">
      <c r="A3467" s="278"/>
      <c r="B3467" s="278"/>
      <c r="C3467" s="278"/>
      <c r="D3467" s="278"/>
      <c r="E3467" s="278"/>
      <c r="F3467" s="278"/>
      <c r="G3467" s="278"/>
      <c r="H3467" s="278"/>
      <c r="I3467" s="278"/>
      <c r="J3467" s="278"/>
      <c r="K3467" s="278"/>
    </row>
    <row r="3468" spans="1:11" x14ac:dyDescent="0.15">
      <c r="A3468" s="278"/>
      <c r="B3468" s="278"/>
      <c r="C3468" s="278"/>
      <c r="D3468" s="278"/>
      <c r="E3468" s="278"/>
      <c r="F3468" s="278"/>
      <c r="G3468" s="278"/>
      <c r="H3468" s="278"/>
      <c r="I3468" s="278"/>
      <c r="J3468" s="278"/>
      <c r="K3468" s="278"/>
    </row>
    <row r="3469" spans="1:11" x14ac:dyDescent="0.15">
      <c r="A3469" s="278"/>
      <c r="B3469" s="278"/>
      <c r="C3469" s="278"/>
      <c r="D3469" s="278"/>
      <c r="E3469" s="278"/>
      <c r="F3469" s="278"/>
      <c r="G3469" s="278"/>
      <c r="H3469" s="278"/>
      <c r="I3469" s="278"/>
      <c r="J3469" s="278"/>
      <c r="K3469" s="278"/>
    </row>
    <row r="3470" spans="1:11" x14ac:dyDescent="0.15">
      <c r="A3470" s="278"/>
      <c r="B3470" s="278"/>
      <c r="C3470" s="278"/>
      <c r="D3470" s="278"/>
      <c r="E3470" s="278"/>
      <c r="F3470" s="278"/>
      <c r="G3470" s="278"/>
      <c r="H3470" s="278"/>
      <c r="I3470" s="278"/>
      <c r="J3470" s="278"/>
      <c r="K3470" s="278"/>
    </row>
    <row r="3471" spans="1:11" x14ac:dyDescent="0.15">
      <c r="A3471" s="278"/>
      <c r="B3471" s="278"/>
      <c r="C3471" s="278"/>
      <c r="D3471" s="278"/>
      <c r="E3471" s="278"/>
      <c r="F3471" s="278"/>
      <c r="G3471" s="278"/>
      <c r="H3471" s="278"/>
      <c r="I3471" s="278"/>
      <c r="J3471" s="278"/>
      <c r="K3471" s="278"/>
    </row>
    <row r="3472" spans="1:11" x14ac:dyDescent="0.15">
      <c r="A3472" s="278"/>
      <c r="B3472" s="278"/>
      <c r="C3472" s="278"/>
      <c r="D3472" s="278"/>
      <c r="E3472" s="278"/>
      <c r="F3472" s="278"/>
      <c r="G3472" s="278"/>
      <c r="H3472" s="278"/>
      <c r="I3472" s="278"/>
      <c r="J3472" s="278"/>
      <c r="K3472" s="278"/>
    </row>
    <row r="3473" spans="1:11" x14ac:dyDescent="0.15">
      <c r="A3473" s="278"/>
      <c r="B3473" s="278"/>
      <c r="C3473" s="278"/>
      <c r="D3473" s="278"/>
      <c r="E3473" s="278"/>
      <c r="F3473" s="278"/>
      <c r="G3473" s="278"/>
      <c r="H3473" s="278"/>
      <c r="I3473" s="278"/>
      <c r="J3473" s="278"/>
      <c r="K3473" s="278"/>
    </row>
    <row r="3474" spans="1:11" x14ac:dyDescent="0.15">
      <c r="A3474" s="278"/>
      <c r="B3474" s="278"/>
      <c r="C3474" s="278"/>
      <c r="D3474" s="278"/>
      <c r="E3474" s="278"/>
      <c r="F3474" s="278"/>
      <c r="G3474" s="278"/>
      <c r="H3474" s="278"/>
      <c r="I3474" s="278"/>
      <c r="J3474" s="278"/>
      <c r="K3474" s="278"/>
    </row>
    <row r="3475" spans="1:11" x14ac:dyDescent="0.15">
      <c r="A3475" s="278"/>
      <c r="B3475" s="278"/>
      <c r="C3475" s="278"/>
      <c r="D3475" s="278"/>
      <c r="E3475" s="278"/>
      <c r="F3475" s="278"/>
      <c r="G3475" s="278"/>
      <c r="H3475" s="278"/>
      <c r="I3475" s="278"/>
      <c r="J3475" s="278"/>
      <c r="K3475" s="278"/>
    </row>
    <row r="3476" spans="1:11" x14ac:dyDescent="0.15">
      <c r="A3476" s="278"/>
      <c r="B3476" s="278"/>
      <c r="C3476" s="278"/>
      <c r="D3476" s="278"/>
      <c r="E3476" s="278"/>
      <c r="F3476" s="278"/>
      <c r="G3476" s="278"/>
      <c r="H3476" s="278"/>
      <c r="I3476" s="278"/>
      <c r="J3476" s="278"/>
      <c r="K3476" s="278"/>
    </row>
    <row r="3477" spans="1:11" x14ac:dyDescent="0.15">
      <c r="A3477" s="278"/>
      <c r="B3477" s="278"/>
      <c r="C3477" s="278"/>
      <c r="D3477" s="278"/>
      <c r="E3477" s="278"/>
      <c r="F3477" s="278"/>
      <c r="G3477" s="278"/>
      <c r="H3477" s="278"/>
      <c r="I3477" s="278"/>
      <c r="J3477" s="278"/>
      <c r="K3477" s="278"/>
    </row>
    <row r="3478" spans="1:11" x14ac:dyDescent="0.15">
      <c r="A3478" s="278"/>
      <c r="B3478" s="278"/>
      <c r="C3478" s="278"/>
      <c r="D3478" s="278"/>
      <c r="E3478" s="278"/>
      <c r="F3478" s="278"/>
      <c r="G3478" s="278"/>
      <c r="H3478" s="278"/>
      <c r="I3478" s="278"/>
      <c r="J3478" s="278"/>
      <c r="K3478" s="278"/>
    </row>
    <row r="3479" spans="1:11" x14ac:dyDescent="0.15">
      <c r="A3479" s="278"/>
      <c r="B3479" s="278"/>
      <c r="C3479" s="278"/>
      <c r="D3479" s="278"/>
      <c r="E3479" s="278"/>
      <c r="F3479" s="278"/>
      <c r="G3479" s="278"/>
      <c r="H3479" s="278"/>
      <c r="I3479" s="278"/>
      <c r="J3479" s="278"/>
      <c r="K3479" s="278"/>
    </row>
    <row r="3480" spans="1:11" x14ac:dyDescent="0.15">
      <c r="A3480" s="278"/>
      <c r="B3480" s="278"/>
      <c r="C3480" s="278"/>
      <c r="D3480" s="278"/>
      <c r="E3480" s="278"/>
      <c r="F3480" s="278"/>
      <c r="G3480" s="278"/>
      <c r="H3480" s="278"/>
      <c r="I3480" s="278"/>
      <c r="J3480" s="278"/>
      <c r="K3480" s="278"/>
    </row>
    <row r="3481" spans="1:11" x14ac:dyDescent="0.15">
      <c r="A3481" s="278"/>
      <c r="B3481" s="278"/>
      <c r="C3481" s="278"/>
      <c r="D3481" s="278"/>
      <c r="E3481" s="278"/>
      <c r="F3481" s="278"/>
      <c r="G3481" s="278"/>
      <c r="H3481" s="278"/>
      <c r="I3481" s="278"/>
      <c r="J3481" s="278"/>
      <c r="K3481" s="278"/>
    </row>
    <row r="3482" spans="1:11" x14ac:dyDescent="0.15">
      <c r="A3482" s="278"/>
      <c r="B3482" s="278"/>
      <c r="C3482" s="278"/>
      <c r="D3482" s="278"/>
      <c r="E3482" s="278"/>
      <c r="F3482" s="278"/>
      <c r="G3482" s="278"/>
      <c r="H3482" s="278"/>
      <c r="I3482" s="278"/>
      <c r="J3482" s="278"/>
      <c r="K3482" s="278"/>
    </row>
    <row r="3483" spans="1:11" x14ac:dyDescent="0.15">
      <c r="A3483" s="278"/>
      <c r="B3483" s="278"/>
      <c r="C3483" s="278"/>
      <c r="D3483" s="278"/>
      <c r="E3483" s="278"/>
      <c r="F3483" s="278"/>
      <c r="G3483" s="278"/>
      <c r="H3483" s="278"/>
      <c r="I3483" s="278"/>
      <c r="J3483" s="278"/>
      <c r="K3483" s="278"/>
    </row>
    <row r="3484" spans="1:11" x14ac:dyDescent="0.15">
      <c r="A3484" s="278"/>
      <c r="B3484" s="278"/>
      <c r="C3484" s="278"/>
      <c r="D3484" s="278"/>
      <c r="E3484" s="278"/>
      <c r="F3484" s="278"/>
      <c r="G3484" s="278"/>
      <c r="H3484" s="278"/>
      <c r="I3484" s="278"/>
      <c r="J3484" s="278"/>
      <c r="K3484" s="278"/>
    </row>
    <row r="3485" spans="1:11" x14ac:dyDescent="0.15">
      <c r="A3485" s="278"/>
      <c r="B3485" s="278"/>
      <c r="C3485" s="278"/>
      <c r="D3485" s="278"/>
      <c r="E3485" s="278"/>
      <c r="F3485" s="278"/>
      <c r="G3485" s="278"/>
      <c r="H3485" s="278"/>
      <c r="I3485" s="278"/>
      <c r="J3485" s="278"/>
      <c r="K3485" s="278"/>
    </row>
    <row r="3486" spans="1:11" x14ac:dyDescent="0.15">
      <c r="A3486" s="278"/>
      <c r="B3486" s="278"/>
      <c r="C3486" s="278"/>
      <c r="D3486" s="278"/>
      <c r="E3486" s="278"/>
      <c r="F3486" s="278"/>
      <c r="G3486" s="278"/>
      <c r="H3486" s="278"/>
      <c r="I3486" s="278"/>
      <c r="J3486" s="278"/>
      <c r="K3486" s="278"/>
    </row>
    <row r="3487" spans="1:11" x14ac:dyDescent="0.15">
      <c r="A3487" s="278"/>
      <c r="B3487" s="278"/>
      <c r="C3487" s="278"/>
      <c r="D3487" s="278"/>
      <c r="E3487" s="278"/>
      <c r="F3487" s="278"/>
      <c r="G3487" s="278"/>
      <c r="H3487" s="278"/>
      <c r="I3487" s="278"/>
      <c r="J3487" s="278"/>
      <c r="K3487" s="278"/>
    </row>
    <row r="3488" spans="1:11" x14ac:dyDescent="0.15">
      <c r="A3488" s="278"/>
      <c r="B3488" s="278"/>
      <c r="C3488" s="278"/>
      <c r="D3488" s="278"/>
      <c r="E3488" s="278"/>
      <c r="F3488" s="278"/>
      <c r="G3488" s="278"/>
      <c r="H3488" s="278"/>
      <c r="I3488" s="278"/>
      <c r="J3488" s="278"/>
      <c r="K3488" s="278"/>
    </row>
    <row r="3489" spans="1:11" x14ac:dyDescent="0.15">
      <c r="A3489" s="278"/>
      <c r="B3489" s="278"/>
      <c r="C3489" s="278"/>
      <c r="D3489" s="278"/>
      <c r="E3489" s="278"/>
      <c r="F3489" s="278"/>
      <c r="G3489" s="278"/>
      <c r="H3489" s="278"/>
      <c r="I3489" s="278"/>
      <c r="J3489" s="278"/>
      <c r="K3489" s="278"/>
    </row>
    <row r="3490" spans="1:11" x14ac:dyDescent="0.15">
      <c r="A3490" s="278"/>
      <c r="B3490" s="278"/>
      <c r="C3490" s="278"/>
      <c r="D3490" s="278"/>
      <c r="E3490" s="278"/>
      <c r="F3490" s="278"/>
      <c r="G3490" s="278"/>
      <c r="H3490" s="278"/>
      <c r="I3490" s="278"/>
      <c r="J3490" s="278"/>
      <c r="K3490" s="278"/>
    </row>
    <row r="3491" spans="1:11" x14ac:dyDescent="0.15">
      <c r="A3491" s="278"/>
      <c r="B3491" s="278"/>
      <c r="C3491" s="278"/>
      <c r="D3491" s="278"/>
      <c r="E3491" s="278"/>
      <c r="F3491" s="278"/>
      <c r="G3491" s="278"/>
      <c r="H3491" s="278"/>
      <c r="I3491" s="278"/>
      <c r="J3491" s="278"/>
      <c r="K3491" s="278"/>
    </row>
    <row r="3492" spans="1:11" x14ac:dyDescent="0.15">
      <c r="A3492" s="278"/>
      <c r="B3492" s="278"/>
      <c r="C3492" s="278"/>
      <c r="D3492" s="278"/>
      <c r="E3492" s="278"/>
      <c r="F3492" s="278"/>
      <c r="G3492" s="278"/>
      <c r="H3492" s="278"/>
      <c r="I3492" s="278"/>
      <c r="J3492" s="278"/>
      <c r="K3492" s="278"/>
    </row>
    <row r="3493" spans="1:11" x14ac:dyDescent="0.15">
      <c r="A3493" s="278"/>
      <c r="B3493" s="278"/>
      <c r="C3493" s="278"/>
      <c r="D3493" s="278"/>
      <c r="E3493" s="278"/>
      <c r="F3493" s="278"/>
      <c r="G3493" s="278"/>
      <c r="H3493" s="278"/>
      <c r="I3493" s="278"/>
      <c r="J3493" s="278"/>
      <c r="K3493" s="278"/>
    </row>
    <row r="3494" spans="1:11" x14ac:dyDescent="0.15">
      <c r="A3494" s="278"/>
      <c r="B3494" s="278"/>
      <c r="C3494" s="278"/>
      <c r="D3494" s="278"/>
      <c r="E3494" s="278"/>
      <c r="F3494" s="278"/>
      <c r="G3494" s="278"/>
      <c r="H3494" s="278"/>
      <c r="I3494" s="278"/>
      <c r="J3494" s="278"/>
      <c r="K3494" s="278"/>
    </row>
    <row r="3495" spans="1:11" x14ac:dyDescent="0.15">
      <c r="A3495" s="278"/>
      <c r="B3495" s="278"/>
      <c r="C3495" s="278"/>
      <c r="D3495" s="278"/>
      <c r="E3495" s="278"/>
      <c r="F3495" s="278"/>
      <c r="G3495" s="278"/>
      <c r="H3495" s="278"/>
      <c r="I3495" s="278"/>
      <c r="J3495" s="278"/>
      <c r="K3495" s="278"/>
    </row>
    <row r="3496" spans="1:11" x14ac:dyDescent="0.15">
      <c r="A3496" s="278"/>
      <c r="B3496" s="278"/>
      <c r="C3496" s="278"/>
      <c r="D3496" s="278"/>
      <c r="E3496" s="278"/>
      <c r="F3496" s="278"/>
      <c r="G3496" s="278"/>
      <c r="H3496" s="278"/>
      <c r="I3496" s="278"/>
      <c r="J3496" s="278"/>
      <c r="K3496" s="278"/>
    </row>
    <row r="3497" spans="1:11" x14ac:dyDescent="0.15">
      <c r="A3497" s="278"/>
      <c r="B3497" s="278"/>
      <c r="C3497" s="278"/>
      <c r="D3497" s="278"/>
      <c r="E3497" s="278"/>
      <c r="F3497" s="278"/>
      <c r="G3497" s="278"/>
      <c r="H3497" s="278"/>
      <c r="I3497" s="278"/>
      <c r="J3497" s="278"/>
      <c r="K3497" s="278"/>
    </row>
    <row r="3498" spans="1:11" x14ac:dyDescent="0.15">
      <c r="A3498" s="278"/>
      <c r="B3498" s="278"/>
      <c r="C3498" s="278"/>
      <c r="D3498" s="278"/>
      <c r="E3498" s="278"/>
      <c r="F3498" s="278"/>
      <c r="G3498" s="278"/>
      <c r="H3498" s="278"/>
      <c r="I3498" s="278"/>
      <c r="J3498" s="278"/>
      <c r="K3498" s="278"/>
    </row>
    <row r="3499" spans="1:11" x14ac:dyDescent="0.15">
      <c r="A3499" s="278"/>
      <c r="B3499" s="278"/>
      <c r="C3499" s="278"/>
      <c r="D3499" s="278"/>
      <c r="E3499" s="278"/>
      <c r="F3499" s="278"/>
      <c r="G3499" s="278"/>
      <c r="H3499" s="278"/>
      <c r="I3499" s="278"/>
      <c r="J3499" s="278"/>
      <c r="K3499" s="278"/>
    </row>
    <row r="3500" spans="1:11" x14ac:dyDescent="0.15">
      <c r="A3500" s="278"/>
      <c r="B3500" s="278"/>
      <c r="C3500" s="278"/>
      <c r="D3500" s="278"/>
      <c r="E3500" s="278"/>
      <c r="F3500" s="278"/>
      <c r="G3500" s="278"/>
      <c r="H3500" s="278"/>
      <c r="I3500" s="278"/>
      <c r="J3500" s="278"/>
      <c r="K3500" s="278"/>
    </row>
    <row r="3501" spans="1:11" x14ac:dyDescent="0.15">
      <c r="A3501" s="278"/>
      <c r="B3501" s="278"/>
      <c r="C3501" s="278"/>
      <c r="D3501" s="278"/>
      <c r="E3501" s="278"/>
      <c r="F3501" s="278"/>
      <c r="G3501" s="278"/>
      <c r="H3501" s="278"/>
      <c r="I3501" s="278"/>
      <c r="J3501" s="278"/>
      <c r="K3501" s="278"/>
    </row>
    <row r="3502" spans="1:11" x14ac:dyDescent="0.15">
      <c r="A3502" s="278"/>
      <c r="B3502" s="278"/>
      <c r="C3502" s="278"/>
      <c r="D3502" s="278"/>
      <c r="E3502" s="278"/>
      <c r="F3502" s="278"/>
      <c r="G3502" s="278"/>
      <c r="H3502" s="278"/>
      <c r="I3502" s="278"/>
      <c r="J3502" s="278"/>
      <c r="K3502" s="278"/>
    </row>
    <row r="3503" spans="1:11" x14ac:dyDescent="0.15">
      <c r="A3503" s="278"/>
      <c r="B3503" s="278"/>
      <c r="C3503" s="278"/>
      <c r="D3503" s="278"/>
      <c r="E3503" s="278"/>
      <c r="F3503" s="278"/>
      <c r="G3503" s="278"/>
      <c r="H3503" s="278"/>
      <c r="I3503" s="278"/>
      <c r="J3503" s="278"/>
      <c r="K3503" s="278"/>
    </row>
    <row r="3504" spans="1:11" x14ac:dyDescent="0.15">
      <c r="A3504" s="278"/>
      <c r="B3504" s="278"/>
      <c r="C3504" s="278"/>
      <c r="D3504" s="278"/>
      <c r="E3504" s="278"/>
      <c r="F3504" s="278"/>
      <c r="G3504" s="278"/>
      <c r="H3504" s="278"/>
      <c r="I3504" s="278"/>
      <c r="J3504" s="278"/>
      <c r="K3504" s="278"/>
    </row>
    <row r="3505" spans="1:11" x14ac:dyDescent="0.15">
      <c r="A3505" s="278"/>
      <c r="B3505" s="278"/>
      <c r="C3505" s="278"/>
      <c r="D3505" s="278"/>
      <c r="E3505" s="278"/>
      <c r="F3505" s="278"/>
      <c r="G3505" s="278"/>
      <c r="H3505" s="278"/>
      <c r="I3505" s="278"/>
      <c r="J3505" s="278"/>
      <c r="K3505" s="278"/>
    </row>
    <row r="3506" spans="1:11" x14ac:dyDescent="0.15">
      <c r="A3506" s="278"/>
      <c r="B3506" s="278"/>
      <c r="C3506" s="278"/>
      <c r="D3506" s="278"/>
      <c r="E3506" s="278"/>
      <c r="F3506" s="278"/>
      <c r="G3506" s="278"/>
      <c r="H3506" s="278"/>
      <c r="I3506" s="278"/>
      <c r="J3506" s="278"/>
      <c r="K3506" s="278"/>
    </row>
    <row r="3507" spans="1:11" x14ac:dyDescent="0.15">
      <c r="A3507" s="278"/>
      <c r="B3507" s="278"/>
      <c r="C3507" s="278"/>
      <c r="D3507" s="278"/>
      <c r="E3507" s="278"/>
      <c r="F3507" s="278"/>
      <c r="G3507" s="278"/>
      <c r="H3507" s="278"/>
      <c r="I3507" s="278"/>
      <c r="J3507" s="278"/>
      <c r="K3507" s="278"/>
    </row>
    <row r="3508" spans="1:11" x14ac:dyDescent="0.15">
      <c r="A3508" s="278"/>
      <c r="B3508" s="278"/>
      <c r="C3508" s="278"/>
      <c r="D3508" s="278"/>
      <c r="E3508" s="278"/>
      <c r="F3508" s="278"/>
      <c r="G3508" s="278"/>
      <c r="H3508" s="278"/>
      <c r="I3508" s="278"/>
      <c r="J3508" s="278"/>
      <c r="K3508" s="278"/>
    </row>
    <row r="3509" spans="1:11" x14ac:dyDescent="0.15">
      <c r="A3509" s="278"/>
      <c r="B3509" s="278"/>
      <c r="C3509" s="278"/>
      <c r="D3509" s="278"/>
      <c r="E3509" s="278"/>
      <c r="F3509" s="278"/>
      <c r="G3509" s="278"/>
      <c r="H3509" s="278"/>
      <c r="I3509" s="278"/>
      <c r="J3509" s="278"/>
      <c r="K3509" s="278"/>
    </row>
    <row r="3510" spans="1:11" x14ac:dyDescent="0.15">
      <c r="A3510" s="278"/>
      <c r="B3510" s="278"/>
      <c r="C3510" s="278"/>
      <c r="D3510" s="278"/>
      <c r="E3510" s="278"/>
      <c r="F3510" s="278"/>
      <c r="G3510" s="278"/>
      <c r="H3510" s="278"/>
      <c r="I3510" s="278"/>
      <c r="J3510" s="278"/>
      <c r="K3510" s="278"/>
    </row>
    <row r="3511" spans="1:11" x14ac:dyDescent="0.15">
      <c r="A3511" s="278"/>
      <c r="B3511" s="278"/>
      <c r="C3511" s="278"/>
      <c r="D3511" s="278"/>
      <c r="E3511" s="278"/>
      <c r="F3511" s="278"/>
      <c r="G3511" s="278"/>
      <c r="H3511" s="278"/>
      <c r="I3511" s="278"/>
      <c r="J3511" s="278"/>
      <c r="K3511" s="278"/>
    </row>
    <row r="3512" spans="1:11" x14ac:dyDescent="0.15">
      <c r="A3512" s="278"/>
      <c r="B3512" s="278"/>
      <c r="C3512" s="278"/>
      <c r="D3512" s="278"/>
      <c r="E3512" s="278"/>
      <c r="F3512" s="278"/>
      <c r="G3512" s="278"/>
      <c r="H3512" s="278"/>
      <c r="I3512" s="278"/>
      <c r="J3512" s="278"/>
      <c r="K3512" s="278"/>
    </row>
    <row r="3513" spans="1:11" x14ac:dyDescent="0.15">
      <c r="A3513" s="278"/>
      <c r="B3513" s="278"/>
      <c r="C3513" s="278"/>
      <c r="D3513" s="278"/>
      <c r="E3513" s="278"/>
      <c r="F3513" s="278"/>
      <c r="G3513" s="278"/>
      <c r="H3513" s="278"/>
      <c r="I3513" s="278"/>
      <c r="J3513" s="278"/>
      <c r="K3513" s="278"/>
    </row>
    <row r="3514" spans="1:11" x14ac:dyDescent="0.15">
      <c r="A3514" s="278"/>
      <c r="B3514" s="278"/>
      <c r="C3514" s="278"/>
      <c r="D3514" s="278"/>
      <c r="E3514" s="278"/>
      <c r="F3514" s="278"/>
      <c r="G3514" s="278"/>
      <c r="H3514" s="278"/>
      <c r="I3514" s="278"/>
      <c r="J3514" s="278"/>
      <c r="K3514" s="278"/>
    </row>
    <row r="3515" spans="1:11" x14ac:dyDescent="0.15">
      <c r="A3515" s="278"/>
      <c r="B3515" s="278"/>
      <c r="C3515" s="278"/>
      <c r="D3515" s="278"/>
      <c r="E3515" s="278"/>
      <c r="F3515" s="278"/>
      <c r="G3515" s="278"/>
      <c r="H3515" s="278"/>
      <c r="I3515" s="278"/>
      <c r="J3515" s="278"/>
      <c r="K3515" s="278"/>
    </row>
    <row r="3516" spans="1:11" x14ac:dyDescent="0.15">
      <c r="A3516" s="278"/>
      <c r="B3516" s="278"/>
      <c r="C3516" s="278"/>
      <c r="D3516" s="278"/>
      <c r="E3516" s="278"/>
      <c r="F3516" s="278"/>
      <c r="G3516" s="278"/>
      <c r="H3516" s="278"/>
      <c r="I3516" s="278"/>
      <c r="J3516" s="278"/>
      <c r="K3516" s="278"/>
    </row>
    <row r="3517" spans="1:11" x14ac:dyDescent="0.15">
      <c r="A3517" s="278"/>
      <c r="B3517" s="278"/>
      <c r="C3517" s="278"/>
      <c r="D3517" s="278"/>
      <c r="E3517" s="278"/>
      <c r="F3517" s="278"/>
      <c r="G3517" s="278"/>
      <c r="H3517" s="278"/>
      <c r="I3517" s="278"/>
      <c r="J3517" s="278"/>
      <c r="K3517" s="278"/>
    </row>
    <row r="3518" spans="1:11" x14ac:dyDescent="0.15">
      <c r="A3518" s="278"/>
      <c r="B3518" s="278"/>
      <c r="C3518" s="278"/>
      <c r="D3518" s="278"/>
      <c r="E3518" s="278"/>
      <c r="F3518" s="278"/>
      <c r="G3518" s="278"/>
      <c r="H3518" s="278"/>
      <c r="I3518" s="278"/>
      <c r="J3518" s="278"/>
      <c r="K3518" s="278"/>
    </row>
    <row r="3519" spans="1:11" x14ac:dyDescent="0.15">
      <c r="A3519" s="278"/>
      <c r="B3519" s="278"/>
      <c r="C3519" s="278"/>
      <c r="D3519" s="278"/>
      <c r="E3519" s="278"/>
      <c r="F3519" s="278"/>
      <c r="G3519" s="278"/>
      <c r="H3519" s="278"/>
      <c r="I3519" s="278"/>
      <c r="J3519" s="278"/>
      <c r="K3519" s="278"/>
    </row>
    <row r="3520" spans="1:11" x14ac:dyDescent="0.15">
      <c r="A3520" s="278"/>
      <c r="B3520" s="278"/>
      <c r="C3520" s="278"/>
      <c r="D3520" s="278"/>
      <c r="E3520" s="278"/>
      <c r="F3520" s="278"/>
      <c r="G3520" s="278"/>
      <c r="H3520" s="278"/>
      <c r="I3520" s="278"/>
      <c r="J3520" s="278"/>
      <c r="K3520" s="278"/>
    </row>
    <row r="3521" spans="1:11" x14ac:dyDescent="0.15">
      <c r="A3521" s="278"/>
      <c r="B3521" s="278"/>
      <c r="C3521" s="278"/>
      <c r="D3521" s="278"/>
      <c r="E3521" s="278"/>
      <c r="F3521" s="278"/>
      <c r="G3521" s="278"/>
      <c r="H3521" s="278"/>
      <c r="I3521" s="278"/>
      <c r="J3521" s="278"/>
      <c r="K3521" s="278"/>
    </row>
    <row r="3522" spans="1:11" x14ac:dyDescent="0.15">
      <c r="A3522" s="278"/>
      <c r="B3522" s="278"/>
      <c r="C3522" s="278"/>
      <c r="D3522" s="278"/>
      <c r="E3522" s="278"/>
      <c r="F3522" s="278"/>
      <c r="G3522" s="278"/>
      <c r="H3522" s="278"/>
      <c r="I3522" s="278"/>
      <c r="J3522" s="278"/>
      <c r="K3522" s="278"/>
    </row>
    <row r="3523" spans="1:11" x14ac:dyDescent="0.15">
      <c r="A3523" s="278"/>
      <c r="B3523" s="278"/>
      <c r="C3523" s="278"/>
      <c r="D3523" s="278"/>
      <c r="E3523" s="278"/>
      <c r="F3523" s="278"/>
      <c r="G3523" s="278"/>
      <c r="H3523" s="278"/>
      <c r="I3523" s="278"/>
      <c r="J3523" s="278"/>
      <c r="K3523" s="278"/>
    </row>
    <row r="3524" spans="1:11" x14ac:dyDescent="0.15">
      <c r="A3524" s="278"/>
      <c r="B3524" s="278"/>
      <c r="C3524" s="278"/>
      <c r="D3524" s="278"/>
      <c r="E3524" s="278"/>
      <c r="F3524" s="278"/>
      <c r="G3524" s="278"/>
      <c r="H3524" s="278"/>
      <c r="I3524" s="278"/>
      <c r="J3524" s="278"/>
      <c r="K3524" s="278"/>
    </row>
    <row r="3525" spans="1:11" x14ac:dyDescent="0.15">
      <c r="A3525" s="278"/>
      <c r="B3525" s="278"/>
      <c r="C3525" s="278"/>
      <c r="D3525" s="278"/>
      <c r="E3525" s="278"/>
      <c r="F3525" s="278"/>
      <c r="G3525" s="278"/>
      <c r="H3525" s="278"/>
      <c r="I3525" s="278"/>
      <c r="J3525" s="278"/>
      <c r="K3525" s="278"/>
    </row>
    <row r="3526" spans="1:11" x14ac:dyDescent="0.15">
      <c r="A3526" s="278"/>
      <c r="B3526" s="278"/>
      <c r="C3526" s="278"/>
      <c r="D3526" s="278"/>
      <c r="E3526" s="278"/>
      <c r="F3526" s="278"/>
      <c r="G3526" s="278"/>
      <c r="H3526" s="278"/>
      <c r="I3526" s="278"/>
      <c r="J3526" s="278"/>
      <c r="K3526" s="278"/>
    </row>
    <row r="3527" spans="1:11" x14ac:dyDescent="0.15">
      <c r="A3527" s="278"/>
      <c r="B3527" s="278"/>
      <c r="C3527" s="278"/>
      <c r="D3527" s="278"/>
      <c r="E3527" s="278"/>
      <c r="F3527" s="278"/>
      <c r="G3527" s="278"/>
      <c r="H3527" s="278"/>
      <c r="I3527" s="278"/>
      <c r="J3527" s="278"/>
      <c r="K3527" s="278"/>
    </row>
    <row r="3528" spans="1:11" x14ac:dyDescent="0.15">
      <c r="A3528" s="278"/>
      <c r="B3528" s="278"/>
      <c r="C3528" s="278"/>
      <c r="D3528" s="278"/>
      <c r="E3528" s="278"/>
      <c r="F3528" s="278"/>
      <c r="G3528" s="278"/>
      <c r="H3528" s="278"/>
      <c r="I3528" s="278"/>
      <c r="J3528" s="278"/>
      <c r="K3528" s="278"/>
    </row>
    <row r="3529" spans="1:11" x14ac:dyDescent="0.15">
      <c r="A3529" s="278"/>
      <c r="B3529" s="278"/>
      <c r="C3529" s="278"/>
      <c r="D3529" s="278"/>
      <c r="E3529" s="278"/>
      <c r="F3529" s="278"/>
      <c r="G3529" s="278"/>
      <c r="H3529" s="278"/>
      <c r="I3529" s="278"/>
      <c r="J3529" s="278"/>
      <c r="K3529" s="278"/>
    </row>
    <row r="3530" spans="1:11" x14ac:dyDescent="0.15">
      <c r="A3530" s="278"/>
      <c r="B3530" s="278"/>
      <c r="C3530" s="278"/>
      <c r="D3530" s="278"/>
      <c r="E3530" s="278"/>
      <c r="F3530" s="278"/>
      <c r="G3530" s="278"/>
      <c r="H3530" s="278"/>
      <c r="I3530" s="278"/>
      <c r="J3530" s="278"/>
      <c r="K3530" s="278"/>
    </row>
    <row r="3531" spans="1:11" x14ac:dyDescent="0.15">
      <c r="A3531" s="278"/>
      <c r="B3531" s="278"/>
      <c r="C3531" s="278"/>
      <c r="D3531" s="278"/>
      <c r="E3531" s="278"/>
      <c r="F3531" s="278"/>
      <c r="G3531" s="278"/>
      <c r="H3531" s="278"/>
      <c r="I3531" s="278"/>
      <c r="J3531" s="278"/>
      <c r="K3531" s="278"/>
    </row>
    <row r="3532" spans="1:11" x14ac:dyDescent="0.15">
      <c r="A3532" s="278"/>
      <c r="B3532" s="278"/>
      <c r="C3532" s="278"/>
      <c r="D3532" s="278"/>
      <c r="E3532" s="278"/>
      <c r="F3532" s="278"/>
      <c r="G3532" s="278"/>
      <c r="H3532" s="278"/>
      <c r="I3532" s="278"/>
      <c r="J3532" s="278"/>
      <c r="K3532" s="278"/>
    </row>
    <row r="3533" spans="1:11" x14ac:dyDescent="0.15">
      <c r="A3533" s="278"/>
      <c r="B3533" s="278"/>
      <c r="C3533" s="278"/>
      <c r="D3533" s="278"/>
      <c r="E3533" s="278"/>
      <c r="F3533" s="278"/>
      <c r="G3533" s="278"/>
      <c r="H3533" s="278"/>
      <c r="I3533" s="278"/>
      <c r="J3533" s="278"/>
      <c r="K3533" s="278"/>
    </row>
    <row r="3534" spans="1:11" x14ac:dyDescent="0.15">
      <c r="A3534" s="278"/>
      <c r="B3534" s="278"/>
      <c r="C3534" s="278"/>
      <c r="D3534" s="278"/>
      <c r="E3534" s="278"/>
      <c r="F3534" s="278"/>
      <c r="G3534" s="278"/>
      <c r="H3534" s="278"/>
      <c r="I3534" s="278"/>
      <c r="J3534" s="278"/>
      <c r="K3534" s="278"/>
    </row>
    <row r="3535" spans="1:11" x14ac:dyDescent="0.15">
      <c r="A3535" s="278"/>
      <c r="B3535" s="278"/>
      <c r="C3535" s="278"/>
      <c r="D3535" s="278"/>
      <c r="E3535" s="278"/>
      <c r="F3535" s="278"/>
      <c r="G3535" s="278"/>
      <c r="H3535" s="278"/>
      <c r="I3535" s="278"/>
      <c r="J3535" s="278"/>
      <c r="K3535" s="278"/>
    </row>
    <row r="3536" spans="1:11" x14ac:dyDescent="0.15">
      <c r="A3536" s="278"/>
      <c r="B3536" s="278"/>
      <c r="C3536" s="278"/>
      <c r="D3536" s="278"/>
      <c r="E3536" s="278"/>
      <c r="F3536" s="278"/>
      <c r="G3536" s="278"/>
      <c r="H3536" s="278"/>
      <c r="I3536" s="278"/>
      <c r="J3536" s="278"/>
      <c r="K3536" s="278"/>
    </row>
    <row r="3537" spans="1:11" x14ac:dyDescent="0.15">
      <c r="A3537" s="278"/>
      <c r="B3537" s="278"/>
      <c r="C3537" s="278"/>
      <c r="D3537" s="278"/>
      <c r="E3537" s="278"/>
      <c r="F3537" s="278"/>
      <c r="G3537" s="278"/>
      <c r="H3537" s="278"/>
      <c r="I3537" s="278"/>
      <c r="J3537" s="278"/>
      <c r="K3537" s="278"/>
    </row>
    <row r="3538" spans="1:11" x14ac:dyDescent="0.15">
      <c r="A3538" s="278"/>
      <c r="B3538" s="278"/>
      <c r="C3538" s="278"/>
      <c r="D3538" s="278"/>
      <c r="E3538" s="278"/>
      <c r="F3538" s="278"/>
      <c r="G3538" s="278"/>
      <c r="H3538" s="278"/>
      <c r="I3538" s="278"/>
      <c r="J3538" s="278"/>
      <c r="K3538" s="278"/>
    </row>
    <row r="3539" spans="1:11" x14ac:dyDescent="0.15">
      <c r="A3539" s="278"/>
      <c r="B3539" s="278"/>
      <c r="C3539" s="278"/>
      <c r="D3539" s="278"/>
      <c r="E3539" s="278"/>
      <c r="F3539" s="278"/>
      <c r="G3539" s="278"/>
      <c r="H3539" s="278"/>
      <c r="I3539" s="278"/>
      <c r="J3539" s="278"/>
      <c r="K3539" s="278"/>
    </row>
    <row r="3540" spans="1:11" x14ac:dyDescent="0.15">
      <c r="A3540" s="278"/>
      <c r="B3540" s="278"/>
      <c r="C3540" s="278"/>
      <c r="D3540" s="278"/>
      <c r="E3540" s="278"/>
      <c r="F3540" s="278"/>
      <c r="G3540" s="278"/>
      <c r="H3540" s="278"/>
      <c r="I3540" s="278"/>
      <c r="J3540" s="278"/>
      <c r="K3540" s="278"/>
    </row>
    <row r="3541" spans="1:11" x14ac:dyDescent="0.15">
      <c r="A3541" s="278"/>
      <c r="B3541" s="278"/>
      <c r="C3541" s="278"/>
      <c r="D3541" s="278"/>
      <c r="E3541" s="278"/>
      <c r="F3541" s="278"/>
      <c r="G3541" s="278"/>
      <c r="H3541" s="278"/>
      <c r="I3541" s="278"/>
      <c r="J3541" s="278"/>
      <c r="K3541" s="278"/>
    </row>
    <row r="3542" spans="1:11" x14ac:dyDescent="0.15">
      <c r="A3542" s="278"/>
      <c r="B3542" s="278"/>
      <c r="C3542" s="278"/>
      <c r="D3542" s="278"/>
      <c r="E3542" s="278"/>
      <c r="F3542" s="278"/>
      <c r="G3542" s="278"/>
      <c r="H3542" s="278"/>
      <c r="I3542" s="278"/>
      <c r="J3542" s="278"/>
      <c r="K3542" s="278"/>
    </row>
    <row r="3543" spans="1:11" x14ac:dyDescent="0.15">
      <c r="A3543" s="278"/>
      <c r="B3543" s="278"/>
      <c r="C3543" s="278"/>
      <c r="D3543" s="278"/>
      <c r="E3543" s="278"/>
      <c r="F3543" s="278"/>
      <c r="G3543" s="278"/>
      <c r="H3543" s="278"/>
      <c r="I3543" s="278"/>
      <c r="J3543" s="278"/>
      <c r="K3543" s="278"/>
    </row>
    <row r="3544" spans="1:11" x14ac:dyDescent="0.15">
      <c r="A3544" s="278"/>
      <c r="B3544" s="278"/>
      <c r="C3544" s="278"/>
      <c r="D3544" s="278"/>
      <c r="E3544" s="278"/>
      <c r="F3544" s="278"/>
      <c r="G3544" s="278"/>
      <c r="H3544" s="278"/>
      <c r="I3544" s="278"/>
      <c r="J3544" s="278"/>
      <c r="K3544" s="278"/>
    </row>
    <row r="3545" spans="1:11" x14ac:dyDescent="0.15">
      <c r="A3545" s="278"/>
      <c r="B3545" s="278"/>
      <c r="C3545" s="278"/>
      <c r="D3545" s="278"/>
      <c r="E3545" s="278"/>
      <c r="F3545" s="278"/>
      <c r="G3545" s="278"/>
      <c r="H3545" s="278"/>
      <c r="I3545" s="278"/>
      <c r="J3545" s="278"/>
      <c r="K3545" s="278"/>
    </row>
    <row r="3546" spans="1:11" x14ac:dyDescent="0.15">
      <c r="A3546" s="278"/>
      <c r="B3546" s="278"/>
      <c r="C3546" s="278"/>
      <c r="D3546" s="278"/>
      <c r="E3546" s="278"/>
      <c r="F3546" s="278"/>
      <c r="G3546" s="278"/>
      <c r="H3546" s="278"/>
      <c r="I3546" s="278"/>
      <c r="J3546" s="278"/>
      <c r="K3546" s="278"/>
    </row>
    <row r="3547" spans="1:11" x14ac:dyDescent="0.15">
      <c r="A3547" s="278"/>
      <c r="B3547" s="278"/>
      <c r="C3547" s="278"/>
      <c r="D3547" s="278"/>
      <c r="E3547" s="278"/>
      <c r="F3547" s="278"/>
      <c r="G3547" s="278"/>
      <c r="H3547" s="278"/>
      <c r="I3547" s="278"/>
      <c r="J3547" s="278"/>
      <c r="K3547" s="278"/>
    </row>
    <row r="3548" spans="1:11" x14ac:dyDescent="0.15">
      <c r="A3548" s="278"/>
      <c r="B3548" s="278"/>
      <c r="C3548" s="278"/>
      <c r="D3548" s="278"/>
      <c r="E3548" s="278"/>
      <c r="F3548" s="278"/>
      <c r="G3548" s="278"/>
      <c r="H3548" s="278"/>
      <c r="I3548" s="278"/>
      <c r="J3548" s="278"/>
      <c r="K3548" s="278"/>
    </row>
    <row r="3549" spans="1:11" x14ac:dyDescent="0.15">
      <c r="A3549" s="278"/>
      <c r="B3549" s="278"/>
      <c r="C3549" s="278"/>
      <c r="D3549" s="278"/>
      <c r="E3549" s="278"/>
      <c r="F3549" s="278"/>
      <c r="G3549" s="278"/>
      <c r="H3549" s="278"/>
      <c r="I3549" s="278"/>
      <c r="J3549" s="278"/>
      <c r="K3549" s="278"/>
    </row>
    <row r="3550" spans="1:11" x14ac:dyDescent="0.15">
      <c r="A3550" s="278"/>
      <c r="B3550" s="278"/>
      <c r="C3550" s="278"/>
      <c r="D3550" s="278"/>
      <c r="E3550" s="278"/>
      <c r="F3550" s="278"/>
      <c r="G3550" s="278"/>
      <c r="H3550" s="278"/>
      <c r="I3550" s="278"/>
      <c r="J3550" s="278"/>
      <c r="K3550" s="278"/>
    </row>
    <row r="3551" spans="1:11" x14ac:dyDescent="0.15">
      <c r="A3551" s="278"/>
      <c r="B3551" s="278"/>
      <c r="C3551" s="278"/>
      <c r="D3551" s="278"/>
      <c r="E3551" s="278"/>
      <c r="F3551" s="278"/>
      <c r="G3551" s="278"/>
      <c r="H3551" s="278"/>
      <c r="I3551" s="278"/>
      <c r="J3551" s="278"/>
      <c r="K3551" s="278"/>
    </row>
    <row r="3552" spans="1:11" x14ac:dyDescent="0.15">
      <c r="A3552" s="278"/>
      <c r="B3552" s="278"/>
      <c r="C3552" s="278"/>
      <c r="D3552" s="278"/>
      <c r="E3552" s="278"/>
      <c r="F3552" s="278"/>
      <c r="G3552" s="278"/>
      <c r="H3552" s="278"/>
      <c r="I3552" s="278"/>
      <c r="J3552" s="278"/>
      <c r="K3552" s="278"/>
    </row>
    <row r="3553" spans="1:11" x14ac:dyDescent="0.15">
      <c r="A3553" s="278"/>
      <c r="B3553" s="278"/>
      <c r="C3553" s="278"/>
      <c r="D3553" s="278"/>
      <c r="E3553" s="278"/>
      <c r="F3553" s="278"/>
      <c r="G3553" s="278"/>
      <c r="H3553" s="278"/>
      <c r="I3553" s="278"/>
      <c r="J3553" s="278"/>
      <c r="K3553" s="278"/>
    </row>
    <row r="3554" spans="1:11" x14ac:dyDescent="0.15">
      <c r="A3554" s="278"/>
      <c r="B3554" s="278"/>
      <c r="C3554" s="278"/>
      <c r="D3554" s="278"/>
      <c r="E3554" s="278"/>
      <c r="F3554" s="278"/>
      <c r="G3554" s="278"/>
      <c r="H3554" s="278"/>
      <c r="I3554" s="278"/>
      <c r="J3554" s="278"/>
      <c r="K3554" s="278"/>
    </row>
    <row r="3555" spans="1:11" x14ac:dyDescent="0.15">
      <c r="A3555" s="278"/>
      <c r="B3555" s="278"/>
      <c r="C3555" s="278"/>
      <c r="D3555" s="278"/>
      <c r="E3555" s="278"/>
      <c r="F3555" s="278"/>
      <c r="G3555" s="278"/>
      <c r="H3555" s="278"/>
      <c r="I3555" s="278"/>
      <c r="J3555" s="278"/>
      <c r="K3555" s="278"/>
    </row>
    <row r="3556" spans="1:11" x14ac:dyDescent="0.15">
      <c r="A3556" s="278"/>
      <c r="B3556" s="278"/>
      <c r="C3556" s="278"/>
      <c r="D3556" s="278"/>
      <c r="E3556" s="278"/>
      <c r="F3556" s="278"/>
      <c r="G3556" s="278"/>
      <c r="H3556" s="278"/>
      <c r="I3556" s="278"/>
      <c r="J3556" s="278"/>
      <c r="K3556" s="278"/>
    </row>
    <row r="3557" spans="1:11" x14ac:dyDescent="0.15">
      <c r="A3557" s="278"/>
      <c r="B3557" s="278"/>
      <c r="C3557" s="278"/>
      <c r="D3557" s="278"/>
      <c r="E3557" s="278"/>
      <c r="F3557" s="278"/>
      <c r="G3557" s="278"/>
      <c r="H3557" s="278"/>
      <c r="I3557" s="278"/>
      <c r="J3557" s="278"/>
      <c r="K3557" s="278"/>
    </row>
    <row r="3558" spans="1:11" x14ac:dyDescent="0.15">
      <c r="A3558" s="278"/>
      <c r="B3558" s="278"/>
      <c r="C3558" s="278"/>
      <c r="D3558" s="278"/>
      <c r="E3558" s="278"/>
      <c r="F3558" s="278"/>
      <c r="G3558" s="278"/>
      <c r="H3558" s="278"/>
      <c r="I3558" s="278"/>
      <c r="J3558" s="278"/>
      <c r="K3558" s="278"/>
    </row>
    <row r="3559" spans="1:11" x14ac:dyDescent="0.15">
      <c r="A3559" s="278"/>
      <c r="B3559" s="278"/>
      <c r="C3559" s="278"/>
      <c r="D3559" s="278"/>
      <c r="E3559" s="278"/>
      <c r="F3559" s="278"/>
      <c r="G3559" s="278"/>
      <c r="H3559" s="278"/>
      <c r="I3559" s="278"/>
      <c r="J3559" s="278"/>
      <c r="K3559" s="278"/>
    </row>
    <row r="3560" spans="1:11" x14ac:dyDescent="0.15">
      <c r="A3560" s="278"/>
      <c r="B3560" s="278"/>
      <c r="C3560" s="278"/>
      <c r="D3560" s="278"/>
      <c r="E3560" s="278"/>
      <c r="F3560" s="278"/>
      <c r="G3560" s="278"/>
      <c r="H3560" s="278"/>
      <c r="I3560" s="278"/>
      <c r="J3560" s="278"/>
      <c r="K3560" s="278"/>
    </row>
    <row r="3561" spans="1:11" x14ac:dyDescent="0.15">
      <c r="A3561" s="278"/>
      <c r="B3561" s="278"/>
      <c r="C3561" s="278"/>
      <c r="D3561" s="278"/>
      <c r="E3561" s="278"/>
      <c r="F3561" s="278"/>
      <c r="G3561" s="278"/>
      <c r="H3561" s="278"/>
      <c r="I3561" s="278"/>
      <c r="J3561" s="278"/>
      <c r="K3561" s="278"/>
    </row>
    <row r="3562" spans="1:11" x14ac:dyDescent="0.15">
      <c r="A3562" s="278"/>
      <c r="B3562" s="278"/>
      <c r="C3562" s="278"/>
      <c r="D3562" s="278"/>
      <c r="E3562" s="278"/>
      <c r="F3562" s="278"/>
      <c r="G3562" s="278"/>
      <c r="H3562" s="278"/>
      <c r="I3562" s="278"/>
      <c r="J3562" s="278"/>
      <c r="K3562" s="278"/>
    </row>
    <row r="3563" spans="1:11" x14ac:dyDescent="0.15">
      <c r="A3563" s="278"/>
      <c r="B3563" s="278"/>
      <c r="C3563" s="278"/>
      <c r="D3563" s="278"/>
      <c r="E3563" s="278"/>
      <c r="F3563" s="278"/>
      <c r="G3563" s="278"/>
      <c r="H3563" s="278"/>
      <c r="I3563" s="278"/>
      <c r="J3563" s="278"/>
      <c r="K3563" s="278"/>
    </row>
    <row r="3564" spans="1:11" x14ac:dyDescent="0.15">
      <c r="A3564" s="278"/>
      <c r="B3564" s="278"/>
      <c r="C3564" s="278"/>
      <c r="D3564" s="278"/>
      <c r="E3564" s="278"/>
      <c r="F3564" s="278"/>
      <c r="G3564" s="278"/>
      <c r="H3564" s="278"/>
      <c r="I3564" s="278"/>
      <c r="J3564" s="278"/>
      <c r="K3564" s="278"/>
    </row>
    <row r="3565" spans="1:11" x14ac:dyDescent="0.15">
      <c r="A3565" s="278"/>
      <c r="B3565" s="278"/>
      <c r="C3565" s="278"/>
      <c r="D3565" s="278"/>
      <c r="E3565" s="278"/>
      <c r="F3565" s="278"/>
      <c r="G3565" s="278"/>
      <c r="H3565" s="278"/>
      <c r="I3565" s="278"/>
      <c r="J3565" s="278"/>
      <c r="K3565" s="278"/>
    </row>
    <row r="3566" spans="1:11" x14ac:dyDescent="0.15">
      <c r="A3566" s="278"/>
      <c r="B3566" s="278"/>
      <c r="C3566" s="278"/>
      <c r="D3566" s="278"/>
      <c r="E3566" s="278"/>
      <c r="F3566" s="278"/>
      <c r="G3566" s="278"/>
      <c r="H3566" s="278"/>
      <c r="I3566" s="278"/>
      <c r="J3566" s="278"/>
      <c r="K3566" s="278"/>
    </row>
    <row r="3567" spans="1:11" x14ac:dyDescent="0.15">
      <c r="A3567" s="278"/>
      <c r="B3567" s="278"/>
      <c r="C3567" s="278"/>
      <c r="D3567" s="278"/>
      <c r="E3567" s="278"/>
      <c r="F3567" s="278"/>
      <c r="G3567" s="278"/>
      <c r="H3567" s="278"/>
      <c r="I3567" s="278"/>
      <c r="J3567" s="278"/>
      <c r="K3567" s="278"/>
    </row>
    <row r="3568" spans="1:11" x14ac:dyDescent="0.15">
      <c r="A3568" s="278"/>
      <c r="B3568" s="278"/>
      <c r="C3568" s="278"/>
      <c r="D3568" s="278"/>
      <c r="E3568" s="278"/>
      <c r="F3568" s="278"/>
      <c r="G3568" s="278"/>
      <c r="H3568" s="278"/>
      <c r="I3568" s="278"/>
      <c r="J3568" s="278"/>
      <c r="K3568" s="278"/>
    </row>
    <row r="3569" spans="1:11" x14ac:dyDescent="0.15">
      <c r="A3569" s="278"/>
      <c r="B3569" s="278"/>
      <c r="C3569" s="278"/>
      <c r="D3569" s="278"/>
      <c r="E3569" s="278"/>
      <c r="F3569" s="278"/>
      <c r="G3569" s="278"/>
      <c r="H3569" s="278"/>
      <c r="I3569" s="278"/>
      <c r="J3569" s="278"/>
      <c r="K3569" s="278"/>
    </row>
    <row r="3570" spans="1:11" x14ac:dyDescent="0.15">
      <c r="A3570" s="278"/>
      <c r="B3570" s="278"/>
      <c r="C3570" s="278"/>
      <c r="D3570" s="278"/>
      <c r="E3570" s="278"/>
      <c r="F3570" s="278"/>
      <c r="G3570" s="278"/>
      <c r="H3570" s="278"/>
      <c r="I3570" s="278"/>
      <c r="J3570" s="278"/>
      <c r="K3570" s="278"/>
    </row>
    <row r="3571" spans="1:11" x14ac:dyDescent="0.15">
      <c r="A3571" s="278"/>
      <c r="B3571" s="278"/>
      <c r="C3571" s="278"/>
      <c r="D3571" s="278"/>
      <c r="E3571" s="278"/>
      <c r="F3571" s="278"/>
      <c r="G3571" s="278"/>
      <c r="H3571" s="278"/>
      <c r="I3571" s="278"/>
      <c r="J3571" s="278"/>
      <c r="K3571" s="278"/>
    </row>
    <row r="3572" spans="1:11" x14ac:dyDescent="0.15">
      <c r="A3572" s="278"/>
      <c r="B3572" s="278"/>
      <c r="C3572" s="278"/>
      <c r="D3572" s="278"/>
      <c r="E3572" s="278"/>
      <c r="F3572" s="278"/>
      <c r="G3572" s="278"/>
      <c r="H3572" s="278"/>
      <c r="I3572" s="278"/>
      <c r="J3572" s="278"/>
      <c r="K3572" s="278"/>
    </row>
    <row r="3573" spans="1:11" x14ac:dyDescent="0.15">
      <c r="A3573" s="278"/>
      <c r="B3573" s="278"/>
      <c r="C3573" s="278"/>
      <c r="D3573" s="278"/>
      <c r="E3573" s="278"/>
      <c r="F3573" s="278"/>
      <c r="G3573" s="278"/>
      <c r="H3573" s="278"/>
      <c r="I3573" s="278"/>
      <c r="J3573" s="278"/>
      <c r="K3573" s="278"/>
    </row>
    <row r="3574" spans="1:11" x14ac:dyDescent="0.15">
      <c r="A3574" s="278"/>
      <c r="B3574" s="278"/>
      <c r="C3574" s="278"/>
      <c r="D3574" s="278"/>
      <c r="E3574" s="278"/>
      <c r="F3574" s="278"/>
      <c r="G3574" s="278"/>
      <c r="H3574" s="278"/>
      <c r="I3574" s="278"/>
      <c r="J3574" s="278"/>
      <c r="K3574" s="278"/>
    </row>
    <row r="3575" spans="1:11" x14ac:dyDescent="0.15">
      <c r="A3575" s="278"/>
      <c r="B3575" s="278"/>
      <c r="C3575" s="278"/>
      <c r="D3575" s="278"/>
      <c r="E3575" s="278"/>
      <c r="F3575" s="278"/>
      <c r="G3575" s="278"/>
      <c r="H3575" s="278"/>
      <c r="I3575" s="278"/>
      <c r="J3575" s="278"/>
      <c r="K3575" s="278"/>
    </row>
    <row r="3576" spans="1:11" x14ac:dyDescent="0.15">
      <c r="A3576" s="278"/>
      <c r="B3576" s="278"/>
      <c r="C3576" s="278"/>
      <c r="D3576" s="278"/>
      <c r="E3576" s="278"/>
      <c r="F3576" s="278"/>
      <c r="G3576" s="278"/>
      <c r="H3576" s="278"/>
      <c r="I3576" s="278"/>
      <c r="J3576" s="278"/>
      <c r="K3576" s="278"/>
    </row>
    <row r="3577" spans="1:11" x14ac:dyDescent="0.15">
      <c r="A3577" s="278"/>
      <c r="B3577" s="278"/>
      <c r="C3577" s="278"/>
      <c r="D3577" s="278"/>
      <c r="E3577" s="278"/>
      <c r="F3577" s="278"/>
      <c r="G3577" s="278"/>
      <c r="H3577" s="278"/>
      <c r="I3577" s="278"/>
      <c r="J3577" s="278"/>
      <c r="K3577" s="278"/>
    </row>
    <row r="3578" spans="1:11" x14ac:dyDescent="0.15">
      <c r="A3578" s="278"/>
      <c r="B3578" s="278"/>
      <c r="C3578" s="278"/>
      <c r="D3578" s="278"/>
      <c r="E3578" s="278"/>
      <c r="F3578" s="278"/>
      <c r="G3578" s="278"/>
      <c r="H3578" s="278"/>
      <c r="I3578" s="278"/>
      <c r="J3578" s="278"/>
      <c r="K3578" s="278"/>
    </row>
    <row r="3579" spans="1:11" x14ac:dyDescent="0.15">
      <c r="A3579" s="278"/>
      <c r="B3579" s="278"/>
      <c r="C3579" s="278"/>
      <c r="D3579" s="278"/>
      <c r="E3579" s="278"/>
      <c r="F3579" s="278"/>
      <c r="G3579" s="278"/>
      <c r="H3579" s="278"/>
      <c r="I3579" s="278"/>
      <c r="J3579" s="278"/>
      <c r="K3579" s="278"/>
    </row>
    <row r="3580" spans="1:11" x14ac:dyDescent="0.15">
      <c r="A3580" s="278"/>
      <c r="B3580" s="278"/>
      <c r="C3580" s="278"/>
      <c r="D3580" s="278"/>
      <c r="E3580" s="278"/>
      <c r="F3580" s="278"/>
      <c r="G3580" s="278"/>
      <c r="H3580" s="278"/>
      <c r="I3580" s="278"/>
      <c r="J3580" s="278"/>
      <c r="K3580" s="278"/>
    </row>
    <row r="3581" spans="1:11" x14ac:dyDescent="0.15">
      <c r="A3581" s="278"/>
      <c r="B3581" s="278"/>
      <c r="C3581" s="278"/>
      <c r="D3581" s="278"/>
      <c r="E3581" s="278"/>
      <c r="F3581" s="278"/>
      <c r="G3581" s="278"/>
      <c r="H3581" s="278"/>
      <c r="I3581" s="278"/>
      <c r="J3581" s="278"/>
      <c r="K3581" s="278"/>
    </row>
    <row r="3582" spans="1:11" x14ac:dyDescent="0.15">
      <c r="A3582" s="278"/>
      <c r="B3582" s="278"/>
      <c r="C3582" s="278"/>
      <c r="D3582" s="278"/>
      <c r="E3582" s="278"/>
      <c r="F3582" s="278"/>
      <c r="G3582" s="278"/>
      <c r="H3582" s="278"/>
      <c r="I3582" s="278"/>
      <c r="J3582" s="278"/>
      <c r="K3582" s="278"/>
    </row>
    <row r="3583" spans="1:11" x14ac:dyDescent="0.15">
      <c r="A3583" s="278"/>
      <c r="B3583" s="278"/>
      <c r="C3583" s="278"/>
      <c r="D3583" s="278"/>
      <c r="E3583" s="278"/>
      <c r="F3583" s="278"/>
      <c r="G3583" s="278"/>
      <c r="H3583" s="278"/>
      <c r="I3583" s="278"/>
      <c r="J3583" s="278"/>
      <c r="K3583" s="278"/>
    </row>
    <row r="3584" spans="1:11" x14ac:dyDescent="0.15">
      <c r="A3584" s="278"/>
      <c r="B3584" s="278"/>
      <c r="C3584" s="278"/>
      <c r="D3584" s="278"/>
      <c r="E3584" s="278"/>
      <c r="F3584" s="278"/>
      <c r="G3584" s="278"/>
      <c r="H3584" s="278"/>
      <c r="I3584" s="278"/>
      <c r="J3584" s="278"/>
      <c r="K3584" s="278"/>
    </row>
    <row r="3585" spans="1:11" x14ac:dyDescent="0.15">
      <c r="A3585" s="278"/>
      <c r="B3585" s="278"/>
      <c r="C3585" s="278"/>
      <c r="D3585" s="278"/>
      <c r="E3585" s="278"/>
      <c r="F3585" s="278"/>
      <c r="G3585" s="278"/>
      <c r="H3585" s="278"/>
      <c r="I3585" s="278"/>
      <c r="J3585" s="278"/>
      <c r="K3585" s="278"/>
    </row>
    <row r="3586" spans="1:11" x14ac:dyDescent="0.15">
      <c r="A3586" s="278"/>
      <c r="B3586" s="278"/>
      <c r="C3586" s="278"/>
      <c r="D3586" s="278"/>
      <c r="E3586" s="278"/>
      <c r="F3586" s="278"/>
      <c r="G3586" s="278"/>
      <c r="H3586" s="278"/>
      <c r="I3586" s="278"/>
      <c r="J3586" s="278"/>
      <c r="K3586" s="278"/>
    </row>
    <row r="3587" spans="1:11" x14ac:dyDescent="0.15">
      <c r="A3587" s="278"/>
      <c r="B3587" s="278"/>
      <c r="C3587" s="278"/>
      <c r="D3587" s="278"/>
      <c r="E3587" s="278"/>
      <c r="F3587" s="278"/>
      <c r="G3587" s="278"/>
      <c r="H3587" s="278"/>
      <c r="I3587" s="278"/>
      <c r="J3587" s="278"/>
      <c r="K3587" s="278"/>
    </row>
    <row r="3588" spans="1:11" x14ac:dyDescent="0.15">
      <c r="A3588" s="278"/>
      <c r="B3588" s="278"/>
      <c r="C3588" s="278"/>
      <c r="D3588" s="278"/>
      <c r="E3588" s="278"/>
      <c r="F3588" s="278"/>
      <c r="G3588" s="278"/>
      <c r="H3588" s="278"/>
      <c r="I3588" s="278"/>
      <c r="J3588" s="278"/>
      <c r="K3588" s="278"/>
    </row>
    <row r="3589" spans="1:11" x14ac:dyDescent="0.15">
      <c r="A3589" s="278"/>
      <c r="B3589" s="278"/>
      <c r="C3589" s="278"/>
      <c r="D3589" s="278"/>
      <c r="E3589" s="278"/>
      <c r="F3589" s="278"/>
      <c r="G3589" s="278"/>
      <c r="H3589" s="278"/>
      <c r="I3589" s="278"/>
      <c r="J3589" s="278"/>
      <c r="K3589" s="278"/>
    </row>
    <row r="3590" spans="1:11" x14ac:dyDescent="0.15">
      <c r="A3590" s="278"/>
      <c r="B3590" s="278"/>
      <c r="C3590" s="278"/>
      <c r="D3590" s="278"/>
      <c r="E3590" s="278"/>
      <c r="F3590" s="278"/>
      <c r="G3590" s="278"/>
      <c r="H3590" s="278"/>
      <c r="I3590" s="278"/>
      <c r="J3590" s="278"/>
      <c r="K3590" s="278"/>
    </row>
    <row r="3591" spans="1:11" x14ac:dyDescent="0.15">
      <c r="A3591" s="278"/>
      <c r="B3591" s="278"/>
      <c r="C3591" s="278"/>
      <c r="D3591" s="278"/>
      <c r="E3591" s="278"/>
      <c r="F3591" s="278"/>
      <c r="G3591" s="278"/>
      <c r="H3591" s="278"/>
      <c r="I3591" s="278"/>
      <c r="J3591" s="278"/>
      <c r="K3591" s="278"/>
    </row>
    <row r="3592" spans="1:11" x14ac:dyDescent="0.15">
      <c r="A3592" s="278"/>
      <c r="B3592" s="278"/>
      <c r="C3592" s="278"/>
      <c r="D3592" s="278"/>
      <c r="E3592" s="278"/>
      <c r="F3592" s="278"/>
      <c r="G3592" s="278"/>
      <c r="H3592" s="278"/>
      <c r="I3592" s="278"/>
      <c r="J3592" s="278"/>
      <c r="K3592" s="278"/>
    </row>
    <row r="3593" spans="1:11" x14ac:dyDescent="0.15">
      <c r="A3593" s="278"/>
      <c r="B3593" s="278"/>
      <c r="C3593" s="278"/>
      <c r="D3593" s="278"/>
      <c r="E3593" s="278"/>
      <c r="F3593" s="278"/>
      <c r="G3593" s="278"/>
      <c r="H3593" s="278"/>
      <c r="I3593" s="278"/>
      <c r="J3593" s="278"/>
      <c r="K3593" s="278"/>
    </row>
    <row r="3594" spans="1:11" x14ac:dyDescent="0.15">
      <c r="A3594" s="278"/>
      <c r="B3594" s="278"/>
      <c r="C3594" s="278"/>
      <c r="D3594" s="278"/>
      <c r="E3594" s="278"/>
      <c r="F3594" s="278"/>
      <c r="G3594" s="278"/>
      <c r="H3594" s="278"/>
      <c r="I3594" s="278"/>
      <c r="J3594" s="278"/>
      <c r="K3594" s="278"/>
    </row>
    <row r="3595" spans="1:11" x14ac:dyDescent="0.15">
      <c r="A3595" s="278"/>
      <c r="B3595" s="278"/>
      <c r="C3595" s="278"/>
      <c r="D3595" s="278"/>
      <c r="E3595" s="278"/>
      <c r="F3595" s="278"/>
      <c r="G3595" s="278"/>
      <c r="H3595" s="278"/>
      <c r="I3595" s="278"/>
      <c r="J3595" s="278"/>
      <c r="K3595" s="278"/>
    </row>
    <row r="3596" spans="1:11" x14ac:dyDescent="0.15">
      <c r="A3596" s="278"/>
      <c r="B3596" s="278"/>
      <c r="C3596" s="278"/>
      <c r="D3596" s="278"/>
      <c r="E3596" s="278"/>
      <c r="F3596" s="278"/>
      <c r="G3596" s="278"/>
      <c r="H3596" s="278"/>
      <c r="I3596" s="278"/>
      <c r="J3596" s="278"/>
      <c r="K3596" s="278"/>
    </row>
    <row r="3597" spans="1:11" x14ac:dyDescent="0.15">
      <c r="A3597" s="278"/>
      <c r="B3597" s="278"/>
      <c r="C3597" s="278"/>
      <c r="D3597" s="278"/>
      <c r="E3597" s="278"/>
      <c r="F3597" s="278"/>
      <c r="G3597" s="278"/>
      <c r="H3597" s="278"/>
      <c r="I3597" s="278"/>
      <c r="J3597" s="278"/>
      <c r="K3597" s="278"/>
    </row>
    <row r="3598" spans="1:11" x14ac:dyDescent="0.15">
      <c r="A3598" s="278"/>
      <c r="B3598" s="278"/>
      <c r="C3598" s="278"/>
      <c r="D3598" s="278"/>
      <c r="E3598" s="278"/>
      <c r="F3598" s="278"/>
      <c r="G3598" s="278"/>
      <c r="H3598" s="278"/>
      <c r="I3598" s="278"/>
      <c r="J3598" s="278"/>
      <c r="K3598" s="278"/>
    </row>
    <row r="3599" spans="1:11" x14ac:dyDescent="0.15">
      <c r="A3599" s="278"/>
      <c r="B3599" s="278"/>
      <c r="C3599" s="278"/>
      <c r="D3599" s="278"/>
      <c r="E3599" s="278"/>
      <c r="F3599" s="278"/>
      <c r="G3599" s="278"/>
      <c r="H3599" s="278"/>
      <c r="I3599" s="278"/>
      <c r="J3599" s="278"/>
      <c r="K3599" s="278"/>
    </row>
    <row r="3600" spans="1:11" x14ac:dyDescent="0.15">
      <c r="A3600" s="278"/>
      <c r="B3600" s="278"/>
      <c r="C3600" s="278"/>
      <c r="D3600" s="278"/>
      <c r="E3600" s="278"/>
      <c r="F3600" s="278"/>
      <c r="G3600" s="278"/>
      <c r="H3600" s="278"/>
      <c r="I3600" s="278"/>
      <c r="J3600" s="278"/>
      <c r="K3600" s="278"/>
    </row>
    <row r="3601" spans="1:11" x14ac:dyDescent="0.15">
      <c r="A3601" s="278"/>
      <c r="B3601" s="278"/>
      <c r="C3601" s="278"/>
      <c r="D3601" s="278"/>
      <c r="E3601" s="278"/>
      <c r="F3601" s="278"/>
      <c r="G3601" s="278"/>
      <c r="H3601" s="278"/>
      <c r="I3601" s="278"/>
      <c r="J3601" s="278"/>
      <c r="K3601" s="278"/>
    </row>
    <row r="3602" spans="1:11" x14ac:dyDescent="0.15">
      <c r="A3602" s="278"/>
      <c r="B3602" s="278"/>
      <c r="C3602" s="278"/>
      <c r="D3602" s="278"/>
      <c r="E3602" s="278"/>
      <c r="F3602" s="278"/>
      <c r="G3602" s="278"/>
      <c r="H3602" s="278"/>
      <c r="I3602" s="278"/>
      <c r="J3602" s="278"/>
      <c r="K3602" s="278"/>
    </row>
    <row r="3603" spans="1:11" x14ac:dyDescent="0.15">
      <c r="A3603" s="278"/>
      <c r="B3603" s="278"/>
      <c r="C3603" s="278"/>
      <c r="D3603" s="278"/>
      <c r="E3603" s="278"/>
      <c r="F3603" s="278"/>
      <c r="G3603" s="278"/>
      <c r="H3603" s="278"/>
      <c r="I3603" s="278"/>
      <c r="J3603" s="278"/>
      <c r="K3603" s="278"/>
    </row>
    <row r="3604" spans="1:11" x14ac:dyDescent="0.15">
      <c r="A3604" s="278"/>
      <c r="B3604" s="278"/>
      <c r="C3604" s="278"/>
      <c r="D3604" s="278"/>
      <c r="E3604" s="278"/>
      <c r="F3604" s="278"/>
      <c r="G3604" s="278"/>
      <c r="H3604" s="278"/>
      <c r="I3604" s="278"/>
      <c r="J3604" s="278"/>
      <c r="K3604" s="278"/>
    </row>
    <row r="3605" spans="1:11" x14ac:dyDescent="0.15">
      <c r="A3605" s="278"/>
      <c r="B3605" s="278"/>
      <c r="C3605" s="278"/>
      <c r="D3605" s="278"/>
      <c r="E3605" s="278"/>
      <c r="F3605" s="278"/>
      <c r="G3605" s="278"/>
      <c r="H3605" s="278"/>
      <c r="I3605" s="278"/>
      <c r="J3605" s="278"/>
      <c r="K3605" s="278"/>
    </row>
    <row r="3606" spans="1:11" x14ac:dyDescent="0.15">
      <c r="A3606" s="278"/>
      <c r="B3606" s="278"/>
      <c r="C3606" s="278"/>
      <c r="D3606" s="278"/>
      <c r="E3606" s="278"/>
      <c r="F3606" s="278"/>
      <c r="G3606" s="278"/>
      <c r="H3606" s="278"/>
      <c r="I3606" s="278"/>
      <c r="J3606" s="278"/>
      <c r="K3606" s="278"/>
    </row>
    <row r="3607" spans="1:11" x14ac:dyDescent="0.15">
      <c r="A3607" s="278"/>
      <c r="B3607" s="278"/>
      <c r="C3607" s="278"/>
      <c r="D3607" s="278"/>
      <c r="E3607" s="278"/>
      <c r="F3607" s="278"/>
      <c r="G3607" s="278"/>
      <c r="H3607" s="278"/>
      <c r="I3607" s="278"/>
      <c r="J3607" s="278"/>
      <c r="K3607" s="278"/>
    </row>
    <row r="3608" spans="1:11" x14ac:dyDescent="0.15">
      <c r="A3608" s="278"/>
      <c r="B3608" s="278"/>
      <c r="C3608" s="278"/>
      <c r="D3608" s="278"/>
      <c r="E3608" s="278"/>
      <c r="F3608" s="278"/>
      <c r="G3608" s="278"/>
      <c r="H3608" s="278"/>
      <c r="I3608" s="278"/>
      <c r="J3608" s="278"/>
      <c r="K3608" s="278"/>
    </row>
    <row r="3609" spans="1:11" x14ac:dyDescent="0.15">
      <c r="A3609" s="278"/>
      <c r="B3609" s="278"/>
      <c r="C3609" s="278"/>
      <c r="D3609" s="278"/>
      <c r="E3609" s="278"/>
      <c r="F3609" s="278"/>
      <c r="G3609" s="278"/>
      <c r="H3609" s="278"/>
      <c r="I3609" s="278"/>
      <c r="J3609" s="278"/>
      <c r="K3609" s="278"/>
    </row>
    <row r="3610" spans="1:11" x14ac:dyDescent="0.15">
      <c r="A3610" s="278"/>
      <c r="B3610" s="278"/>
      <c r="C3610" s="278"/>
      <c r="D3610" s="278"/>
      <c r="E3610" s="278"/>
      <c r="F3610" s="278"/>
      <c r="G3610" s="278"/>
      <c r="H3610" s="278"/>
      <c r="I3610" s="278"/>
      <c r="J3610" s="278"/>
      <c r="K3610" s="278"/>
    </row>
    <row r="3611" spans="1:11" x14ac:dyDescent="0.15">
      <c r="A3611" s="278"/>
      <c r="B3611" s="278"/>
      <c r="C3611" s="278"/>
      <c r="D3611" s="278"/>
      <c r="E3611" s="278"/>
      <c r="F3611" s="278"/>
      <c r="G3611" s="278"/>
      <c r="H3611" s="278"/>
      <c r="I3611" s="278"/>
      <c r="J3611" s="278"/>
      <c r="K3611" s="278"/>
    </row>
    <row r="3612" spans="1:11" x14ac:dyDescent="0.15">
      <c r="A3612" s="278"/>
      <c r="B3612" s="278"/>
      <c r="C3612" s="278"/>
      <c r="D3612" s="278"/>
      <c r="E3612" s="278"/>
      <c r="F3612" s="278"/>
      <c r="G3612" s="278"/>
      <c r="H3612" s="278"/>
      <c r="I3612" s="278"/>
      <c r="J3612" s="278"/>
      <c r="K3612" s="278"/>
    </row>
    <row r="3613" spans="1:11" x14ac:dyDescent="0.15">
      <c r="A3613" s="278"/>
      <c r="B3613" s="278"/>
      <c r="C3613" s="278"/>
      <c r="D3613" s="278"/>
      <c r="E3613" s="278"/>
      <c r="F3613" s="278"/>
      <c r="G3613" s="278"/>
      <c r="H3613" s="278"/>
      <c r="I3613" s="278"/>
      <c r="J3613" s="278"/>
      <c r="K3613" s="278"/>
    </row>
    <row r="3614" spans="1:11" x14ac:dyDescent="0.15">
      <c r="A3614" s="278"/>
      <c r="B3614" s="278"/>
      <c r="C3614" s="278"/>
      <c r="D3614" s="278"/>
      <c r="E3614" s="278"/>
      <c r="F3614" s="278"/>
      <c r="G3614" s="278"/>
      <c r="H3614" s="278"/>
      <c r="I3614" s="278"/>
      <c r="J3614" s="278"/>
      <c r="K3614" s="278"/>
    </row>
    <row r="3615" spans="1:11" x14ac:dyDescent="0.15">
      <c r="A3615" s="278"/>
      <c r="B3615" s="278"/>
      <c r="C3615" s="278"/>
      <c r="D3615" s="278"/>
      <c r="E3615" s="278"/>
      <c r="F3615" s="278"/>
      <c r="G3615" s="278"/>
      <c r="H3615" s="278"/>
      <c r="I3615" s="278"/>
      <c r="J3615" s="278"/>
      <c r="K3615" s="278"/>
    </row>
    <row r="3616" spans="1:11" x14ac:dyDescent="0.15">
      <c r="A3616" s="278"/>
      <c r="B3616" s="278"/>
      <c r="C3616" s="278"/>
      <c r="D3616" s="278"/>
      <c r="E3616" s="278"/>
      <c r="F3616" s="278"/>
      <c r="G3616" s="278"/>
      <c r="H3616" s="278"/>
      <c r="I3616" s="278"/>
      <c r="J3616" s="278"/>
      <c r="K3616" s="278"/>
    </row>
    <row r="3617" spans="1:11" x14ac:dyDescent="0.15">
      <c r="A3617" s="278"/>
      <c r="B3617" s="278"/>
      <c r="C3617" s="278"/>
      <c r="D3617" s="278"/>
      <c r="E3617" s="278"/>
      <c r="F3617" s="278"/>
      <c r="G3617" s="278"/>
      <c r="H3617" s="278"/>
      <c r="I3617" s="278"/>
      <c r="J3617" s="278"/>
      <c r="K3617" s="278"/>
    </row>
    <row r="3618" spans="1:11" x14ac:dyDescent="0.15">
      <c r="A3618" s="278"/>
      <c r="B3618" s="278"/>
      <c r="C3618" s="278"/>
      <c r="D3618" s="278"/>
      <c r="E3618" s="278"/>
      <c r="F3618" s="278"/>
      <c r="G3618" s="278"/>
      <c r="H3618" s="278"/>
      <c r="I3618" s="278"/>
      <c r="J3618" s="278"/>
      <c r="K3618" s="278"/>
    </row>
    <row r="3619" spans="1:11" x14ac:dyDescent="0.15">
      <c r="A3619" s="278"/>
      <c r="B3619" s="278"/>
      <c r="C3619" s="278"/>
      <c r="D3619" s="278"/>
      <c r="E3619" s="278"/>
      <c r="F3619" s="278"/>
      <c r="G3619" s="278"/>
      <c r="H3619" s="278"/>
      <c r="I3619" s="278"/>
      <c r="J3619" s="278"/>
      <c r="K3619" s="278"/>
    </row>
    <row r="3620" spans="1:11" x14ac:dyDescent="0.15">
      <c r="A3620" s="278"/>
      <c r="B3620" s="278"/>
      <c r="C3620" s="278"/>
      <c r="D3620" s="278"/>
      <c r="E3620" s="278"/>
      <c r="F3620" s="278"/>
      <c r="G3620" s="278"/>
      <c r="H3620" s="278"/>
      <c r="I3620" s="278"/>
      <c r="J3620" s="278"/>
      <c r="K3620" s="278"/>
    </row>
    <row r="3621" spans="1:11" x14ac:dyDescent="0.15">
      <c r="A3621" s="278"/>
      <c r="B3621" s="278"/>
      <c r="C3621" s="278"/>
      <c r="D3621" s="278"/>
      <c r="E3621" s="278"/>
      <c r="F3621" s="278"/>
      <c r="G3621" s="278"/>
      <c r="H3621" s="278"/>
      <c r="I3621" s="278"/>
      <c r="J3621" s="278"/>
      <c r="K3621" s="278"/>
    </row>
    <row r="3622" spans="1:11" x14ac:dyDescent="0.15">
      <c r="A3622" s="278"/>
      <c r="B3622" s="278"/>
      <c r="C3622" s="278"/>
      <c r="D3622" s="278"/>
      <c r="E3622" s="278"/>
      <c r="F3622" s="278"/>
      <c r="G3622" s="278"/>
      <c r="H3622" s="278"/>
      <c r="I3622" s="278"/>
      <c r="J3622" s="278"/>
      <c r="K3622" s="278"/>
    </row>
    <row r="3623" spans="1:11" x14ac:dyDescent="0.15">
      <c r="A3623" s="278"/>
      <c r="B3623" s="278"/>
      <c r="C3623" s="278"/>
      <c r="D3623" s="278"/>
      <c r="E3623" s="278"/>
      <c r="F3623" s="278"/>
      <c r="G3623" s="278"/>
      <c r="H3623" s="278"/>
      <c r="I3623" s="278"/>
      <c r="J3623" s="278"/>
      <c r="K3623" s="278"/>
    </row>
    <row r="3624" spans="1:11" x14ac:dyDescent="0.15">
      <c r="A3624" s="278"/>
      <c r="B3624" s="278"/>
      <c r="C3624" s="278"/>
      <c r="D3624" s="278"/>
      <c r="E3624" s="278"/>
      <c r="F3624" s="278"/>
      <c r="G3624" s="278"/>
      <c r="H3624" s="278"/>
      <c r="I3624" s="278"/>
      <c r="J3624" s="278"/>
      <c r="K3624" s="278"/>
    </row>
    <row r="3625" spans="1:11" x14ac:dyDescent="0.15">
      <c r="A3625" s="278"/>
      <c r="B3625" s="278"/>
      <c r="C3625" s="278"/>
      <c r="D3625" s="278"/>
      <c r="E3625" s="278"/>
      <c r="F3625" s="278"/>
      <c r="G3625" s="278"/>
      <c r="H3625" s="278"/>
      <c r="I3625" s="278"/>
      <c r="J3625" s="278"/>
      <c r="K3625" s="278"/>
    </row>
    <row r="3626" spans="1:11" x14ac:dyDescent="0.15">
      <c r="A3626" s="278"/>
      <c r="B3626" s="278"/>
      <c r="C3626" s="278"/>
      <c r="D3626" s="278"/>
      <c r="E3626" s="278"/>
      <c r="F3626" s="278"/>
      <c r="G3626" s="278"/>
      <c r="H3626" s="278"/>
      <c r="I3626" s="278"/>
      <c r="J3626" s="278"/>
      <c r="K3626" s="278"/>
    </row>
    <row r="3627" spans="1:11" x14ac:dyDescent="0.15">
      <c r="A3627" s="278"/>
      <c r="B3627" s="278"/>
      <c r="C3627" s="278"/>
      <c r="D3627" s="278"/>
      <c r="E3627" s="278"/>
      <c r="F3627" s="278"/>
      <c r="G3627" s="278"/>
      <c r="H3627" s="278"/>
      <c r="I3627" s="278"/>
      <c r="J3627" s="278"/>
      <c r="K3627" s="278"/>
    </row>
    <row r="3628" spans="1:11" x14ac:dyDescent="0.15">
      <c r="A3628" s="278"/>
      <c r="B3628" s="278"/>
      <c r="C3628" s="278"/>
      <c r="D3628" s="278"/>
      <c r="E3628" s="278"/>
      <c r="F3628" s="278"/>
      <c r="G3628" s="278"/>
      <c r="H3628" s="278"/>
      <c r="I3628" s="278"/>
      <c r="J3628" s="278"/>
      <c r="K3628" s="278"/>
    </row>
    <row r="3629" spans="1:11" x14ac:dyDescent="0.15">
      <c r="A3629" s="278"/>
      <c r="B3629" s="278"/>
      <c r="C3629" s="278"/>
      <c r="D3629" s="278"/>
      <c r="E3629" s="278"/>
      <c r="F3629" s="278"/>
      <c r="G3629" s="278"/>
      <c r="H3629" s="278"/>
      <c r="I3629" s="278"/>
      <c r="J3629" s="278"/>
      <c r="K3629" s="278"/>
    </row>
    <row r="3630" spans="1:11" x14ac:dyDescent="0.15">
      <c r="A3630" s="278"/>
      <c r="B3630" s="278"/>
      <c r="C3630" s="278"/>
      <c r="D3630" s="278"/>
      <c r="E3630" s="278"/>
      <c r="F3630" s="278"/>
      <c r="G3630" s="278"/>
      <c r="H3630" s="278"/>
      <c r="I3630" s="278"/>
      <c r="J3630" s="278"/>
      <c r="K3630" s="278"/>
    </row>
    <row r="3631" spans="1:11" x14ac:dyDescent="0.15">
      <c r="A3631" s="278"/>
      <c r="B3631" s="278"/>
      <c r="C3631" s="278"/>
      <c r="D3631" s="278"/>
      <c r="E3631" s="278"/>
      <c r="F3631" s="278"/>
      <c r="G3631" s="278"/>
      <c r="H3631" s="278"/>
      <c r="I3631" s="278"/>
      <c r="J3631" s="278"/>
      <c r="K3631" s="278"/>
    </row>
    <row r="3632" spans="1:11" x14ac:dyDescent="0.15">
      <c r="A3632" s="278"/>
      <c r="B3632" s="278"/>
      <c r="C3632" s="278"/>
      <c r="D3632" s="278"/>
      <c r="E3632" s="278"/>
      <c r="F3632" s="278"/>
      <c r="G3632" s="278"/>
      <c r="H3632" s="278"/>
      <c r="I3632" s="278"/>
      <c r="J3632" s="278"/>
      <c r="K3632" s="278"/>
    </row>
    <row r="3633" spans="1:11" x14ac:dyDescent="0.15">
      <c r="A3633" s="278"/>
      <c r="B3633" s="278"/>
      <c r="C3633" s="278"/>
      <c r="D3633" s="278"/>
      <c r="E3633" s="278"/>
      <c r="F3633" s="278"/>
      <c r="G3633" s="278"/>
      <c r="H3633" s="278"/>
      <c r="I3633" s="278"/>
      <c r="J3633" s="278"/>
      <c r="K3633" s="278"/>
    </row>
    <row r="3634" spans="1:11" x14ac:dyDescent="0.15">
      <c r="A3634" s="278"/>
      <c r="B3634" s="278"/>
      <c r="C3634" s="278"/>
      <c r="D3634" s="278"/>
      <c r="E3634" s="278"/>
      <c r="F3634" s="278"/>
      <c r="G3634" s="278"/>
      <c r="H3634" s="278"/>
      <c r="I3634" s="278"/>
      <c r="J3634" s="278"/>
      <c r="K3634" s="278"/>
    </row>
    <row r="3635" spans="1:11" x14ac:dyDescent="0.15">
      <c r="A3635" s="278"/>
      <c r="B3635" s="278"/>
      <c r="C3635" s="278"/>
      <c r="D3635" s="278"/>
      <c r="E3635" s="278"/>
      <c r="F3635" s="278"/>
      <c r="G3635" s="278"/>
      <c r="H3635" s="278"/>
      <c r="I3635" s="278"/>
      <c r="J3635" s="278"/>
      <c r="K3635" s="278"/>
    </row>
    <row r="3636" spans="1:11" x14ac:dyDescent="0.15">
      <c r="A3636" s="278"/>
      <c r="B3636" s="278"/>
      <c r="C3636" s="278"/>
      <c r="D3636" s="278"/>
      <c r="E3636" s="278"/>
      <c r="F3636" s="278"/>
      <c r="G3636" s="278"/>
      <c r="H3636" s="278"/>
      <c r="I3636" s="278"/>
      <c r="J3636" s="278"/>
      <c r="K3636" s="278"/>
    </row>
    <row r="3637" spans="1:11" x14ac:dyDescent="0.15">
      <c r="A3637" s="278"/>
      <c r="B3637" s="278"/>
      <c r="C3637" s="278"/>
      <c r="D3637" s="278"/>
      <c r="E3637" s="278"/>
      <c r="F3637" s="278"/>
      <c r="G3637" s="278"/>
      <c r="H3637" s="278"/>
      <c r="I3637" s="278"/>
      <c r="J3637" s="278"/>
      <c r="K3637" s="278"/>
    </row>
    <row r="3638" spans="1:11" x14ac:dyDescent="0.15">
      <c r="A3638" s="278"/>
      <c r="B3638" s="278"/>
      <c r="C3638" s="278"/>
      <c r="D3638" s="278"/>
      <c r="E3638" s="278"/>
      <c r="F3638" s="278"/>
      <c r="G3638" s="278"/>
      <c r="H3638" s="278"/>
      <c r="I3638" s="278"/>
      <c r="J3638" s="278"/>
      <c r="K3638" s="278"/>
    </row>
    <row r="3639" spans="1:11" x14ac:dyDescent="0.15">
      <c r="A3639" s="278"/>
      <c r="B3639" s="278"/>
      <c r="C3639" s="278"/>
      <c r="D3639" s="278"/>
      <c r="E3639" s="278"/>
      <c r="F3639" s="278"/>
      <c r="G3639" s="278"/>
      <c r="H3639" s="278"/>
      <c r="I3639" s="278"/>
      <c r="J3639" s="278"/>
      <c r="K3639" s="278"/>
    </row>
    <row r="3640" spans="1:11" x14ac:dyDescent="0.15">
      <c r="A3640" s="278"/>
      <c r="B3640" s="278"/>
      <c r="C3640" s="278"/>
      <c r="D3640" s="278"/>
      <c r="E3640" s="278"/>
      <c r="F3640" s="278"/>
      <c r="G3640" s="278"/>
      <c r="H3640" s="278"/>
      <c r="I3640" s="278"/>
      <c r="J3640" s="278"/>
      <c r="K3640" s="278"/>
    </row>
    <row r="3641" spans="1:11" x14ac:dyDescent="0.15">
      <c r="A3641" s="278"/>
      <c r="B3641" s="278"/>
      <c r="C3641" s="278"/>
      <c r="D3641" s="278"/>
      <c r="E3641" s="278"/>
      <c r="F3641" s="278"/>
      <c r="G3641" s="278"/>
      <c r="H3641" s="278"/>
      <c r="I3641" s="278"/>
      <c r="J3641" s="278"/>
      <c r="K3641" s="278"/>
    </row>
    <row r="3642" spans="1:11" x14ac:dyDescent="0.15">
      <c r="A3642" s="278"/>
      <c r="B3642" s="278"/>
      <c r="C3642" s="278"/>
      <c r="D3642" s="278"/>
      <c r="E3642" s="278"/>
      <c r="F3642" s="278"/>
      <c r="G3642" s="278"/>
      <c r="H3642" s="278"/>
      <c r="I3642" s="278"/>
      <c r="J3642" s="278"/>
      <c r="K3642" s="278"/>
    </row>
    <row r="3643" spans="1:11" x14ac:dyDescent="0.15">
      <c r="A3643" s="278"/>
      <c r="B3643" s="278"/>
      <c r="C3643" s="278"/>
      <c r="D3643" s="278"/>
      <c r="E3643" s="278"/>
      <c r="F3643" s="278"/>
      <c r="G3643" s="278"/>
      <c r="H3643" s="278"/>
      <c r="I3643" s="278"/>
      <c r="J3643" s="278"/>
      <c r="K3643" s="278"/>
    </row>
    <row r="3644" spans="1:11" x14ac:dyDescent="0.15">
      <c r="A3644" s="278"/>
      <c r="B3644" s="278"/>
      <c r="C3644" s="278"/>
      <c r="D3644" s="278"/>
      <c r="E3644" s="278"/>
      <c r="F3644" s="278"/>
      <c r="G3644" s="278"/>
      <c r="H3644" s="278"/>
      <c r="I3644" s="278"/>
      <c r="J3644" s="278"/>
      <c r="K3644" s="278"/>
    </row>
    <row r="3645" spans="1:11" x14ac:dyDescent="0.15">
      <c r="A3645" s="278"/>
      <c r="B3645" s="278"/>
      <c r="C3645" s="278"/>
      <c r="D3645" s="278"/>
      <c r="E3645" s="278"/>
      <c r="F3645" s="278"/>
      <c r="G3645" s="278"/>
      <c r="H3645" s="278"/>
      <c r="I3645" s="278"/>
      <c r="J3645" s="278"/>
      <c r="K3645" s="278"/>
    </row>
    <row r="3646" spans="1:11" x14ac:dyDescent="0.15">
      <c r="A3646" s="278"/>
      <c r="B3646" s="278"/>
      <c r="C3646" s="278"/>
      <c r="D3646" s="278"/>
      <c r="E3646" s="278"/>
      <c r="F3646" s="278"/>
      <c r="G3646" s="278"/>
      <c r="H3646" s="278"/>
      <c r="I3646" s="278"/>
      <c r="J3646" s="278"/>
      <c r="K3646" s="278"/>
    </row>
    <row r="3647" spans="1:11" x14ac:dyDescent="0.15">
      <c r="A3647" s="278"/>
      <c r="B3647" s="278"/>
      <c r="C3647" s="278"/>
      <c r="D3647" s="278"/>
      <c r="E3647" s="278"/>
      <c r="F3647" s="278"/>
      <c r="G3647" s="278"/>
      <c r="H3647" s="278"/>
      <c r="I3647" s="278"/>
      <c r="J3647" s="278"/>
      <c r="K3647" s="278"/>
    </row>
    <row r="3648" spans="1:11" x14ac:dyDescent="0.15">
      <c r="A3648" s="278"/>
      <c r="B3648" s="278"/>
      <c r="C3648" s="278"/>
      <c r="D3648" s="278"/>
      <c r="E3648" s="278"/>
      <c r="F3648" s="278"/>
      <c r="G3648" s="278"/>
      <c r="H3648" s="278"/>
      <c r="I3648" s="278"/>
      <c r="J3648" s="278"/>
      <c r="K3648" s="278"/>
    </row>
    <row r="3649" spans="1:11" x14ac:dyDescent="0.15">
      <c r="A3649" s="278"/>
      <c r="B3649" s="278"/>
      <c r="C3649" s="278"/>
      <c r="D3649" s="278"/>
      <c r="E3649" s="278"/>
      <c r="F3649" s="278"/>
      <c r="G3649" s="278"/>
      <c r="H3649" s="278"/>
      <c r="I3649" s="278"/>
      <c r="J3649" s="278"/>
      <c r="K3649" s="278"/>
    </row>
    <row r="3650" spans="1:11" x14ac:dyDescent="0.15">
      <c r="A3650" s="278"/>
      <c r="B3650" s="278"/>
      <c r="C3650" s="278"/>
      <c r="D3650" s="278"/>
      <c r="E3650" s="278"/>
      <c r="F3650" s="278"/>
      <c r="G3650" s="278"/>
      <c r="H3650" s="278"/>
      <c r="I3650" s="278"/>
      <c r="J3650" s="278"/>
      <c r="K3650" s="278"/>
    </row>
    <row r="3651" spans="1:11" x14ac:dyDescent="0.15">
      <c r="A3651" s="278"/>
      <c r="B3651" s="278"/>
      <c r="C3651" s="278"/>
      <c r="D3651" s="278"/>
      <c r="E3651" s="278"/>
      <c r="F3651" s="278"/>
      <c r="G3651" s="278"/>
      <c r="H3651" s="278"/>
      <c r="I3651" s="278"/>
      <c r="J3651" s="278"/>
      <c r="K3651" s="278"/>
    </row>
    <row r="3652" spans="1:11" x14ac:dyDescent="0.15">
      <c r="A3652" s="278"/>
      <c r="B3652" s="278"/>
      <c r="C3652" s="278"/>
      <c r="D3652" s="278"/>
      <c r="E3652" s="278"/>
      <c r="F3652" s="278"/>
      <c r="G3652" s="278"/>
      <c r="H3652" s="278"/>
      <c r="I3652" s="278"/>
      <c r="J3652" s="278"/>
      <c r="K3652" s="278"/>
    </row>
    <row r="3653" spans="1:11" x14ac:dyDescent="0.15">
      <c r="A3653" s="278"/>
      <c r="B3653" s="278"/>
      <c r="C3653" s="278"/>
      <c r="D3653" s="278"/>
      <c r="E3653" s="278"/>
      <c r="F3653" s="278"/>
      <c r="G3653" s="278"/>
      <c r="H3653" s="278"/>
      <c r="I3653" s="278"/>
      <c r="J3653" s="278"/>
      <c r="K3653" s="278"/>
    </row>
    <row r="3654" spans="1:11" x14ac:dyDescent="0.15">
      <c r="A3654" s="278"/>
      <c r="B3654" s="278"/>
      <c r="C3654" s="278"/>
      <c r="D3654" s="278"/>
      <c r="E3654" s="278"/>
      <c r="F3654" s="278"/>
      <c r="G3654" s="278"/>
      <c r="H3654" s="278"/>
      <c r="I3654" s="278"/>
      <c r="J3654" s="278"/>
      <c r="K3654" s="278"/>
    </row>
    <row r="3655" spans="1:11" x14ac:dyDescent="0.15">
      <c r="A3655" s="278"/>
      <c r="B3655" s="278"/>
      <c r="C3655" s="278"/>
      <c r="D3655" s="278"/>
      <c r="E3655" s="278"/>
      <c r="F3655" s="278"/>
      <c r="G3655" s="278"/>
      <c r="H3655" s="278"/>
      <c r="I3655" s="278"/>
      <c r="J3655" s="278"/>
      <c r="K3655" s="278"/>
    </row>
    <row r="3656" spans="1:11" x14ac:dyDescent="0.15">
      <c r="A3656" s="278"/>
      <c r="B3656" s="278"/>
      <c r="C3656" s="278"/>
      <c r="D3656" s="278"/>
      <c r="E3656" s="278"/>
      <c r="F3656" s="278"/>
      <c r="G3656" s="278"/>
      <c r="H3656" s="278"/>
      <c r="I3656" s="278"/>
      <c r="J3656" s="278"/>
      <c r="K3656" s="278"/>
    </row>
    <row r="3657" spans="1:11" x14ac:dyDescent="0.15">
      <c r="A3657" s="278"/>
      <c r="B3657" s="278"/>
      <c r="C3657" s="278"/>
      <c r="D3657" s="278"/>
      <c r="E3657" s="278"/>
      <c r="F3657" s="278"/>
      <c r="G3657" s="278"/>
      <c r="H3657" s="278"/>
      <c r="I3657" s="278"/>
      <c r="J3657" s="278"/>
      <c r="K3657" s="278"/>
    </row>
    <row r="3658" spans="1:11" x14ac:dyDescent="0.15">
      <c r="A3658" s="278"/>
      <c r="B3658" s="278"/>
      <c r="C3658" s="278"/>
      <c r="D3658" s="278"/>
      <c r="E3658" s="278"/>
      <c r="F3658" s="278"/>
      <c r="G3658" s="278"/>
      <c r="H3658" s="278"/>
      <c r="I3658" s="278"/>
      <c r="J3658" s="278"/>
      <c r="K3658" s="278"/>
    </row>
    <row r="3659" spans="1:11" x14ac:dyDescent="0.15">
      <c r="A3659" s="278"/>
      <c r="B3659" s="278"/>
      <c r="C3659" s="278"/>
      <c r="D3659" s="278"/>
      <c r="E3659" s="278"/>
      <c r="F3659" s="278"/>
      <c r="G3659" s="278"/>
      <c r="H3659" s="278"/>
      <c r="I3659" s="278"/>
      <c r="J3659" s="278"/>
      <c r="K3659" s="278"/>
    </row>
    <row r="3660" spans="1:11" x14ac:dyDescent="0.15">
      <c r="A3660" s="278"/>
      <c r="B3660" s="278"/>
      <c r="C3660" s="278"/>
      <c r="D3660" s="278"/>
      <c r="E3660" s="278"/>
      <c r="F3660" s="278"/>
      <c r="G3660" s="278"/>
      <c r="H3660" s="278"/>
      <c r="I3660" s="278"/>
      <c r="J3660" s="278"/>
      <c r="K3660" s="278"/>
    </row>
    <row r="3661" spans="1:11" x14ac:dyDescent="0.15">
      <c r="A3661" s="278"/>
      <c r="B3661" s="278"/>
      <c r="C3661" s="278"/>
      <c r="D3661" s="278"/>
      <c r="E3661" s="278"/>
      <c r="F3661" s="278"/>
      <c r="G3661" s="278"/>
      <c r="H3661" s="278"/>
      <c r="I3661" s="278"/>
      <c r="J3661" s="278"/>
      <c r="K3661" s="278"/>
    </row>
    <row r="3662" spans="1:11" x14ac:dyDescent="0.15">
      <c r="A3662" s="278"/>
      <c r="B3662" s="278"/>
      <c r="C3662" s="278"/>
      <c r="D3662" s="278"/>
      <c r="E3662" s="278"/>
      <c r="F3662" s="278"/>
      <c r="G3662" s="278"/>
      <c r="H3662" s="278"/>
      <c r="I3662" s="278"/>
      <c r="J3662" s="278"/>
      <c r="K3662" s="278"/>
    </row>
    <row r="3663" spans="1:11" x14ac:dyDescent="0.15">
      <c r="A3663" s="278"/>
      <c r="B3663" s="278"/>
      <c r="C3663" s="278"/>
      <c r="D3663" s="278"/>
      <c r="E3663" s="278"/>
      <c r="F3663" s="278"/>
      <c r="G3663" s="278"/>
      <c r="H3663" s="278"/>
      <c r="I3663" s="278"/>
      <c r="J3663" s="278"/>
      <c r="K3663" s="278"/>
    </row>
    <row r="3664" spans="1:11" x14ac:dyDescent="0.15">
      <c r="A3664" s="278"/>
      <c r="B3664" s="278"/>
      <c r="C3664" s="278"/>
      <c r="D3664" s="278"/>
      <c r="E3664" s="278"/>
      <c r="F3664" s="278"/>
      <c r="G3664" s="278"/>
      <c r="H3664" s="278"/>
      <c r="I3664" s="278"/>
      <c r="J3664" s="278"/>
      <c r="K3664" s="278"/>
    </row>
    <row r="3665" spans="1:11" x14ac:dyDescent="0.15">
      <c r="A3665" s="278"/>
      <c r="B3665" s="278"/>
      <c r="C3665" s="278"/>
      <c r="D3665" s="278"/>
      <c r="E3665" s="278"/>
      <c r="F3665" s="278"/>
      <c r="G3665" s="278"/>
      <c r="H3665" s="278"/>
      <c r="I3665" s="278"/>
      <c r="J3665" s="278"/>
      <c r="K3665" s="278"/>
    </row>
    <row r="3666" spans="1:11" x14ac:dyDescent="0.15">
      <c r="A3666" s="278"/>
      <c r="B3666" s="278"/>
      <c r="C3666" s="278"/>
      <c r="D3666" s="278"/>
      <c r="E3666" s="278"/>
      <c r="F3666" s="278"/>
      <c r="G3666" s="278"/>
      <c r="H3666" s="278"/>
      <c r="I3666" s="278"/>
      <c r="J3666" s="278"/>
      <c r="K3666" s="278"/>
    </row>
    <row r="3667" spans="1:11" x14ac:dyDescent="0.15">
      <c r="A3667" s="278"/>
      <c r="B3667" s="278"/>
      <c r="C3667" s="278"/>
      <c r="D3667" s="278"/>
      <c r="E3667" s="278"/>
      <c r="F3667" s="278"/>
      <c r="G3667" s="278"/>
      <c r="H3667" s="278"/>
      <c r="I3667" s="278"/>
      <c r="J3667" s="278"/>
      <c r="K3667" s="278"/>
    </row>
    <row r="3668" spans="1:11" x14ac:dyDescent="0.15">
      <c r="A3668" s="278"/>
      <c r="B3668" s="278"/>
      <c r="C3668" s="278"/>
      <c r="D3668" s="278"/>
      <c r="E3668" s="278"/>
      <c r="F3668" s="278"/>
      <c r="G3668" s="278"/>
      <c r="H3668" s="278"/>
      <c r="I3668" s="278"/>
      <c r="J3668" s="278"/>
      <c r="K3668" s="278"/>
    </row>
    <row r="3669" spans="1:11" x14ac:dyDescent="0.15">
      <c r="A3669" s="278"/>
      <c r="B3669" s="278"/>
      <c r="C3669" s="278"/>
      <c r="D3669" s="278"/>
      <c r="E3669" s="278"/>
      <c r="F3669" s="278"/>
      <c r="G3669" s="278"/>
      <c r="H3669" s="278"/>
      <c r="I3669" s="278"/>
      <c r="J3669" s="278"/>
      <c r="K3669" s="278"/>
    </row>
    <row r="3670" spans="1:11" x14ac:dyDescent="0.15">
      <c r="A3670" s="278"/>
      <c r="B3670" s="278"/>
      <c r="C3670" s="278"/>
      <c r="D3670" s="278"/>
      <c r="E3670" s="278"/>
      <c r="F3670" s="278"/>
      <c r="G3670" s="278"/>
      <c r="H3670" s="278"/>
      <c r="I3670" s="278"/>
      <c r="J3670" s="278"/>
      <c r="K3670" s="278"/>
    </row>
    <row r="3671" spans="1:11" x14ac:dyDescent="0.15">
      <c r="A3671" s="278"/>
      <c r="B3671" s="278"/>
      <c r="C3671" s="278"/>
      <c r="D3671" s="278"/>
      <c r="E3671" s="278"/>
      <c r="F3671" s="278"/>
      <c r="G3671" s="278"/>
      <c r="H3671" s="278"/>
      <c r="I3671" s="278"/>
      <c r="J3671" s="278"/>
      <c r="K3671" s="278"/>
    </row>
    <row r="3672" spans="1:11" x14ac:dyDescent="0.15">
      <c r="A3672" s="278"/>
      <c r="B3672" s="278"/>
      <c r="C3672" s="278"/>
      <c r="D3672" s="278"/>
      <c r="E3672" s="278"/>
      <c r="F3672" s="278"/>
      <c r="G3672" s="278"/>
      <c r="H3672" s="278"/>
      <c r="I3672" s="278"/>
      <c r="J3672" s="278"/>
      <c r="K3672" s="278"/>
    </row>
    <row r="3673" spans="1:11" x14ac:dyDescent="0.15">
      <c r="A3673" s="278"/>
      <c r="B3673" s="278"/>
      <c r="C3673" s="278"/>
      <c r="D3673" s="278"/>
      <c r="E3673" s="278"/>
      <c r="F3673" s="278"/>
      <c r="G3673" s="278"/>
      <c r="H3673" s="278"/>
      <c r="I3673" s="278"/>
      <c r="J3673" s="278"/>
      <c r="K3673" s="278"/>
    </row>
    <row r="3674" spans="1:11" x14ac:dyDescent="0.15">
      <c r="A3674" s="278"/>
      <c r="B3674" s="278"/>
      <c r="C3674" s="278"/>
      <c r="D3674" s="278"/>
      <c r="E3674" s="278"/>
      <c r="F3674" s="278"/>
      <c r="G3674" s="278"/>
      <c r="H3674" s="278"/>
      <c r="I3674" s="278"/>
      <c r="J3674" s="278"/>
      <c r="K3674" s="278"/>
    </row>
    <row r="3675" spans="1:11" x14ac:dyDescent="0.15">
      <c r="A3675" s="278"/>
      <c r="B3675" s="278"/>
      <c r="C3675" s="278"/>
      <c r="D3675" s="278"/>
      <c r="E3675" s="278"/>
      <c r="F3675" s="278"/>
      <c r="G3675" s="278"/>
      <c r="H3675" s="278"/>
      <c r="I3675" s="278"/>
      <c r="J3675" s="278"/>
      <c r="K3675" s="278"/>
    </row>
    <row r="3676" spans="1:11" x14ac:dyDescent="0.15">
      <c r="A3676" s="278"/>
      <c r="B3676" s="278"/>
      <c r="C3676" s="278"/>
      <c r="D3676" s="278"/>
      <c r="E3676" s="278"/>
      <c r="F3676" s="278"/>
      <c r="G3676" s="278"/>
      <c r="H3676" s="278"/>
      <c r="I3676" s="278"/>
      <c r="J3676" s="278"/>
      <c r="K3676" s="278"/>
    </row>
    <row r="3677" spans="1:11" x14ac:dyDescent="0.15">
      <c r="A3677" s="278"/>
      <c r="B3677" s="278"/>
      <c r="C3677" s="278"/>
      <c r="D3677" s="278"/>
      <c r="E3677" s="278"/>
      <c r="F3677" s="278"/>
      <c r="G3677" s="278"/>
      <c r="H3677" s="278"/>
      <c r="I3677" s="278"/>
      <c r="J3677" s="278"/>
      <c r="K3677" s="278"/>
    </row>
    <row r="3678" spans="1:11" x14ac:dyDescent="0.15">
      <c r="A3678" s="278"/>
      <c r="B3678" s="278"/>
      <c r="C3678" s="278"/>
      <c r="D3678" s="278"/>
      <c r="E3678" s="278"/>
      <c r="F3678" s="278"/>
      <c r="G3678" s="278"/>
      <c r="H3678" s="278"/>
      <c r="I3678" s="278"/>
      <c r="J3678" s="278"/>
      <c r="K3678" s="278"/>
    </row>
    <row r="3679" spans="1:11" x14ac:dyDescent="0.15">
      <c r="A3679" s="278"/>
      <c r="B3679" s="278"/>
      <c r="C3679" s="278"/>
      <c r="D3679" s="278"/>
      <c r="E3679" s="278"/>
      <c r="F3679" s="278"/>
      <c r="G3679" s="278"/>
      <c r="H3679" s="278"/>
      <c r="I3679" s="278"/>
      <c r="J3679" s="278"/>
      <c r="K3679" s="278"/>
    </row>
    <row r="3680" spans="1:11" x14ac:dyDescent="0.15">
      <c r="A3680" s="278"/>
      <c r="B3680" s="278"/>
      <c r="C3680" s="278"/>
      <c r="D3680" s="278"/>
      <c r="E3680" s="278"/>
      <c r="F3680" s="278"/>
      <c r="G3680" s="278"/>
      <c r="H3680" s="278"/>
      <c r="I3680" s="278"/>
      <c r="J3680" s="278"/>
      <c r="K3680" s="278"/>
    </row>
    <row r="3681" spans="1:11" x14ac:dyDescent="0.15">
      <c r="A3681" s="278"/>
      <c r="B3681" s="278"/>
      <c r="C3681" s="278"/>
      <c r="D3681" s="278"/>
      <c r="E3681" s="278"/>
      <c r="F3681" s="278"/>
      <c r="G3681" s="278"/>
      <c r="H3681" s="278"/>
      <c r="I3681" s="278"/>
      <c r="J3681" s="278"/>
      <c r="K3681" s="278"/>
    </row>
    <row r="3682" spans="1:11" x14ac:dyDescent="0.15">
      <c r="A3682" s="278"/>
      <c r="B3682" s="278"/>
      <c r="C3682" s="278"/>
      <c r="D3682" s="278"/>
      <c r="E3682" s="278"/>
      <c r="F3682" s="278"/>
      <c r="G3682" s="278"/>
      <c r="H3682" s="278"/>
      <c r="I3682" s="278"/>
      <c r="J3682" s="278"/>
      <c r="K3682" s="278"/>
    </row>
    <row r="3683" spans="1:11" x14ac:dyDescent="0.15">
      <c r="A3683" s="278"/>
      <c r="B3683" s="278"/>
      <c r="C3683" s="278"/>
      <c r="D3683" s="278"/>
      <c r="E3683" s="278"/>
      <c r="F3683" s="278"/>
      <c r="G3683" s="278"/>
      <c r="H3683" s="278"/>
      <c r="I3683" s="278"/>
      <c r="J3683" s="278"/>
      <c r="K3683" s="278"/>
    </row>
    <row r="3684" spans="1:11" x14ac:dyDescent="0.15">
      <c r="A3684" s="278"/>
      <c r="B3684" s="278"/>
      <c r="C3684" s="278"/>
      <c r="D3684" s="278"/>
      <c r="E3684" s="278"/>
      <c r="F3684" s="278"/>
      <c r="G3684" s="278"/>
      <c r="H3684" s="278"/>
      <c r="I3684" s="278"/>
      <c r="J3684" s="278"/>
      <c r="K3684" s="278"/>
    </row>
    <row r="3685" spans="1:11" x14ac:dyDescent="0.15">
      <c r="A3685" s="278"/>
      <c r="B3685" s="278"/>
      <c r="C3685" s="278"/>
      <c r="D3685" s="278"/>
      <c r="E3685" s="278"/>
      <c r="F3685" s="278"/>
      <c r="G3685" s="278"/>
      <c r="H3685" s="278"/>
      <c r="I3685" s="278"/>
      <c r="J3685" s="278"/>
      <c r="K3685" s="278"/>
    </row>
    <row r="3686" spans="1:11" x14ac:dyDescent="0.15">
      <c r="A3686" s="278"/>
      <c r="B3686" s="278"/>
      <c r="C3686" s="278"/>
      <c r="D3686" s="278"/>
      <c r="E3686" s="278"/>
      <c r="F3686" s="278"/>
      <c r="G3686" s="278"/>
      <c r="H3686" s="278"/>
      <c r="I3686" s="278"/>
      <c r="J3686" s="278"/>
      <c r="K3686" s="278"/>
    </row>
    <row r="3687" spans="1:11" x14ac:dyDescent="0.15">
      <c r="A3687" s="278"/>
      <c r="B3687" s="278"/>
      <c r="C3687" s="278"/>
      <c r="D3687" s="278"/>
      <c r="E3687" s="278"/>
      <c r="F3687" s="278"/>
      <c r="G3687" s="278"/>
      <c r="H3687" s="278"/>
      <c r="I3687" s="278"/>
      <c r="J3687" s="278"/>
      <c r="K3687" s="278"/>
    </row>
    <row r="3688" spans="1:11" x14ac:dyDescent="0.15">
      <c r="A3688" s="278"/>
      <c r="B3688" s="278"/>
      <c r="C3688" s="278"/>
      <c r="D3688" s="278"/>
      <c r="E3688" s="278"/>
      <c r="F3688" s="278"/>
      <c r="G3688" s="278"/>
      <c r="H3688" s="278"/>
      <c r="I3688" s="278"/>
      <c r="J3688" s="278"/>
      <c r="K3688" s="278"/>
    </row>
    <row r="3689" spans="1:11" x14ac:dyDescent="0.15">
      <c r="A3689" s="278"/>
      <c r="B3689" s="278"/>
      <c r="C3689" s="278"/>
      <c r="D3689" s="278"/>
      <c r="E3689" s="278"/>
      <c r="F3689" s="278"/>
      <c r="G3689" s="278"/>
      <c r="H3689" s="278"/>
      <c r="I3689" s="278"/>
      <c r="J3689" s="278"/>
      <c r="K3689" s="278"/>
    </row>
    <row r="3690" spans="1:11" x14ac:dyDescent="0.15">
      <c r="A3690" s="278"/>
      <c r="B3690" s="278"/>
      <c r="C3690" s="278"/>
      <c r="D3690" s="278"/>
      <c r="E3690" s="278"/>
      <c r="F3690" s="278"/>
      <c r="G3690" s="278"/>
      <c r="H3690" s="278"/>
      <c r="I3690" s="278"/>
      <c r="J3690" s="278"/>
      <c r="K3690" s="278"/>
    </row>
    <row r="3691" spans="1:11" x14ac:dyDescent="0.15">
      <c r="A3691" s="278"/>
      <c r="B3691" s="278"/>
      <c r="C3691" s="278"/>
      <c r="D3691" s="278"/>
      <c r="E3691" s="278"/>
      <c r="F3691" s="278"/>
      <c r="G3691" s="278"/>
      <c r="H3691" s="278"/>
      <c r="I3691" s="278"/>
      <c r="J3691" s="278"/>
      <c r="K3691" s="278"/>
    </row>
    <row r="3692" spans="1:11" x14ac:dyDescent="0.15">
      <c r="A3692" s="278"/>
      <c r="B3692" s="278"/>
      <c r="C3692" s="278"/>
      <c r="D3692" s="278"/>
      <c r="E3692" s="278"/>
      <c r="F3692" s="278"/>
      <c r="G3692" s="278"/>
      <c r="H3692" s="278"/>
      <c r="I3692" s="278"/>
      <c r="J3692" s="278"/>
      <c r="K3692" s="278"/>
    </row>
    <row r="3693" spans="1:11" x14ac:dyDescent="0.15">
      <c r="A3693" s="278"/>
      <c r="B3693" s="278"/>
      <c r="C3693" s="278"/>
      <c r="D3693" s="278"/>
      <c r="E3693" s="278"/>
      <c r="F3693" s="278"/>
      <c r="G3693" s="278"/>
      <c r="H3693" s="278"/>
      <c r="I3693" s="278"/>
      <c r="J3693" s="278"/>
      <c r="K3693" s="278"/>
    </row>
    <row r="3694" spans="1:11" x14ac:dyDescent="0.15">
      <c r="A3694" s="278"/>
      <c r="B3694" s="278"/>
      <c r="C3694" s="278"/>
      <c r="D3694" s="278"/>
      <c r="E3694" s="278"/>
      <c r="F3694" s="278"/>
      <c r="G3694" s="278"/>
      <c r="H3694" s="278"/>
      <c r="I3694" s="278"/>
      <c r="J3694" s="278"/>
      <c r="K3694" s="278"/>
    </row>
    <row r="3695" spans="1:11" x14ac:dyDescent="0.15">
      <c r="A3695" s="278"/>
      <c r="B3695" s="278"/>
      <c r="C3695" s="278"/>
      <c r="D3695" s="278"/>
      <c r="E3695" s="278"/>
      <c r="F3695" s="278"/>
      <c r="G3695" s="278"/>
      <c r="H3695" s="278"/>
      <c r="I3695" s="278"/>
      <c r="J3695" s="278"/>
      <c r="K3695" s="278"/>
    </row>
    <row r="3696" spans="1:11" x14ac:dyDescent="0.15">
      <c r="A3696" s="278"/>
      <c r="B3696" s="278"/>
      <c r="C3696" s="278"/>
      <c r="D3696" s="278"/>
      <c r="E3696" s="278"/>
      <c r="F3696" s="278"/>
      <c r="G3696" s="278"/>
      <c r="H3696" s="278"/>
      <c r="I3696" s="278"/>
      <c r="J3696" s="278"/>
      <c r="K3696" s="278"/>
    </row>
    <row r="3697" spans="1:11" x14ac:dyDescent="0.15">
      <c r="A3697" s="278"/>
      <c r="B3697" s="278"/>
      <c r="C3697" s="278"/>
      <c r="D3697" s="278"/>
      <c r="E3697" s="278"/>
      <c r="F3697" s="278"/>
      <c r="G3697" s="278"/>
      <c r="H3697" s="278"/>
      <c r="I3697" s="278"/>
      <c r="J3697" s="278"/>
      <c r="K3697" s="278"/>
    </row>
    <row r="3698" spans="1:11" x14ac:dyDescent="0.15">
      <c r="A3698" s="278"/>
      <c r="B3698" s="278"/>
      <c r="C3698" s="278"/>
      <c r="D3698" s="278"/>
      <c r="E3698" s="278"/>
      <c r="F3698" s="278"/>
      <c r="G3698" s="278"/>
      <c r="H3698" s="278"/>
      <c r="I3698" s="278"/>
      <c r="J3698" s="278"/>
      <c r="K3698" s="278"/>
    </row>
    <row r="3699" spans="1:11" x14ac:dyDescent="0.15">
      <c r="A3699" s="278"/>
      <c r="B3699" s="278"/>
      <c r="C3699" s="278"/>
      <c r="D3699" s="278"/>
      <c r="E3699" s="278"/>
      <c r="F3699" s="278"/>
      <c r="G3699" s="278"/>
      <c r="H3699" s="278"/>
      <c r="I3699" s="278"/>
      <c r="J3699" s="278"/>
      <c r="K3699" s="278"/>
    </row>
    <row r="3700" spans="1:11" x14ac:dyDescent="0.15">
      <c r="A3700" s="278"/>
      <c r="B3700" s="278"/>
      <c r="C3700" s="278"/>
      <c r="D3700" s="278"/>
      <c r="E3700" s="278"/>
      <c r="F3700" s="278"/>
      <c r="G3700" s="278"/>
      <c r="H3700" s="278"/>
      <c r="I3700" s="278"/>
      <c r="J3700" s="278"/>
      <c r="K3700" s="278"/>
    </row>
    <row r="3701" spans="1:11" x14ac:dyDescent="0.15">
      <c r="A3701" s="278"/>
      <c r="B3701" s="278"/>
      <c r="C3701" s="278"/>
      <c r="D3701" s="278"/>
      <c r="E3701" s="278"/>
      <c r="F3701" s="278"/>
      <c r="G3701" s="278"/>
      <c r="H3701" s="278"/>
      <c r="I3701" s="278"/>
      <c r="J3701" s="278"/>
      <c r="K3701" s="278"/>
    </row>
    <row r="3702" spans="1:11" x14ac:dyDescent="0.15">
      <c r="A3702" s="278"/>
      <c r="B3702" s="278"/>
      <c r="C3702" s="278"/>
      <c r="D3702" s="278"/>
      <c r="E3702" s="278"/>
      <c r="F3702" s="278"/>
      <c r="G3702" s="278"/>
      <c r="H3702" s="278"/>
      <c r="I3702" s="278"/>
      <c r="J3702" s="278"/>
      <c r="K3702" s="278"/>
    </row>
    <row r="3703" spans="1:11" x14ac:dyDescent="0.15">
      <c r="A3703" s="278"/>
      <c r="B3703" s="278"/>
      <c r="C3703" s="278"/>
      <c r="D3703" s="278"/>
      <c r="E3703" s="278"/>
      <c r="F3703" s="278"/>
      <c r="G3703" s="278"/>
      <c r="H3703" s="278"/>
      <c r="I3703" s="278"/>
      <c r="J3703" s="278"/>
      <c r="K3703" s="278"/>
    </row>
    <row r="3704" spans="1:11" x14ac:dyDescent="0.15">
      <c r="A3704" s="278"/>
      <c r="B3704" s="278"/>
      <c r="C3704" s="278"/>
      <c r="D3704" s="278"/>
      <c r="E3704" s="278"/>
      <c r="F3704" s="278"/>
      <c r="G3704" s="278"/>
      <c r="H3704" s="278"/>
      <c r="I3704" s="278"/>
      <c r="J3704" s="278"/>
      <c r="K3704" s="278"/>
    </row>
    <row r="3705" spans="1:11" x14ac:dyDescent="0.15">
      <c r="A3705" s="278"/>
      <c r="B3705" s="278"/>
      <c r="C3705" s="278"/>
      <c r="D3705" s="278"/>
      <c r="E3705" s="278"/>
      <c r="F3705" s="278"/>
      <c r="G3705" s="278"/>
      <c r="H3705" s="278"/>
      <c r="I3705" s="278"/>
      <c r="J3705" s="278"/>
      <c r="K3705" s="278"/>
    </row>
    <row r="3706" spans="1:11" x14ac:dyDescent="0.15">
      <c r="A3706" s="278"/>
      <c r="B3706" s="278"/>
      <c r="C3706" s="278"/>
      <c r="D3706" s="278"/>
      <c r="E3706" s="278"/>
      <c r="F3706" s="278"/>
      <c r="G3706" s="278"/>
      <c r="H3706" s="278"/>
      <c r="I3706" s="278"/>
      <c r="J3706" s="278"/>
      <c r="K3706" s="278"/>
    </row>
    <row r="3707" spans="1:11" x14ac:dyDescent="0.15">
      <c r="A3707" s="278"/>
      <c r="B3707" s="278"/>
      <c r="C3707" s="278"/>
      <c r="D3707" s="278"/>
      <c r="E3707" s="278"/>
      <c r="F3707" s="278"/>
      <c r="G3707" s="278"/>
      <c r="H3707" s="278"/>
      <c r="I3707" s="278"/>
      <c r="J3707" s="278"/>
      <c r="K3707" s="278"/>
    </row>
    <row r="3708" spans="1:11" x14ac:dyDescent="0.15">
      <c r="A3708" s="278"/>
      <c r="B3708" s="278"/>
      <c r="C3708" s="278"/>
      <c r="D3708" s="278"/>
      <c r="E3708" s="278"/>
      <c r="F3708" s="278"/>
      <c r="G3708" s="278"/>
      <c r="H3708" s="278"/>
      <c r="I3708" s="278"/>
      <c r="J3708" s="278"/>
      <c r="K3708" s="278"/>
    </row>
    <row r="3709" spans="1:11" x14ac:dyDescent="0.15">
      <c r="A3709" s="278"/>
      <c r="B3709" s="278"/>
      <c r="C3709" s="278"/>
      <c r="D3709" s="278"/>
      <c r="E3709" s="278"/>
      <c r="F3709" s="278"/>
      <c r="G3709" s="278"/>
      <c r="H3709" s="278"/>
      <c r="I3709" s="278"/>
      <c r="J3709" s="278"/>
      <c r="K3709" s="278"/>
    </row>
    <row r="3710" spans="1:11" x14ac:dyDescent="0.15">
      <c r="A3710" s="278"/>
      <c r="B3710" s="278"/>
      <c r="C3710" s="278"/>
      <c r="D3710" s="278"/>
      <c r="E3710" s="278"/>
      <c r="F3710" s="278"/>
      <c r="G3710" s="278"/>
      <c r="H3710" s="278"/>
      <c r="I3710" s="278"/>
      <c r="J3710" s="278"/>
      <c r="K3710" s="278"/>
    </row>
    <row r="3711" spans="1:11" x14ac:dyDescent="0.15">
      <c r="A3711" s="278"/>
      <c r="B3711" s="278"/>
      <c r="C3711" s="278"/>
      <c r="D3711" s="278"/>
      <c r="E3711" s="278"/>
      <c r="F3711" s="278"/>
      <c r="G3711" s="278"/>
      <c r="H3711" s="278"/>
      <c r="I3711" s="278"/>
      <c r="J3711" s="278"/>
      <c r="K3711" s="278"/>
    </row>
    <row r="3712" spans="1:11" x14ac:dyDescent="0.15">
      <c r="A3712" s="278"/>
      <c r="B3712" s="278"/>
      <c r="C3712" s="278"/>
      <c r="D3712" s="278"/>
      <c r="E3712" s="278"/>
      <c r="F3712" s="278"/>
      <c r="G3712" s="278"/>
      <c r="H3712" s="278"/>
      <c r="I3712" s="278"/>
      <c r="J3712" s="278"/>
      <c r="K3712" s="278"/>
    </row>
    <row r="3713" spans="1:11" x14ac:dyDescent="0.15">
      <c r="A3713" s="278"/>
      <c r="B3713" s="278"/>
      <c r="C3713" s="278"/>
      <c r="D3713" s="278"/>
      <c r="E3713" s="278"/>
      <c r="F3713" s="278"/>
      <c r="G3713" s="278"/>
      <c r="H3713" s="278"/>
      <c r="I3713" s="278"/>
      <c r="J3713" s="278"/>
      <c r="K3713" s="278"/>
    </row>
    <row r="3714" spans="1:11" x14ac:dyDescent="0.15">
      <c r="A3714" s="278"/>
      <c r="B3714" s="278"/>
      <c r="C3714" s="278"/>
      <c r="D3714" s="278"/>
      <c r="E3714" s="278"/>
      <c r="F3714" s="278"/>
      <c r="G3714" s="278"/>
      <c r="H3714" s="278"/>
      <c r="I3714" s="278"/>
      <c r="J3714" s="278"/>
      <c r="K3714" s="278"/>
    </row>
    <row r="3715" spans="1:11" x14ac:dyDescent="0.15">
      <c r="A3715" s="278"/>
      <c r="B3715" s="278"/>
      <c r="C3715" s="278"/>
      <c r="D3715" s="278"/>
      <c r="E3715" s="278"/>
      <c r="F3715" s="278"/>
      <c r="G3715" s="278"/>
      <c r="H3715" s="278"/>
      <c r="I3715" s="278"/>
      <c r="J3715" s="278"/>
      <c r="K3715" s="278"/>
    </row>
    <row r="3716" spans="1:11" x14ac:dyDescent="0.15">
      <c r="A3716" s="278"/>
      <c r="B3716" s="278"/>
      <c r="C3716" s="278"/>
      <c r="D3716" s="278"/>
      <c r="E3716" s="278"/>
      <c r="F3716" s="278"/>
      <c r="G3716" s="278"/>
      <c r="H3716" s="278"/>
      <c r="I3716" s="278"/>
      <c r="J3716" s="278"/>
      <c r="K3716" s="278"/>
    </row>
    <row r="3717" spans="1:11" x14ac:dyDescent="0.15">
      <c r="A3717" s="278"/>
      <c r="B3717" s="278"/>
      <c r="C3717" s="278"/>
      <c r="D3717" s="278"/>
      <c r="E3717" s="278"/>
      <c r="F3717" s="278"/>
      <c r="G3717" s="278"/>
      <c r="H3717" s="278"/>
      <c r="I3717" s="278"/>
      <c r="J3717" s="278"/>
      <c r="K3717" s="278"/>
    </row>
    <row r="3718" spans="1:11" x14ac:dyDescent="0.15">
      <c r="A3718" s="278"/>
      <c r="B3718" s="278"/>
      <c r="C3718" s="278"/>
      <c r="D3718" s="278"/>
      <c r="E3718" s="278"/>
      <c r="F3718" s="278"/>
      <c r="G3718" s="278"/>
      <c r="H3718" s="278"/>
      <c r="I3718" s="278"/>
      <c r="J3718" s="278"/>
      <c r="K3718" s="278"/>
    </row>
    <row r="3719" spans="1:11" x14ac:dyDescent="0.15">
      <c r="A3719" s="278"/>
      <c r="B3719" s="278"/>
      <c r="C3719" s="278"/>
      <c r="D3719" s="278"/>
      <c r="E3719" s="278"/>
      <c r="F3719" s="278"/>
      <c r="G3719" s="278"/>
      <c r="H3719" s="278"/>
      <c r="I3719" s="278"/>
      <c r="J3719" s="278"/>
      <c r="K3719" s="278"/>
    </row>
    <row r="3720" spans="1:11" x14ac:dyDescent="0.15">
      <c r="A3720" s="278"/>
      <c r="B3720" s="278"/>
      <c r="C3720" s="278"/>
      <c r="D3720" s="278"/>
      <c r="E3720" s="278"/>
      <c r="F3720" s="278"/>
      <c r="G3720" s="278"/>
      <c r="H3720" s="278"/>
      <c r="I3720" s="278"/>
      <c r="J3720" s="278"/>
      <c r="K3720" s="278"/>
    </row>
    <row r="3721" spans="1:11" x14ac:dyDescent="0.15">
      <c r="A3721" s="278"/>
      <c r="B3721" s="278"/>
      <c r="C3721" s="278"/>
      <c r="D3721" s="278"/>
      <c r="E3721" s="278"/>
      <c r="F3721" s="278"/>
      <c r="G3721" s="278"/>
      <c r="H3721" s="278"/>
      <c r="I3721" s="278"/>
      <c r="J3721" s="278"/>
      <c r="K3721" s="278"/>
    </row>
    <row r="3722" spans="1:11" x14ac:dyDescent="0.15">
      <c r="A3722" s="278"/>
      <c r="B3722" s="278"/>
      <c r="C3722" s="278"/>
      <c r="D3722" s="278"/>
      <c r="E3722" s="278"/>
      <c r="F3722" s="278"/>
      <c r="G3722" s="278"/>
      <c r="H3722" s="278"/>
      <c r="I3722" s="278"/>
      <c r="J3722" s="278"/>
      <c r="K3722" s="278"/>
    </row>
    <row r="3723" spans="1:11" x14ac:dyDescent="0.15">
      <c r="A3723" s="278"/>
      <c r="B3723" s="278"/>
      <c r="C3723" s="278"/>
      <c r="D3723" s="278"/>
      <c r="E3723" s="278"/>
      <c r="F3723" s="278"/>
      <c r="G3723" s="278"/>
      <c r="H3723" s="278"/>
      <c r="I3723" s="278"/>
      <c r="J3723" s="278"/>
      <c r="K3723" s="278"/>
    </row>
    <row r="3724" spans="1:11" x14ac:dyDescent="0.15">
      <c r="A3724" s="278"/>
      <c r="B3724" s="278"/>
      <c r="C3724" s="278"/>
      <c r="D3724" s="278"/>
      <c r="E3724" s="278"/>
      <c r="F3724" s="278"/>
      <c r="G3724" s="278"/>
      <c r="H3724" s="278"/>
      <c r="I3724" s="278"/>
      <c r="J3724" s="278"/>
      <c r="K3724" s="278"/>
    </row>
    <row r="3725" spans="1:11" x14ac:dyDescent="0.15">
      <c r="A3725" s="278"/>
      <c r="B3725" s="278"/>
      <c r="C3725" s="278"/>
      <c r="D3725" s="278"/>
      <c r="E3725" s="278"/>
      <c r="F3725" s="278"/>
      <c r="G3725" s="278"/>
      <c r="H3725" s="278"/>
      <c r="I3725" s="278"/>
      <c r="J3725" s="278"/>
      <c r="K3725" s="278"/>
    </row>
    <row r="3726" spans="1:11" x14ac:dyDescent="0.15">
      <c r="A3726" s="278"/>
      <c r="B3726" s="278"/>
      <c r="C3726" s="278"/>
      <c r="D3726" s="278"/>
      <c r="E3726" s="278"/>
      <c r="F3726" s="278"/>
      <c r="G3726" s="278"/>
      <c r="H3726" s="278"/>
      <c r="I3726" s="278"/>
      <c r="J3726" s="278"/>
      <c r="K3726" s="278"/>
    </row>
    <row r="3727" spans="1:11" x14ac:dyDescent="0.15">
      <c r="A3727" s="278"/>
      <c r="B3727" s="278"/>
      <c r="C3727" s="278"/>
      <c r="D3727" s="278"/>
      <c r="E3727" s="278"/>
      <c r="F3727" s="278"/>
      <c r="G3727" s="278"/>
      <c r="H3727" s="278"/>
      <c r="I3727" s="278"/>
      <c r="J3727" s="278"/>
      <c r="K3727" s="278"/>
    </row>
    <row r="3728" spans="1:11" x14ac:dyDescent="0.15">
      <c r="A3728" s="278"/>
      <c r="B3728" s="278"/>
      <c r="C3728" s="278"/>
      <c r="D3728" s="278"/>
      <c r="E3728" s="278"/>
      <c r="F3728" s="278"/>
      <c r="G3728" s="278"/>
      <c r="H3728" s="278"/>
      <c r="I3728" s="278"/>
      <c r="J3728" s="278"/>
      <c r="K3728" s="278"/>
    </row>
    <row r="3729" spans="1:11" x14ac:dyDescent="0.15">
      <c r="A3729" s="278"/>
      <c r="B3729" s="278"/>
      <c r="C3729" s="278"/>
      <c r="D3729" s="278"/>
      <c r="E3729" s="278"/>
      <c r="F3729" s="278"/>
      <c r="G3729" s="278"/>
      <c r="H3729" s="278"/>
      <c r="I3729" s="278"/>
      <c r="J3729" s="278"/>
      <c r="K3729" s="278"/>
    </row>
    <row r="3730" spans="1:11" x14ac:dyDescent="0.15">
      <c r="A3730" s="278"/>
      <c r="B3730" s="278"/>
      <c r="C3730" s="278"/>
      <c r="D3730" s="278"/>
      <c r="E3730" s="278"/>
      <c r="F3730" s="278"/>
      <c r="G3730" s="278"/>
      <c r="H3730" s="278"/>
      <c r="I3730" s="278"/>
      <c r="J3730" s="278"/>
      <c r="K3730" s="278"/>
    </row>
    <row r="3731" spans="1:11" x14ac:dyDescent="0.15">
      <c r="A3731" s="278"/>
      <c r="B3731" s="278"/>
      <c r="C3731" s="278"/>
      <c r="D3731" s="278"/>
      <c r="E3731" s="278"/>
      <c r="F3731" s="278"/>
      <c r="G3731" s="278"/>
      <c r="H3731" s="278"/>
      <c r="I3731" s="278"/>
      <c r="J3731" s="278"/>
      <c r="K3731" s="278"/>
    </row>
    <row r="3732" spans="1:11" x14ac:dyDescent="0.15">
      <c r="A3732" s="278"/>
      <c r="B3732" s="278"/>
      <c r="C3732" s="278"/>
      <c r="D3732" s="278"/>
      <c r="E3732" s="278"/>
      <c r="F3732" s="278"/>
      <c r="G3732" s="278"/>
      <c r="H3732" s="278"/>
      <c r="I3732" s="278"/>
      <c r="J3732" s="278"/>
      <c r="K3732" s="278"/>
    </row>
    <row r="3733" spans="1:11" x14ac:dyDescent="0.15">
      <c r="A3733" s="278"/>
      <c r="B3733" s="278"/>
      <c r="C3733" s="278"/>
      <c r="D3733" s="278"/>
      <c r="E3733" s="278"/>
      <c r="F3733" s="278"/>
      <c r="G3733" s="278"/>
      <c r="H3733" s="278"/>
      <c r="I3733" s="278"/>
      <c r="J3733" s="278"/>
      <c r="K3733" s="278"/>
    </row>
    <row r="3734" spans="1:11" x14ac:dyDescent="0.15">
      <c r="A3734" s="278"/>
      <c r="B3734" s="278"/>
      <c r="C3734" s="278"/>
      <c r="D3734" s="278"/>
      <c r="E3734" s="278"/>
      <c r="F3734" s="278"/>
      <c r="G3734" s="278"/>
      <c r="H3734" s="278"/>
      <c r="I3734" s="278"/>
      <c r="J3734" s="278"/>
      <c r="K3734" s="278"/>
    </row>
    <row r="3735" spans="1:11" x14ac:dyDescent="0.15">
      <c r="A3735" s="278"/>
      <c r="B3735" s="278"/>
      <c r="C3735" s="278"/>
      <c r="D3735" s="278"/>
      <c r="E3735" s="278"/>
      <c r="F3735" s="278"/>
      <c r="G3735" s="278"/>
      <c r="H3735" s="278"/>
      <c r="I3735" s="278"/>
      <c r="J3735" s="278"/>
      <c r="K3735" s="278"/>
    </row>
    <row r="3736" spans="1:11" x14ac:dyDescent="0.15">
      <c r="A3736" s="278"/>
      <c r="B3736" s="278"/>
      <c r="C3736" s="278"/>
      <c r="D3736" s="278"/>
      <c r="E3736" s="278"/>
      <c r="F3736" s="278"/>
      <c r="G3736" s="278"/>
      <c r="H3736" s="278"/>
      <c r="I3736" s="278"/>
      <c r="J3736" s="278"/>
      <c r="K3736" s="278"/>
    </row>
    <row r="3737" spans="1:11" x14ac:dyDescent="0.15">
      <c r="A3737" s="278"/>
      <c r="B3737" s="278"/>
      <c r="C3737" s="278"/>
      <c r="D3737" s="278"/>
      <c r="E3737" s="278"/>
      <c r="F3737" s="278"/>
      <c r="G3737" s="278"/>
      <c r="H3737" s="278"/>
      <c r="I3737" s="278"/>
      <c r="J3737" s="278"/>
      <c r="K3737" s="278"/>
    </row>
    <row r="3738" spans="1:11" x14ac:dyDescent="0.15">
      <c r="A3738" s="278"/>
      <c r="B3738" s="278"/>
      <c r="C3738" s="278"/>
      <c r="D3738" s="278"/>
      <c r="E3738" s="278"/>
      <c r="F3738" s="278"/>
      <c r="G3738" s="278"/>
      <c r="H3738" s="278"/>
      <c r="I3738" s="278"/>
      <c r="J3738" s="278"/>
      <c r="K3738" s="278"/>
    </row>
    <row r="3739" spans="1:11" x14ac:dyDescent="0.15">
      <c r="A3739" s="278"/>
      <c r="B3739" s="278"/>
      <c r="C3739" s="278"/>
      <c r="D3739" s="278"/>
      <c r="E3739" s="278"/>
      <c r="F3739" s="278"/>
      <c r="G3739" s="278"/>
      <c r="H3739" s="278"/>
      <c r="I3739" s="278"/>
      <c r="J3739" s="278"/>
      <c r="K3739" s="278"/>
    </row>
    <row r="3740" spans="1:11" x14ac:dyDescent="0.15">
      <c r="A3740" s="278"/>
      <c r="B3740" s="278"/>
      <c r="C3740" s="278"/>
      <c r="D3740" s="278"/>
      <c r="E3740" s="278"/>
      <c r="F3740" s="278"/>
      <c r="G3740" s="278"/>
      <c r="H3740" s="278"/>
      <c r="I3740" s="278"/>
      <c r="J3740" s="278"/>
      <c r="K3740" s="278"/>
    </row>
    <row r="3741" spans="1:11" x14ac:dyDescent="0.15">
      <c r="A3741" s="278"/>
      <c r="B3741" s="278"/>
      <c r="C3741" s="278"/>
      <c r="D3741" s="278"/>
      <c r="E3741" s="278"/>
      <c r="F3741" s="278"/>
      <c r="G3741" s="278"/>
      <c r="H3741" s="278"/>
      <c r="I3741" s="278"/>
      <c r="J3741" s="278"/>
      <c r="K3741" s="278"/>
    </row>
    <row r="3742" spans="1:11" x14ac:dyDescent="0.15">
      <c r="A3742" s="278"/>
      <c r="B3742" s="278"/>
      <c r="C3742" s="278"/>
      <c r="D3742" s="278"/>
      <c r="E3742" s="278"/>
      <c r="F3742" s="278"/>
      <c r="G3742" s="278"/>
      <c r="H3742" s="278"/>
      <c r="I3742" s="278"/>
      <c r="J3742" s="278"/>
      <c r="K3742" s="278"/>
    </row>
    <row r="3743" spans="1:11" x14ac:dyDescent="0.15">
      <c r="A3743" s="278"/>
      <c r="B3743" s="278"/>
      <c r="C3743" s="278"/>
      <c r="D3743" s="278"/>
      <c r="E3743" s="278"/>
      <c r="F3743" s="278"/>
      <c r="G3743" s="278"/>
      <c r="H3743" s="278"/>
      <c r="I3743" s="278"/>
      <c r="J3743" s="278"/>
      <c r="K3743" s="278"/>
    </row>
    <row r="3744" spans="1:11" x14ac:dyDescent="0.15">
      <c r="A3744" s="278"/>
      <c r="B3744" s="278"/>
      <c r="C3744" s="278"/>
      <c r="D3744" s="278"/>
      <c r="E3744" s="278"/>
      <c r="F3744" s="278"/>
      <c r="G3744" s="278"/>
      <c r="H3744" s="278"/>
      <c r="I3744" s="278"/>
      <c r="J3744" s="278"/>
      <c r="K3744" s="278"/>
    </row>
    <row r="3745" spans="1:11" x14ac:dyDescent="0.15">
      <c r="A3745" s="278"/>
      <c r="B3745" s="278"/>
      <c r="C3745" s="278"/>
      <c r="D3745" s="278"/>
      <c r="E3745" s="278"/>
      <c r="F3745" s="278"/>
      <c r="G3745" s="278"/>
      <c r="H3745" s="278"/>
      <c r="I3745" s="278"/>
      <c r="J3745" s="278"/>
      <c r="K3745" s="278"/>
    </row>
    <row r="3746" spans="1:11" x14ac:dyDescent="0.15">
      <c r="A3746" s="278"/>
      <c r="B3746" s="278"/>
      <c r="C3746" s="278"/>
      <c r="D3746" s="278"/>
      <c r="E3746" s="278"/>
      <c r="F3746" s="278"/>
      <c r="G3746" s="278"/>
      <c r="H3746" s="278"/>
      <c r="I3746" s="278"/>
      <c r="J3746" s="278"/>
      <c r="K3746" s="278"/>
    </row>
    <row r="3747" spans="1:11" x14ac:dyDescent="0.15">
      <c r="A3747" s="278"/>
      <c r="B3747" s="278"/>
      <c r="C3747" s="278"/>
      <c r="D3747" s="278"/>
      <c r="E3747" s="278"/>
      <c r="F3747" s="278"/>
      <c r="G3747" s="278"/>
      <c r="H3747" s="278"/>
      <c r="I3747" s="278"/>
      <c r="J3747" s="278"/>
      <c r="K3747" s="278"/>
    </row>
    <row r="3748" spans="1:11" x14ac:dyDescent="0.15">
      <c r="A3748" s="278"/>
      <c r="B3748" s="278"/>
      <c r="C3748" s="278"/>
      <c r="D3748" s="278"/>
      <c r="E3748" s="278"/>
      <c r="F3748" s="278"/>
      <c r="G3748" s="278"/>
      <c r="H3748" s="278"/>
      <c r="I3748" s="278"/>
      <c r="J3748" s="278"/>
      <c r="K3748" s="278"/>
    </row>
    <row r="3749" spans="1:11" x14ac:dyDescent="0.15">
      <c r="A3749" s="278"/>
      <c r="B3749" s="278"/>
      <c r="C3749" s="278"/>
      <c r="D3749" s="278"/>
      <c r="E3749" s="278"/>
      <c r="F3749" s="278"/>
      <c r="G3749" s="278"/>
      <c r="H3749" s="278"/>
      <c r="I3749" s="278"/>
      <c r="J3749" s="278"/>
      <c r="K3749" s="278"/>
    </row>
    <row r="3750" spans="1:11" x14ac:dyDescent="0.15">
      <c r="A3750" s="278"/>
      <c r="B3750" s="278"/>
      <c r="C3750" s="278"/>
      <c r="D3750" s="278"/>
      <c r="E3750" s="278"/>
      <c r="F3750" s="278"/>
      <c r="G3750" s="278"/>
      <c r="H3750" s="278"/>
      <c r="I3750" s="278"/>
      <c r="J3750" s="278"/>
      <c r="K3750" s="278"/>
    </row>
    <row r="3751" spans="1:11" x14ac:dyDescent="0.15">
      <c r="A3751" s="278"/>
      <c r="B3751" s="278"/>
      <c r="C3751" s="278"/>
      <c r="D3751" s="278"/>
      <c r="E3751" s="278"/>
      <c r="F3751" s="278"/>
      <c r="G3751" s="278"/>
      <c r="H3751" s="278"/>
      <c r="I3751" s="278"/>
      <c r="J3751" s="278"/>
      <c r="K3751" s="278"/>
    </row>
    <row r="3752" spans="1:11" x14ac:dyDescent="0.15">
      <c r="A3752" s="278"/>
      <c r="B3752" s="278"/>
      <c r="C3752" s="278"/>
      <c r="D3752" s="278"/>
      <c r="E3752" s="278"/>
      <c r="F3752" s="278"/>
      <c r="G3752" s="278"/>
      <c r="H3752" s="278"/>
      <c r="I3752" s="278"/>
      <c r="J3752" s="278"/>
      <c r="K3752" s="278"/>
    </row>
    <row r="3753" spans="1:11" x14ac:dyDescent="0.15">
      <c r="A3753" s="278"/>
      <c r="B3753" s="278"/>
      <c r="C3753" s="278"/>
      <c r="D3753" s="278"/>
      <c r="E3753" s="278"/>
      <c r="F3753" s="278"/>
      <c r="G3753" s="278"/>
      <c r="H3753" s="278"/>
      <c r="I3753" s="278"/>
      <c r="J3753" s="278"/>
      <c r="K3753" s="278"/>
    </row>
    <row r="3754" spans="1:11" x14ac:dyDescent="0.15">
      <c r="A3754" s="278"/>
      <c r="B3754" s="278"/>
      <c r="C3754" s="278"/>
      <c r="D3754" s="278"/>
      <c r="E3754" s="278"/>
      <c r="F3754" s="278"/>
      <c r="G3754" s="278"/>
      <c r="H3754" s="278"/>
      <c r="I3754" s="278"/>
      <c r="J3754" s="278"/>
      <c r="K3754" s="278"/>
    </row>
    <row r="3755" spans="1:11" x14ac:dyDescent="0.15">
      <c r="A3755" s="278"/>
      <c r="B3755" s="278"/>
      <c r="C3755" s="278"/>
      <c r="D3755" s="278"/>
      <c r="E3755" s="278"/>
      <c r="F3755" s="278"/>
      <c r="G3755" s="278"/>
      <c r="H3755" s="278"/>
      <c r="I3755" s="278"/>
      <c r="J3755" s="278"/>
      <c r="K3755" s="278"/>
    </row>
    <row r="3756" spans="1:11" x14ac:dyDescent="0.15">
      <c r="A3756" s="278"/>
      <c r="B3756" s="278"/>
      <c r="C3756" s="278"/>
      <c r="D3756" s="278"/>
      <c r="E3756" s="278"/>
      <c r="F3756" s="278"/>
      <c r="G3756" s="278"/>
      <c r="H3756" s="278"/>
      <c r="I3756" s="278"/>
      <c r="J3756" s="278"/>
      <c r="K3756" s="278"/>
    </row>
    <row r="3757" spans="1:11" x14ac:dyDescent="0.15">
      <c r="A3757" s="278"/>
      <c r="B3757" s="278"/>
      <c r="C3757" s="278"/>
      <c r="D3757" s="278"/>
      <c r="E3757" s="278"/>
      <c r="F3757" s="278"/>
      <c r="G3757" s="278"/>
      <c r="H3757" s="278"/>
      <c r="I3757" s="278"/>
      <c r="J3757" s="278"/>
      <c r="K3757" s="278"/>
    </row>
    <row r="3758" spans="1:11" x14ac:dyDescent="0.15">
      <c r="A3758" s="278"/>
      <c r="B3758" s="278"/>
      <c r="C3758" s="278"/>
      <c r="D3758" s="278"/>
      <c r="E3758" s="278"/>
      <c r="F3758" s="278"/>
      <c r="G3758" s="278"/>
      <c r="H3758" s="278"/>
      <c r="I3758" s="278"/>
      <c r="J3758" s="278"/>
      <c r="K3758" s="278"/>
    </row>
    <row r="3759" spans="1:11" x14ac:dyDescent="0.15">
      <c r="A3759" s="278"/>
      <c r="B3759" s="278"/>
      <c r="C3759" s="278"/>
      <c r="D3759" s="278"/>
      <c r="E3759" s="278"/>
      <c r="F3759" s="278"/>
      <c r="G3759" s="278"/>
      <c r="H3759" s="278"/>
      <c r="I3759" s="278"/>
      <c r="J3759" s="278"/>
      <c r="K3759" s="278"/>
    </row>
    <row r="3760" spans="1:11" x14ac:dyDescent="0.15">
      <c r="A3760" s="278"/>
      <c r="B3760" s="278"/>
      <c r="C3760" s="278"/>
      <c r="D3760" s="278"/>
      <c r="E3760" s="278"/>
      <c r="F3760" s="278"/>
      <c r="G3760" s="278"/>
      <c r="H3760" s="278"/>
      <c r="I3760" s="278"/>
      <c r="J3760" s="278"/>
      <c r="K3760" s="278"/>
    </row>
    <row r="3761" spans="1:11" x14ac:dyDescent="0.15">
      <c r="A3761" s="278"/>
      <c r="B3761" s="278"/>
      <c r="C3761" s="278"/>
      <c r="D3761" s="278"/>
      <c r="E3761" s="278"/>
      <c r="F3761" s="278"/>
      <c r="G3761" s="278"/>
      <c r="H3761" s="278"/>
      <c r="I3761" s="278"/>
      <c r="J3761" s="278"/>
      <c r="K3761" s="278"/>
    </row>
    <row r="3762" spans="1:11" x14ac:dyDescent="0.15">
      <c r="A3762" s="278"/>
      <c r="B3762" s="278"/>
      <c r="C3762" s="278"/>
      <c r="D3762" s="278"/>
      <c r="E3762" s="278"/>
      <c r="F3762" s="278"/>
      <c r="G3762" s="278"/>
      <c r="H3762" s="278"/>
      <c r="I3762" s="278"/>
      <c r="J3762" s="278"/>
      <c r="K3762" s="278"/>
    </row>
    <row r="3763" spans="1:11" x14ac:dyDescent="0.15">
      <c r="A3763" s="278"/>
      <c r="B3763" s="278"/>
      <c r="C3763" s="278"/>
      <c r="D3763" s="278"/>
      <c r="E3763" s="278"/>
      <c r="F3763" s="278"/>
      <c r="G3763" s="278"/>
      <c r="H3763" s="278"/>
      <c r="I3763" s="278"/>
      <c r="J3763" s="278"/>
      <c r="K3763" s="278"/>
    </row>
    <row r="3764" spans="1:11" x14ac:dyDescent="0.15">
      <c r="A3764" s="278"/>
      <c r="B3764" s="278"/>
      <c r="C3764" s="278"/>
      <c r="D3764" s="278"/>
      <c r="E3764" s="278"/>
      <c r="F3764" s="278"/>
      <c r="G3764" s="278"/>
      <c r="H3764" s="278"/>
      <c r="I3764" s="278"/>
      <c r="J3764" s="278"/>
      <c r="K3764" s="278"/>
    </row>
    <row r="3765" spans="1:11" x14ac:dyDescent="0.15">
      <c r="A3765" s="278"/>
      <c r="B3765" s="278"/>
      <c r="C3765" s="278"/>
      <c r="D3765" s="278"/>
      <c r="E3765" s="278"/>
      <c r="F3765" s="278"/>
      <c r="G3765" s="278"/>
      <c r="H3765" s="278"/>
      <c r="I3765" s="278"/>
      <c r="J3765" s="278"/>
      <c r="K3765" s="278"/>
    </row>
    <row r="3766" spans="1:11" x14ac:dyDescent="0.15">
      <c r="A3766" s="278"/>
      <c r="B3766" s="278"/>
      <c r="C3766" s="278"/>
      <c r="D3766" s="278"/>
      <c r="E3766" s="278"/>
      <c r="F3766" s="278"/>
      <c r="G3766" s="278"/>
      <c r="H3766" s="278"/>
      <c r="I3766" s="278"/>
      <c r="J3766" s="278"/>
      <c r="K3766" s="278"/>
    </row>
    <row r="3767" spans="1:11" x14ac:dyDescent="0.15">
      <c r="A3767" s="278"/>
      <c r="B3767" s="278"/>
      <c r="C3767" s="278"/>
      <c r="D3767" s="278"/>
      <c r="E3767" s="278"/>
      <c r="F3767" s="278"/>
      <c r="G3767" s="278"/>
      <c r="H3767" s="278"/>
      <c r="I3767" s="278"/>
      <c r="J3767" s="278"/>
      <c r="K3767" s="278"/>
    </row>
    <row r="3768" spans="1:11" x14ac:dyDescent="0.15">
      <c r="A3768" s="278"/>
      <c r="B3768" s="278"/>
      <c r="C3768" s="278"/>
      <c r="D3768" s="278"/>
      <c r="E3768" s="278"/>
      <c r="F3768" s="278"/>
      <c r="G3768" s="278"/>
      <c r="H3768" s="278"/>
      <c r="I3768" s="278"/>
      <c r="J3768" s="278"/>
      <c r="K3768" s="278"/>
    </row>
    <row r="3769" spans="1:11" x14ac:dyDescent="0.15">
      <c r="A3769" s="278"/>
      <c r="B3769" s="278"/>
      <c r="C3769" s="278"/>
      <c r="D3769" s="278"/>
      <c r="E3769" s="278"/>
      <c r="F3769" s="278"/>
      <c r="G3769" s="278"/>
      <c r="H3769" s="278"/>
      <c r="I3769" s="278"/>
      <c r="J3769" s="278"/>
      <c r="K3769" s="278"/>
    </row>
    <row r="3770" spans="1:11" x14ac:dyDescent="0.15">
      <c r="A3770" s="278"/>
      <c r="B3770" s="278"/>
      <c r="C3770" s="278"/>
      <c r="D3770" s="278"/>
      <c r="E3770" s="278"/>
      <c r="F3770" s="278"/>
      <c r="G3770" s="278"/>
      <c r="H3770" s="278"/>
      <c r="I3770" s="278"/>
      <c r="J3770" s="278"/>
      <c r="K3770" s="278"/>
    </row>
    <row r="3771" spans="1:11" x14ac:dyDescent="0.15">
      <c r="A3771" s="278"/>
      <c r="B3771" s="278"/>
      <c r="C3771" s="278"/>
      <c r="D3771" s="278"/>
      <c r="E3771" s="278"/>
      <c r="F3771" s="278"/>
      <c r="G3771" s="278"/>
      <c r="H3771" s="278"/>
      <c r="I3771" s="278"/>
      <c r="J3771" s="278"/>
      <c r="K3771" s="278"/>
    </row>
    <row r="3772" spans="1:11" x14ac:dyDescent="0.15">
      <c r="A3772" s="278"/>
      <c r="B3772" s="278"/>
      <c r="C3772" s="278"/>
      <c r="D3772" s="278"/>
      <c r="E3772" s="278"/>
      <c r="F3772" s="278"/>
      <c r="G3772" s="278"/>
      <c r="H3772" s="278"/>
      <c r="I3772" s="278"/>
      <c r="J3772" s="278"/>
      <c r="K3772" s="278"/>
    </row>
    <row r="3773" spans="1:11" x14ac:dyDescent="0.15">
      <c r="A3773" s="278"/>
      <c r="B3773" s="278"/>
      <c r="C3773" s="278"/>
      <c r="D3773" s="278"/>
      <c r="E3773" s="278"/>
      <c r="F3773" s="278"/>
      <c r="G3773" s="278"/>
      <c r="H3773" s="278"/>
      <c r="I3773" s="278"/>
      <c r="J3773" s="278"/>
      <c r="K3773" s="278"/>
    </row>
    <row r="3774" spans="1:11" x14ac:dyDescent="0.15">
      <c r="A3774" s="278"/>
      <c r="B3774" s="278"/>
      <c r="C3774" s="278"/>
      <c r="D3774" s="278"/>
      <c r="E3774" s="278"/>
      <c r="F3774" s="278"/>
      <c r="G3774" s="278"/>
      <c r="H3774" s="278"/>
      <c r="I3774" s="278"/>
      <c r="J3774" s="278"/>
      <c r="K3774" s="278"/>
    </row>
    <row r="3775" spans="1:11" x14ac:dyDescent="0.15">
      <c r="A3775" s="278"/>
      <c r="B3775" s="278"/>
      <c r="C3775" s="278"/>
      <c r="D3775" s="278"/>
      <c r="E3775" s="278"/>
      <c r="F3775" s="278"/>
      <c r="G3775" s="278"/>
      <c r="H3775" s="278"/>
      <c r="I3775" s="278"/>
      <c r="J3775" s="278"/>
      <c r="K3775" s="278"/>
    </row>
    <row r="3776" spans="1:11" x14ac:dyDescent="0.15">
      <c r="A3776" s="278"/>
      <c r="B3776" s="278"/>
      <c r="C3776" s="278"/>
      <c r="D3776" s="278"/>
      <c r="E3776" s="278"/>
      <c r="F3776" s="278"/>
      <c r="G3776" s="278"/>
      <c r="H3776" s="278"/>
      <c r="I3776" s="278"/>
      <c r="J3776" s="278"/>
      <c r="K3776" s="278"/>
    </row>
    <row r="3777" spans="1:11" x14ac:dyDescent="0.15">
      <c r="A3777" s="278"/>
      <c r="B3777" s="278"/>
      <c r="C3777" s="278"/>
      <c r="D3777" s="278"/>
      <c r="E3777" s="278"/>
      <c r="F3777" s="278"/>
      <c r="G3777" s="278"/>
      <c r="H3777" s="278"/>
      <c r="I3777" s="278"/>
      <c r="J3777" s="278"/>
      <c r="K3777" s="278"/>
    </row>
    <row r="3778" spans="1:11" x14ac:dyDescent="0.15">
      <c r="A3778" s="278"/>
      <c r="B3778" s="278"/>
      <c r="C3778" s="278"/>
      <c r="D3778" s="278"/>
      <c r="E3778" s="278"/>
      <c r="F3778" s="278"/>
      <c r="G3778" s="278"/>
      <c r="H3778" s="278"/>
      <c r="I3778" s="278"/>
      <c r="J3778" s="278"/>
      <c r="K3778" s="278"/>
    </row>
    <row r="3779" spans="1:11" x14ac:dyDescent="0.15">
      <c r="A3779" s="278"/>
      <c r="B3779" s="278"/>
      <c r="C3779" s="278"/>
      <c r="D3779" s="278"/>
      <c r="E3779" s="278"/>
      <c r="F3779" s="278"/>
      <c r="G3779" s="278"/>
      <c r="H3779" s="278"/>
      <c r="I3779" s="278"/>
      <c r="J3779" s="278"/>
      <c r="K3779" s="278"/>
    </row>
    <row r="3780" spans="1:11" x14ac:dyDescent="0.15">
      <c r="A3780" s="278"/>
      <c r="B3780" s="278"/>
      <c r="C3780" s="278"/>
      <c r="D3780" s="278"/>
      <c r="E3780" s="278"/>
      <c r="F3780" s="278"/>
      <c r="G3780" s="278"/>
      <c r="H3780" s="278"/>
      <c r="I3780" s="278"/>
      <c r="J3780" s="278"/>
      <c r="K3780" s="278"/>
    </row>
    <row r="3781" spans="1:11" x14ac:dyDescent="0.15">
      <c r="A3781" s="278"/>
      <c r="B3781" s="278"/>
      <c r="C3781" s="278"/>
      <c r="D3781" s="278"/>
      <c r="E3781" s="278"/>
      <c r="F3781" s="278"/>
      <c r="G3781" s="278"/>
      <c r="H3781" s="278"/>
      <c r="I3781" s="278"/>
      <c r="J3781" s="278"/>
      <c r="K3781" s="278"/>
    </row>
    <row r="3782" spans="1:11" x14ac:dyDescent="0.15">
      <c r="A3782" s="278"/>
      <c r="B3782" s="278"/>
      <c r="C3782" s="278"/>
      <c r="D3782" s="278"/>
      <c r="E3782" s="278"/>
      <c r="F3782" s="278"/>
      <c r="G3782" s="278"/>
      <c r="H3782" s="278"/>
      <c r="I3782" s="278"/>
      <c r="J3782" s="278"/>
      <c r="K3782" s="278"/>
    </row>
    <row r="3783" spans="1:11" x14ac:dyDescent="0.15">
      <c r="A3783" s="278"/>
      <c r="B3783" s="278"/>
      <c r="C3783" s="278"/>
      <c r="D3783" s="278"/>
      <c r="E3783" s="278"/>
      <c r="F3783" s="278"/>
      <c r="G3783" s="278"/>
      <c r="H3783" s="278"/>
      <c r="I3783" s="278"/>
      <c r="J3783" s="278"/>
      <c r="K3783" s="278"/>
    </row>
    <row r="3784" spans="1:11" x14ac:dyDescent="0.15">
      <c r="A3784" s="278"/>
      <c r="B3784" s="278"/>
      <c r="C3784" s="278"/>
      <c r="D3784" s="278"/>
      <c r="E3784" s="278"/>
      <c r="F3784" s="278"/>
      <c r="G3784" s="278"/>
      <c r="H3784" s="278"/>
      <c r="I3784" s="278"/>
      <c r="J3784" s="278"/>
      <c r="K3784" s="278"/>
    </row>
    <row r="3785" spans="1:11" x14ac:dyDescent="0.15">
      <c r="A3785" s="278"/>
      <c r="B3785" s="278"/>
      <c r="C3785" s="278"/>
      <c r="D3785" s="278"/>
      <c r="E3785" s="278"/>
      <c r="F3785" s="278"/>
      <c r="G3785" s="278"/>
      <c r="H3785" s="278"/>
      <c r="I3785" s="278"/>
      <c r="J3785" s="278"/>
      <c r="K3785" s="278"/>
    </row>
    <row r="3786" spans="1:11" x14ac:dyDescent="0.15">
      <c r="A3786" s="278"/>
      <c r="B3786" s="278"/>
      <c r="C3786" s="278"/>
      <c r="D3786" s="278"/>
      <c r="E3786" s="278"/>
      <c r="F3786" s="278"/>
      <c r="G3786" s="278"/>
      <c r="H3786" s="278"/>
      <c r="I3786" s="278"/>
      <c r="J3786" s="278"/>
      <c r="K3786" s="278"/>
    </row>
    <row r="3787" spans="1:11" x14ac:dyDescent="0.15">
      <c r="A3787" s="278"/>
      <c r="B3787" s="278"/>
      <c r="C3787" s="278"/>
      <c r="D3787" s="278"/>
      <c r="E3787" s="278"/>
      <c r="F3787" s="278"/>
      <c r="G3787" s="278"/>
      <c r="H3787" s="278"/>
      <c r="I3787" s="278"/>
      <c r="J3787" s="278"/>
      <c r="K3787" s="278"/>
    </row>
    <row r="3788" spans="1:11" x14ac:dyDescent="0.15">
      <c r="A3788" s="278"/>
      <c r="B3788" s="278"/>
      <c r="C3788" s="278"/>
      <c r="D3788" s="278"/>
      <c r="E3788" s="278"/>
      <c r="F3788" s="278"/>
      <c r="G3788" s="278"/>
      <c r="H3788" s="278"/>
      <c r="I3788" s="278"/>
      <c r="J3788" s="278"/>
      <c r="K3788" s="278"/>
    </row>
    <row r="3789" spans="1:11" x14ac:dyDescent="0.15">
      <c r="A3789" s="278"/>
      <c r="B3789" s="278"/>
      <c r="C3789" s="278"/>
      <c r="D3789" s="278"/>
      <c r="E3789" s="278"/>
      <c r="F3789" s="278"/>
      <c r="G3789" s="278"/>
      <c r="H3789" s="278"/>
      <c r="I3789" s="278"/>
      <c r="J3789" s="278"/>
      <c r="K3789" s="278"/>
    </row>
    <row r="3790" spans="1:11" x14ac:dyDescent="0.15">
      <c r="A3790" s="278"/>
      <c r="B3790" s="278"/>
      <c r="C3790" s="278"/>
      <c r="D3790" s="278"/>
      <c r="E3790" s="278"/>
      <c r="F3790" s="278"/>
      <c r="G3790" s="278"/>
      <c r="H3790" s="278"/>
      <c r="I3790" s="278"/>
      <c r="J3790" s="278"/>
      <c r="K3790" s="278"/>
    </row>
    <row r="3791" spans="1:11" x14ac:dyDescent="0.15">
      <c r="A3791" s="278"/>
      <c r="B3791" s="278"/>
      <c r="C3791" s="278"/>
      <c r="D3791" s="278"/>
      <c r="E3791" s="278"/>
      <c r="F3791" s="278"/>
      <c r="G3791" s="278"/>
      <c r="H3791" s="278"/>
      <c r="I3791" s="278"/>
      <c r="J3791" s="278"/>
      <c r="K3791" s="278"/>
    </row>
    <row r="3792" spans="1:11" x14ac:dyDescent="0.15">
      <c r="A3792" s="278"/>
      <c r="B3792" s="278"/>
      <c r="C3792" s="278"/>
      <c r="D3792" s="278"/>
      <c r="E3792" s="278"/>
      <c r="F3792" s="278"/>
      <c r="G3792" s="278"/>
      <c r="H3792" s="278"/>
      <c r="I3792" s="278"/>
      <c r="J3792" s="278"/>
      <c r="K3792" s="278"/>
    </row>
    <row r="3793" spans="1:11" x14ac:dyDescent="0.15">
      <c r="A3793" s="278"/>
      <c r="B3793" s="278"/>
      <c r="C3793" s="278"/>
      <c r="D3793" s="278"/>
      <c r="E3793" s="278"/>
      <c r="F3793" s="278"/>
      <c r="G3793" s="278"/>
      <c r="H3793" s="278"/>
      <c r="I3793" s="278"/>
      <c r="J3793" s="278"/>
      <c r="K3793" s="278"/>
    </row>
    <row r="3794" spans="1:11" x14ac:dyDescent="0.15">
      <c r="A3794" s="278"/>
      <c r="B3794" s="278"/>
      <c r="C3794" s="278"/>
      <c r="D3794" s="278"/>
      <c r="E3794" s="278"/>
      <c r="F3794" s="278"/>
      <c r="G3794" s="278"/>
      <c r="H3794" s="278"/>
      <c r="I3794" s="278"/>
      <c r="J3794" s="278"/>
      <c r="K3794" s="278"/>
    </row>
    <row r="3795" spans="1:11" x14ac:dyDescent="0.15">
      <c r="A3795" s="278"/>
      <c r="B3795" s="278"/>
      <c r="C3795" s="278"/>
      <c r="D3795" s="278"/>
      <c r="E3795" s="278"/>
      <c r="F3795" s="278"/>
      <c r="G3795" s="278"/>
      <c r="H3795" s="278"/>
      <c r="I3795" s="278"/>
      <c r="J3795" s="278"/>
      <c r="K3795" s="278"/>
    </row>
    <row r="3796" spans="1:11" x14ac:dyDescent="0.15">
      <c r="A3796" s="278"/>
      <c r="B3796" s="278"/>
      <c r="C3796" s="278"/>
      <c r="D3796" s="278"/>
      <c r="E3796" s="278"/>
      <c r="F3796" s="278"/>
      <c r="G3796" s="278"/>
      <c r="H3796" s="278"/>
      <c r="I3796" s="278"/>
      <c r="J3796" s="278"/>
      <c r="K3796" s="278"/>
    </row>
    <row r="3797" spans="1:11" x14ac:dyDescent="0.15">
      <c r="A3797" s="278"/>
      <c r="B3797" s="278"/>
      <c r="C3797" s="278"/>
      <c r="D3797" s="278"/>
      <c r="E3797" s="278"/>
      <c r="F3797" s="278"/>
      <c r="G3797" s="278"/>
      <c r="H3797" s="278"/>
      <c r="I3797" s="278"/>
      <c r="J3797" s="278"/>
      <c r="K3797" s="278"/>
    </row>
    <row r="3798" spans="1:11" x14ac:dyDescent="0.15">
      <c r="A3798" s="278"/>
      <c r="B3798" s="278"/>
      <c r="C3798" s="278"/>
      <c r="D3798" s="278"/>
      <c r="E3798" s="278"/>
      <c r="F3798" s="278"/>
      <c r="G3798" s="278"/>
      <c r="H3798" s="278"/>
      <c r="I3798" s="278"/>
      <c r="J3798" s="278"/>
      <c r="K3798" s="278"/>
    </row>
    <row r="3799" spans="1:11" x14ac:dyDescent="0.15">
      <c r="A3799" s="278"/>
      <c r="B3799" s="278"/>
      <c r="C3799" s="278"/>
      <c r="D3799" s="278"/>
      <c r="E3799" s="278"/>
      <c r="F3799" s="278"/>
      <c r="G3799" s="278"/>
      <c r="H3799" s="278"/>
      <c r="I3799" s="278"/>
      <c r="J3799" s="278"/>
      <c r="K3799" s="278"/>
    </row>
    <row r="3800" spans="1:11" x14ac:dyDescent="0.15">
      <c r="A3800" s="278"/>
      <c r="B3800" s="278"/>
      <c r="C3800" s="278"/>
      <c r="D3800" s="278"/>
      <c r="E3800" s="278"/>
      <c r="F3800" s="278"/>
      <c r="G3800" s="278"/>
      <c r="H3800" s="278"/>
      <c r="I3800" s="278"/>
      <c r="J3800" s="278"/>
      <c r="K3800" s="278"/>
    </row>
    <row r="3801" spans="1:11" x14ac:dyDescent="0.15">
      <c r="A3801" s="278"/>
      <c r="B3801" s="278"/>
      <c r="C3801" s="278"/>
      <c r="D3801" s="278"/>
      <c r="E3801" s="278"/>
      <c r="F3801" s="278"/>
      <c r="G3801" s="278"/>
      <c r="H3801" s="278"/>
      <c r="I3801" s="278"/>
      <c r="J3801" s="278"/>
      <c r="K3801" s="278"/>
    </row>
    <row r="3802" spans="1:11" x14ac:dyDescent="0.15">
      <c r="A3802" s="278"/>
      <c r="B3802" s="278"/>
      <c r="C3802" s="278"/>
      <c r="D3802" s="278"/>
      <c r="E3802" s="278"/>
      <c r="F3802" s="278"/>
      <c r="G3802" s="278"/>
      <c r="H3802" s="278"/>
      <c r="I3802" s="278"/>
      <c r="J3802" s="278"/>
      <c r="K3802" s="278"/>
    </row>
    <row r="3803" spans="1:11" x14ac:dyDescent="0.15">
      <c r="A3803" s="278"/>
      <c r="B3803" s="278"/>
      <c r="C3803" s="278"/>
      <c r="D3803" s="278"/>
      <c r="E3803" s="278"/>
      <c r="F3803" s="278"/>
      <c r="G3803" s="278"/>
      <c r="H3803" s="278"/>
      <c r="I3803" s="278"/>
      <c r="J3803" s="278"/>
      <c r="K3803" s="278"/>
    </row>
    <row r="3804" spans="1:11" x14ac:dyDescent="0.15">
      <c r="A3804" s="278"/>
      <c r="B3804" s="278"/>
      <c r="C3804" s="278"/>
      <c r="D3804" s="278"/>
      <c r="E3804" s="278"/>
      <c r="F3804" s="278"/>
      <c r="G3804" s="278"/>
      <c r="H3804" s="278"/>
      <c r="I3804" s="278"/>
      <c r="J3804" s="278"/>
      <c r="K3804" s="278"/>
    </row>
    <row r="3805" spans="1:11" x14ac:dyDescent="0.15">
      <c r="A3805" s="278"/>
      <c r="B3805" s="278"/>
      <c r="C3805" s="278"/>
      <c r="D3805" s="278"/>
      <c r="E3805" s="278"/>
      <c r="F3805" s="278"/>
      <c r="G3805" s="278"/>
      <c r="H3805" s="278"/>
      <c r="I3805" s="278"/>
      <c r="J3805" s="278"/>
      <c r="K3805" s="278"/>
    </row>
    <row r="3806" spans="1:11" x14ac:dyDescent="0.15">
      <c r="A3806" s="278"/>
      <c r="B3806" s="278"/>
      <c r="C3806" s="278"/>
      <c r="D3806" s="278"/>
      <c r="E3806" s="278"/>
      <c r="F3806" s="278"/>
      <c r="G3806" s="278"/>
      <c r="H3806" s="278"/>
      <c r="I3806" s="278"/>
      <c r="J3806" s="278"/>
      <c r="K3806" s="278"/>
    </row>
    <row r="3807" spans="1:11" x14ac:dyDescent="0.15">
      <c r="A3807" s="278"/>
      <c r="B3807" s="278"/>
      <c r="C3807" s="278"/>
      <c r="D3807" s="278"/>
      <c r="E3807" s="278"/>
      <c r="F3807" s="278"/>
      <c r="G3807" s="278"/>
      <c r="H3807" s="278"/>
      <c r="I3807" s="278"/>
      <c r="J3807" s="278"/>
      <c r="K3807" s="278"/>
    </row>
    <row r="3808" spans="1:11" x14ac:dyDescent="0.15">
      <c r="A3808" s="278"/>
      <c r="B3808" s="278"/>
      <c r="C3808" s="278"/>
      <c r="D3808" s="278"/>
      <c r="E3808" s="278"/>
      <c r="F3808" s="278"/>
      <c r="G3808" s="278"/>
      <c r="H3808" s="278"/>
      <c r="I3808" s="278"/>
      <c r="J3808" s="278"/>
      <c r="K3808" s="278"/>
    </row>
    <row r="3809" spans="1:11" x14ac:dyDescent="0.15">
      <c r="A3809" s="278"/>
      <c r="B3809" s="278"/>
      <c r="C3809" s="278"/>
      <c r="D3809" s="278"/>
      <c r="E3809" s="278"/>
      <c r="F3809" s="278"/>
      <c r="G3809" s="278"/>
      <c r="H3809" s="278"/>
      <c r="I3809" s="278"/>
      <c r="J3809" s="278"/>
      <c r="K3809" s="278"/>
    </row>
    <row r="3810" spans="1:11" x14ac:dyDescent="0.15">
      <c r="A3810" s="278"/>
      <c r="B3810" s="278"/>
      <c r="C3810" s="278"/>
      <c r="D3810" s="278"/>
      <c r="E3810" s="278"/>
      <c r="F3810" s="278"/>
      <c r="G3810" s="278"/>
      <c r="H3810" s="278"/>
      <c r="I3810" s="278"/>
      <c r="J3810" s="278"/>
      <c r="K3810" s="278"/>
    </row>
    <row r="3811" spans="1:11" x14ac:dyDescent="0.15">
      <c r="A3811" s="278"/>
      <c r="B3811" s="278"/>
      <c r="C3811" s="278"/>
      <c r="D3811" s="278"/>
      <c r="E3811" s="278"/>
      <c r="F3811" s="278"/>
      <c r="G3811" s="278"/>
      <c r="H3811" s="278"/>
      <c r="I3811" s="278"/>
      <c r="J3811" s="278"/>
      <c r="K3811" s="278"/>
    </row>
    <row r="3812" spans="1:11" x14ac:dyDescent="0.15">
      <c r="A3812" s="278"/>
      <c r="B3812" s="278"/>
      <c r="C3812" s="278"/>
      <c r="D3812" s="278"/>
      <c r="E3812" s="278"/>
      <c r="F3812" s="278"/>
      <c r="G3812" s="278"/>
      <c r="H3812" s="278"/>
      <c r="I3812" s="278"/>
      <c r="J3812" s="278"/>
      <c r="K3812" s="278"/>
    </row>
    <row r="3813" spans="1:11" x14ac:dyDescent="0.15">
      <c r="A3813" s="278"/>
      <c r="B3813" s="278"/>
      <c r="C3813" s="278"/>
      <c r="D3813" s="278"/>
      <c r="E3813" s="278"/>
      <c r="F3813" s="278"/>
      <c r="G3813" s="278"/>
      <c r="H3813" s="278"/>
      <c r="I3813" s="278"/>
      <c r="J3813" s="278"/>
      <c r="K3813" s="278"/>
    </row>
    <row r="3814" spans="1:11" x14ac:dyDescent="0.15">
      <c r="A3814" s="278"/>
      <c r="B3814" s="278"/>
      <c r="C3814" s="278"/>
      <c r="D3814" s="278"/>
      <c r="E3814" s="278"/>
      <c r="F3814" s="278"/>
      <c r="G3814" s="278"/>
      <c r="H3814" s="278"/>
      <c r="I3814" s="278"/>
      <c r="J3814" s="278"/>
      <c r="K3814" s="278"/>
    </row>
    <row r="3815" spans="1:11" x14ac:dyDescent="0.15">
      <c r="A3815" s="278"/>
      <c r="B3815" s="278"/>
      <c r="C3815" s="278"/>
      <c r="D3815" s="278"/>
      <c r="E3815" s="278"/>
      <c r="F3815" s="278"/>
      <c r="G3815" s="278"/>
      <c r="H3815" s="278"/>
      <c r="I3815" s="278"/>
      <c r="J3815" s="278"/>
      <c r="K3815" s="278"/>
    </row>
    <row r="3816" spans="1:11" x14ac:dyDescent="0.15">
      <c r="A3816" s="278"/>
      <c r="B3816" s="278"/>
      <c r="C3816" s="278"/>
      <c r="D3816" s="278"/>
      <c r="E3816" s="278"/>
      <c r="F3816" s="278"/>
      <c r="G3816" s="278"/>
      <c r="H3816" s="278"/>
      <c r="I3816" s="278"/>
      <c r="J3816" s="278"/>
      <c r="K3816" s="278"/>
    </row>
    <row r="3817" spans="1:11" x14ac:dyDescent="0.15">
      <c r="A3817" s="278"/>
      <c r="B3817" s="278"/>
      <c r="C3817" s="278"/>
      <c r="D3817" s="278"/>
      <c r="E3817" s="278"/>
      <c r="F3817" s="278"/>
      <c r="G3817" s="278"/>
      <c r="H3817" s="278"/>
      <c r="I3817" s="278"/>
      <c r="J3817" s="278"/>
      <c r="K3817" s="278"/>
    </row>
    <row r="3818" spans="1:11" x14ac:dyDescent="0.15">
      <c r="A3818" s="278"/>
      <c r="B3818" s="278"/>
      <c r="C3818" s="278"/>
      <c r="D3818" s="278"/>
      <c r="E3818" s="278"/>
      <c r="F3818" s="278"/>
      <c r="G3818" s="278"/>
      <c r="H3818" s="278"/>
      <c r="I3818" s="278"/>
      <c r="J3818" s="278"/>
      <c r="K3818" s="278"/>
    </row>
    <row r="3819" spans="1:11" x14ac:dyDescent="0.15">
      <c r="A3819" s="278"/>
      <c r="B3819" s="278"/>
      <c r="C3819" s="278"/>
      <c r="D3819" s="278"/>
      <c r="E3819" s="278"/>
      <c r="F3819" s="278"/>
      <c r="G3819" s="278"/>
      <c r="H3819" s="278"/>
      <c r="I3819" s="278"/>
      <c r="J3819" s="278"/>
      <c r="K3819" s="278"/>
    </row>
    <row r="3820" spans="1:11" x14ac:dyDescent="0.15">
      <c r="A3820" s="278"/>
      <c r="B3820" s="278"/>
      <c r="C3820" s="278"/>
      <c r="D3820" s="278"/>
      <c r="E3820" s="278"/>
      <c r="F3820" s="278"/>
      <c r="G3820" s="278"/>
      <c r="H3820" s="278"/>
      <c r="I3820" s="278"/>
      <c r="J3820" s="278"/>
      <c r="K3820" s="278"/>
    </row>
    <row r="3821" spans="1:11" x14ac:dyDescent="0.15">
      <c r="A3821" s="278"/>
      <c r="B3821" s="278"/>
      <c r="C3821" s="278"/>
      <c r="D3821" s="278"/>
      <c r="E3821" s="278"/>
      <c r="F3821" s="278"/>
      <c r="G3821" s="278"/>
      <c r="H3821" s="278"/>
      <c r="I3821" s="278"/>
      <c r="J3821" s="278"/>
      <c r="K3821" s="278"/>
    </row>
    <row r="3822" spans="1:11" x14ac:dyDescent="0.15">
      <c r="A3822" s="278"/>
      <c r="B3822" s="278"/>
      <c r="C3822" s="278"/>
      <c r="D3822" s="278"/>
      <c r="E3822" s="278"/>
      <c r="F3822" s="278"/>
      <c r="G3822" s="278"/>
      <c r="H3822" s="278"/>
      <c r="I3822" s="278"/>
      <c r="J3822" s="278"/>
      <c r="K3822" s="278"/>
    </row>
    <row r="3823" spans="1:11" x14ac:dyDescent="0.15">
      <c r="A3823" s="278"/>
      <c r="B3823" s="278"/>
      <c r="C3823" s="278"/>
      <c r="D3823" s="278"/>
      <c r="E3823" s="278"/>
      <c r="F3823" s="278"/>
      <c r="G3823" s="278"/>
      <c r="H3823" s="278"/>
      <c r="I3823" s="278"/>
      <c r="J3823" s="278"/>
      <c r="K3823" s="278"/>
    </row>
    <row r="3824" spans="1:11" x14ac:dyDescent="0.15">
      <c r="A3824" s="278"/>
      <c r="B3824" s="278"/>
      <c r="C3824" s="278"/>
      <c r="D3824" s="278"/>
      <c r="E3824" s="278"/>
      <c r="F3824" s="278"/>
      <c r="G3824" s="278"/>
      <c r="H3824" s="278"/>
      <c r="I3824" s="278"/>
      <c r="J3824" s="278"/>
      <c r="K3824" s="278"/>
    </row>
    <row r="3825" spans="1:11" x14ac:dyDescent="0.15">
      <c r="A3825" s="278"/>
      <c r="B3825" s="278"/>
      <c r="C3825" s="278"/>
      <c r="D3825" s="278"/>
      <c r="E3825" s="278"/>
      <c r="F3825" s="278"/>
      <c r="G3825" s="278"/>
      <c r="H3825" s="278"/>
      <c r="I3825" s="278"/>
      <c r="J3825" s="278"/>
      <c r="K3825" s="278"/>
    </row>
    <row r="3826" spans="1:11" x14ac:dyDescent="0.15">
      <c r="A3826" s="278"/>
      <c r="B3826" s="278"/>
      <c r="C3826" s="278"/>
      <c r="D3826" s="278"/>
      <c r="E3826" s="278"/>
      <c r="F3826" s="278"/>
      <c r="G3826" s="278"/>
      <c r="H3826" s="278"/>
      <c r="I3826" s="278"/>
      <c r="J3826" s="278"/>
      <c r="K3826" s="278"/>
    </row>
    <row r="3827" spans="1:11" x14ac:dyDescent="0.15">
      <c r="A3827" s="278"/>
      <c r="B3827" s="278"/>
      <c r="C3827" s="278"/>
      <c r="D3827" s="278"/>
      <c r="E3827" s="278"/>
      <c r="F3827" s="278"/>
      <c r="G3827" s="278"/>
      <c r="H3827" s="278"/>
      <c r="I3827" s="278"/>
      <c r="J3827" s="278"/>
      <c r="K3827" s="278"/>
    </row>
    <row r="3828" spans="1:11" x14ac:dyDescent="0.15">
      <c r="A3828" s="278"/>
      <c r="B3828" s="278"/>
      <c r="C3828" s="278"/>
      <c r="D3828" s="278"/>
      <c r="E3828" s="278"/>
      <c r="F3828" s="278"/>
      <c r="G3828" s="278"/>
      <c r="H3828" s="278"/>
      <c r="I3828" s="278"/>
      <c r="J3828" s="278"/>
      <c r="K3828" s="278"/>
    </row>
    <row r="3829" spans="1:11" x14ac:dyDescent="0.15">
      <c r="A3829" s="278"/>
      <c r="B3829" s="278"/>
      <c r="C3829" s="278"/>
      <c r="D3829" s="278"/>
      <c r="E3829" s="278"/>
      <c r="F3829" s="278"/>
      <c r="G3829" s="278"/>
      <c r="H3829" s="278"/>
      <c r="I3829" s="278"/>
      <c r="J3829" s="278"/>
      <c r="K3829" s="278"/>
    </row>
    <row r="3830" spans="1:11" x14ac:dyDescent="0.15">
      <c r="A3830" s="278"/>
      <c r="B3830" s="278"/>
      <c r="C3830" s="278"/>
      <c r="D3830" s="278"/>
      <c r="E3830" s="278"/>
      <c r="F3830" s="278"/>
      <c r="G3830" s="278"/>
      <c r="H3830" s="278"/>
      <c r="I3830" s="278"/>
      <c r="J3830" s="278"/>
      <c r="K3830" s="278"/>
    </row>
    <row r="3831" spans="1:11" x14ac:dyDescent="0.15">
      <c r="A3831" s="278"/>
      <c r="B3831" s="278"/>
      <c r="C3831" s="278"/>
      <c r="D3831" s="278"/>
      <c r="E3831" s="278"/>
      <c r="F3831" s="278"/>
      <c r="G3831" s="278"/>
      <c r="H3831" s="278"/>
      <c r="I3831" s="278"/>
      <c r="J3831" s="278"/>
      <c r="K3831" s="278"/>
    </row>
    <row r="3832" spans="1:11" x14ac:dyDescent="0.15">
      <c r="A3832" s="278"/>
      <c r="B3832" s="278"/>
      <c r="C3832" s="278"/>
      <c r="D3832" s="278"/>
      <c r="E3832" s="278"/>
      <c r="F3832" s="278"/>
      <c r="G3832" s="278"/>
      <c r="H3832" s="278"/>
      <c r="I3832" s="278"/>
      <c r="J3832" s="278"/>
      <c r="K3832" s="278"/>
    </row>
    <row r="3833" spans="1:11" x14ac:dyDescent="0.15">
      <c r="A3833" s="278"/>
      <c r="B3833" s="278"/>
      <c r="C3833" s="278"/>
      <c r="D3833" s="278"/>
      <c r="E3833" s="278"/>
      <c r="F3833" s="278"/>
      <c r="G3833" s="278"/>
      <c r="H3833" s="278"/>
      <c r="I3833" s="278"/>
      <c r="J3833" s="278"/>
      <c r="K3833" s="278"/>
    </row>
    <row r="3834" spans="1:11" x14ac:dyDescent="0.15">
      <c r="A3834" s="278"/>
      <c r="B3834" s="278"/>
      <c r="C3834" s="278"/>
      <c r="D3834" s="278"/>
      <c r="E3834" s="278"/>
      <c r="F3834" s="278"/>
      <c r="G3834" s="278"/>
      <c r="H3834" s="278"/>
      <c r="I3834" s="278"/>
      <c r="J3834" s="278"/>
      <c r="K3834" s="278"/>
    </row>
    <row r="3835" spans="1:11" x14ac:dyDescent="0.15">
      <c r="A3835" s="278"/>
      <c r="B3835" s="278"/>
      <c r="C3835" s="278"/>
      <c r="D3835" s="278"/>
      <c r="E3835" s="278"/>
      <c r="F3835" s="278"/>
      <c r="G3835" s="278"/>
      <c r="H3835" s="278"/>
      <c r="I3835" s="278"/>
      <c r="J3835" s="278"/>
      <c r="K3835" s="278"/>
    </row>
    <row r="3836" spans="1:11" x14ac:dyDescent="0.15">
      <c r="A3836" s="278"/>
      <c r="B3836" s="278"/>
      <c r="C3836" s="278"/>
      <c r="D3836" s="278"/>
      <c r="E3836" s="278"/>
      <c r="F3836" s="278"/>
      <c r="G3836" s="278"/>
      <c r="H3836" s="278"/>
      <c r="I3836" s="278"/>
      <c r="J3836" s="278"/>
      <c r="K3836" s="278"/>
    </row>
    <row r="3837" spans="1:11" x14ac:dyDescent="0.15">
      <c r="A3837" s="278"/>
      <c r="B3837" s="278"/>
      <c r="C3837" s="278"/>
      <c r="D3837" s="278"/>
      <c r="E3837" s="278"/>
      <c r="F3837" s="278"/>
      <c r="G3837" s="278"/>
      <c r="H3837" s="278"/>
      <c r="I3837" s="278"/>
      <c r="J3837" s="278"/>
      <c r="K3837" s="278"/>
    </row>
    <row r="3838" spans="1:11" x14ac:dyDescent="0.15">
      <c r="A3838" s="278"/>
      <c r="B3838" s="278"/>
      <c r="C3838" s="278"/>
      <c r="D3838" s="278"/>
      <c r="E3838" s="278"/>
      <c r="F3838" s="278"/>
      <c r="G3838" s="278"/>
      <c r="H3838" s="278"/>
      <c r="I3838" s="278"/>
      <c r="J3838" s="278"/>
      <c r="K3838" s="278"/>
    </row>
    <row r="3839" spans="1:11" x14ac:dyDescent="0.15">
      <c r="A3839" s="278"/>
      <c r="B3839" s="278"/>
      <c r="C3839" s="278"/>
      <c r="D3839" s="278"/>
      <c r="E3839" s="278"/>
      <c r="F3839" s="278"/>
      <c r="G3839" s="278"/>
      <c r="H3839" s="278"/>
      <c r="I3839" s="278"/>
      <c r="J3839" s="278"/>
      <c r="K3839" s="278"/>
    </row>
    <row r="3840" spans="1:11" x14ac:dyDescent="0.15">
      <c r="A3840" s="278"/>
      <c r="B3840" s="278"/>
      <c r="C3840" s="278"/>
      <c r="D3840" s="278"/>
      <c r="E3840" s="278"/>
      <c r="F3840" s="278"/>
      <c r="G3840" s="278"/>
      <c r="H3840" s="278"/>
      <c r="I3840" s="278"/>
      <c r="J3840" s="278"/>
      <c r="K3840" s="278"/>
    </row>
    <row r="3841" spans="1:11" x14ac:dyDescent="0.15">
      <c r="A3841" s="278"/>
      <c r="B3841" s="278"/>
      <c r="C3841" s="278"/>
      <c r="D3841" s="278"/>
      <c r="E3841" s="278"/>
      <c r="F3841" s="278"/>
      <c r="G3841" s="278"/>
      <c r="H3841" s="278"/>
      <c r="I3841" s="278"/>
      <c r="J3841" s="278"/>
      <c r="K3841" s="278"/>
    </row>
    <row r="3842" spans="1:11" x14ac:dyDescent="0.15">
      <c r="A3842" s="278"/>
      <c r="B3842" s="278"/>
      <c r="C3842" s="278"/>
      <c r="D3842" s="278"/>
      <c r="E3842" s="278"/>
      <c r="F3842" s="278"/>
      <c r="G3842" s="278"/>
      <c r="H3842" s="278"/>
      <c r="I3842" s="278"/>
      <c r="J3842" s="278"/>
      <c r="K3842" s="278"/>
    </row>
    <row r="3843" spans="1:11" x14ac:dyDescent="0.15">
      <c r="A3843" s="278"/>
      <c r="B3843" s="278"/>
      <c r="C3843" s="278"/>
      <c r="D3843" s="278"/>
      <c r="E3843" s="278"/>
      <c r="F3843" s="278"/>
      <c r="G3843" s="278"/>
      <c r="H3843" s="278"/>
      <c r="I3843" s="278"/>
      <c r="J3843" s="278"/>
      <c r="K3843" s="278"/>
    </row>
    <row r="3844" spans="1:11" x14ac:dyDescent="0.15">
      <c r="A3844" s="278"/>
      <c r="B3844" s="278"/>
      <c r="C3844" s="278"/>
      <c r="D3844" s="278"/>
      <c r="E3844" s="278"/>
      <c r="F3844" s="278"/>
      <c r="G3844" s="278"/>
      <c r="H3844" s="278"/>
      <c r="I3844" s="278"/>
      <c r="J3844" s="278"/>
      <c r="K3844" s="278"/>
    </row>
    <row r="3845" spans="1:11" x14ac:dyDescent="0.15">
      <c r="A3845" s="278"/>
      <c r="B3845" s="278"/>
      <c r="C3845" s="278"/>
      <c r="D3845" s="278"/>
      <c r="E3845" s="278"/>
      <c r="F3845" s="278"/>
      <c r="G3845" s="278"/>
      <c r="H3845" s="278"/>
      <c r="I3845" s="278"/>
      <c r="J3845" s="278"/>
      <c r="K3845" s="278"/>
    </row>
    <row r="3846" spans="1:11" x14ac:dyDescent="0.15">
      <c r="A3846" s="278"/>
      <c r="B3846" s="278"/>
      <c r="C3846" s="278"/>
      <c r="D3846" s="278"/>
      <c r="E3846" s="278"/>
      <c r="F3846" s="278"/>
      <c r="G3846" s="278"/>
      <c r="H3846" s="278"/>
      <c r="I3846" s="278"/>
      <c r="J3846" s="278"/>
      <c r="K3846" s="278"/>
    </row>
    <row r="3847" spans="1:11" x14ac:dyDescent="0.15">
      <c r="A3847" s="278"/>
      <c r="B3847" s="278"/>
      <c r="C3847" s="278"/>
      <c r="D3847" s="278"/>
      <c r="E3847" s="278"/>
      <c r="F3847" s="278"/>
      <c r="G3847" s="278"/>
      <c r="H3847" s="278"/>
      <c r="I3847" s="278"/>
      <c r="J3847" s="278"/>
      <c r="K3847" s="278"/>
    </row>
    <row r="3848" spans="1:11" x14ac:dyDescent="0.15">
      <c r="A3848" s="278"/>
      <c r="B3848" s="278"/>
      <c r="C3848" s="278"/>
      <c r="D3848" s="278"/>
      <c r="E3848" s="278"/>
      <c r="F3848" s="278"/>
      <c r="G3848" s="278"/>
      <c r="H3848" s="278"/>
      <c r="I3848" s="278"/>
      <c r="J3848" s="278"/>
      <c r="K3848" s="278"/>
    </row>
    <row r="3849" spans="1:11" x14ac:dyDescent="0.15">
      <c r="A3849" s="278"/>
      <c r="B3849" s="278"/>
      <c r="C3849" s="278"/>
      <c r="D3849" s="278"/>
      <c r="E3849" s="278"/>
      <c r="F3849" s="278"/>
      <c r="G3849" s="278"/>
      <c r="H3849" s="278"/>
      <c r="I3849" s="278"/>
      <c r="J3849" s="278"/>
      <c r="K3849" s="278"/>
    </row>
    <row r="3850" spans="1:11" x14ac:dyDescent="0.15">
      <c r="A3850" s="278"/>
      <c r="B3850" s="278"/>
      <c r="C3850" s="278"/>
      <c r="D3850" s="278"/>
      <c r="E3850" s="278"/>
      <c r="F3850" s="278"/>
      <c r="G3850" s="278"/>
      <c r="H3850" s="278"/>
      <c r="I3850" s="278"/>
      <c r="J3850" s="278"/>
      <c r="K3850" s="278"/>
    </row>
    <row r="3851" spans="1:11" x14ac:dyDescent="0.15">
      <c r="A3851" s="278"/>
      <c r="B3851" s="278"/>
      <c r="C3851" s="278"/>
      <c r="D3851" s="278"/>
      <c r="E3851" s="278"/>
      <c r="F3851" s="278"/>
      <c r="G3851" s="278"/>
      <c r="H3851" s="278"/>
      <c r="I3851" s="278"/>
      <c r="J3851" s="278"/>
      <c r="K3851" s="278"/>
    </row>
    <row r="3852" spans="1:11" x14ac:dyDescent="0.15">
      <c r="A3852" s="278"/>
      <c r="B3852" s="278"/>
      <c r="C3852" s="278"/>
      <c r="D3852" s="278"/>
      <c r="E3852" s="278"/>
      <c r="F3852" s="278"/>
      <c r="G3852" s="278"/>
      <c r="H3852" s="278"/>
      <c r="I3852" s="278"/>
      <c r="J3852" s="278"/>
      <c r="K3852" s="278"/>
    </row>
    <row r="3853" spans="1:11" x14ac:dyDescent="0.15">
      <c r="A3853" s="278"/>
      <c r="B3853" s="278"/>
      <c r="C3853" s="278"/>
      <c r="D3853" s="278"/>
      <c r="E3853" s="278"/>
      <c r="F3853" s="278"/>
      <c r="G3853" s="278"/>
      <c r="H3853" s="278"/>
      <c r="I3853" s="278"/>
      <c r="J3853" s="278"/>
      <c r="K3853" s="278"/>
    </row>
    <row r="3854" spans="1:11" x14ac:dyDescent="0.15">
      <c r="A3854" s="278"/>
      <c r="B3854" s="278"/>
      <c r="C3854" s="278"/>
      <c r="D3854" s="278"/>
      <c r="E3854" s="278"/>
      <c r="F3854" s="278"/>
      <c r="G3854" s="278"/>
      <c r="H3854" s="278"/>
      <c r="I3854" s="278"/>
      <c r="J3854" s="278"/>
      <c r="K3854" s="278"/>
    </row>
    <row r="3855" spans="1:11" x14ac:dyDescent="0.15">
      <c r="A3855" s="278"/>
      <c r="B3855" s="278"/>
      <c r="C3855" s="278"/>
      <c r="D3855" s="278"/>
      <c r="E3855" s="278"/>
      <c r="F3855" s="278"/>
      <c r="G3855" s="278"/>
      <c r="H3855" s="278"/>
      <c r="I3855" s="278"/>
      <c r="J3855" s="278"/>
      <c r="K3855" s="278"/>
    </row>
    <row r="3856" spans="1:11" x14ac:dyDescent="0.15">
      <c r="A3856" s="278"/>
      <c r="B3856" s="278"/>
      <c r="C3856" s="278"/>
      <c r="D3856" s="278"/>
      <c r="E3856" s="278"/>
      <c r="F3856" s="278"/>
      <c r="G3856" s="278"/>
      <c r="H3856" s="278"/>
      <c r="I3856" s="278"/>
      <c r="J3856" s="278"/>
      <c r="K3856" s="278"/>
    </row>
    <row r="3857" spans="1:11" x14ac:dyDescent="0.15">
      <c r="A3857" s="278"/>
      <c r="B3857" s="278"/>
      <c r="C3857" s="278"/>
      <c r="D3857" s="278"/>
      <c r="E3857" s="278"/>
      <c r="F3857" s="278"/>
      <c r="G3857" s="278"/>
      <c r="H3857" s="278"/>
      <c r="I3857" s="278"/>
      <c r="J3857" s="278"/>
      <c r="K3857" s="278"/>
    </row>
    <row r="3858" spans="1:11" x14ac:dyDescent="0.15">
      <c r="A3858" s="278"/>
      <c r="B3858" s="278"/>
      <c r="C3858" s="278"/>
      <c r="D3858" s="278"/>
      <c r="E3858" s="278"/>
      <c r="F3858" s="278"/>
      <c r="G3858" s="278"/>
      <c r="H3858" s="278"/>
      <c r="I3858" s="278"/>
      <c r="J3858" s="278"/>
      <c r="K3858" s="278"/>
    </row>
    <row r="3859" spans="1:11" x14ac:dyDescent="0.15">
      <c r="A3859" s="278"/>
      <c r="B3859" s="278"/>
      <c r="C3859" s="278"/>
      <c r="D3859" s="278"/>
      <c r="E3859" s="278"/>
      <c r="F3859" s="278"/>
      <c r="G3859" s="278"/>
      <c r="H3859" s="278"/>
      <c r="I3859" s="278"/>
      <c r="J3859" s="278"/>
      <c r="K3859" s="278"/>
    </row>
    <row r="3860" spans="1:11" x14ac:dyDescent="0.15">
      <c r="A3860" s="278"/>
      <c r="B3860" s="278"/>
      <c r="C3860" s="278"/>
      <c r="D3860" s="278"/>
      <c r="E3860" s="278"/>
      <c r="F3860" s="278"/>
      <c r="G3860" s="278"/>
      <c r="H3860" s="278"/>
      <c r="I3860" s="278"/>
      <c r="J3860" s="278"/>
      <c r="K3860" s="278"/>
    </row>
    <row r="3861" spans="1:11" x14ac:dyDescent="0.15">
      <c r="A3861" s="278"/>
      <c r="B3861" s="278"/>
      <c r="C3861" s="278"/>
      <c r="D3861" s="278"/>
      <c r="E3861" s="278"/>
      <c r="F3861" s="278"/>
      <c r="G3861" s="278"/>
      <c r="H3861" s="278"/>
      <c r="I3861" s="278"/>
      <c r="J3861" s="278"/>
      <c r="K3861" s="278"/>
    </row>
    <row r="3862" spans="1:11" x14ac:dyDescent="0.15">
      <c r="A3862" s="278"/>
      <c r="B3862" s="278"/>
      <c r="C3862" s="278"/>
      <c r="D3862" s="278"/>
      <c r="E3862" s="278"/>
      <c r="F3862" s="278"/>
      <c r="G3862" s="278"/>
      <c r="H3862" s="278"/>
      <c r="I3862" s="278"/>
      <c r="J3862" s="278"/>
      <c r="K3862" s="278"/>
    </row>
    <row r="3863" spans="1:11" x14ac:dyDescent="0.15">
      <c r="A3863" s="278"/>
      <c r="B3863" s="278"/>
      <c r="C3863" s="278"/>
      <c r="D3863" s="278"/>
      <c r="E3863" s="278"/>
      <c r="F3863" s="278"/>
      <c r="G3863" s="278"/>
      <c r="H3863" s="278"/>
      <c r="I3863" s="278"/>
      <c r="J3863" s="278"/>
      <c r="K3863" s="278"/>
    </row>
    <row r="3864" spans="1:11" x14ac:dyDescent="0.15">
      <c r="A3864" s="278"/>
      <c r="B3864" s="278"/>
      <c r="C3864" s="278"/>
      <c r="D3864" s="278"/>
      <c r="E3864" s="278"/>
      <c r="F3864" s="278"/>
      <c r="G3864" s="278"/>
      <c r="H3864" s="278"/>
      <c r="I3864" s="278"/>
      <c r="J3864" s="278"/>
      <c r="K3864" s="278"/>
    </row>
    <row r="3865" spans="1:11" x14ac:dyDescent="0.15">
      <c r="A3865" s="278"/>
      <c r="B3865" s="278"/>
      <c r="C3865" s="278"/>
      <c r="D3865" s="278"/>
      <c r="E3865" s="278"/>
      <c r="F3865" s="278"/>
      <c r="G3865" s="278"/>
      <c r="H3865" s="278"/>
      <c r="I3865" s="278"/>
      <c r="J3865" s="278"/>
      <c r="K3865" s="278"/>
    </row>
    <row r="3866" spans="1:11" x14ac:dyDescent="0.15">
      <c r="A3866" s="278"/>
      <c r="B3866" s="278"/>
      <c r="C3866" s="278"/>
      <c r="D3866" s="278"/>
      <c r="E3866" s="278"/>
      <c r="F3866" s="278"/>
      <c r="G3866" s="278"/>
      <c r="H3866" s="278"/>
      <c r="I3866" s="278"/>
      <c r="J3866" s="278"/>
      <c r="K3866" s="278"/>
    </row>
    <row r="3867" spans="1:11" x14ac:dyDescent="0.15">
      <c r="A3867" s="278"/>
      <c r="B3867" s="278"/>
      <c r="C3867" s="278"/>
      <c r="D3867" s="278"/>
      <c r="E3867" s="278"/>
      <c r="F3867" s="278"/>
      <c r="G3867" s="278"/>
      <c r="H3867" s="278"/>
      <c r="I3867" s="278"/>
      <c r="J3867" s="278"/>
      <c r="K3867" s="278"/>
    </row>
    <row r="3868" spans="1:11" x14ac:dyDescent="0.15">
      <c r="A3868" s="278"/>
      <c r="B3868" s="278"/>
      <c r="C3868" s="278"/>
      <c r="D3868" s="278"/>
      <c r="E3868" s="278"/>
      <c r="F3868" s="278"/>
      <c r="G3868" s="278"/>
      <c r="H3868" s="278"/>
      <c r="I3868" s="278"/>
      <c r="J3868" s="278"/>
      <c r="K3868" s="278"/>
    </row>
    <row r="3869" spans="1:11" x14ac:dyDescent="0.15">
      <c r="A3869" s="278"/>
      <c r="B3869" s="278"/>
      <c r="C3869" s="278"/>
      <c r="D3869" s="278"/>
      <c r="E3869" s="278"/>
      <c r="F3869" s="278"/>
      <c r="G3869" s="278"/>
      <c r="H3869" s="278"/>
      <c r="I3869" s="278"/>
      <c r="J3869" s="278"/>
      <c r="K3869" s="278"/>
    </row>
    <row r="3870" spans="1:11" x14ac:dyDescent="0.15">
      <c r="A3870" s="278"/>
      <c r="B3870" s="278"/>
      <c r="C3870" s="278"/>
      <c r="D3870" s="278"/>
      <c r="E3870" s="278"/>
      <c r="F3870" s="278"/>
      <c r="G3870" s="278"/>
      <c r="H3870" s="278"/>
      <c r="I3870" s="278"/>
      <c r="J3870" s="278"/>
      <c r="K3870" s="278"/>
    </row>
    <row r="3871" spans="1:11" x14ac:dyDescent="0.15">
      <c r="A3871" s="278"/>
      <c r="B3871" s="278"/>
      <c r="C3871" s="278"/>
      <c r="D3871" s="278"/>
      <c r="E3871" s="278"/>
      <c r="F3871" s="278"/>
      <c r="G3871" s="278"/>
      <c r="H3871" s="278"/>
      <c r="I3871" s="278"/>
      <c r="J3871" s="278"/>
      <c r="K3871" s="278"/>
    </row>
    <row r="3872" spans="1:11" x14ac:dyDescent="0.15">
      <c r="A3872" s="278"/>
      <c r="B3872" s="278"/>
      <c r="C3872" s="278"/>
      <c r="D3872" s="278"/>
      <c r="E3872" s="278"/>
      <c r="F3872" s="278"/>
      <c r="G3872" s="278"/>
      <c r="H3872" s="278"/>
      <c r="I3872" s="278"/>
      <c r="J3872" s="278"/>
      <c r="K3872" s="278"/>
    </row>
    <row r="3873" spans="1:11" x14ac:dyDescent="0.15">
      <c r="A3873" s="278"/>
      <c r="B3873" s="278"/>
      <c r="C3873" s="278"/>
      <c r="D3873" s="278"/>
      <c r="E3873" s="278"/>
      <c r="F3873" s="278"/>
      <c r="G3873" s="278"/>
      <c r="H3873" s="278"/>
      <c r="I3873" s="278"/>
      <c r="J3873" s="278"/>
      <c r="K3873" s="278"/>
    </row>
    <row r="3874" spans="1:11" x14ac:dyDescent="0.15">
      <c r="A3874" s="278"/>
      <c r="B3874" s="278"/>
      <c r="C3874" s="278"/>
      <c r="D3874" s="278"/>
      <c r="E3874" s="278"/>
      <c r="F3874" s="278"/>
      <c r="G3874" s="278"/>
      <c r="H3874" s="278"/>
      <c r="I3874" s="278"/>
      <c r="J3874" s="278"/>
      <c r="K3874" s="278"/>
    </row>
    <row r="3875" spans="1:11" x14ac:dyDescent="0.15">
      <c r="A3875" s="278"/>
      <c r="B3875" s="278"/>
      <c r="C3875" s="278"/>
      <c r="D3875" s="278"/>
      <c r="E3875" s="278"/>
      <c r="F3875" s="278"/>
      <c r="G3875" s="278"/>
      <c r="H3875" s="278"/>
      <c r="I3875" s="278"/>
      <c r="J3875" s="278"/>
      <c r="K3875" s="278"/>
    </row>
    <row r="3876" spans="1:11" x14ac:dyDescent="0.15">
      <c r="A3876" s="278"/>
      <c r="B3876" s="278"/>
      <c r="C3876" s="278"/>
      <c r="D3876" s="278"/>
      <c r="E3876" s="278"/>
      <c r="F3876" s="278"/>
      <c r="G3876" s="278"/>
      <c r="H3876" s="278"/>
      <c r="I3876" s="278"/>
      <c r="J3876" s="278"/>
      <c r="K3876" s="278"/>
    </row>
    <row r="3877" spans="1:11" x14ac:dyDescent="0.15">
      <c r="A3877" s="278"/>
      <c r="B3877" s="278"/>
      <c r="C3877" s="278"/>
      <c r="D3877" s="278"/>
      <c r="E3877" s="278"/>
      <c r="F3877" s="278"/>
      <c r="G3877" s="278"/>
      <c r="H3877" s="278"/>
      <c r="I3877" s="278"/>
      <c r="J3877" s="278"/>
      <c r="K3877" s="278"/>
    </row>
    <row r="3878" spans="1:11" x14ac:dyDescent="0.15">
      <c r="A3878" s="278"/>
      <c r="B3878" s="278"/>
      <c r="C3878" s="278"/>
      <c r="D3878" s="278"/>
      <c r="E3878" s="278"/>
      <c r="F3878" s="278"/>
      <c r="G3878" s="278"/>
      <c r="H3878" s="278"/>
      <c r="I3878" s="278"/>
      <c r="J3878" s="278"/>
      <c r="K3878" s="278"/>
    </row>
    <row r="3879" spans="1:11" x14ac:dyDescent="0.15">
      <c r="A3879" s="278"/>
      <c r="B3879" s="278"/>
      <c r="C3879" s="278"/>
      <c r="D3879" s="278"/>
      <c r="E3879" s="278"/>
      <c r="F3879" s="278"/>
      <c r="G3879" s="278"/>
      <c r="H3879" s="278"/>
      <c r="I3879" s="278"/>
      <c r="J3879" s="278"/>
      <c r="K3879" s="278"/>
    </row>
    <row r="3880" spans="1:11" x14ac:dyDescent="0.15">
      <c r="A3880" s="278"/>
      <c r="B3880" s="278"/>
      <c r="C3880" s="278"/>
      <c r="D3880" s="278"/>
      <c r="E3880" s="278"/>
      <c r="F3880" s="278"/>
      <c r="G3880" s="278"/>
      <c r="H3880" s="278"/>
      <c r="I3880" s="278"/>
      <c r="J3880" s="278"/>
      <c r="K3880" s="278"/>
    </row>
    <row r="3881" spans="1:11" x14ac:dyDescent="0.15">
      <c r="A3881" s="278"/>
      <c r="B3881" s="278"/>
      <c r="C3881" s="278"/>
      <c r="D3881" s="278"/>
      <c r="E3881" s="278"/>
      <c r="F3881" s="278"/>
      <c r="G3881" s="278"/>
      <c r="H3881" s="278"/>
      <c r="I3881" s="278"/>
      <c r="J3881" s="278"/>
      <c r="K3881" s="278"/>
    </row>
    <row r="3882" spans="1:11" x14ac:dyDescent="0.15">
      <c r="A3882" s="278"/>
      <c r="B3882" s="278"/>
      <c r="C3882" s="278"/>
      <c r="D3882" s="278"/>
      <c r="E3882" s="278"/>
      <c r="F3882" s="278"/>
      <c r="G3882" s="278"/>
      <c r="H3882" s="278"/>
      <c r="I3882" s="278"/>
      <c r="J3882" s="278"/>
      <c r="K3882" s="278"/>
    </row>
    <row r="3883" spans="1:11" x14ac:dyDescent="0.15">
      <c r="A3883" s="278"/>
      <c r="B3883" s="278"/>
      <c r="C3883" s="278"/>
      <c r="D3883" s="278"/>
      <c r="E3883" s="278"/>
      <c r="F3883" s="278"/>
      <c r="G3883" s="278"/>
      <c r="H3883" s="278"/>
      <c r="I3883" s="278"/>
      <c r="J3883" s="278"/>
      <c r="K3883" s="278"/>
    </row>
    <row r="3884" spans="1:11" x14ac:dyDescent="0.15">
      <c r="A3884" s="278"/>
      <c r="B3884" s="278"/>
      <c r="C3884" s="278"/>
      <c r="D3884" s="278"/>
      <c r="E3884" s="278"/>
      <c r="F3884" s="278"/>
      <c r="G3884" s="278"/>
      <c r="H3884" s="278"/>
      <c r="I3884" s="278"/>
      <c r="J3884" s="278"/>
      <c r="K3884" s="278"/>
    </row>
    <row r="3885" spans="1:11" x14ac:dyDescent="0.15">
      <c r="A3885" s="278"/>
      <c r="B3885" s="278"/>
      <c r="C3885" s="278"/>
      <c r="D3885" s="278"/>
      <c r="E3885" s="278"/>
      <c r="F3885" s="278"/>
      <c r="G3885" s="278"/>
      <c r="H3885" s="278"/>
      <c r="I3885" s="278"/>
      <c r="J3885" s="278"/>
      <c r="K3885" s="278"/>
    </row>
    <row r="3886" spans="1:11" x14ac:dyDescent="0.15">
      <c r="A3886" s="278"/>
      <c r="B3886" s="278"/>
      <c r="C3886" s="278"/>
      <c r="D3886" s="278"/>
      <c r="E3886" s="278"/>
      <c r="F3886" s="278"/>
      <c r="G3886" s="278"/>
      <c r="H3886" s="278"/>
      <c r="I3886" s="278"/>
      <c r="J3886" s="278"/>
      <c r="K3886" s="278"/>
    </row>
    <row r="3887" spans="1:11" x14ac:dyDescent="0.15">
      <c r="A3887" s="278"/>
      <c r="B3887" s="278"/>
      <c r="C3887" s="278"/>
      <c r="D3887" s="278"/>
      <c r="E3887" s="278"/>
      <c r="F3887" s="278"/>
      <c r="G3887" s="278"/>
      <c r="H3887" s="278"/>
      <c r="I3887" s="278"/>
      <c r="J3887" s="278"/>
      <c r="K3887" s="278"/>
    </row>
    <row r="3888" spans="1:11" x14ac:dyDescent="0.15">
      <c r="A3888" s="278"/>
      <c r="B3888" s="278"/>
      <c r="C3888" s="278"/>
      <c r="D3888" s="278"/>
      <c r="E3888" s="278"/>
      <c r="F3888" s="278"/>
      <c r="G3888" s="278"/>
      <c r="H3888" s="278"/>
      <c r="I3888" s="278"/>
      <c r="J3888" s="278"/>
      <c r="K3888" s="278"/>
    </row>
    <row r="3889" spans="1:11" x14ac:dyDescent="0.15">
      <c r="A3889" s="278"/>
      <c r="B3889" s="278"/>
      <c r="C3889" s="278"/>
      <c r="D3889" s="278"/>
      <c r="E3889" s="278"/>
      <c r="F3889" s="278"/>
      <c r="G3889" s="278"/>
      <c r="H3889" s="278"/>
      <c r="I3889" s="278"/>
      <c r="J3889" s="278"/>
      <c r="K3889" s="278"/>
    </row>
    <row r="3890" spans="1:11" x14ac:dyDescent="0.15">
      <c r="A3890" s="278"/>
      <c r="B3890" s="278"/>
      <c r="C3890" s="278"/>
      <c r="D3890" s="278"/>
      <c r="E3890" s="278"/>
      <c r="F3890" s="278"/>
      <c r="G3890" s="278"/>
      <c r="H3890" s="278"/>
      <c r="I3890" s="278"/>
      <c r="J3890" s="278"/>
      <c r="K3890" s="278"/>
    </row>
    <row r="3891" spans="1:11" x14ac:dyDescent="0.15">
      <c r="A3891" s="278"/>
      <c r="B3891" s="278"/>
      <c r="C3891" s="278"/>
      <c r="D3891" s="278"/>
      <c r="E3891" s="278"/>
      <c r="F3891" s="278"/>
      <c r="G3891" s="278"/>
      <c r="H3891" s="278"/>
      <c r="I3891" s="278"/>
      <c r="J3891" s="278"/>
      <c r="K3891" s="278"/>
    </row>
    <row r="3892" spans="1:11" x14ac:dyDescent="0.15">
      <c r="A3892" s="278"/>
      <c r="B3892" s="278"/>
      <c r="C3892" s="278"/>
      <c r="D3892" s="278"/>
      <c r="E3892" s="278"/>
      <c r="F3892" s="278"/>
      <c r="G3892" s="278"/>
      <c r="H3892" s="278"/>
      <c r="I3892" s="278"/>
      <c r="J3892" s="278"/>
      <c r="K3892" s="278"/>
    </row>
    <row r="3893" spans="1:11" x14ac:dyDescent="0.15">
      <c r="A3893" s="278"/>
      <c r="B3893" s="278"/>
      <c r="C3893" s="278"/>
      <c r="D3893" s="278"/>
      <c r="E3893" s="278"/>
      <c r="F3893" s="278"/>
      <c r="G3893" s="278"/>
      <c r="H3893" s="278"/>
      <c r="I3893" s="278"/>
      <c r="J3893" s="278"/>
      <c r="K3893" s="278"/>
    </row>
    <row r="3894" spans="1:11" x14ac:dyDescent="0.15">
      <c r="A3894" s="278"/>
      <c r="B3894" s="278"/>
      <c r="C3894" s="278"/>
      <c r="D3894" s="278"/>
      <c r="E3894" s="278"/>
      <c r="F3894" s="278"/>
      <c r="G3894" s="278"/>
      <c r="H3894" s="278"/>
      <c r="I3894" s="278"/>
      <c r="J3894" s="278"/>
      <c r="K3894" s="278"/>
    </row>
    <row r="3895" spans="1:11" x14ac:dyDescent="0.15">
      <c r="A3895" s="278"/>
      <c r="B3895" s="278"/>
      <c r="C3895" s="278"/>
      <c r="D3895" s="278"/>
      <c r="E3895" s="278"/>
      <c r="F3895" s="278"/>
      <c r="G3895" s="278"/>
      <c r="H3895" s="278"/>
      <c r="I3895" s="278"/>
      <c r="J3895" s="278"/>
      <c r="K3895" s="278"/>
    </row>
    <row r="3896" spans="1:11" x14ac:dyDescent="0.15">
      <c r="A3896" s="278"/>
      <c r="B3896" s="278"/>
      <c r="C3896" s="278"/>
      <c r="D3896" s="278"/>
      <c r="E3896" s="278"/>
      <c r="F3896" s="278"/>
      <c r="G3896" s="278"/>
      <c r="H3896" s="278"/>
      <c r="I3896" s="278"/>
      <c r="J3896" s="278"/>
      <c r="K3896" s="278"/>
    </row>
    <row r="3897" spans="1:11" x14ac:dyDescent="0.15">
      <c r="A3897" s="278"/>
      <c r="B3897" s="278"/>
      <c r="C3897" s="278"/>
      <c r="D3897" s="278"/>
      <c r="E3897" s="278"/>
      <c r="F3897" s="278"/>
      <c r="G3897" s="278"/>
      <c r="H3897" s="278"/>
      <c r="I3897" s="278"/>
      <c r="J3897" s="278"/>
      <c r="K3897" s="278"/>
    </row>
    <row r="3898" spans="1:11" x14ac:dyDescent="0.15">
      <c r="A3898" s="278"/>
      <c r="B3898" s="278"/>
      <c r="C3898" s="278"/>
      <c r="D3898" s="278"/>
      <c r="E3898" s="278"/>
      <c r="F3898" s="278"/>
      <c r="G3898" s="278"/>
      <c r="H3898" s="278"/>
      <c r="I3898" s="278"/>
      <c r="J3898" s="278"/>
      <c r="K3898" s="278"/>
    </row>
    <row r="3899" spans="1:11" x14ac:dyDescent="0.15">
      <c r="A3899" s="278"/>
      <c r="B3899" s="278"/>
      <c r="C3899" s="278"/>
      <c r="D3899" s="278"/>
      <c r="E3899" s="278"/>
      <c r="F3899" s="278"/>
      <c r="G3899" s="278"/>
      <c r="H3899" s="278"/>
      <c r="I3899" s="278"/>
      <c r="J3899" s="278"/>
      <c r="K3899" s="278"/>
    </row>
    <row r="3900" spans="1:11" x14ac:dyDescent="0.15">
      <c r="A3900" s="278"/>
      <c r="B3900" s="278"/>
      <c r="C3900" s="278"/>
      <c r="D3900" s="278"/>
      <c r="E3900" s="278"/>
      <c r="F3900" s="278"/>
      <c r="G3900" s="278"/>
      <c r="H3900" s="278"/>
      <c r="I3900" s="278"/>
      <c r="J3900" s="278"/>
      <c r="K3900" s="278"/>
    </row>
    <row r="3901" spans="1:11" x14ac:dyDescent="0.15">
      <c r="A3901" s="278"/>
      <c r="B3901" s="278"/>
      <c r="C3901" s="278"/>
      <c r="D3901" s="278"/>
      <c r="E3901" s="278"/>
      <c r="F3901" s="278"/>
      <c r="G3901" s="278"/>
      <c r="H3901" s="278"/>
      <c r="I3901" s="278"/>
      <c r="J3901" s="278"/>
      <c r="K3901" s="278"/>
    </row>
    <row r="3902" spans="1:11" x14ac:dyDescent="0.15">
      <c r="A3902" s="278"/>
      <c r="B3902" s="278"/>
      <c r="C3902" s="278"/>
      <c r="D3902" s="278"/>
      <c r="E3902" s="278"/>
      <c r="F3902" s="278"/>
      <c r="G3902" s="278"/>
      <c r="H3902" s="278"/>
      <c r="I3902" s="278"/>
      <c r="J3902" s="278"/>
      <c r="K3902" s="278"/>
    </row>
    <row r="3903" spans="1:11" x14ac:dyDescent="0.15">
      <c r="A3903" s="278"/>
      <c r="B3903" s="278"/>
      <c r="C3903" s="278"/>
      <c r="D3903" s="278"/>
      <c r="E3903" s="278"/>
      <c r="F3903" s="278"/>
      <c r="G3903" s="278"/>
      <c r="H3903" s="278"/>
      <c r="I3903" s="278"/>
      <c r="J3903" s="278"/>
      <c r="K3903" s="278"/>
    </row>
    <row r="3904" spans="1:11" x14ac:dyDescent="0.15">
      <c r="A3904" s="278"/>
      <c r="B3904" s="278"/>
      <c r="C3904" s="278"/>
      <c r="D3904" s="278"/>
      <c r="E3904" s="278"/>
      <c r="F3904" s="278"/>
      <c r="G3904" s="278"/>
      <c r="H3904" s="278"/>
      <c r="I3904" s="278"/>
      <c r="J3904" s="278"/>
      <c r="K3904" s="278"/>
    </row>
    <row r="3905" spans="1:11" x14ac:dyDescent="0.15">
      <c r="A3905" s="278"/>
      <c r="B3905" s="278"/>
      <c r="C3905" s="278"/>
      <c r="D3905" s="278"/>
      <c r="E3905" s="278"/>
      <c r="F3905" s="278"/>
      <c r="G3905" s="278"/>
      <c r="H3905" s="278"/>
      <c r="I3905" s="278"/>
      <c r="J3905" s="278"/>
      <c r="K3905" s="278"/>
    </row>
    <row r="3906" spans="1:11" x14ac:dyDescent="0.15">
      <c r="A3906" s="278"/>
      <c r="B3906" s="278"/>
      <c r="C3906" s="278"/>
      <c r="D3906" s="278"/>
      <c r="E3906" s="278"/>
      <c r="F3906" s="278"/>
      <c r="G3906" s="278"/>
      <c r="H3906" s="278"/>
      <c r="I3906" s="278"/>
      <c r="J3906" s="278"/>
      <c r="K3906" s="278"/>
    </row>
    <row r="3907" spans="1:11" x14ac:dyDescent="0.15">
      <c r="A3907" s="278"/>
      <c r="B3907" s="278"/>
      <c r="C3907" s="278"/>
      <c r="D3907" s="278"/>
      <c r="E3907" s="278"/>
      <c r="F3907" s="278"/>
      <c r="G3907" s="278"/>
      <c r="H3907" s="278"/>
      <c r="I3907" s="278"/>
      <c r="J3907" s="278"/>
      <c r="K3907" s="278"/>
    </row>
    <row r="3908" spans="1:11" x14ac:dyDescent="0.15">
      <c r="A3908" s="278"/>
      <c r="B3908" s="278"/>
      <c r="C3908" s="278"/>
      <c r="D3908" s="278"/>
      <c r="E3908" s="278"/>
      <c r="F3908" s="278"/>
      <c r="G3908" s="278"/>
      <c r="H3908" s="278"/>
      <c r="I3908" s="278"/>
      <c r="J3908" s="278"/>
      <c r="K3908" s="278"/>
    </row>
    <row r="3909" spans="1:11" x14ac:dyDescent="0.15">
      <c r="A3909" s="278"/>
      <c r="B3909" s="278"/>
      <c r="C3909" s="278"/>
      <c r="D3909" s="278"/>
      <c r="E3909" s="278"/>
      <c r="F3909" s="278"/>
      <c r="G3909" s="278"/>
      <c r="H3909" s="278"/>
      <c r="I3909" s="278"/>
      <c r="J3909" s="278"/>
      <c r="K3909" s="278"/>
    </row>
    <row r="3910" spans="1:11" x14ac:dyDescent="0.15">
      <c r="A3910" s="278"/>
      <c r="B3910" s="278"/>
      <c r="C3910" s="278"/>
      <c r="D3910" s="278"/>
      <c r="E3910" s="278"/>
      <c r="F3910" s="278"/>
      <c r="G3910" s="278"/>
      <c r="H3910" s="278"/>
      <c r="I3910" s="278"/>
      <c r="J3910" s="278"/>
      <c r="K3910" s="278"/>
    </row>
    <row r="3911" spans="1:11" x14ac:dyDescent="0.15">
      <c r="A3911" s="278"/>
      <c r="B3911" s="278"/>
      <c r="C3911" s="278"/>
      <c r="D3911" s="278"/>
      <c r="E3911" s="278"/>
      <c r="F3911" s="278"/>
      <c r="G3911" s="278"/>
      <c r="H3911" s="278"/>
      <c r="I3911" s="278"/>
      <c r="J3911" s="278"/>
      <c r="K3911" s="278"/>
    </row>
    <row r="3912" spans="1:11" x14ac:dyDescent="0.15">
      <c r="A3912" s="278"/>
      <c r="B3912" s="278"/>
      <c r="C3912" s="278"/>
      <c r="D3912" s="278"/>
      <c r="E3912" s="278"/>
      <c r="F3912" s="278"/>
      <c r="G3912" s="278"/>
      <c r="H3912" s="278"/>
      <c r="I3912" s="278"/>
      <c r="J3912" s="278"/>
      <c r="K3912" s="278"/>
    </row>
    <row r="3913" spans="1:11" x14ac:dyDescent="0.15">
      <c r="A3913" s="278"/>
      <c r="B3913" s="278"/>
      <c r="C3913" s="278"/>
      <c r="D3913" s="278"/>
      <c r="E3913" s="278"/>
      <c r="F3913" s="278"/>
      <c r="G3913" s="278"/>
      <c r="H3913" s="278"/>
      <c r="I3913" s="278"/>
      <c r="J3913" s="278"/>
      <c r="K3913" s="278"/>
    </row>
    <row r="3914" spans="1:11" x14ac:dyDescent="0.15">
      <c r="A3914" s="278"/>
      <c r="B3914" s="278"/>
      <c r="C3914" s="278"/>
      <c r="D3914" s="278"/>
      <c r="E3914" s="278"/>
      <c r="F3914" s="278"/>
      <c r="G3914" s="278"/>
      <c r="H3914" s="278"/>
      <c r="I3914" s="278"/>
      <c r="J3914" s="278"/>
      <c r="K3914" s="278"/>
    </row>
    <row r="3915" spans="1:11" x14ac:dyDescent="0.15">
      <c r="A3915" s="278"/>
      <c r="B3915" s="278"/>
      <c r="C3915" s="278"/>
      <c r="D3915" s="278"/>
      <c r="E3915" s="278"/>
      <c r="F3915" s="278"/>
      <c r="G3915" s="278"/>
      <c r="H3915" s="278"/>
      <c r="I3915" s="278"/>
      <c r="J3915" s="278"/>
      <c r="K3915" s="278"/>
    </row>
    <row r="3916" spans="1:11" x14ac:dyDescent="0.15">
      <c r="A3916" s="278"/>
      <c r="B3916" s="278"/>
      <c r="C3916" s="278"/>
      <c r="D3916" s="278"/>
      <c r="E3916" s="278"/>
      <c r="F3916" s="278"/>
      <c r="G3916" s="278"/>
      <c r="H3916" s="278"/>
      <c r="I3916" s="278"/>
      <c r="J3916" s="278"/>
      <c r="K3916" s="278"/>
    </row>
    <row r="3917" spans="1:11" x14ac:dyDescent="0.15">
      <c r="A3917" s="278"/>
      <c r="B3917" s="278"/>
      <c r="C3917" s="278"/>
      <c r="D3917" s="278"/>
      <c r="E3917" s="278"/>
      <c r="F3917" s="278"/>
      <c r="G3917" s="278"/>
      <c r="H3917" s="278"/>
      <c r="I3917" s="278"/>
      <c r="J3917" s="278"/>
      <c r="K3917" s="278"/>
    </row>
    <row r="3918" spans="1:11" x14ac:dyDescent="0.15">
      <c r="A3918" s="278"/>
      <c r="B3918" s="278"/>
      <c r="C3918" s="278"/>
      <c r="D3918" s="278"/>
      <c r="E3918" s="278"/>
      <c r="F3918" s="278"/>
      <c r="G3918" s="278"/>
      <c r="H3918" s="278"/>
      <c r="I3918" s="278"/>
      <c r="J3918" s="278"/>
      <c r="K3918" s="278"/>
    </row>
    <row r="3919" spans="1:11" x14ac:dyDescent="0.15">
      <c r="A3919" s="278"/>
      <c r="B3919" s="278"/>
      <c r="C3919" s="278"/>
      <c r="D3919" s="278"/>
      <c r="E3919" s="278"/>
      <c r="F3919" s="278"/>
      <c r="G3919" s="278"/>
      <c r="H3919" s="278"/>
      <c r="I3919" s="278"/>
      <c r="J3919" s="278"/>
      <c r="K3919" s="278"/>
    </row>
    <row r="3920" spans="1:11" x14ac:dyDescent="0.15">
      <c r="A3920" s="278"/>
      <c r="B3920" s="278"/>
      <c r="C3920" s="278"/>
      <c r="D3920" s="278"/>
      <c r="E3920" s="278"/>
      <c r="F3920" s="278"/>
      <c r="G3920" s="278"/>
      <c r="H3920" s="278"/>
      <c r="I3920" s="278"/>
      <c r="J3920" s="278"/>
      <c r="K3920" s="278"/>
    </row>
    <row r="3921" spans="1:11" x14ac:dyDescent="0.15">
      <c r="A3921" s="278"/>
      <c r="B3921" s="278"/>
      <c r="C3921" s="278"/>
      <c r="D3921" s="278"/>
      <c r="E3921" s="278"/>
      <c r="F3921" s="278"/>
      <c r="G3921" s="278"/>
      <c r="H3921" s="278"/>
      <c r="I3921" s="278"/>
      <c r="J3921" s="278"/>
      <c r="K3921" s="278"/>
    </row>
    <row r="3922" spans="1:11" x14ac:dyDescent="0.15">
      <c r="A3922" s="278"/>
      <c r="B3922" s="278"/>
      <c r="C3922" s="278"/>
      <c r="D3922" s="278"/>
      <c r="E3922" s="278"/>
      <c r="F3922" s="278"/>
      <c r="G3922" s="278"/>
      <c r="H3922" s="278"/>
      <c r="I3922" s="278"/>
      <c r="J3922" s="278"/>
      <c r="K3922" s="278"/>
    </row>
    <row r="3923" spans="1:11" x14ac:dyDescent="0.15">
      <c r="A3923" s="278"/>
      <c r="B3923" s="278"/>
      <c r="C3923" s="278"/>
      <c r="D3923" s="278"/>
      <c r="E3923" s="278"/>
      <c r="F3923" s="278"/>
      <c r="G3923" s="278"/>
      <c r="H3923" s="278"/>
      <c r="I3923" s="278"/>
      <c r="J3923" s="278"/>
      <c r="K3923" s="278"/>
    </row>
    <row r="3924" spans="1:11" x14ac:dyDescent="0.15">
      <c r="A3924" s="278"/>
      <c r="B3924" s="278"/>
      <c r="C3924" s="278"/>
      <c r="D3924" s="278"/>
      <c r="E3924" s="278"/>
      <c r="F3924" s="278"/>
      <c r="G3924" s="278"/>
      <c r="H3924" s="278"/>
      <c r="I3924" s="278"/>
      <c r="J3924" s="278"/>
      <c r="K3924" s="278"/>
    </row>
    <row r="3925" spans="1:11" x14ac:dyDescent="0.15">
      <c r="A3925" s="278"/>
      <c r="B3925" s="278"/>
      <c r="C3925" s="278"/>
      <c r="D3925" s="278"/>
      <c r="E3925" s="278"/>
      <c r="F3925" s="278"/>
      <c r="G3925" s="278"/>
      <c r="H3925" s="278"/>
      <c r="I3925" s="278"/>
      <c r="J3925" s="278"/>
      <c r="K3925" s="278"/>
    </row>
    <row r="3926" spans="1:11" x14ac:dyDescent="0.15">
      <c r="A3926" s="278"/>
      <c r="B3926" s="278"/>
      <c r="C3926" s="278"/>
      <c r="D3926" s="278"/>
      <c r="E3926" s="278"/>
      <c r="F3926" s="278"/>
      <c r="G3926" s="278"/>
      <c r="H3926" s="278"/>
      <c r="I3926" s="278"/>
      <c r="J3926" s="278"/>
      <c r="K3926" s="278"/>
    </row>
    <row r="3927" spans="1:11" x14ac:dyDescent="0.15">
      <c r="A3927" s="278"/>
      <c r="B3927" s="278"/>
      <c r="C3927" s="278"/>
      <c r="D3927" s="278"/>
      <c r="E3927" s="278"/>
      <c r="F3927" s="278"/>
      <c r="G3927" s="278"/>
      <c r="H3927" s="278"/>
      <c r="I3927" s="278"/>
      <c r="J3927" s="278"/>
      <c r="K3927" s="278"/>
    </row>
    <row r="3928" spans="1:11" x14ac:dyDescent="0.15">
      <c r="A3928" s="278"/>
      <c r="B3928" s="278"/>
      <c r="C3928" s="278"/>
      <c r="D3928" s="278"/>
      <c r="E3928" s="278"/>
      <c r="F3928" s="278"/>
      <c r="G3928" s="278"/>
      <c r="H3928" s="278"/>
      <c r="I3928" s="278"/>
      <c r="J3928" s="278"/>
      <c r="K3928" s="278"/>
    </row>
    <row r="3929" spans="1:11" x14ac:dyDescent="0.15">
      <c r="A3929" s="278"/>
      <c r="B3929" s="278"/>
      <c r="C3929" s="278"/>
      <c r="D3929" s="278"/>
      <c r="E3929" s="278"/>
      <c r="F3929" s="278"/>
      <c r="G3929" s="278"/>
      <c r="H3929" s="278"/>
      <c r="I3929" s="278"/>
      <c r="J3929" s="278"/>
      <c r="K3929" s="278"/>
    </row>
    <row r="3930" spans="1:11" x14ac:dyDescent="0.15">
      <c r="A3930" s="278"/>
      <c r="B3930" s="278"/>
      <c r="C3930" s="278"/>
      <c r="D3930" s="278"/>
      <c r="E3930" s="278"/>
      <c r="F3930" s="278"/>
      <c r="G3930" s="278"/>
      <c r="H3930" s="278"/>
      <c r="I3930" s="278"/>
      <c r="J3930" s="278"/>
      <c r="K3930" s="278"/>
    </row>
    <row r="3931" spans="1:11" x14ac:dyDescent="0.15">
      <c r="A3931" s="278"/>
      <c r="B3931" s="278"/>
      <c r="C3931" s="278"/>
      <c r="D3931" s="278"/>
      <c r="E3931" s="278"/>
      <c r="F3931" s="278"/>
      <c r="G3931" s="278"/>
      <c r="H3931" s="278"/>
      <c r="I3931" s="278"/>
      <c r="J3931" s="278"/>
      <c r="K3931" s="278"/>
    </row>
    <row r="3932" spans="1:11" x14ac:dyDescent="0.15">
      <c r="A3932" s="278"/>
      <c r="B3932" s="278"/>
      <c r="C3932" s="278"/>
      <c r="D3932" s="278"/>
      <c r="E3932" s="278"/>
      <c r="F3932" s="278"/>
      <c r="G3932" s="278"/>
      <c r="H3932" s="278"/>
      <c r="I3932" s="278"/>
      <c r="J3932" s="278"/>
      <c r="K3932" s="278"/>
    </row>
    <row r="3933" spans="1:11" x14ac:dyDescent="0.15">
      <c r="A3933" s="278"/>
      <c r="B3933" s="278"/>
      <c r="C3933" s="278"/>
      <c r="D3933" s="278"/>
      <c r="E3933" s="278"/>
      <c r="F3933" s="278"/>
      <c r="G3933" s="278"/>
      <c r="H3933" s="278"/>
      <c r="I3933" s="278"/>
      <c r="J3933" s="278"/>
      <c r="K3933" s="278"/>
    </row>
    <row r="3934" spans="1:11" x14ac:dyDescent="0.15">
      <c r="A3934" s="278"/>
      <c r="B3934" s="278"/>
      <c r="C3934" s="278"/>
      <c r="D3934" s="278"/>
      <c r="E3934" s="278"/>
      <c r="F3934" s="278"/>
      <c r="G3934" s="278"/>
      <c r="H3934" s="278"/>
      <c r="I3934" s="278"/>
      <c r="J3934" s="278"/>
      <c r="K3934" s="278"/>
    </row>
    <row r="3935" spans="1:11" x14ac:dyDescent="0.15">
      <c r="A3935" s="278"/>
      <c r="B3935" s="278"/>
      <c r="C3935" s="278"/>
      <c r="D3935" s="278"/>
      <c r="E3935" s="278"/>
      <c r="F3935" s="278"/>
      <c r="G3935" s="278"/>
      <c r="H3935" s="278"/>
      <c r="I3935" s="278"/>
      <c r="J3935" s="278"/>
      <c r="K3935" s="278"/>
    </row>
    <row r="3936" spans="1:11" x14ac:dyDescent="0.15">
      <c r="A3936" s="278"/>
      <c r="B3936" s="278"/>
      <c r="C3936" s="278"/>
      <c r="D3936" s="278"/>
      <c r="E3936" s="278"/>
      <c r="F3936" s="278"/>
      <c r="G3936" s="278"/>
      <c r="H3936" s="278"/>
      <c r="I3936" s="278"/>
      <c r="J3936" s="278"/>
      <c r="K3936" s="278"/>
    </row>
    <row r="3937" spans="1:11" x14ac:dyDescent="0.15">
      <c r="A3937" s="278"/>
      <c r="B3937" s="278"/>
      <c r="C3937" s="278"/>
      <c r="D3937" s="278"/>
      <c r="E3937" s="278"/>
      <c r="F3937" s="278"/>
      <c r="G3937" s="278"/>
      <c r="H3937" s="278"/>
      <c r="I3937" s="278"/>
      <c r="J3937" s="278"/>
      <c r="K3937" s="278"/>
    </row>
    <row r="3938" spans="1:11" x14ac:dyDescent="0.15">
      <c r="A3938" s="278"/>
      <c r="B3938" s="278"/>
      <c r="C3938" s="278"/>
      <c r="D3938" s="278"/>
      <c r="E3938" s="278"/>
      <c r="F3938" s="278"/>
      <c r="G3938" s="278"/>
      <c r="H3938" s="278"/>
      <c r="I3938" s="278"/>
      <c r="J3938" s="278"/>
      <c r="K3938" s="278"/>
    </row>
    <row r="3939" spans="1:11" x14ac:dyDescent="0.15">
      <c r="A3939" s="278"/>
      <c r="B3939" s="278"/>
      <c r="C3939" s="278"/>
      <c r="D3939" s="278"/>
      <c r="E3939" s="278"/>
      <c r="F3939" s="278"/>
      <c r="G3939" s="278"/>
      <c r="H3939" s="278"/>
      <c r="I3939" s="278"/>
      <c r="J3939" s="278"/>
      <c r="K3939" s="278"/>
    </row>
    <row r="3940" spans="1:11" x14ac:dyDescent="0.15">
      <c r="A3940" s="278"/>
      <c r="B3940" s="278"/>
      <c r="C3940" s="278"/>
      <c r="D3940" s="278"/>
      <c r="E3940" s="278"/>
      <c r="F3940" s="278"/>
      <c r="G3940" s="278"/>
      <c r="H3940" s="278"/>
      <c r="I3940" s="278"/>
      <c r="J3940" s="278"/>
      <c r="K3940" s="278"/>
    </row>
    <row r="3941" spans="1:11" x14ac:dyDescent="0.15">
      <c r="A3941" s="278"/>
      <c r="B3941" s="278"/>
      <c r="C3941" s="278"/>
      <c r="D3941" s="278"/>
      <c r="E3941" s="278"/>
      <c r="F3941" s="278"/>
      <c r="G3941" s="278"/>
      <c r="H3941" s="278"/>
      <c r="I3941" s="278"/>
      <c r="J3941" s="278"/>
      <c r="K3941" s="278"/>
    </row>
    <row r="3942" spans="1:11" x14ac:dyDescent="0.15">
      <c r="A3942" s="278"/>
      <c r="B3942" s="278"/>
      <c r="C3942" s="278"/>
      <c r="D3942" s="278"/>
      <c r="E3942" s="278"/>
      <c r="F3942" s="278"/>
      <c r="G3942" s="278"/>
      <c r="H3942" s="278"/>
      <c r="I3942" s="278"/>
      <c r="J3942" s="278"/>
      <c r="K3942" s="278"/>
    </row>
    <row r="3943" spans="1:11" x14ac:dyDescent="0.15">
      <c r="A3943" s="278"/>
      <c r="B3943" s="278"/>
      <c r="C3943" s="278"/>
      <c r="D3943" s="278"/>
      <c r="E3943" s="278"/>
      <c r="F3943" s="278"/>
      <c r="G3943" s="278"/>
      <c r="H3943" s="278"/>
      <c r="I3943" s="278"/>
      <c r="J3943" s="278"/>
      <c r="K3943" s="278"/>
    </row>
    <row r="3944" spans="1:11" x14ac:dyDescent="0.15">
      <c r="A3944" s="278"/>
      <c r="B3944" s="278"/>
      <c r="C3944" s="278"/>
      <c r="D3944" s="278"/>
      <c r="E3944" s="278"/>
      <c r="F3944" s="278"/>
      <c r="G3944" s="278"/>
      <c r="H3944" s="278"/>
      <c r="I3944" s="278"/>
      <c r="J3944" s="278"/>
      <c r="K3944" s="278"/>
    </row>
    <row r="3945" spans="1:11" x14ac:dyDescent="0.15">
      <c r="A3945" s="278"/>
      <c r="B3945" s="278"/>
      <c r="C3945" s="278"/>
      <c r="D3945" s="278"/>
      <c r="E3945" s="278"/>
      <c r="F3945" s="278"/>
      <c r="G3945" s="278"/>
      <c r="H3945" s="278"/>
      <c r="I3945" s="278"/>
      <c r="J3945" s="278"/>
      <c r="K3945" s="278"/>
    </row>
    <row r="3946" spans="1:11" x14ac:dyDescent="0.15">
      <c r="A3946" s="278"/>
      <c r="B3946" s="278"/>
      <c r="C3946" s="278"/>
      <c r="D3946" s="278"/>
      <c r="E3946" s="278"/>
      <c r="F3946" s="278"/>
      <c r="G3946" s="278"/>
      <c r="H3946" s="278"/>
      <c r="I3946" s="278"/>
      <c r="J3946" s="278"/>
      <c r="K3946" s="278"/>
    </row>
    <row r="3947" spans="1:11" x14ac:dyDescent="0.15">
      <c r="A3947" s="278"/>
      <c r="B3947" s="278"/>
      <c r="C3947" s="278"/>
      <c r="D3947" s="278"/>
      <c r="E3947" s="278"/>
      <c r="F3947" s="278"/>
      <c r="G3947" s="278"/>
      <c r="H3947" s="278"/>
      <c r="I3947" s="278"/>
      <c r="J3947" s="278"/>
      <c r="K3947" s="278"/>
    </row>
    <row r="3948" spans="1:11" x14ac:dyDescent="0.15">
      <c r="A3948" s="278"/>
      <c r="B3948" s="278"/>
      <c r="C3948" s="278"/>
      <c r="D3948" s="278"/>
      <c r="E3948" s="278"/>
      <c r="F3948" s="278"/>
      <c r="G3948" s="278"/>
      <c r="H3948" s="278"/>
      <c r="I3948" s="278"/>
      <c r="J3948" s="278"/>
      <c r="K3948" s="278"/>
    </row>
    <row r="3949" spans="1:11" x14ac:dyDescent="0.15">
      <c r="A3949" s="278"/>
      <c r="B3949" s="278"/>
      <c r="C3949" s="278"/>
      <c r="D3949" s="278"/>
      <c r="E3949" s="278"/>
      <c r="F3949" s="278"/>
      <c r="G3949" s="278"/>
      <c r="H3949" s="278"/>
      <c r="I3949" s="278"/>
      <c r="J3949" s="278"/>
      <c r="K3949" s="278"/>
    </row>
    <row r="3950" spans="1:11" x14ac:dyDescent="0.15">
      <c r="A3950" s="278"/>
      <c r="B3950" s="278"/>
      <c r="C3950" s="278"/>
      <c r="D3950" s="278"/>
      <c r="E3950" s="278"/>
      <c r="F3950" s="278"/>
      <c r="G3950" s="278"/>
      <c r="H3950" s="278"/>
      <c r="I3950" s="278"/>
      <c r="J3950" s="278"/>
      <c r="K3950" s="278"/>
    </row>
    <row r="3951" spans="1:11" x14ac:dyDescent="0.15">
      <c r="A3951" s="278"/>
      <c r="B3951" s="278"/>
      <c r="C3951" s="278"/>
      <c r="D3951" s="278"/>
      <c r="E3951" s="278"/>
      <c r="F3951" s="278"/>
      <c r="G3951" s="278"/>
      <c r="H3951" s="278"/>
      <c r="I3951" s="278"/>
      <c r="J3951" s="278"/>
      <c r="K3951" s="278"/>
    </row>
    <row r="3952" spans="1:11" x14ac:dyDescent="0.15">
      <c r="A3952" s="278"/>
      <c r="B3952" s="278"/>
      <c r="C3952" s="278"/>
      <c r="D3952" s="278"/>
      <c r="E3952" s="278"/>
      <c r="F3952" s="278"/>
      <c r="G3952" s="278"/>
      <c r="H3952" s="278"/>
      <c r="I3952" s="278"/>
      <c r="J3952" s="278"/>
      <c r="K3952" s="278"/>
    </row>
    <row r="3953" spans="1:11" x14ac:dyDescent="0.15">
      <c r="A3953" s="278"/>
      <c r="B3953" s="278"/>
      <c r="C3953" s="278"/>
      <c r="D3953" s="278"/>
      <c r="E3953" s="278"/>
      <c r="F3953" s="278"/>
      <c r="G3953" s="278"/>
      <c r="H3953" s="278"/>
      <c r="I3953" s="278"/>
      <c r="J3953" s="278"/>
      <c r="K3953" s="278"/>
    </row>
    <row r="3954" spans="1:11" x14ac:dyDescent="0.15">
      <c r="A3954" s="278"/>
      <c r="B3954" s="278"/>
      <c r="C3954" s="278"/>
      <c r="D3954" s="278"/>
      <c r="E3954" s="278"/>
      <c r="F3954" s="278"/>
      <c r="G3954" s="278"/>
      <c r="H3954" s="278"/>
      <c r="I3954" s="278"/>
      <c r="J3954" s="278"/>
      <c r="K3954" s="278"/>
    </row>
    <row r="3955" spans="1:11" x14ac:dyDescent="0.15">
      <c r="A3955" s="278"/>
      <c r="B3955" s="278"/>
      <c r="C3955" s="278"/>
      <c r="D3955" s="278"/>
      <c r="E3955" s="278"/>
      <c r="F3955" s="278"/>
      <c r="G3955" s="278"/>
      <c r="H3955" s="278"/>
      <c r="I3955" s="278"/>
      <c r="J3955" s="278"/>
      <c r="K3955" s="278"/>
    </row>
    <row r="3956" spans="1:11" x14ac:dyDescent="0.15">
      <c r="A3956" s="278"/>
      <c r="B3956" s="278"/>
      <c r="C3956" s="278"/>
      <c r="D3956" s="278"/>
      <c r="E3956" s="278"/>
      <c r="F3956" s="278"/>
      <c r="G3956" s="278"/>
      <c r="H3956" s="278"/>
      <c r="I3956" s="278"/>
      <c r="J3956" s="278"/>
      <c r="K3956" s="278"/>
    </row>
    <row r="3957" spans="1:11" x14ac:dyDescent="0.15">
      <c r="A3957" s="278"/>
      <c r="B3957" s="278"/>
      <c r="C3957" s="278"/>
      <c r="D3957" s="278"/>
      <c r="E3957" s="278"/>
      <c r="F3957" s="278"/>
      <c r="G3957" s="278"/>
      <c r="H3957" s="278"/>
      <c r="I3957" s="278"/>
      <c r="J3957" s="278"/>
      <c r="K3957" s="278"/>
    </row>
    <row r="3958" spans="1:11" x14ac:dyDescent="0.15">
      <c r="A3958" s="278"/>
      <c r="B3958" s="278"/>
      <c r="C3958" s="278"/>
      <c r="D3958" s="278"/>
      <c r="E3958" s="278"/>
      <c r="F3958" s="278"/>
      <c r="G3958" s="278"/>
      <c r="H3958" s="278"/>
      <c r="I3958" s="278"/>
      <c r="J3958" s="278"/>
      <c r="K3958" s="278"/>
    </row>
    <row r="3959" spans="1:11" x14ac:dyDescent="0.15">
      <c r="A3959" s="278"/>
      <c r="B3959" s="278"/>
      <c r="C3959" s="278"/>
      <c r="D3959" s="278"/>
      <c r="E3959" s="278"/>
      <c r="F3959" s="278"/>
      <c r="G3959" s="278"/>
      <c r="H3959" s="278"/>
      <c r="I3959" s="278"/>
      <c r="J3959" s="278"/>
      <c r="K3959" s="278"/>
    </row>
    <row r="3960" spans="1:11" x14ac:dyDescent="0.15">
      <c r="A3960" s="278"/>
      <c r="B3960" s="278"/>
      <c r="C3960" s="278"/>
      <c r="D3960" s="278"/>
      <c r="E3960" s="278"/>
      <c r="F3960" s="278"/>
      <c r="G3960" s="278"/>
      <c r="H3960" s="278"/>
      <c r="I3960" s="278"/>
      <c r="J3960" s="278"/>
      <c r="K3960" s="278"/>
    </row>
    <row r="3961" spans="1:11" x14ac:dyDescent="0.15">
      <c r="A3961" s="278"/>
      <c r="B3961" s="278"/>
      <c r="C3961" s="278"/>
      <c r="D3961" s="278"/>
      <c r="E3961" s="278"/>
      <c r="F3961" s="278"/>
      <c r="G3961" s="278"/>
      <c r="H3961" s="278"/>
      <c r="I3961" s="278"/>
      <c r="J3961" s="278"/>
      <c r="K3961" s="278"/>
    </row>
    <row r="3962" spans="1:11" x14ac:dyDescent="0.15">
      <c r="A3962" s="278"/>
      <c r="B3962" s="278"/>
      <c r="C3962" s="278"/>
      <c r="D3962" s="278"/>
      <c r="E3962" s="278"/>
      <c r="F3962" s="278"/>
      <c r="G3962" s="278"/>
      <c r="H3962" s="278"/>
      <c r="I3962" s="278"/>
      <c r="J3962" s="278"/>
      <c r="K3962" s="278"/>
    </row>
    <row r="3963" spans="1:11" x14ac:dyDescent="0.15">
      <c r="A3963" s="278"/>
      <c r="B3963" s="278"/>
      <c r="C3963" s="278"/>
      <c r="D3963" s="278"/>
      <c r="E3963" s="278"/>
      <c r="F3963" s="278"/>
      <c r="G3963" s="278"/>
      <c r="H3963" s="278"/>
      <c r="I3963" s="278"/>
      <c r="J3963" s="278"/>
      <c r="K3963" s="278"/>
    </row>
    <row r="3964" spans="1:11" x14ac:dyDescent="0.15">
      <c r="A3964" s="278"/>
      <c r="B3964" s="278"/>
      <c r="C3964" s="278"/>
      <c r="D3964" s="278"/>
      <c r="E3964" s="278"/>
      <c r="F3964" s="278"/>
      <c r="G3964" s="278"/>
      <c r="H3964" s="278"/>
      <c r="I3964" s="278"/>
      <c r="J3964" s="278"/>
      <c r="K3964" s="278"/>
    </row>
    <row r="3965" spans="1:11" x14ac:dyDescent="0.15">
      <c r="A3965" s="278"/>
      <c r="B3965" s="278"/>
      <c r="C3965" s="278"/>
      <c r="D3965" s="278"/>
      <c r="E3965" s="278"/>
      <c r="F3965" s="278"/>
      <c r="G3965" s="278"/>
      <c r="H3965" s="278"/>
      <c r="I3965" s="278"/>
      <c r="J3965" s="278"/>
      <c r="K3965" s="278"/>
    </row>
    <row r="3966" spans="1:11" x14ac:dyDescent="0.15">
      <c r="A3966" s="278"/>
      <c r="B3966" s="278"/>
      <c r="C3966" s="278"/>
      <c r="D3966" s="278"/>
      <c r="E3966" s="278"/>
      <c r="F3966" s="278"/>
      <c r="G3966" s="278"/>
      <c r="H3966" s="278"/>
      <c r="I3966" s="278"/>
      <c r="J3966" s="278"/>
      <c r="K3966" s="278"/>
    </row>
    <row r="3967" spans="1:11" x14ac:dyDescent="0.15">
      <c r="A3967" s="278"/>
      <c r="B3967" s="278"/>
      <c r="C3967" s="278"/>
      <c r="D3967" s="278"/>
      <c r="E3967" s="278"/>
      <c r="F3967" s="278"/>
      <c r="G3967" s="278"/>
      <c r="H3967" s="278"/>
      <c r="I3967" s="278"/>
      <c r="J3967" s="278"/>
      <c r="K3967" s="278"/>
    </row>
    <row r="3968" spans="1:11" x14ac:dyDescent="0.15">
      <c r="A3968" s="278"/>
      <c r="B3968" s="278"/>
      <c r="C3968" s="278"/>
      <c r="D3968" s="278"/>
      <c r="E3968" s="278"/>
      <c r="F3968" s="278"/>
      <c r="G3968" s="278"/>
      <c r="H3968" s="278"/>
      <c r="I3968" s="278"/>
      <c r="J3968" s="278"/>
      <c r="K3968" s="278"/>
    </row>
    <row r="3969" spans="1:11" x14ac:dyDescent="0.15">
      <c r="A3969" s="278"/>
      <c r="B3969" s="278"/>
      <c r="C3969" s="278"/>
      <c r="D3969" s="278"/>
      <c r="E3969" s="278"/>
      <c r="F3969" s="278"/>
      <c r="G3969" s="278"/>
      <c r="H3969" s="278"/>
      <c r="I3969" s="278"/>
      <c r="J3969" s="278"/>
      <c r="K3969" s="278"/>
    </row>
    <row r="3970" spans="1:11" x14ac:dyDescent="0.15">
      <c r="A3970" s="278"/>
      <c r="B3970" s="278"/>
      <c r="C3970" s="278"/>
      <c r="D3970" s="278"/>
      <c r="E3970" s="278"/>
      <c r="F3970" s="278"/>
      <c r="G3970" s="278"/>
      <c r="H3970" s="278"/>
      <c r="I3970" s="278"/>
      <c r="J3970" s="278"/>
      <c r="K3970" s="278"/>
    </row>
    <row r="3971" spans="1:11" x14ac:dyDescent="0.15">
      <c r="A3971" s="278"/>
      <c r="B3971" s="278"/>
      <c r="C3971" s="278"/>
      <c r="D3971" s="278"/>
      <c r="E3971" s="278"/>
      <c r="F3971" s="278"/>
      <c r="G3971" s="278"/>
      <c r="H3971" s="278"/>
      <c r="I3971" s="278"/>
      <c r="J3971" s="278"/>
      <c r="K3971" s="278"/>
    </row>
    <row r="3972" spans="1:11" x14ac:dyDescent="0.15">
      <c r="A3972" s="278"/>
      <c r="B3972" s="278"/>
      <c r="C3972" s="278"/>
      <c r="D3972" s="278"/>
      <c r="E3972" s="278"/>
      <c r="F3972" s="278"/>
      <c r="G3972" s="278"/>
      <c r="H3972" s="278"/>
      <c r="I3972" s="278"/>
      <c r="J3972" s="278"/>
      <c r="K3972" s="278"/>
    </row>
    <row r="3973" spans="1:11" x14ac:dyDescent="0.15">
      <c r="A3973" s="278"/>
      <c r="B3973" s="278"/>
      <c r="C3973" s="278"/>
      <c r="D3973" s="278"/>
      <c r="E3973" s="278"/>
      <c r="F3973" s="278"/>
      <c r="G3973" s="278"/>
      <c r="H3973" s="278"/>
      <c r="I3973" s="278"/>
      <c r="J3973" s="278"/>
      <c r="K3973" s="278"/>
    </row>
    <row r="3974" spans="1:11" x14ac:dyDescent="0.15">
      <c r="A3974" s="278"/>
      <c r="B3974" s="278"/>
      <c r="C3974" s="278"/>
      <c r="D3974" s="278"/>
      <c r="E3974" s="278"/>
      <c r="F3974" s="278"/>
      <c r="G3974" s="278"/>
      <c r="H3974" s="278"/>
      <c r="I3974" s="278"/>
      <c r="J3974" s="278"/>
      <c r="K3974" s="278"/>
    </row>
    <row r="3975" spans="1:11" x14ac:dyDescent="0.15">
      <c r="A3975" s="278"/>
      <c r="B3975" s="278"/>
      <c r="C3975" s="278"/>
      <c r="D3975" s="278"/>
      <c r="E3975" s="278"/>
      <c r="F3975" s="278"/>
      <c r="G3975" s="278"/>
      <c r="H3975" s="278"/>
      <c r="I3975" s="278"/>
      <c r="J3975" s="278"/>
      <c r="K3975" s="278"/>
    </row>
    <row r="3976" spans="1:11" x14ac:dyDescent="0.15">
      <c r="A3976" s="278"/>
      <c r="B3976" s="278"/>
      <c r="C3976" s="278"/>
      <c r="D3976" s="278"/>
      <c r="E3976" s="278"/>
      <c r="F3976" s="278"/>
      <c r="G3976" s="278"/>
      <c r="H3976" s="278"/>
      <c r="I3976" s="278"/>
      <c r="J3976" s="278"/>
      <c r="K3976" s="278"/>
    </row>
    <row r="3977" spans="1:11" x14ac:dyDescent="0.15">
      <c r="A3977" s="278"/>
      <c r="B3977" s="278"/>
      <c r="C3977" s="278"/>
      <c r="D3977" s="278"/>
      <c r="E3977" s="278"/>
      <c r="F3977" s="278"/>
      <c r="G3977" s="278"/>
      <c r="H3977" s="278"/>
      <c r="I3977" s="278"/>
      <c r="J3977" s="278"/>
      <c r="K3977" s="278"/>
    </row>
    <row r="3978" spans="1:11" x14ac:dyDescent="0.15">
      <c r="A3978" s="278"/>
      <c r="B3978" s="278"/>
      <c r="C3978" s="278"/>
      <c r="D3978" s="278"/>
      <c r="E3978" s="278"/>
      <c r="F3978" s="278"/>
      <c r="G3978" s="278"/>
      <c r="H3978" s="278"/>
      <c r="I3978" s="278"/>
      <c r="J3978" s="278"/>
      <c r="K3978" s="278"/>
    </row>
    <row r="3979" spans="1:11" x14ac:dyDescent="0.15">
      <c r="A3979" s="278"/>
      <c r="B3979" s="278"/>
      <c r="C3979" s="278"/>
      <c r="D3979" s="278"/>
      <c r="E3979" s="278"/>
      <c r="F3979" s="278"/>
      <c r="G3979" s="278"/>
      <c r="H3979" s="278"/>
      <c r="I3979" s="278"/>
      <c r="J3979" s="278"/>
      <c r="K3979" s="278"/>
    </row>
    <row r="3980" spans="1:11" x14ac:dyDescent="0.15">
      <c r="A3980" s="278"/>
      <c r="B3980" s="278"/>
      <c r="C3980" s="278"/>
      <c r="D3980" s="278"/>
      <c r="E3980" s="278"/>
      <c r="F3980" s="278"/>
      <c r="G3980" s="278"/>
      <c r="H3980" s="278"/>
      <c r="I3980" s="278"/>
      <c r="J3980" s="278"/>
      <c r="K3980" s="278"/>
    </row>
    <row r="3981" spans="1:11" x14ac:dyDescent="0.15">
      <c r="A3981" s="278"/>
      <c r="B3981" s="278"/>
      <c r="C3981" s="278"/>
      <c r="D3981" s="278"/>
      <c r="E3981" s="278"/>
      <c r="F3981" s="278"/>
      <c r="G3981" s="278"/>
      <c r="H3981" s="278"/>
      <c r="I3981" s="278"/>
      <c r="J3981" s="278"/>
      <c r="K3981" s="278"/>
    </row>
    <row r="3982" spans="1:11" x14ac:dyDescent="0.15">
      <c r="A3982" s="278"/>
      <c r="B3982" s="278"/>
      <c r="C3982" s="278"/>
      <c r="D3982" s="278"/>
      <c r="E3982" s="278"/>
      <c r="F3982" s="278"/>
      <c r="G3982" s="278"/>
      <c r="H3982" s="278"/>
      <c r="I3982" s="278"/>
      <c r="J3982" s="278"/>
      <c r="K3982" s="278"/>
    </row>
    <row r="3983" spans="1:11" x14ac:dyDescent="0.15">
      <c r="A3983" s="278"/>
      <c r="B3983" s="278"/>
      <c r="C3983" s="278"/>
      <c r="D3983" s="278"/>
      <c r="E3983" s="278"/>
      <c r="F3983" s="278"/>
      <c r="G3983" s="278"/>
      <c r="H3983" s="278"/>
      <c r="I3983" s="278"/>
      <c r="J3983" s="278"/>
      <c r="K3983" s="278"/>
    </row>
    <row r="3984" spans="1:11" x14ac:dyDescent="0.15">
      <c r="A3984" s="278"/>
      <c r="B3984" s="278"/>
      <c r="C3984" s="278"/>
      <c r="D3984" s="278"/>
      <c r="E3984" s="278"/>
      <c r="F3984" s="278"/>
      <c r="G3984" s="278"/>
      <c r="H3984" s="278"/>
      <c r="I3984" s="278"/>
      <c r="J3984" s="278"/>
      <c r="K3984" s="278"/>
    </row>
    <row r="3985" spans="1:11" x14ac:dyDescent="0.15">
      <c r="A3985" s="278"/>
      <c r="B3985" s="278"/>
      <c r="C3985" s="278"/>
      <c r="D3985" s="278"/>
      <c r="E3985" s="278"/>
      <c r="F3985" s="278"/>
      <c r="G3985" s="278"/>
      <c r="H3985" s="278"/>
      <c r="I3985" s="278"/>
      <c r="J3985" s="278"/>
      <c r="K3985" s="278"/>
    </row>
    <row r="3986" spans="1:11" x14ac:dyDescent="0.15">
      <c r="A3986" s="278"/>
      <c r="B3986" s="278"/>
      <c r="C3986" s="278"/>
      <c r="D3986" s="278"/>
      <c r="E3986" s="278"/>
      <c r="F3986" s="278"/>
      <c r="G3986" s="278"/>
      <c r="H3986" s="278"/>
      <c r="I3986" s="278"/>
      <c r="J3986" s="278"/>
      <c r="K3986" s="278"/>
    </row>
    <row r="3987" spans="1:11" x14ac:dyDescent="0.15">
      <c r="A3987" s="278"/>
      <c r="B3987" s="278"/>
      <c r="C3987" s="278"/>
      <c r="D3987" s="278"/>
      <c r="E3987" s="278"/>
      <c r="F3987" s="278"/>
      <c r="G3987" s="278"/>
      <c r="H3987" s="278"/>
      <c r="I3987" s="278"/>
      <c r="J3987" s="278"/>
      <c r="K3987" s="278"/>
    </row>
    <row r="3988" spans="1:11" x14ac:dyDescent="0.15">
      <c r="A3988" s="278"/>
      <c r="B3988" s="278"/>
      <c r="C3988" s="278"/>
      <c r="D3988" s="278"/>
      <c r="E3988" s="278"/>
      <c r="F3988" s="278"/>
      <c r="G3988" s="278"/>
      <c r="H3988" s="278"/>
      <c r="I3988" s="278"/>
      <c r="J3988" s="278"/>
      <c r="K3988" s="278"/>
    </row>
    <row r="3989" spans="1:11" x14ac:dyDescent="0.15">
      <c r="A3989" s="278"/>
      <c r="B3989" s="278"/>
      <c r="C3989" s="278"/>
      <c r="D3989" s="278"/>
      <c r="E3989" s="278"/>
      <c r="F3989" s="278"/>
      <c r="G3989" s="278"/>
      <c r="H3989" s="278"/>
      <c r="I3989" s="278"/>
      <c r="J3989" s="278"/>
      <c r="K3989" s="278"/>
    </row>
    <row r="3990" spans="1:11" x14ac:dyDescent="0.15">
      <c r="A3990" s="278"/>
      <c r="B3990" s="278"/>
      <c r="C3990" s="278"/>
      <c r="D3990" s="278"/>
      <c r="E3990" s="278"/>
      <c r="F3990" s="278"/>
      <c r="G3990" s="278"/>
      <c r="H3990" s="278"/>
      <c r="I3990" s="278"/>
      <c r="J3990" s="278"/>
      <c r="K3990" s="278"/>
    </row>
    <row r="3991" spans="1:11" x14ac:dyDescent="0.15">
      <c r="A3991" s="278"/>
      <c r="B3991" s="278"/>
      <c r="C3991" s="278"/>
      <c r="D3991" s="278"/>
      <c r="E3991" s="278"/>
      <c r="F3991" s="278"/>
      <c r="G3991" s="278"/>
      <c r="H3991" s="278"/>
      <c r="I3991" s="278"/>
      <c r="J3991" s="278"/>
      <c r="K3991" s="278"/>
    </row>
    <row r="3992" spans="1:11" x14ac:dyDescent="0.15">
      <c r="A3992" s="278"/>
      <c r="B3992" s="278"/>
      <c r="C3992" s="278"/>
      <c r="D3992" s="278"/>
      <c r="E3992" s="278"/>
      <c r="F3992" s="278"/>
      <c r="G3992" s="278"/>
      <c r="H3992" s="278"/>
      <c r="I3992" s="278"/>
      <c r="J3992" s="278"/>
      <c r="K3992" s="278"/>
    </row>
    <row r="3993" spans="1:11" x14ac:dyDescent="0.15">
      <c r="A3993" s="278"/>
      <c r="B3993" s="278"/>
      <c r="C3993" s="278"/>
      <c r="D3993" s="278"/>
      <c r="E3993" s="278"/>
      <c r="F3993" s="278"/>
      <c r="G3993" s="278"/>
      <c r="H3993" s="278"/>
      <c r="I3993" s="278"/>
      <c r="J3993" s="278"/>
      <c r="K3993" s="278"/>
    </row>
    <row r="3994" spans="1:11" x14ac:dyDescent="0.15">
      <c r="A3994" s="278"/>
      <c r="B3994" s="278"/>
      <c r="C3994" s="278"/>
      <c r="D3994" s="278"/>
      <c r="E3994" s="278"/>
      <c r="F3994" s="278"/>
      <c r="G3994" s="278"/>
      <c r="H3994" s="278"/>
      <c r="I3994" s="278"/>
      <c r="J3994" s="278"/>
      <c r="K3994" s="278"/>
    </row>
    <row r="3995" spans="1:11" x14ac:dyDescent="0.15">
      <c r="A3995" s="278"/>
      <c r="B3995" s="278"/>
      <c r="C3995" s="278"/>
      <c r="D3995" s="278"/>
      <c r="E3995" s="278"/>
      <c r="F3995" s="278"/>
      <c r="G3995" s="278"/>
      <c r="H3995" s="278"/>
      <c r="I3995" s="278"/>
      <c r="J3995" s="278"/>
      <c r="K3995" s="278"/>
    </row>
    <row r="3996" spans="1:11" x14ac:dyDescent="0.15">
      <c r="A3996" s="278"/>
      <c r="B3996" s="278"/>
      <c r="C3996" s="278"/>
      <c r="D3996" s="278"/>
      <c r="E3996" s="278"/>
      <c r="F3996" s="278"/>
      <c r="G3996" s="278"/>
      <c r="H3996" s="278"/>
      <c r="I3996" s="278"/>
      <c r="J3996" s="278"/>
      <c r="K3996" s="278"/>
    </row>
    <row r="3997" spans="1:11" x14ac:dyDescent="0.15">
      <c r="A3997" s="278"/>
      <c r="B3997" s="278"/>
      <c r="C3997" s="278"/>
      <c r="D3997" s="278"/>
      <c r="E3997" s="278"/>
      <c r="F3997" s="278"/>
      <c r="G3997" s="278"/>
      <c r="H3997" s="278"/>
      <c r="I3997" s="278"/>
      <c r="J3997" s="278"/>
      <c r="K3997" s="278"/>
    </row>
    <row r="3998" spans="1:11" x14ac:dyDescent="0.15">
      <c r="A3998" s="278"/>
      <c r="B3998" s="278"/>
      <c r="C3998" s="278"/>
      <c r="D3998" s="278"/>
      <c r="E3998" s="278"/>
      <c r="F3998" s="278"/>
      <c r="G3998" s="278"/>
      <c r="H3998" s="278"/>
      <c r="I3998" s="278"/>
      <c r="J3998" s="278"/>
      <c r="K3998" s="278"/>
    </row>
    <row r="3999" spans="1:11" x14ac:dyDescent="0.15">
      <c r="A3999" s="278"/>
      <c r="B3999" s="278"/>
      <c r="C3999" s="278"/>
      <c r="D3999" s="278"/>
      <c r="E3999" s="278"/>
      <c r="F3999" s="278"/>
      <c r="G3999" s="278"/>
      <c r="H3999" s="278"/>
      <c r="I3999" s="278"/>
      <c r="J3999" s="278"/>
      <c r="K3999" s="278"/>
    </row>
    <row r="4000" spans="1:11" x14ac:dyDescent="0.15">
      <c r="A4000" s="278"/>
      <c r="B4000" s="278"/>
      <c r="C4000" s="278"/>
      <c r="D4000" s="278"/>
      <c r="E4000" s="278"/>
      <c r="F4000" s="278"/>
      <c r="G4000" s="278"/>
      <c r="H4000" s="278"/>
      <c r="I4000" s="278"/>
      <c r="J4000" s="278"/>
      <c r="K4000" s="278"/>
    </row>
    <row r="4001" spans="1:11" x14ac:dyDescent="0.15">
      <c r="A4001" s="278"/>
      <c r="B4001" s="278"/>
      <c r="C4001" s="278"/>
      <c r="D4001" s="278"/>
      <c r="E4001" s="278"/>
      <c r="F4001" s="278"/>
      <c r="G4001" s="278"/>
      <c r="H4001" s="278"/>
      <c r="I4001" s="278"/>
      <c r="J4001" s="278"/>
      <c r="K4001" s="278"/>
    </row>
    <row r="4002" spans="1:11" x14ac:dyDescent="0.15">
      <c r="A4002" s="278"/>
      <c r="B4002" s="278"/>
      <c r="C4002" s="278"/>
      <c r="D4002" s="278"/>
      <c r="E4002" s="278"/>
      <c r="F4002" s="278"/>
      <c r="G4002" s="278"/>
      <c r="H4002" s="278"/>
      <c r="I4002" s="278"/>
      <c r="J4002" s="278"/>
      <c r="K4002" s="278"/>
    </row>
    <row r="4003" spans="1:11" x14ac:dyDescent="0.15">
      <c r="A4003" s="278"/>
      <c r="B4003" s="278"/>
      <c r="C4003" s="278"/>
      <c r="D4003" s="278"/>
      <c r="E4003" s="278"/>
      <c r="F4003" s="278"/>
      <c r="G4003" s="278"/>
      <c r="H4003" s="278"/>
      <c r="I4003" s="278"/>
      <c r="J4003" s="278"/>
      <c r="K4003" s="278"/>
    </row>
    <row r="4004" spans="1:11" x14ac:dyDescent="0.15">
      <c r="A4004" s="278"/>
      <c r="B4004" s="278"/>
      <c r="C4004" s="278"/>
      <c r="D4004" s="278"/>
      <c r="E4004" s="278"/>
      <c r="F4004" s="278"/>
      <c r="G4004" s="278"/>
      <c r="H4004" s="278"/>
      <c r="I4004" s="278"/>
      <c r="J4004" s="278"/>
      <c r="K4004" s="278"/>
    </row>
    <row r="4005" spans="1:11" x14ac:dyDescent="0.15">
      <c r="A4005" s="278"/>
      <c r="B4005" s="278"/>
      <c r="C4005" s="278"/>
      <c r="D4005" s="278"/>
      <c r="E4005" s="278"/>
      <c r="F4005" s="278"/>
      <c r="G4005" s="278"/>
      <c r="H4005" s="278"/>
      <c r="I4005" s="278"/>
      <c r="J4005" s="278"/>
      <c r="K4005" s="278"/>
    </row>
    <row r="4006" spans="1:11" x14ac:dyDescent="0.15">
      <c r="A4006" s="278"/>
      <c r="B4006" s="278"/>
      <c r="C4006" s="278"/>
      <c r="D4006" s="278"/>
      <c r="E4006" s="278"/>
      <c r="F4006" s="278"/>
      <c r="G4006" s="278"/>
      <c r="H4006" s="278"/>
      <c r="I4006" s="278"/>
      <c r="J4006" s="278"/>
      <c r="K4006" s="278"/>
    </row>
    <row r="4007" spans="1:11" x14ac:dyDescent="0.15">
      <c r="A4007" s="278"/>
      <c r="B4007" s="278"/>
      <c r="C4007" s="278"/>
      <c r="D4007" s="278"/>
      <c r="E4007" s="278"/>
      <c r="F4007" s="278"/>
      <c r="G4007" s="278"/>
      <c r="H4007" s="278"/>
      <c r="I4007" s="278"/>
      <c r="J4007" s="278"/>
      <c r="K4007" s="278"/>
    </row>
    <row r="4008" spans="1:11" x14ac:dyDescent="0.15">
      <c r="A4008" s="278"/>
      <c r="B4008" s="278"/>
      <c r="C4008" s="278"/>
      <c r="D4008" s="278"/>
      <c r="E4008" s="278"/>
      <c r="F4008" s="278"/>
      <c r="G4008" s="278"/>
      <c r="H4008" s="278"/>
      <c r="I4008" s="278"/>
      <c r="J4008" s="278"/>
      <c r="K4008" s="278"/>
    </row>
    <row r="4009" spans="1:11" x14ac:dyDescent="0.15">
      <c r="A4009" s="278"/>
      <c r="B4009" s="278"/>
      <c r="C4009" s="278"/>
      <c r="D4009" s="278"/>
      <c r="E4009" s="278"/>
      <c r="F4009" s="278"/>
      <c r="G4009" s="278"/>
      <c r="H4009" s="278"/>
      <c r="I4009" s="278"/>
      <c r="J4009" s="278"/>
      <c r="K4009" s="278"/>
    </row>
    <row r="4010" spans="1:11" x14ac:dyDescent="0.15">
      <c r="A4010" s="278"/>
      <c r="B4010" s="278"/>
      <c r="C4010" s="278"/>
      <c r="D4010" s="278"/>
      <c r="E4010" s="278"/>
      <c r="F4010" s="278"/>
      <c r="G4010" s="278"/>
      <c r="H4010" s="278"/>
      <c r="I4010" s="278"/>
      <c r="J4010" s="278"/>
      <c r="K4010" s="278"/>
    </row>
    <row r="4011" spans="1:11" x14ac:dyDescent="0.15">
      <c r="A4011" s="278"/>
      <c r="B4011" s="278"/>
      <c r="C4011" s="278"/>
      <c r="D4011" s="278"/>
      <c r="E4011" s="278"/>
      <c r="F4011" s="278"/>
      <c r="G4011" s="278"/>
      <c r="H4011" s="278"/>
      <c r="I4011" s="278"/>
      <c r="J4011" s="278"/>
      <c r="K4011" s="278"/>
    </row>
    <row r="4012" spans="1:11" x14ac:dyDescent="0.15">
      <c r="A4012" s="278"/>
      <c r="B4012" s="278"/>
      <c r="C4012" s="278"/>
      <c r="D4012" s="278"/>
      <c r="E4012" s="278"/>
      <c r="F4012" s="278"/>
      <c r="G4012" s="278"/>
      <c r="H4012" s="278"/>
      <c r="I4012" s="278"/>
      <c r="J4012" s="278"/>
      <c r="K4012" s="278"/>
    </row>
    <row r="4013" spans="1:11" x14ac:dyDescent="0.15">
      <c r="A4013" s="278"/>
      <c r="B4013" s="278"/>
      <c r="C4013" s="278"/>
      <c r="D4013" s="278"/>
      <c r="E4013" s="278"/>
      <c r="F4013" s="278"/>
      <c r="G4013" s="278"/>
      <c r="H4013" s="278"/>
      <c r="I4013" s="278"/>
      <c r="J4013" s="278"/>
      <c r="K4013" s="278"/>
    </row>
    <row r="4014" spans="1:11" x14ac:dyDescent="0.15">
      <c r="A4014" s="278"/>
      <c r="B4014" s="278"/>
      <c r="C4014" s="278"/>
      <c r="D4014" s="278"/>
      <c r="E4014" s="278"/>
      <c r="F4014" s="278"/>
      <c r="G4014" s="278"/>
      <c r="H4014" s="278"/>
      <c r="I4014" s="278"/>
      <c r="J4014" s="278"/>
      <c r="K4014" s="278"/>
    </row>
    <row r="4015" spans="1:11" x14ac:dyDescent="0.15">
      <c r="A4015" s="278"/>
      <c r="B4015" s="278"/>
      <c r="C4015" s="278"/>
      <c r="D4015" s="278"/>
      <c r="E4015" s="278"/>
      <c r="F4015" s="278"/>
      <c r="G4015" s="278"/>
      <c r="H4015" s="278"/>
      <c r="I4015" s="278"/>
      <c r="J4015" s="278"/>
      <c r="K4015" s="278"/>
    </row>
    <row r="4016" spans="1:11" x14ac:dyDescent="0.15">
      <c r="A4016" s="278"/>
      <c r="B4016" s="278"/>
      <c r="C4016" s="278"/>
      <c r="D4016" s="278"/>
      <c r="E4016" s="278"/>
      <c r="F4016" s="278"/>
      <c r="G4016" s="278"/>
      <c r="H4016" s="278"/>
      <c r="I4016" s="278"/>
      <c r="J4016" s="278"/>
      <c r="K4016" s="278"/>
    </row>
    <row r="4017" spans="1:11" x14ac:dyDescent="0.15">
      <c r="A4017" s="278"/>
      <c r="B4017" s="278"/>
      <c r="C4017" s="278"/>
      <c r="D4017" s="278"/>
      <c r="E4017" s="278"/>
      <c r="F4017" s="278"/>
      <c r="G4017" s="278"/>
      <c r="H4017" s="278"/>
      <c r="I4017" s="278"/>
      <c r="J4017" s="278"/>
      <c r="K4017" s="278"/>
    </row>
    <row r="4018" spans="1:11" x14ac:dyDescent="0.15">
      <c r="A4018" s="278"/>
      <c r="B4018" s="278"/>
      <c r="C4018" s="278"/>
      <c r="D4018" s="278"/>
      <c r="E4018" s="278"/>
      <c r="F4018" s="278"/>
      <c r="G4018" s="278"/>
      <c r="H4018" s="278"/>
      <c r="I4018" s="278"/>
      <c r="J4018" s="278"/>
      <c r="K4018" s="278"/>
    </row>
    <row r="4019" spans="1:11" x14ac:dyDescent="0.15">
      <c r="A4019" s="278"/>
      <c r="B4019" s="278"/>
      <c r="C4019" s="278"/>
      <c r="D4019" s="278"/>
      <c r="E4019" s="278"/>
      <c r="F4019" s="278"/>
      <c r="G4019" s="278"/>
      <c r="H4019" s="278"/>
      <c r="I4019" s="278"/>
      <c r="J4019" s="278"/>
      <c r="K4019" s="278"/>
    </row>
    <row r="4020" spans="1:11" x14ac:dyDescent="0.15">
      <c r="A4020" s="278"/>
      <c r="B4020" s="278"/>
      <c r="C4020" s="278"/>
      <c r="D4020" s="278"/>
      <c r="E4020" s="278"/>
      <c r="F4020" s="278"/>
      <c r="G4020" s="278"/>
      <c r="H4020" s="278"/>
      <c r="I4020" s="278"/>
      <c r="J4020" s="278"/>
      <c r="K4020" s="278"/>
    </row>
    <row r="4021" spans="1:11" x14ac:dyDescent="0.15">
      <c r="A4021" s="278"/>
      <c r="B4021" s="278"/>
      <c r="C4021" s="278"/>
      <c r="D4021" s="278"/>
      <c r="E4021" s="278"/>
      <c r="F4021" s="278"/>
      <c r="G4021" s="278"/>
      <c r="H4021" s="278"/>
      <c r="I4021" s="278"/>
      <c r="J4021" s="278"/>
      <c r="K4021" s="278"/>
    </row>
    <row r="4022" spans="1:11" x14ac:dyDescent="0.15">
      <c r="A4022" s="278"/>
      <c r="B4022" s="278"/>
      <c r="C4022" s="278"/>
      <c r="D4022" s="278"/>
      <c r="E4022" s="278"/>
      <c r="F4022" s="278"/>
      <c r="G4022" s="278"/>
      <c r="H4022" s="278"/>
      <c r="I4022" s="278"/>
      <c r="J4022" s="278"/>
      <c r="K4022" s="278"/>
    </row>
    <row r="4023" spans="1:11" x14ac:dyDescent="0.15">
      <c r="A4023" s="278"/>
      <c r="B4023" s="278"/>
      <c r="C4023" s="278"/>
      <c r="D4023" s="278"/>
      <c r="E4023" s="278"/>
      <c r="F4023" s="278"/>
      <c r="G4023" s="278"/>
      <c r="H4023" s="278"/>
      <c r="I4023" s="278"/>
      <c r="J4023" s="278"/>
      <c r="K4023" s="278"/>
    </row>
    <row r="4024" spans="1:11" x14ac:dyDescent="0.15">
      <c r="A4024" s="278"/>
      <c r="B4024" s="278"/>
      <c r="C4024" s="278"/>
      <c r="D4024" s="278"/>
      <c r="E4024" s="278"/>
      <c r="F4024" s="278"/>
      <c r="G4024" s="278"/>
      <c r="H4024" s="278"/>
      <c r="I4024" s="278"/>
      <c r="J4024" s="278"/>
      <c r="K4024" s="278"/>
    </row>
    <row r="4025" spans="1:11" x14ac:dyDescent="0.15">
      <c r="A4025" s="278"/>
      <c r="B4025" s="278"/>
      <c r="C4025" s="278"/>
      <c r="D4025" s="278"/>
      <c r="E4025" s="278"/>
      <c r="F4025" s="278"/>
      <c r="G4025" s="278"/>
      <c r="H4025" s="278"/>
      <c r="I4025" s="278"/>
      <c r="J4025" s="278"/>
      <c r="K4025" s="278"/>
    </row>
    <row r="4026" spans="1:11" x14ac:dyDescent="0.15">
      <c r="A4026" s="278"/>
      <c r="B4026" s="278"/>
      <c r="C4026" s="278"/>
      <c r="D4026" s="278"/>
      <c r="E4026" s="278"/>
      <c r="F4026" s="278"/>
      <c r="G4026" s="278"/>
      <c r="H4026" s="278"/>
      <c r="I4026" s="278"/>
      <c r="J4026" s="278"/>
      <c r="K4026" s="278"/>
    </row>
    <row r="4027" spans="1:11" x14ac:dyDescent="0.15">
      <c r="A4027" s="278"/>
      <c r="B4027" s="278"/>
      <c r="C4027" s="278"/>
      <c r="D4027" s="278"/>
      <c r="E4027" s="278"/>
      <c r="F4027" s="278"/>
      <c r="G4027" s="278"/>
      <c r="H4027" s="278"/>
      <c r="I4027" s="278"/>
      <c r="J4027" s="278"/>
      <c r="K4027" s="278"/>
    </row>
    <row r="4028" spans="1:11" x14ac:dyDescent="0.15">
      <c r="A4028" s="278"/>
      <c r="B4028" s="278"/>
      <c r="C4028" s="278"/>
      <c r="D4028" s="278"/>
      <c r="E4028" s="278"/>
      <c r="F4028" s="278"/>
      <c r="G4028" s="278"/>
      <c r="H4028" s="278"/>
      <c r="I4028" s="278"/>
      <c r="J4028" s="278"/>
      <c r="K4028" s="278"/>
    </row>
    <row r="4029" spans="1:11" x14ac:dyDescent="0.15">
      <c r="A4029" s="278"/>
      <c r="B4029" s="278"/>
      <c r="C4029" s="278"/>
      <c r="D4029" s="278"/>
      <c r="E4029" s="278"/>
      <c r="F4029" s="278"/>
      <c r="G4029" s="278"/>
      <c r="H4029" s="278"/>
      <c r="I4029" s="278"/>
      <c r="J4029" s="278"/>
      <c r="K4029" s="278"/>
    </row>
    <row r="4030" spans="1:11" x14ac:dyDescent="0.15">
      <c r="A4030" s="278"/>
      <c r="B4030" s="278"/>
      <c r="C4030" s="278"/>
      <c r="D4030" s="278"/>
      <c r="E4030" s="278"/>
      <c r="F4030" s="278"/>
      <c r="G4030" s="278"/>
      <c r="H4030" s="278"/>
      <c r="I4030" s="278"/>
      <c r="J4030" s="278"/>
      <c r="K4030" s="278"/>
    </row>
    <row r="4031" spans="1:11" x14ac:dyDescent="0.15">
      <c r="A4031" s="278"/>
      <c r="B4031" s="278"/>
      <c r="C4031" s="278"/>
      <c r="D4031" s="278"/>
      <c r="E4031" s="278"/>
      <c r="F4031" s="278"/>
      <c r="G4031" s="278"/>
      <c r="H4031" s="278"/>
      <c r="I4031" s="278"/>
      <c r="J4031" s="278"/>
      <c r="K4031" s="278"/>
    </row>
    <row r="4032" spans="1:11" x14ac:dyDescent="0.15">
      <c r="A4032" s="278"/>
      <c r="B4032" s="278"/>
      <c r="C4032" s="278"/>
      <c r="D4032" s="278"/>
      <c r="E4032" s="278"/>
      <c r="F4032" s="278"/>
      <c r="G4032" s="278"/>
      <c r="H4032" s="278"/>
      <c r="I4032" s="278"/>
      <c r="J4032" s="278"/>
      <c r="K4032" s="278"/>
    </row>
    <row r="4033" spans="1:11" x14ac:dyDescent="0.15">
      <c r="A4033" s="278"/>
      <c r="B4033" s="278"/>
      <c r="C4033" s="278"/>
      <c r="D4033" s="278"/>
      <c r="E4033" s="278"/>
      <c r="F4033" s="278"/>
      <c r="G4033" s="278"/>
      <c r="H4033" s="278"/>
      <c r="I4033" s="278"/>
      <c r="J4033" s="278"/>
      <c r="K4033" s="278"/>
    </row>
    <row r="4034" spans="1:11" x14ac:dyDescent="0.15">
      <c r="A4034" s="278"/>
      <c r="B4034" s="278"/>
      <c r="C4034" s="278"/>
      <c r="D4034" s="278"/>
      <c r="E4034" s="278"/>
      <c r="F4034" s="278"/>
      <c r="G4034" s="278"/>
      <c r="H4034" s="278"/>
      <c r="I4034" s="278"/>
      <c r="J4034" s="278"/>
      <c r="K4034" s="278"/>
    </row>
    <row r="4035" spans="1:11" x14ac:dyDescent="0.15">
      <c r="A4035" s="278"/>
      <c r="B4035" s="278"/>
      <c r="C4035" s="278"/>
      <c r="D4035" s="278"/>
      <c r="E4035" s="278"/>
      <c r="F4035" s="278"/>
      <c r="G4035" s="278"/>
      <c r="H4035" s="278"/>
      <c r="I4035" s="278"/>
      <c r="J4035" s="278"/>
      <c r="K4035" s="278"/>
    </row>
    <row r="4036" spans="1:11" x14ac:dyDescent="0.15">
      <c r="A4036" s="278"/>
      <c r="B4036" s="278"/>
      <c r="C4036" s="278"/>
      <c r="D4036" s="278"/>
      <c r="E4036" s="278"/>
      <c r="F4036" s="278"/>
      <c r="G4036" s="278"/>
      <c r="H4036" s="278"/>
      <c r="I4036" s="278"/>
      <c r="J4036" s="278"/>
      <c r="K4036" s="278"/>
    </row>
    <row r="4037" spans="1:11" x14ac:dyDescent="0.15">
      <c r="A4037" s="278"/>
      <c r="B4037" s="278"/>
      <c r="C4037" s="278"/>
      <c r="D4037" s="278"/>
      <c r="E4037" s="278"/>
      <c r="F4037" s="278"/>
      <c r="G4037" s="278"/>
      <c r="H4037" s="278"/>
      <c r="I4037" s="278"/>
      <c r="J4037" s="278"/>
      <c r="K4037" s="278"/>
    </row>
    <row r="4038" spans="1:11" x14ac:dyDescent="0.15">
      <c r="A4038" s="278"/>
      <c r="B4038" s="278"/>
      <c r="C4038" s="278"/>
      <c r="D4038" s="278"/>
      <c r="E4038" s="278"/>
      <c r="F4038" s="278"/>
      <c r="G4038" s="278"/>
      <c r="H4038" s="278"/>
      <c r="I4038" s="278"/>
      <c r="J4038" s="278"/>
      <c r="K4038" s="278"/>
    </row>
    <row r="4039" spans="1:11" x14ac:dyDescent="0.15">
      <c r="A4039" s="278"/>
      <c r="B4039" s="278"/>
      <c r="C4039" s="278"/>
      <c r="D4039" s="278"/>
      <c r="E4039" s="278"/>
      <c r="F4039" s="278"/>
      <c r="G4039" s="278"/>
      <c r="H4039" s="278"/>
      <c r="I4039" s="278"/>
      <c r="J4039" s="278"/>
      <c r="K4039" s="278"/>
    </row>
    <row r="4040" spans="1:11" x14ac:dyDescent="0.15">
      <c r="A4040" s="278"/>
      <c r="B4040" s="278"/>
      <c r="C4040" s="278"/>
      <c r="D4040" s="278"/>
      <c r="E4040" s="278"/>
      <c r="F4040" s="278"/>
      <c r="G4040" s="278"/>
      <c r="H4040" s="278"/>
      <c r="I4040" s="278"/>
      <c r="J4040" s="278"/>
      <c r="K4040" s="278"/>
    </row>
    <row r="4041" spans="1:11" x14ac:dyDescent="0.15">
      <c r="A4041" s="278"/>
      <c r="B4041" s="278"/>
      <c r="C4041" s="278"/>
      <c r="D4041" s="278"/>
      <c r="E4041" s="278"/>
      <c r="F4041" s="278"/>
      <c r="G4041" s="278"/>
      <c r="H4041" s="278"/>
      <c r="I4041" s="278"/>
      <c r="J4041" s="278"/>
      <c r="K4041" s="278"/>
    </row>
    <row r="4042" spans="1:11" x14ac:dyDescent="0.15">
      <c r="A4042" s="278"/>
      <c r="B4042" s="278"/>
      <c r="C4042" s="278"/>
      <c r="D4042" s="278"/>
      <c r="E4042" s="278"/>
      <c r="F4042" s="278"/>
      <c r="G4042" s="278"/>
      <c r="H4042" s="278"/>
      <c r="I4042" s="278"/>
      <c r="J4042" s="278"/>
      <c r="K4042" s="278"/>
    </row>
    <row r="4043" spans="1:11" x14ac:dyDescent="0.15">
      <c r="A4043" s="278"/>
      <c r="B4043" s="278"/>
      <c r="C4043" s="278"/>
      <c r="D4043" s="278"/>
      <c r="E4043" s="278"/>
      <c r="F4043" s="278"/>
      <c r="G4043" s="278"/>
      <c r="H4043" s="278"/>
      <c r="I4043" s="278"/>
      <c r="J4043" s="278"/>
      <c r="K4043" s="278"/>
    </row>
    <row r="4044" spans="1:11" x14ac:dyDescent="0.15">
      <c r="A4044" s="278"/>
      <c r="B4044" s="278"/>
      <c r="C4044" s="278"/>
      <c r="D4044" s="278"/>
      <c r="E4044" s="278"/>
      <c r="F4044" s="278"/>
      <c r="G4044" s="278"/>
      <c r="H4044" s="278"/>
      <c r="I4044" s="278"/>
      <c r="J4044" s="278"/>
      <c r="K4044" s="278"/>
    </row>
    <row r="4045" spans="1:11" x14ac:dyDescent="0.15">
      <c r="A4045" s="278"/>
      <c r="B4045" s="278"/>
      <c r="C4045" s="278"/>
      <c r="D4045" s="278"/>
      <c r="E4045" s="278"/>
      <c r="F4045" s="278"/>
      <c r="G4045" s="278"/>
      <c r="H4045" s="278"/>
      <c r="I4045" s="278"/>
      <c r="J4045" s="278"/>
      <c r="K4045" s="278"/>
    </row>
    <row r="4046" spans="1:11" x14ac:dyDescent="0.15">
      <c r="A4046" s="278"/>
      <c r="B4046" s="278"/>
      <c r="C4046" s="278"/>
      <c r="D4046" s="278"/>
      <c r="E4046" s="278"/>
      <c r="F4046" s="278"/>
      <c r="G4046" s="278"/>
      <c r="H4046" s="278"/>
      <c r="I4046" s="278"/>
      <c r="J4046" s="278"/>
      <c r="K4046" s="278"/>
    </row>
    <row r="4047" spans="1:11" x14ac:dyDescent="0.15">
      <c r="A4047" s="278"/>
      <c r="B4047" s="278"/>
      <c r="C4047" s="278"/>
      <c r="D4047" s="278"/>
      <c r="E4047" s="278"/>
      <c r="F4047" s="278"/>
      <c r="G4047" s="278"/>
      <c r="H4047" s="278"/>
      <c r="I4047" s="278"/>
      <c r="J4047" s="278"/>
      <c r="K4047" s="278"/>
    </row>
    <row r="4048" spans="1:11" x14ac:dyDescent="0.15">
      <c r="A4048" s="278"/>
      <c r="B4048" s="278"/>
      <c r="C4048" s="278"/>
      <c r="D4048" s="278"/>
      <c r="E4048" s="278"/>
      <c r="F4048" s="278"/>
      <c r="G4048" s="278"/>
      <c r="H4048" s="278"/>
      <c r="I4048" s="278"/>
      <c r="J4048" s="278"/>
      <c r="K4048" s="278"/>
    </row>
    <row r="4049" spans="1:11" x14ac:dyDescent="0.15">
      <c r="A4049" s="278"/>
      <c r="B4049" s="278"/>
      <c r="C4049" s="278"/>
      <c r="D4049" s="278"/>
      <c r="E4049" s="278"/>
      <c r="F4049" s="278"/>
      <c r="G4049" s="278"/>
      <c r="H4049" s="278"/>
      <c r="I4049" s="278"/>
      <c r="J4049" s="278"/>
      <c r="K4049" s="278"/>
    </row>
    <row r="4050" spans="1:11" x14ac:dyDescent="0.15">
      <c r="A4050" s="278"/>
      <c r="B4050" s="278"/>
      <c r="C4050" s="278"/>
      <c r="D4050" s="278"/>
      <c r="E4050" s="278"/>
      <c r="F4050" s="278"/>
      <c r="G4050" s="278"/>
      <c r="H4050" s="278"/>
      <c r="I4050" s="278"/>
      <c r="J4050" s="278"/>
      <c r="K4050" s="278"/>
    </row>
    <row r="4051" spans="1:11" x14ac:dyDescent="0.15">
      <c r="A4051" s="278"/>
      <c r="B4051" s="278"/>
      <c r="C4051" s="278"/>
      <c r="D4051" s="278"/>
      <c r="E4051" s="278"/>
      <c r="F4051" s="278"/>
      <c r="G4051" s="278"/>
      <c r="H4051" s="278"/>
      <c r="I4051" s="278"/>
      <c r="J4051" s="278"/>
      <c r="K4051" s="278"/>
    </row>
    <row r="4052" spans="1:11" x14ac:dyDescent="0.15">
      <c r="A4052" s="278"/>
      <c r="B4052" s="278"/>
      <c r="C4052" s="278"/>
      <c r="D4052" s="278"/>
      <c r="E4052" s="278"/>
      <c r="F4052" s="278"/>
      <c r="G4052" s="278"/>
      <c r="H4052" s="278"/>
      <c r="I4052" s="278"/>
      <c r="J4052" s="278"/>
      <c r="K4052" s="278"/>
    </row>
    <row r="4053" spans="1:11" x14ac:dyDescent="0.15">
      <c r="A4053" s="278"/>
      <c r="B4053" s="278"/>
      <c r="C4053" s="278"/>
      <c r="D4053" s="278"/>
      <c r="E4053" s="278"/>
      <c r="F4053" s="278"/>
      <c r="G4053" s="278"/>
      <c r="H4053" s="278"/>
      <c r="I4053" s="278"/>
      <c r="J4053" s="278"/>
      <c r="K4053" s="278"/>
    </row>
    <row r="4054" spans="1:11" x14ac:dyDescent="0.15">
      <c r="A4054" s="278"/>
      <c r="B4054" s="278"/>
      <c r="C4054" s="278"/>
      <c r="D4054" s="278"/>
      <c r="E4054" s="278"/>
      <c r="F4054" s="278"/>
      <c r="G4054" s="278"/>
      <c r="H4054" s="278"/>
      <c r="I4054" s="278"/>
      <c r="J4054" s="278"/>
      <c r="K4054" s="278"/>
    </row>
    <row r="4055" spans="1:11" x14ac:dyDescent="0.15">
      <c r="A4055" s="278"/>
      <c r="B4055" s="278"/>
      <c r="C4055" s="278"/>
      <c r="D4055" s="278"/>
      <c r="E4055" s="278"/>
      <c r="F4055" s="278"/>
      <c r="G4055" s="278"/>
      <c r="H4055" s="278"/>
      <c r="I4055" s="278"/>
      <c r="J4055" s="278"/>
      <c r="K4055" s="278"/>
    </row>
    <row r="4056" spans="1:11" x14ac:dyDescent="0.15">
      <c r="A4056" s="278"/>
      <c r="B4056" s="278"/>
      <c r="C4056" s="278"/>
      <c r="D4056" s="278"/>
      <c r="E4056" s="278"/>
      <c r="F4056" s="278"/>
      <c r="G4056" s="278"/>
      <c r="H4056" s="278"/>
      <c r="I4056" s="278"/>
      <c r="J4056" s="278"/>
      <c r="K4056" s="278"/>
    </row>
    <row r="4057" spans="1:11" x14ac:dyDescent="0.15">
      <c r="A4057" s="278"/>
      <c r="B4057" s="278"/>
      <c r="C4057" s="278"/>
      <c r="D4057" s="278"/>
      <c r="E4057" s="278"/>
      <c r="F4057" s="278"/>
      <c r="G4057" s="278"/>
      <c r="H4057" s="278"/>
      <c r="I4057" s="278"/>
      <c r="J4057" s="278"/>
      <c r="K4057" s="278"/>
    </row>
    <row r="4058" spans="1:11" x14ac:dyDescent="0.15">
      <c r="A4058" s="278"/>
      <c r="B4058" s="278"/>
      <c r="C4058" s="278"/>
      <c r="D4058" s="278"/>
      <c r="E4058" s="278"/>
      <c r="F4058" s="278"/>
      <c r="G4058" s="278"/>
      <c r="H4058" s="278"/>
      <c r="I4058" s="278"/>
      <c r="J4058" s="278"/>
      <c r="K4058" s="278"/>
    </row>
    <row r="4059" spans="1:11" x14ac:dyDescent="0.15">
      <c r="A4059" s="278"/>
      <c r="B4059" s="278"/>
      <c r="C4059" s="278"/>
      <c r="D4059" s="278"/>
      <c r="E4059" s="278"/>
      <c r="F4059" s="278"/>
      <c r="G4059" s="278"/>
      <c r="H4059" s="278"/>
      <c r="I4059" s="278"/>
      <c r="J4059" s="278"/>
      <c r="K4059" s="278"/>
    </row>
    <row r="4060" spans="1:11" x14ac:dyDescent="0.15">
      <c r="A4060" s="278"/>
      <c r="B4060" s="278"/>
      <c r="C4060" s="278"/>
      <c r="D4060" s="278"/>
      <c r="E4060" s="278"/>
      <c r="F4060" s="278"/>
      <c r="G4060" s="278"/>
      <c r="H4060" s="278"/>
      <c r="I4060" s="278"/>
      <c r="J4060" s="278"/>
      <c r="K4060" s="278"/>
    </row>
    <row r="4061" spans="1:11" x14ac:dyDescent="0.15">
      <c r="A4061" s="278"/>
      <c r="B4061" s="278"/>
      <c r="C4061" s="278"/>
      <c r="D4061" s="278"/>
      <c r="E4061" s="278"/>
      <c r="F4061" s="278"/>
      <c r="G4061" s="278"/>
      <c r="H4061" s="278"/>
      <c r="I4061" s="278"/>
      <c r="J4061" s="278"/>
      <c r="K4061" s="278"/>
    </row>
    <row r="4062" spans="1:11" x14ac:dyDescent="0.15">
      <c r="A4062" s="278"/>
      <c r="B4062" s="278"/>
      <c r="C4062" s="278"/>
      <c r="D4062" s="278"/>
      <c r="E4062" s="278"/>
      <c r="F4062" s="278"/>
      <c r="G4062" s="278"/>
      <c r="H4062" s="278"/>
      <c r="I4062" s="278"/>
      <c r="J4062" s="278"/>
      <c r="K4062" s="278"/>
    </row>
    <row r="4063" spans="1:11" x14ac:dyDescent="0.15">
      <c r="A4063" s="278"/>
      <c r="B4063" s="278"/>
      <c r="C4063" s="278"/>
      <c r="D4063" s="278"/>
      <c r="E4063" s="278"/>
      <c r="F4063" s="278"/>
      <c r="G4063" s="278"/>
      <c r="H4063" s="278"/>
      <c r="I4063" s="278"/>
      <c r="J4063" s="278"/>
      <c r="K4063" s="278"/>
    </row>
    <row r="4064" spans="1:11" x14ac:dyDescent="0.15">
      <c r="A4064" s="278"/>
      <c r="B4064" s="278"/>
      <c r="C4064" s="278"/>
      <c r="D4064" s="278"/>
      <c r="E4064" s="278"/>
      <c r="F4064" s="278"/>
      <c r="G4064" s="278"/>
      <c r="H4064" s="278"/>
      <c r="I4064" s="278"/>
      <c r="J4064" s="278"/>
      <c r="K4064" s="278"/>
    </row>
    <row r="4065" spans="1:11" x14ac:dyDescent="0.15">
      <c r="A4065" s="278"/>
      <c r="B4065" s="278"/>
      <c r="C4065" s="278"/>
      <c r="D4065" s="278"/>
      <c r="E4065" s="278"/>
      <c r="F4065" s="278"/>
      <c r="G4065" s="278"/>
      <c r="H4065" s="278"/>
      <c r="I4065" s="278"/>
      <c r="J4065" s="278"/>
      <c r="K4065" s="278"/>
    </row>
    <row r="4066" spans="1:11" x14ac:dyDescent="0.15">
      <c r="A4066" s="278"/>
      <c r="B4066" s="278"/>
      <c r="C4066" s="278"/>
      <c r="D4066" s="278"/>
      <c r="E4066" s="278"/>
      <c r="F4066" s="278"/>
      <c r="G4066" s="278"/>
      <c r="H4066" s="278"/>
      <c r="I4066" s="278"/>
      <c r="J4066" s="278"/>
      <c r="K4066" s="278"/>
    </row>
    <row r="4067" spans="1:11" x14ac:dyDescent="0.15">
      <c r="A4067" s="278"/>
      <c r="B4067" s="278"/>
      <c r="C4067" s="278"/>
      <c r="D4067" s="278"/>
      <c r="E4067" s="278"/>
      <c r="F4067" s="278"/>
      <c r="G4067" s="278"/>
      <c r="H4067" s="278"/>
      <c r="I4067" s="278"/>
      <c r="J4067" s="278"/>
      <c r="K4067" s="278"/>
    </row>
    <row r="4068" spans="1:11" x14ac:dyDescent="0.15">
      <c r="A4068" s="278"/>
      <c r="B4068" s="278"/>
      <c r="C4068" s="278"/>
      <c r="D4068" s="278"/>
      <c r="E4068" s="278"/>
      <c r="F4068" s="278"/>
      <c r="G4068" s="278"/>
      <c r="H4068" s="278"/>
      <c r="I4068" s="278"/>
      <c r="J4068" s="278"/>
      <c r="K4068" s="278"/>
    </row>
    <row r="4069" spans="1:11" x14ac:dyDescent="0.15">
      <c r="A4069" s="278"/>
      <c r="B4069" s="278"/>
      <c r="C4069" s="278"/>
      <c r="D4069" s="278"/>
      <c r="E4069" s="278"/>
      <c r="F4069" s="278"/>
      <c r="G4069" s="278"/>
      <c r="H4069" s="278"/>
      <c r="I4069" s="278"/>
      <c r="J4069" s="278"/>
      <c r="K4069" s="278"/>
    </row>
    <row r="4070" spans="1:11" x14ac:dyDescent="0.15">
      <c r="A4070" s="278"/>
      <c r="B4070" s="278"/>
      <c r="C4070" s="278"/>
      <c r="D4070" s="278"/>
      <c r="E4070" s="278"/>
      <c r="F4070" s="278"/>
      <c r="G4070" s="278"/>
      <c r="H4070" s="278"/>
      <c r="I4070" s="278"/>
      <c r="J4070" s="278"/>
      <c r="K4070" s="278"/>
    </row>
    <row r="4071" spans="1:11" x14ac:dyDescent="0.15">
      <c r="A4071" s="278"/>
      <c r="B4071" s="278"/>
      <c r="C4071" s="278"/>
      <c r="D4071" s="278"/>
      <c r="E4071" s="278"/>
      <c r="F4071" s="278"/>
      <c r="G4071" s="278"/>
      <c r="H4071" s="278"/>
      <c r="I4071" s="278"/>
      <c r="J4071" s="278"/>
      <c r="K4071" s="278"/>
    </row>
    <row r="4072" spans="1:11" x14ac:dyDescent="0.15">
      <c r="A4072" s="278"/>
      <c r="B4072" s="278"/>
      <c r="C4072" s="278"/>
      <c r="D4072" s="278"/>
      <c r="E4072" s="278"/>
      <c r="F4072" s="278"/>
      <c r="G4072" s="278"/>
      <c r="H4072" s="278"/>
      <c r="I4072" s="278"/>
      <c r="J4072" s="278"/>
      <c r="K4072" s="278"/>
    </row>
    <row r="4073" spans="1:11" x14ac:dyDescent="0.15">
      <c r="A4073" s="278"/>
      <c r="B4073" s="278"/>
      <c r="C4073" s="278"/>
      <c r="D4073" s="278"/>
      <c r="E4073" s="278"/>
      <c r="F4073" s="278"/>
      <c r="G4073" s="278"/>
      <c r="H4073" s="278"/>
      <c r="I4073" s="278"/>
      <c r="J4073" s="278"/>
      <c r="K4073" s="278"/>
    </row>
    <row r="4074" spans="1:11" x14ac:dyDescent="0.15">
      <c r="A4074" s="278"/>
      <c r="B4074" s="278"/>
      <c r="C4074" s="278"/>
      <c r="D4074" s="278"/>
      <c r="E4074" s="278"/>
      <c r="F4074" s="278"/>
      <c r="G4074" s="278"/>
      <c r="H4074" s="278"/>
      <c r="I4074" s="278"/>
      <c r="J4074" s="278"/>
      <c r="K4074" s="278"/>
    </row>
    <row r="4075" spans="1:11" x14ac:dyDescent="0.15">
      <c r="A4075" s="278"/>
      <c r="B4075" s="278"/>
      <c r="C4075" s="278"/>
      <c r="D4075" s="278"/>
      <c r="E4075" s="278"/>
      <c r="F4075" s="278"/>
      <c r="G4075" s="278"/>
      <c r="H4075" s="278"/>
      <c r="I4075" s="278"/>
      <c r="J4075" s="278"/>
      <c r="K4075" s="278"/>
    </row>
    <row r="4076" spans="1:11" x14ac:dyDescent="0.15">
      <c r="A4076" s="278"/>
      <c r="B4076" s="278"/>
      <c r="C4076" s="278"/>
      <c r="D4076" s="278"/>
      <c r="E4076" s="278"/>
      <c r="F4076" s="278"/>
      <c r="G4076" s="278"/>
      <c r="H4076" s="278"/>
      <c r="I4076" s="278"/>
      <c r="J4076" s="278"/>
      <c r="K4076" s="278"/>
    </row>
    <row r="4077" spans="1:11" x14ac:dyDescent="0.15">
      <c r="A4077" s="278"/>
      <c r="B4077" s="278"/>
      <c r="C4077" s="278"/>
      <c r="D4077" s="278"/>
      <c r="E4077" s="278"/>
      <c r="F4077" s="278"/>
      <c r="G4077" s="278"/>
      <c r="H4077" s="278"/>
      <c r="I4077" s="278"/>
      <c r="J4077" s="278"/>
      <c r="K4077" s="278"/>
    </row>
    <row r="4078" spans="1:11" x14ac:dyDescent="0.15">
      <c r="A4078" s="278"/>
      <c r="B4078" s="278"/>
      <c r="C4078" s="278"/>
      <c r="D4078" s="278"/>
      <c r="E4078" s="278"/>
      <c r="F4078" s="278"/>
      <c r="G4078" s="278"/>
      <c r="H4078" s="278"/>
      <c r="I4078" s="278"/>
      <c r="J4078" s="278"/>
      <c r="K4078" s="278"/>
    </row>
    <row r="4079" spans="1:11" x14ac:dyDescent="0.15">
      <c r="A4079" s="278"/>
      <c r="B4079" s="278"/>
      <c r="C4079" s="278"/>
      <c r="D4079" s="278"/>
      <c r="E4079" s="278"/>
      <c r="F4079" s="278"/>
      <c r="G4079" s="278"/>
      <c r="H4079" s="278"/>
      <c r="I4079" s="278"/>
      <c r="J4079" s="278"/>
      <c r="K4079" s="278"/>
    </row>
    <row r="4080" spans="1:11" x14ac:dyDescent="0.15">
      <c r="A4080" s="278"/>
      <c r="B4080" s="278"/>
      <c r="C4080" s="278"/>
      <c r="D4080" s="278"/>
      <c r="E4080" s="278"/>
      <c r="F4080" s="278"/>
      <c r="G4080" s="278"/>
      <c r="H4080" s="278"/>
      <c r="I4080" s="278"/>
      <c r="J4080" s="278"/>
      <c r="K4080" s="278"/>
    </row>
    <row r="4081" spans="1:11" x14ac:dyDescent="0.15">
      <c r="A4081" s="278"/>
      <c r="B4081" s="278"/>
      <c r="C4081" s="278"/>
      <c r="D4081" s="278"/>
      <c r="E4081" s="278"/>
      <c r="F4081" s="278"/>
      <c r="G4081" s="278"/>
      <c r="H4081" s="278"/>
      <c r="I4081" s="278"/>
      <c r="J4081" s="278"/>
      <c r="K4081" s="278"/>
    </row>
    <row r="4082" spans="1:11" x14ac:dyDescent="0.15">
      <c r="A4082" s="278"/>
      <c r="B4082" s="278"/>
      <c r="C4082" s="278"/>
      <c r="D4082" s="278"/>
      <c r="E4082" s="278"/>
      <c r="F4082" s="278"/>
      <c r="G4082" s="278"/>
      <c r="H4082" s="278"/>
      <c r="I4082" s="278"/>
      <c r="J4082" s="278"/>
      <c r="K4082" s="278"/>
    </row>
    <row r="4083" spans="1:11" x14ac:dyDescent="0.15">
      <c r="A4083" s="278"/>
      <c r="B4083" s="278"/>
      <c r="C4083" s="278"/>
      <c r="D4083" s="278"/>
      <c r="E4083" s="278"/>
      <c r="F4083" s="278"/>
      <c r="G4083" s="278"/>
      <c r="H4083" s="278"/>
      <c r="I4083" s="278"/>
      <c r="J4083" s="278"/>
      <c r="K4083" s="278"/>
    </row>
    <row r="4084" spans="1:11" x14ac:dyDescent="0.15">
      <c r="A4084" s="278"/>
      <c r="B4084" s="278"/>
      <c r="C4084" s="278"/>
      <c r="D4084" s="278"/>
      <c r="E4084" s="278"/>
      <c r="F4084" s="278"/>
      <c r="G4084" s="278"/>
      <c r="H4084" s="278"/>
      <c r="I4084" s="278"/>
      <c r="J4084" s="278"/>
      <c r="K4084" s="278"/>
    </row>
    <row r="4085" spans="1:11" x14ac:dyDescent="0.15">
      <c r="A4085" s="278"/>
      <c r="B4085" s="278"/>
      <c r="C4085" s="278"/>
      <c r="D4085" s="278"/>
      <c r="E4085" s="278"/>
      <c r="F4085" s="278"/>
      <c r="G4085" s="278"/>
      <c r="H4085" s="278"/>
      <c r="I4085" s="278"/>
      <c r="J4085" s="278"/>
      <c r="K4085" s="278"/>
    </row>
    <row r="4086" spans="1:11" x14ac:dyDescent="0.15">
      <c r="A4086" s="278"/>
      <c r="B4086" s="278"/>
      <c r="C4086" s="278"/>
      <c r="D4086" s="278"/>
      <c r="E4086" s="278"/>
      <c r="F4086" s="278"/>
      <c r="G4086" s="278"/>
      <c r="H4086" s="278"/>
      <c r="I4086" s="278"/>
      <c r="J4086" s="278"/>
      <c r="K4086" s="278"/>
    </row>
    <row r="4087" spans="1:11" x14ac:dyDescent="0.15">
      <c r="A4087" s="278"/>
      <c r="B4087" s="278"/>
      <c r="C4087" s="278"/>
      <c r="D4087" s="278"/>
      <c r="E4087" s="278"/>
      <c r="F4087" s="278"/>
      <c r="G4087" s="278"/>
      <c r="H4087" s="278"/>
      <c r="I4087" s="278"/>
      <c r="J4087" s="278"/>
      <c r="K4087" s="278"/>
    </row>
    <row r="4088" spans="1:11" x14ac:dyDescent="0.15">
      <c r="A4088" s="278"/>
      <c r="B4088" s="278"/>
      <c r="C4088" s="278"/>
      <c r="D4088" s="278"/>
      <c r="E4088" s="278"/>
      <c r="F4088" s="278"/>
      <c r="G4088" s="278"/>
      <c r="H4088" s="278"/>
      <c r="I4088" s="278"/>
      <c r="J4088" s="278"/>
      <c r="K4088" s="278"/>
    </row>
    <row r="4089" spans="1:11" x14ac:dyDescent="0.15">
      <c r="A4089" s="278"/>
      <c r="B4089" s="278"/>
      <c r="C4089" s="278"/>
      <c r="D4089" s="278"/>
      <c r="E4089" s="278"/>
      <c r="F4089" s="278"/>
      <c r="G4089" s="278"/>
      <c r="H4089" s="278"/>
      <c r="I4089" s="278"/>
      <c r="J4089" s="278"/>
      <c r="K4089" s="278"/>
    </row>
    <row r="4090" spans="1:11" x14ac:dyDescent="0.15">
      <c r="A4090" s="278"/>
      <c r="B4090" s="278"/>
      <c r="C4090" s="278"/>
      <c r="D4090" s="278"/>
      <c r="E4090" s="278"/>
      <c r="F4090" s="278"/>
      <c r="G4090" s="278"/>
      <c r="H4090" s="278"/>
      <c r="I4090" s="278"/>
      <c r="J4090" s="278"/>
      <c r="K4090" s="278"/>
    </row>
    <row r="4091" spans="1:11" x14ac:dyDescent="0.15">
      <c r="A4091" s="278"/>
      <c r="B4091" s="278"/>
      <c r="C4091" s="278"/>
      <c r="D4091" s="278"/>
      <c r="E4091" s="278"/>
      <c r="F4091" s="278"/>
      <c r="G4091" s="278"/>
      <c r="H4091" s="278"/>
      <c r="I4091" s="278"/>
      <c r="J4091" s="278"/>
      <c r="K4091" s="278"/>
    </row>
    <row r="4092" spans="1:11" x14ac:dyDescent="0.15">
      <c r="A4092" s="278"/>
      <c r="B4092" s="278"/>
      <c r="C4092" s="278"/>
      <c r="D4092" s="278"/>
      <c r="E4092" s="278"/>
      <c r="F4092" s="278"/>
      <c r="G4092" s="278"/>
      <c r="H4092" s="278"/>
      <c r="I4092" s="278"/>
      <c r="J4092" s="278"/>
      <c r="K4092" s="278"/>
    </row>
    <row r="4093" spans="1:11" x14ac:dyDescent="0.15">
      <c r="A4093" s="278"/>
      <c r="B4093" s="278"/>
      <c r="C4093" s="278"/>
      <c r="D4093" s="278"/>
      <c r="E4093" s="278"/>
      <c r="F4093" s="278"/>
      <c r="G4093" s="278"/>
      <c r="H4093" s="278"/>
      <c r="I4093" s="278"/>
      <c r="J4093" s="278"/>
      <c r="K4093" s="278"/>
    </row>
    <row r="4094" spans="1:11" x14ac:dyDescent="0.15">
      <c r="A4094" s="278"/>
      <c r="B4094" s="278"/>
      <c r="C4094" s="278"/>
      <c r="D4094" s="278"/>
      <c r="E4094" s="278"/>
      <c r="F4094" s="278"/>
      <c r="G4094" s="278"/>
      <c r="H4094" s="278"/>
      <c r="I4094" s="278"/>
      <c r="J4094" s="278"/>
      <c r="K4094" s="278"/>
    </row>
    <row r="4095" spans="1:11" x14ac:dyDescent="0.15">
      <c r="A4095" s="278"/>
      <c r="B4095" s="278"/>
      <c r="C4095" s="278"/>
      <c r="D4095" s="278"/>
      <c r="E4095" s="278"/>
      <c r="F4095" s="278"/>
      <c r="G4095" s="278"/>
      <c r="H4095" s="278"/>
      <c r="I4095" s="278"/>
      <c r="J4095" s="278"/>
      <c r="K4095" s="278"/>
    </row>
    <row r="4096" spans="1:11" x14ac:dyDescent="0.15">
      <c r="A4096" s="278"/>
      <c r="B4096" s="278"/>
      <c r="C4096" s="278"/>
      <c r="D4096" s="278"/>
      <c r="E4096" s="278"/>
      <c r="F4096" s="278"/>
      <c r="G4096" s="278"/>
      <c r="H4096" s="278"/>
      <c r="I4096" s="278"/>
      <c r="J4096" s="278"/>
      <c r="K4096" s="278"/>
    </row>
    <row r="4097" spans="1:11" x14ac:dyDescent="0.15">
      <c r="A4097" s="278"/>
      <c r="B4097" s="278"/>
      <c r="C4097" s="278"/>
      <c r="D4097" s="278"/>
      <c r="E4097" s="278"/>
      <c r="F4097" s="278"/>
      <c r="G4097" s="278"/>
      <c r="H4097" s="278"/>
      <c r="I4097" s="278"/>
      <c r="J4097" s="278"/>
      <c r="K4097" s="278"/>
    </row>
    <row r="4098" spans="1:11" x14ac:dyDescent="0.15">
      <c r="A4098" s="278"/>
      <c r="B4098" s="278"/>
      <c r="C4098" s="278"/>
      <c r="D4098" s="278"/>
      <c r="E4098" s="278"/>
      <c r="F4098" s="278"/>
      <c r="G4098" s="278"/>
      <c r="H4098" s="278"/>
      <c r="I4098" s="278"/>
      <c r="J4098" s="278"/>
      <c r="K4098" s="278"/>
    </row>
    <row r="4099" spans="1:11" x14ac:dyDescent="0.15">
      <c r="A4099" s="278"/>
      <c r="B4099" s="278"/>
      <c r="C4099" s="278"/>
      <c r="D4099" s="278"/>
      <c r="E4099" s="278"/>
      <c r="F4099" s="278"/>
      <c r="G4099" s="278"/>
      <c r="H4099" s="278"/>
      <c r="I4099" s="278"/>
      <c r="J4099" s="278"/>
      <c r="K4099" s="278"/>
    </row>
    <row r="4100" spans="1:11" x14ac:dyDescent="0.15">
      <c r="A4100" s="278"/>
      <c r="B4100" s="278"/>
      <c r="C4100" s="278"/>
      <c r="D4100" s="278"/>
      <c r="E4100" s="278"/>
      <c r="F4100" s="278"/>
      <c r="G4100" s="278"/>
      <c r="H4100" s="278"/>
      <c r="I4100" s="278"/>
      <c r="J4100" s="278"/>
      <c r="K4100" s="278"/>
    </row>
    <row r="4101" spans="1:11" x14ac:dyDescent="0.15">
      <c r="A4101" s="278"/>
      <c r="B4101" s="278"/>
      <c r="C4101" s="278"/>
      <c r="D4101" s="278"/>
      <c r="E4101" s="278"/>
      <c r="F4101" s="278"/>
      <c r="G4101" s="278"/>
      <c r="H4101" s="278"/>
      <c r="I4101" s="278"/>
      <c r="J4101" s="278"/>
      <c r="K4101" s="278"/>
    </row>
    <row r="4102" spans="1:11" x14ac:dyDescent="0.15">
      <c r="A4102" s="278"/>
      <c r="B4102" s="278"/>
      <c r="C4102" s="278"/>
      <c r="D4102" s="278"/>
      <c r="E4102" s="278"/>
      <c r="F4102" s="278"/>
      <c r="G4102" s="278"/>
      <c r="H4102" s="278"/>
      <c r="I4102" s="278"/>
      <c r="J4102" s="278"/>
      <c r="K4102" s="278"/>
    </row>
    <row r="4103" spans="1:11" x14ac:dyDescent="0.15">
      <c r="A4103" s="278"/>
      <c r="B4103" s="278"/>
      <c r="C4103" s="278"/>
      <c r="D4103" s="278"/>
      <c r="E4103" s="278"/>
      <c r="F4103" s="278"/>
      <c r="G4103" s="278"/>
      <c r="H4103" s="278"/>
      <c r="I4103" s="278"/>
      <c r="J4103" s="278"/>
      <c r="K4103" s="278"/>
    </row>
    <row r="4104" spans="1:11" x14ac:dyDescent="0.15">
      <c r="A4104" s="278"/>
      <c r="B4104" s="278"/>
      <c r="C4104" s="278"/>
      <c r="D4104" s="278"/>
      <c r="E4104" s="278"/>
      <c r="F4104" s="278"/>
      <c r="G4104" s="278"/>
      <c r="H4104" s="278"/>
      <c r="I4104" s="278"/>
      <c r="J4104" s="278"/>
      <c r="K4104" s="278"/>
    </row>
    <row r="4105" spans="1:11" x14ac:dyDescent="0.15">
      <c r="A4105" s="278"/>
      <c r="B4105" s="278"/>
      <c r="C4105" s="278"/>
      <c r="D4105" s="278"/>
      <c r="E4105" s="278"/>
      <c r="F4105" s="278"/>
      <c r="G4105" s="278"/>
      <c r="H4105" s="278"/>
      <c r="I4105" s="278"/>
      <c r="J4105" s="278"/>
      <c r="K4105" s="278"/>
    </row>
    <row r="4106" spans="1:11" x14ac:dyDescent="0.15">
      <c r="A4106" s="278"/>
      <c r="B4106" s="278"/>
      <c r="C4106" s="278"/>
      <c r="D4106" s="278"/>
      <c r="E4106" s="278"/>
      <c r="F4106" s="278"/>
      <c r="G4106" s="278"/>
      <c r="H4106" s="278"/>
      <c r="I4106" s="278"/>
      <c r="J4106" s="278"/>
      <c r="K4106" s="278"/>
    </row>
    <row r="4107" spans="1:11" x14ac:dyDescent="0.15">
      <c r="A4107" s="278"/>
      <c r="B4107" s="278"/>
      <c r="C4107" s="278"/>
      <c r="D4107" s="278"/>
      <c r="E4107" s="278"/>
      <c r="F4107" s="278"/>
      <c r="G4107" s="278"/>
      <c r="H4107" s="278"/>
      <c r="I4107" s="278"/>
      <c r="J4107" s="278"/>
      <c r="K4107" s="278"/>
    </row>
    <row r="4108" spans="1:11" x14ac:dyDescent="0.15">
      <c r="A4108" s="278"/>
      <c r="B4108" s="278"/>
      <c r="C4108" s="278"/>
      <c r="D4108" s="278"/>
      <c r="E4108" s="278"/>
      <c r="F4108" s="278"/>
      <c r="G4108" s="278"/>
      <c r="H4108" s="278"/>
      <c r="I4108" s="278"/>
      <c r="J4108" s="278"/>
      <c r="K4108" s="278"/>
    </row>
    <row r="4109" spans="1:11" x14ac:dyDescent="0.15">
      <c r="A4109" s="278"/>
      <c r="B4109" s="278"/>
      <c r="C4109" s="278"/>
      <c r="D4109" s="278"/>
      <c r="E4109" s="278"/>
      <c r="F4109" s="278"/>
      <c r="G4109" s="278"/>
      <c r="H4109" s="278"/>
      <c r="I4109" s="278"/>
      <c r="J4109" s="278"/>
      <c r="K4109" s="278"/>
    </row>
    <row r="4110" spans="1:11" x14ac:dyDescent="0.15">
      <c r="A4110" s="278"/>
      <c r="B4110" s="278"/>
      <c r="C4110" s="278"/>
      <c r="D4110" s="278"/>
      <c r="E4110" s="278"/>
      <c r="F4110" s="278"/>
      <c r="G4110" s="278"/>
      <c r="H4110" s="278"/>
      <c r="I4110" s="278"/>
      <c r="J4110" s="278"/>
      <c r="K4110" s="278"/>
    </row>
    <row r="4111" spans="1:11" x14ac:dyDescent="0.15">
      <c r="A4111" s="278"/>
      <c r="B4111" s="278"/>
      <c r="C4111" s="278"/>
      <c r="D4111" s="278"/>
      <c r="E4111" s="278"/>
      <c r="F4111" s="278"/>
      <c r="G4111" s="278"/>
      <c r="H4111" s="278"/>
      <c r="I4111" s="278"/>
      <c r="J4111" s="278"/>
      <c r="K4111" s="278"/>
    </row>
    <row r="4112" spans="1:11" x14ac:dyDescent="0.15">
      <c r="A4112" s="278"/>
      <c r="B4112" s="278"/>
      <c r="C4112" s="278"/>
      <c r="D4112" s="278"/>
      <c r="E4112" s="278"/>
      <c r="F4112" s="278"/>
      <c r="G4112" s="278"/>
      <c r="H4112" s="278"/>
      <c r="I4112" s="278"/>
      <c r="J4112" s="278"/>
      <c r="K4112" s="278"/>
    </row>
    <row r="4113" spans="1:11" x14ac:dyDescent="0.15">
      <c r="A4113" s="278"/>
      <c r="B4113" s="278"/>
      <c r="C4113" s="278"/>
      <c r="D4113" s="278"/>
      <c r="E4113" s="278"/>
      <c r="F4113" s="278"/>
      <c r="G4113" s="278"/>
      <c r="H4113" s="278"/>
      <c r="I4113" s="278"/>
      <c r="J4113" s="278"/>
      <c r="K4113" s="278"/>
    </row>
    <row r="4114" spans="1:11" x14ac:dyDescent="0.15">
      <c r="A4114" s="278"/>
      <c r="B4114" s="278"/>
      <c r="C4114" s="278"/>
      <c r="D4114" s="278"/>
      <c r="E4114" s="278"/>
      <c r="F4114" s="278"/>
      <c r="G4114" s="278"/>
      <c r="H4114" s="278"/>
      <c r="I4114" s="278"/>
      <c r="J4114" s="278"/>
      <c r="K4114" s="278"/>
    </row>
    <row r="4115" spans="1:11" x14ac:dyDescent="0.15">
      <c r="A4115" s="278"/>
      <c r="B4115" s="278"/>
      <c r="C4115" s="278"/>
      <c r="D4115" s="278"/>
      <c r="E4115" s="278"/>
      <c r="F4115" s="278"/>
      <c r="G4115" s="278"/>
      <c r="H4115" s="278"/>
      <c r="I4115" s="278"/>
      <c r="J4115" s="278"/>
      <c r="K4115" s="278"/>
    </row>
    <row r="4116" spans="1:11" x14ac:dyDescent="0.15">
      <c r="A4116" s="278"/>
      <c r="B4116" s="278"/>
      <c r="C4116" s="278"/>
      <c r="D4116" s="278"/>
      <c r="E4116" s="278"/>
      <c r="F4116" s="278"/>
      <c r="G4116" s="278"/>
      <c r="H4116" s="278"/>
      <c r="I4116" s="278"/>
      <c r="J4116" s="278"/>
      <c r="K4116" s="278"/>
    </row>
    <row r="4117" spans="1:11" x14ac:dyDescent="0.15">
      <c r="A4117" s="278"/>
      <c r="B4117" s="278"/>
      <c r="C4117" s="278"/>
      <c r="D4117" s="278"/>
      <c r="E4117" s="278"/>
      <c r="F4117" s="278"/>
      <c r="G4117" s="278"/>
      <c r="H4117" s="278"/>
      <c r="I4117" s="278"/>
      <c r="J4117" s="278"/>
      <c r="K4117" s="278"/>
    </row>
    <row r="4118" spans="1:11" x14ac:dyDescent="0.15">
      <c r="A4118" s="278"/>
      <c r="B4118" s="278"/>
      <c r="C4118" s="278"/>
      <c r="D4118" s="278"/>
      <c r="E4118" s="278"/>
      <c r="F4118" s="278"/>
      <c r="G4118" s="278"/>
      <c r="H4118" s="278"/>
      <c r="I4118" s="278"/>
      <c r="J4118" s="278"/>
      <c r="K4118" s="278"/>
    </row>
    <row r="4119" spans="1:11" x14ac:dyDescent="0.15">
      <c r="A4119" s="278"/>
      <c r="B4119" s="278"/>
      <c r="C4119" s="278"/>
      <c r="D4119" s="278"/>
      <c r="E4119" s="278"/>
      <c r="F4119" s="278"/>
      <c r="G4119" s="278"/>
      <c r="H4119" s="278"/>
      <c r="I4119" s="278"/>
      <c r="J4119" s="278"/>
      <c r="K4119" s="278"/>
    </row>
    <row r="4120" spans="1:11" x14ac:dyDescent="0.15">
      <c r="A4120" s="278"/>
      <c r="B4120" s="278"/>
      <c r="C4120" s="278"/>
      <c r="D4120" s="278"/>
      <c r="E4120" s="278"/>
      <c r="F4120" s="278"/>
      <c r="G4120" s="278"/>
      <c r="H4120" s="278"/>
      <c r="I4120" s="278"/>
      <c r="J4120" s="278"/>
      <c r="K4120" s="278"/>
    </row>
    <row r="4121" spans="1:11" x14ac:dyDescent="0.15">
      <c r="A4121" s="278"/>
      <c r="B4121" s="278"/>
      <c r="C4121" s="278"/>
      <c r="D4121" s="278"/>
      <c r="E4121" s="278"/>
      <c r="F4121" s="278"/>
      <c r="G4121" s="278"/>
      <c r="H4121" s="278"/>
      <c r="I4121" s="278"/>
      <c r="J4121" s="278"/>
      <c r="K4121" s="278"/>
    </row>
    <row r="4122" spans="1:11" x14ac:dyDescent="0.15">
      <c r="A4122" s="278"/>
      <c r="B4122" s="278"/>
      <c r="C4122" s="278"/>
      <c r="D4122" s="278"/>
      <c r="E4122" s="278"/>
      <c r="F4122" s="278"/>
      <c r="G4122" s="278"/>
      <c r="H4122" s="278"/>
      <c r="I4122" s="278"/>
      <c r="J4122" s="278"/>
      <c r="K4122" s="278"/>
    </row>
    <row r="4123" spans="1:11" x14ac:dyDescent="0.15">
      <c r="A4123" s="278"/>
      <c r="B4123" s="278"/>
      <c r="C4123" s="278"/>
      <c r="D4123" s="278"/>
      <c r="E4123" s="278"/>
      <c r="F4123" s="278"/>
      <c r="G4123" s="278"/>
      <c r="H4123" s="278"/>
      <c r="I4123" s="278"/>
      <c r="J4123" s="278"/>
      <c r="K4123" s="278"/>
    </row>
    <row r="4124" spans="1:11" x14ac:dyDescent="0.15">
      <c r="A4124" s="278"/>
      <c r="B4124" s="278"/>
      <c r="C4124" s="278"/>
      <c r="D4124" s="278"/>
      <c r="E4124" s="278"/>
      <c r="F4124" s="278"/>
      <c r="G4124" s="278"/>
      <c r="H4124" s="278"/>
      <c r="I4124" s="278"/>
      <c r="J4124" s="278"/>
      <c r="K4124" s="278"/>
    </row>
    <row r="4125" spans="1:11" x14ac:dyDescent="0.15">
      <c r="A4125" s="278"/>
      <c r="B4125" s="278"/>
      <c r="C4125" s="278"/>
      <c r="D4125" s="278"/>
      <c r="E4125" s="278"/>
      <c r="F4125" s="278"/>
      <c r="G4125" s="278"/>
      <c r="H4125" s="278"/>
      <c r="I4125" s="278"/>
      <c r="J4125" s="278"/>
      <c r="K4125" s="278"/>
    </row>
    <row r="4126" spans="1:11" x14ac:dyDescent="0.15">
      <c r="A4126" s="278"/>
      <c r="B4126" s="278"/>
      <c r="C4126" s="278"/>
      <c r="D4126" s="278"/>
      <c r="E4126" s="278"/>
      <c r="F4126" s="278"/>
      <c r="G4126" s="278"/>
      <c r="H4126" s="278"/>
      <c r="I4126" s="278"/>
      <c r="J4126" s="278"/>
      <c r="K4126" s="278"/>
    </row>
    <row r="4127" spans="1:11" x14ac:dyDescent="0.15">
      <c r="A4127" s="278"/>
      <c r="B4127" s="278"/>
      <c r="C4127" s="278"/>
      <c r="D4127" s="278"/>
      <c r="E4127" s="278"/>
      <c r="F4127" s="278"/>
      <c r="G4127" s="278"/>
      <c r="H4127" s="278"/>
      <c r="I4127" s="278"/>
      <c r="J4127" s="278"/>
      <c r="K4127" s="278"/>
    </row>
    <row r="4128" spans="1:11" x14ac:dyDescent="0.15">
      <c r="A4128" s="278"/>
      <c r="B4128" s="278"/>
      <c r="C4128" s="278"/>
      <c r="D4128" s="278"/>
      <c r="E4128" s="278"/>
      <c r="F4128" s="278"/>
      <c r="G4128" s="278"/>
      <c r="H4128" s="278"/>
      <c r="I4128" s="278"/>
      <c r="J4128" s="278"/>
      <c r="K4128" s="278"/>
    </row>
    <row r="4129" spans="1:11" x14ac:dyDescent="0.15">
      <c r="A4129" s="278"/>
      <c r="B4129" s="278"/>
      <c r="C4129" s="278"/>
      <c r="D4129" s="278"/>
      <c r="E4129" s="278"/>
      <c r="F4129" s="278"/>
      <c r="G4129" s="278"/>
      <c r="H4129" s="278"/>
      <c r="I4129" s="278"/>
      <c r="J4129" s="278"/>
      <c r="K4129" s="278"/>
    </row>
    <row r="4130" spans="1:11" x14ac:dyDescent="0.15">
      <c r="A4130" s="278"/>
      <c r="B4130" s="278"/>
      <c r="C4130" s="278"/>
      <c r="D4130" s="278"/>
      <c r="E4130" s="278"/>
      <c r="F4130" s="278"/>
      <c r="G4130" s="278"/>
      <c r="H4130" s="278"/>
      <c r="I4130" s="278"/>
      <c r="J4130" s="278"/>
      <c r="K4130" s="278"/>
    </row>
    <row r="4131" spans="1:11" x14ac:dyDescent="0.15">
      <c r="A4131" s="278"/>
      <c r="B4131" s="278"/>
      <c r="C4131" s="278"/>
      <c r="D4131" s="278"/>
      <c r="E4131" s="278"/>
      <c r="F4131" s="278"/>
      <c r="G4131" s="278"/>
      <c r="H4131" s="278"/>
      <c r="I4131" s="278"/>
      <c r="J4131" s="278"/>
      <c r="K4131" s="278"/>
    </row>
    <row r="4132" spans="1:11" x14ac:dyDescent="0.15">
      <c r="A4132" s="278"/>
      <c r="B4132" s="278"/>
      <c r="C4132" s="278"/>
      <c r="D4132" s="278"/>
      <c r="E4132" s="278"/>
      <c r="F4132" s="278"/>
      <c r="G4132" s="278"/>
      <c r="H4132" s="278"/>
      <c r="I4132" s="278"/>
      <c r="J4132" s="278"/>
      <c r="K4132" s="278"/>
    </row>
    <row r="4133" spans="1:11" x14ac:dyDescent="0.15">
      <c r="A4133" s="278"/>
      <c r="B4133" s="278"/>
      <c r="C4133" s="278"/>
      <c r="D4133" s="278"/>
      <c r="E4133" s="278"/>
      <c r="F4133" s="278"/>
      <c r="G4133" s="278"/>
      <c r="H4133" s="278"/>
      <c r="I4133" s="278"/>
      <c r="J4133" s="278"/>
      <c r="K4133" s="278"/>
    </row>
    <row r="4134" spans="1:11" x14ac:dyDescent="0.15">
      <c r="A4134" s="278"/>
      <c r="B4134" s="278"/>
      <c r="C4134" s="278"/>
      <c r="D4134" s="278"/>
      <c r="E4134" s="278"/>
      <c r="F4134" s="278"/>
      <c r="G4134" s="278"/>
      <c r="H4134" s="278"/>
      <c r="I4134" s="278"/>
      <c r="J4134" s="278"/>
      <c r="K4134" s="278"/>
    </row>
    <row r="4135" spans="1:11" x14ac:dyDescent="0.15">
      <c r="A4135" s="278"/>
      <c r="B4135" s="278"/>
      <c r="C4135" s="278"/>
      <c r="D4135" s="278"/>
      <c r="E4135" s="278"/>
      <c r="F4135" s="278"/>
      <c r="G4135" s="278"/>
      <c r="H4135" s="278"/>
      <c r="I4135" s="278"/>
      <c r="J4135" s="278"/>
      <c r="K4135" s="278"/>
    </row>
    <row r="4136" spans="1:11" x14ac:dyDescent="0.15">
      <c r="A4136" s="278"/>
      <c r="B4136" s="278"/>
      <c r="C4136" s="278"/>
      <c r="D4136" s="278"/>
      <c r="E4136" s="278"/>
      <c r="F4136" s="278"/>
      <c r="G4136" s="278"/>
      <c r="H4136" s="278"/>
      <c r="I4136" s="278"/>
      <c r="J4136" s="278"/>
      <c r="K4136" s="278"/>
    </row>
    <row r="4137" spans="1:11" x14ac:dyDescent="0.15">
      <c r="A4137" s="278"/>
      <c r="B4137" s="278"/>
      <c r="C4137" s="278"/>
      <c r="D4137" s="278"/>
      <c r="E4137" s="278"/>
      <c r="F4137" s="278"/>
      <c r="G4137" s="278"/>
      <c r="H4137" s="278"/>
      <c r="I4137" s="278"/>
      <c r="J4137" s="278"/>
      <c r="K4137" s="278"/>
    </row>
    <row r="4138" spans="1:11" x14ac:dyDescent="0.15">
      <c r="A4138" s="278"/>
      <c r="B4138" s="278"/>
      <c r="C4138" s="278"/>
      <c r="D4138" s="278"/>
      <c r="E4138" s="278"/>
      <c r="F4138" s="278"/>
      <c r="G4138" s="278"/>
      <c r="H4138" s="278"/>
      <c r="I4138" s="278"/>
      <c r="J4138" s="278"/>
      <c r="K4138" s="278"/>
    </row>
    <row r="4139" spans="1:11" x14ac:dyDescent="0.15">
      <c r="A4139" s="278"/>
      <c r="B4139" s="278"/>
      <c r="C4139" s="278"/>
      <c r="D4139" s="278"/>
      <c r="E4139" s="278"/>
      <c r="F4139" s="278"/>
      <c r="G4139" s="278"/>
      <c r="H4139" s="278"/>
      <c r="I4139" s="278"/>
      <c r="J4139" s="278"/>
      <c r="K4139" s="278"/>
    </row>
    <row r="4140" spans="1:11" x14ac:dyDescent="0.15">
      <c r="A4140" s="278"/>
      <c r="B4140" s="278"/>
      <c r="C4140" s="278"/>
      <c r="D4140" s="278"/>
      <c r="E4140" s="278"/>
      <c r="F4140" s="278"/>
      <c r="G4140" s="278"/>
      <c r="H4140" s="278"/>
      <c r="I4140" s="278"/>
      <c r="J4140" s="278"/>
      <c r="K4140" s="278"/>
    </row>
    <row r="4141" spans="1:11" x14ac:dyDescent="0.15">
      <c r="A4141" s="278"/>
      <c r="B4141" s="278"/>
      <c r="C4141" s="278"/>
      <c r="D4141" s="278"/>
      <c r="E4141" s="278"/>
      <c r="F4141" s="278"/>
      <c r="G4141" s="278"/>
      <c r="H4141" s="278"/>
      <c r="I4141" s="278"/>
      <c r="J4141" s="278"/>
      <c r="K4141" s="278"/>
    </row>
    <row r="4142" spans="1:11" x14ac:dyDescent="0.15">
      <c r="A4142" s="278"/>
      <c r="B4142" s="278"/>
      <c r="C4142" s="278"/>
      <c r="D4142" s="278"/>
      <c r="E4142" s="278"/>
      <c r="F4142" s="278"/>
      <c r="G4142" s="278"/>
      <c r="H4142" s="278"/>
      <c r="I4142" s="278"/>
      <c r="J4142" s="278"/>
      <c r="K4142" s="278"/>
    </row>
    <row r="4143" spans="1:11" x14ac:dyDescent="0.15">
      <c r="A4143" s="278"/>
      <c r="B4143" s="278"/>
      <c r="C4143" s="278"/>
      <c r="D4143" s="278"/>
      <c r="E4143" s="278"/>
      <c r="F4143" s="278"/>
      <c r="G4143" s="278"/>
      <c r="H4143" s="278"/>
      <c r="I4143" s="278"/>
      <c r="J4143" s="278"/>
      <c r="K4143" s="278"/>
    </row>
    <row r="4144" spans="1:11" x14ac:dyDescent="0.15">
      <c r="A4144" s="278"/>
      <c r="B4144" s="278"/>
      <c r="C4144" s="278"/>
      <c r="D4144" s="278"/>
      <c r="E4144" s="278"/>
      <c r="F4144" s="278"/>
      <c r="G4144" s="278"/>
      <c r="H4144" s="278"/>
      <c r="I4144" s="278"/>
      <c r="J4144" s="278"/>
      <c r="K4144" s="278"/>
    </row>
    <row r="4145" spans="1:11" x14ac:dyDescent="0.15">
      <c r="A4145" s="278"/>
      <c r="B4145" s="278"/>
      <c r="C4145" s="278"/>
      <c r="D4145" s="278"/>
      <c r="E4145" s="278"/>
      <c r="F4145" s="278"/>
      <c r="G4145" s="278"/>
      <c r="H4145" s="278"/>
      <c r="I4145" s="278"/>
      <c r="J4145" s="278"/>
      <c r="K4145" s="278"/>
    </row>
    <row r="4146" spans="1:11" x14ac:dyDescent="0.15">
      <c r="A4146" s="278"/>
      <c r="B4146" s="278"/>
      <c r="C4146" s="278"/>
      <c r="D4146" s="278"/>
      <c r="E4146" s="278"/>
      <c r="F4146" s="278"/>
      <c r="G4146" s="278"/>
      <c r="H4146" s="278"/>
      <c r="I4146" s="278"/>
      <c r="J4146" s="278"/>
      <c r="K4146" s="278"/>
    </row>
    <row r="4147" spans="1:11" x14ac:dyDescent="0.15">
      <c r="A4147" s="278"/>
      <c r="B4147" s="278"/>
      <c r="C4147" s="278"/>
      <c r="D4147" s="278"/>
      <c r="E4147" s="278"/>
      <c r="F4147" s="278"/>
      <c r="G4147" s="278"/>
      <c r="H4147" s="278"/>
      <c r="I4147" s="278"/>
      <c r="J4147" s="278"/>
      <c r="K4147" s="278"/>
    </row>
    <row r="4148" spans="1:11" x14ac:dyDescent="0.15">
      <c r="A4148" s="278"/>
      <c r="B4148" s="278"/>
      <c r="C4148" s="278"/>
      <c r="D4148" s="278"/>
      <c r="E4148" s="278"/>
      <c r="F4148" s="278"/>
      <c r="G4148" s="278"/>
      <c r="H4148" s="278"/>
      <c r="I4148" s="278"/>
      <c r="J4148" s="278"/>
      <c r="K4148" s="278"/>
    </row>
    <row r="4149" spans="1:11" x14ac:dyDescent="0.15">
      <c r="A4149" s="278"/>
      <c r="B4149" s="278"/>
      <c r="C4149" s="278"/>
      <c r="D4149" s="278"/>
      <c r="E4149" s="278"/>
      <c r="F4149" s="278"/>
      <c r="G4149" s="278"/>
      <c r="H4149" s="278"/>
      <c r="I4149" s="278"/>
      <c r="J4149" s="278"/>
      <c r="K4149" s="278"/>
    </row>
    <row r="4150" spans="1:11" x14ac:dyDescent="0.15">
      <c r="A4150" s="278"/>
      <c r="B4150" s="278"/>
      <c r="C4150" s="278"/>
      <c r="D4150" s="278"/>
      <c r="E4150" s="278"/>
      <c r="F4150" s="278"/>
      <c r="G4150" s="278"/>
      <c r="H4150" s="278"/>
      <c r="I4150" s="278"/>
      <c r="J4150" s="278"/>
      <c r="K4150" s="278"/>
    </row>
    <row r="4151" spans="1:11" x14ac:dyDescent="0.15">
      <c r="A4151" s="278"/>
      <c r="B4151" s="278"/>
      <c r="C4151" s="278"/>
      <c r="D4151" s="278"/>
      <c r="E4151" s="278"/>
      <c r="F4151" s="278"/>
      <c r="G4151" s="278"/>
      <c r="H4151" s="278"/>
      <c r="I4151" s="278"/>
      <c r="J4151" s="278"/>
      <c r="K4151" s="278"/>
    </row>
    <row r="4152" spans="1:11" x14ac:dyDescent="0.15">
      <c r="A4152" s="278"/>
      <c r="B4152" s="278"/>
      <c r="C4152" s="278"/>
      <c r="D4152" s="278"/>
      <c r="E4152" s="278"/>
      <c r="F4152" s="278"/>
      <c r="G4152" s="278"/>
      <c r="H4152" s="278"/>
      <c r="I4152" s="278"/>
      <c r="J4152" s="278"/>
      <c r="K4152" s="278"/>
    </row>
    <row r="4153" spans="1:11" x14ac:dyDescent="0.15">
      <c r="A4153" s="278"/>
      <c r="B4153" s="278"/>
      <c r="C4153" s="278"/>
      <c r="D4153" s="278"/>
      <c r="E4153" s="278"/>
      <c r="F4153" s="278"/>
      <c r="G4153" s="278"/>
      <c r="H4153" s="278"/>
      <c r="I4153" s="278"/>
      <c r="J4153" s="278"/>
      <c r="K4153" s="278"/>
    </row>
    <row r="4154" spans="1:11" x14ac:dyDescent="0.15">
      <c r="A4154" s="278"/>
      <c r="B4154" s="278"/>
      <c r="C4154" s="278"/>
      <c r="D4154" s="278"/>
      <c r="E4154" s="278"/>
      <c r="F4154" s="278"/>
      <c r="G4154" s="278"/>
      <c r="H4154" s="278"/>
      <c r="I4154" s="278"/>
      <c r="J4154" s="278"/>
      <c r="K4154" s="278"/>
    </row>
    <row r="4155" spans="1:11" x14ac:dyDescent="0.15">
      <c r="A4155" s="278"/>
      <c r="B4155" s="278"/>
      <c r="C4155" s="278"/>
      <c r="D4155" s="278"/>
      <c r="E4155" s="278"/>
      <c r="F4155" s="278"/>
      <c r="G4155" s="278"/>
      <c r="H4155" s="278"/>
      <c r="I4155" s="278"/>
      <c r="J4155" s="278"/>
      <c r="K4155" s="278"/>
    </row>
    <row r="4156" spans="1:11" x14ac:dyDescent="0.15">
      <c r="A4156" s="278"/>
      <c r="B4156" s="278"/>
      <c r="C4156" s="278"/>
      <c r="D4156" s="278"/>
      <c r="E4156" s="278"/>
      <c r="F4156" s="278"/>
      <c r="G4156" s="278"/>
      <c r="H4156" s="278"/>
      <c r="I4156" s="278"/>
      <c r="J4156" s="278"/>
      <c r="K4156" s="278"/>
    </row>
    <row r="4157" spans="1:11" x14ac:dyDescent="0.15">
      <c r="A4157" s="278"/>
      <c r="B4157" s="278"/>
      <c r="C4157" s="278"/>
      <c r="D4157" s="278"/>
      <c r="E4157" s="278"/>
      <c r="F4157" s="278"/>
      <c r="G4157" s="278"/>
      <c r="H4157" s="278"/>
      <c r="I4157" s="278"/>
      <c r="J4157" s="278"/>
      <c r="K4157" s="278"/>
    </row>
    <row r="4158" spans="1:11" x14ac:dyDescent="0.15">
      <c r="A4158" s="278"/>
      <c r="B4158" s="278"/>
      <c r="C4158" s="278"/>
      <c r="D4158" s="278"/>
      <c r="E4158" s="278"/>
      <c r="F4158" s="278"/>
      <c r="G4158" s="278"/>
      <c r="H4158" s="278"/>
      <c r="I4158" s="278"/>
      <c r="J4158" s="278"/>
      <c r="K4158" s="278"/>
    </row>
    <row r="4159" spans="1:11" x14ac:dyDescent="0.15">
      <c r="A4159" s="278"/>
      <c r="B4159" s="278"/>
      <c r="C4159" s="278"/>
      <c r="D4159" s="278"/>
      <c r="E4159" s="278"/>
      <c r="F4159" s="278"/>
      <c r="G4159" s="278"/>
      <c r="H4159" s="278"/>
      <c r="I4159" s="278"/>
      <c r="J4159" s="278"/>
      <c r="K4159" s="278"/>
    </row>
    <row r="4160" spans="1:11" x14ac:dyDescent="0.15">
      <c r="A4160" s="278"/>
      <c r="B4160" s="278"/>
      <c r="C4160" s="278"/>
      <c r="D4160" s="278"/>
      <c r="E4160" s="278"/>
      <c r="F4160" s="278"/>
      <c r="G4160" s="278"/>
      <c r="H4160" s="278"/>
      <c r="I4160" s="278"/>
      <c r="J4160" s="278"/>
      <c r="K4160" s="278"/>
    </row>
    <row r="4161" spans="1:11" x14ac:dyDescent="0.15">
      <c r="A4161" s="278"/>
      <c r="B4161" s="278"/>
      <c r="C4161" s="278"/>
      <c r="D4161" s="278"/>
      <c r="E4161" s="278"/>
      <c r="F4161" s="278"/>
      <c r="G4161" s="278"/>
      <c r="H4161" s="278"/>
      <c r="I4161" s="278"/>
      <c r="J4161" s="278"/>
      <c r="K4161" s="278"/>
    </row>
    <row r="4162" spans="1:11" x14ac:dyDescent="0.15">
      <c r="A4162" s="278"/>
      <c r="B4162" s="278"/>
      <c r="C4162" s="278"/>
      <c r="D4162" s="278"/>
      <c r="E4162" s="278"/>
      <c r="F4162" s="278"/>
      <c r="G4162" s="278"/>
      <c r="H4162" s="278"/>
      <c r="I4162" s="278"/>
      <c r="J4162" s="278"/>
      <c r="K4162" s="278"/>
    </row>
    <row r="4163" spans="1:11" x14ac:dyDescent="0.15">
      <c r="A4163" s="278"/>
      <c r="B4163" s="278"/>
      <c r="C4163" s="278"/>
      <c r="D4163" s="278"/>
      <c r="E4163" s="278"/>
      <c r="F4163" s="278"/>
      <c r="G4163" s="278"/>
      <c r="H4163" s="278"/>
      <c r="I4163" s="278"/>
      <c r="J4163" s="278"/>
      <c r="K4163" s="278"/>
    </row>
    <row r="4164" spans="1:11" x14ac:dyDescent="0.15">
      <c r="A4164" s="278"/>
      <c r="B4164" s="278"/>
      <c r="C4164" s="278"/>
      <c r="D4164" s="278"/>
      <c r="E4164" s="278"/>
      <c r="F4164" s="278"/>
      <c r="G4164" s="278"/>
      <c r="H4164" s="278"/>
      <c r="I4164" s="278"/>
      <c r="J4164" s="278"/>
      <c r="K4164" s="278"/>
    </row>
    <row r="4165" spans="1:11" x14ac:dyDescent="0.15">
      <c r="A4165" s="278"/>
      <c r="B4165" s="278"/>
      <c r="C4165" s="278"/>
      <c r="D4165" s="278"/>
      <c r="E4165" s="278"/>
      <c r="F4165" s="278"/>
      <c r="G4165" s="278"/>
      <c r="H4165" s="278"/>
      <c r="I4165" s="278"/>
      <c r="J4165" s="278"/>
      <c r="K4165" s="278"/>
    </row>
    <row r="4166" spans="1:11" x14ac:dyDescent="0.15">
      <c r="A4166" s="278"/>
      <c r="B4166" s="278"/>
      <c r="C4166" s="278"/>
      <c r="D4166" s="278"/>
      <c r="E4166" s="278"/>
      <c r="F4166" s="278"/>
      <c r="G4166" s="278"/>
      <c r="H4166" s="278"/>
      <c r="I4166" s="278"/>
      <c r="J4166" s="278"/>
      <c r="K4166" s="278"/>
    </row>
    <row r="4167" spans="1:11" x14ac:dyDescent="0.15">
      <c r="A4167" s="278"/>
      <c r="B4167" s="278"/>
      <c r="C4167" s="278"/>
      <c r="D4167" s="278"/>
      <c r="E4167" s="278"/>
      <c r="F4167" s="278"/>
      <c r="G4167" s="278"/>
      <c r="H4167" s="278"/>
      <c r="I4167" s="278"/>
      <c r="J4167" s="278"/>
      <c r="K4167" s="278"/>
    </row>
    <row r="4168" spans="1:11" x14ac:dyDescent="0.15">
      <c r="A4168" s="278"/>
      <c r="B4168" s="278"/>
      <c r="C4168" s="278"/>
      <c r="D4168" s="278"/>
      <c r="E4168" s="278"/>
      <c r="F4168" s="278"/>
      <c r="G4168" s="278"/>
      <c r="H4168" s="278"/>
      <c r="I4168" s="278"/>
      <c r="J4168" s="278"/>
      <c r="K4168" s="278"/>
    </row>
    <row r="4169" spans="1:11" x14ac:dyDescent="0.15">
      <c r="A4169" s="278"/>
      <c r="B4169" s="278"/>
      <c r="C4169" s="278"/>
      <c r="D4169" s="278"/>
      <c r="E4169" s="278"/>
      <c r="F4169" s="278"/>
      <c r="G4169" s="278"/>
      <c r="H4169" s="278"/>
      <c r="I4169" s="278"/>
      <c r="J4169" s="278"/>
      <c r="K4169" s="278"/>
    </row>
    <row r="4170" spans="1:11" x14ac:dyDescent="0.15">
      <c r="A4170" s="278"/>
      <c r="B4170" s="278"/>
      <c r="C4170" s="278"/>
      <c r="D4170" s="278"/>
      <c r="E4170" s="278"/>
      <c r="F4170" s="278"/>
      <c r="G4170" s="278"/>
      <c r="H4170" s="278"/>
      <c r="I4170" s="278"/>
      <c r="J4170" s="278"/>
      <c r="K4170" s="278"/>
    </row>
    <row r="4171" spans="1:11" x14ac:dyDescent="0.15">
      <c r="A4171" s="278"/>
      <c r="B4171" s="278"/>
      <c r="C4171" s="278"/>
      <c r="D4171" s="278"/>
      <c r="E4171" s="278"/>
      <c r="F4171" s="278"/>
      <c r="G4171" s="278"/>
      <c r="H4171" s="278"/>
      <c r="I4171" s="278"/>
      <c r="J4171" s="278"/>
      <c r="K4171" s="278"/>
    </row>
    <row r="4172" spans="1:11" x14ac:dyDescent="0.15">
      <c r="A4172" s="278"/>
      <c r="B4172" s="278"/>
      <c r="C4172" s="278"/>
      <c r="D4172" s="278"/>
      <c r="E4172" s="278"/>
      <c r="F4172" s="278"/>
      <c r="G4172" s="278"/>
      <c r="H4172" s="278"/>
      <c r="I4172" s="278"/>
      <c r="J4172" s="278"/>
      <c r="K4172" s="278"/>
    </row>
    <row r="4173" spans="1:11" x14ac:dyDescent="0.15">
      <c r="A4173" s="278"/>
      <c r="B4173" s="278"/>
      <c r="C4173" s="278"/>
      <c r="D4173" s="278"/>
      <c r="E4173" s="278"/>
      <c r="F4173" s="278"/>
      <c r="G4173" s="278"/>
      <c r="H4173" s="278"/>
      <c r="I4173" s="278"/>
      <c r="J4173" s="278"/>
      <c r="K4173" s="278"/>
    </row>
    <row r="4174" spans="1:11" x14ac:dyDescent="0.15">
      <c r="A4174" s="278"/>
      <c r="B4174" s="278"/>
      <c r="C4174" s="278"/>
      <c r="D4174" s="278"/>
      <c r="E4174" s="278"/>
      <c r="F4174" s="278"/>
      <c r="G4174" s="278"/>
      <c r="H4174" s="278"/>
      <c r="I4174" s="278"/>
      <c r="J4174" s="278"/>
      <c r="K4174" s="278"/>
    </row>
    <row r="4175" spans="1:11" x14ac:dyDescent="0.15">
      <c r="A4175" s="278"/>
      <c r="B4175" s="278"/>
      <c r="C4175" s="278"/>
      <c r="D4175" s="278"/>
      <c r="E4175" s="278"/>
      <c r="F4175" s="278"/>
      <c r="G4175" s="278"/>
      <c r="H4175" s="278"/>
      <c r="I4175" s="278"/>
      <c r="J4175" s="278"/>
      <c r="K4175" s="278"/>
    </row>
    <row r="4176" spans="1:11" x14ac:dyDescent="0.15">
      <c r="A4176" s="278"/>
      <c r="B4176" s="278"/>
      <c r="C4176" s="278"/>
      <c r="D4176" s="278"/>
      <c r="E4176" s="278"/>
      <c r="F4176" s="278"/>
      <c r="G4176" s="278"/>
      <c r="H4176" s="278"/>
      <c r="I4176" s="278"/>
      <c r="J4176" s="278"/>
      <c r="K4176" s="278"/>
    </row>
    <row r="4177" spans="1:11" x14ac:dyDescent="0.15">
      <c r="A4177" s="278"/>
      <c r="B4177" s="278"/>
      <c r="C4177" s="278"/>
      <c r="D4177" s="278"/>
      <c r="E4177" s="278"/>
      <c r="F4177" s="278"/>
      <c r="G4177" s="278"/>
      <c r="H4177" s="278"/>
      <c r="I4177" s="278"/>
      <c r="J4177" s="278"/>
      <c r="K4177" s="278"/>
    </row>
    <row r="4178" spans="1:11" x14ac:dyDescent="0.15">
      <c r="A4178" s="278"/>
      <c r="B4178" s="278"/>
      <c r="C4178" s="278"/>
      <c r="D4178" s="278"/>
      <c r="E4178" s="278"/>
      <c r="F4178" s="278"/>
      <c r="G4178" s="278"/>
      <c r="H4178" s="278"/>
      <c r="I4178" s="278"/>
      <c r="J4178" s="278"/>
      <c r="K4178" s="278"/>
    </row>
    <row r="4179" spans="1:11" x14ac:dyDescent="0.15">
      <c r="A4179" s="278"/>
      <c r="B4179" s="278"/>
      <c r="C4179" s="278"/>
      <c r="D4179" s="278"/>
      <c r="E4179" s="278"/>
      <c r="F4179" s="278"/>
      <c r="G4179" s="278"/>
      <c r="H4179" s="278"/>
      <c r="I4179" s="278"/>
      <c r="J4179" s="278"/>
      <c r="K4179" s="278"/>
    </row>
    <row r="4180" spans="1:11" x14ac:dyDescent="0.15">
      <c r="A4180"/>
      <c r="B4180"/>
      <c r="C4180"/>
      <c r="D4180"/>
      <c r="E4180"/>
      <c r="F4180"/>
      <c r="G4180"/>
      <c r="H4180"/>
      <c r="I4180"/>
      <c r="J4180"/>
      <c r="K4180"/>
    </row>
    <row r="4181" spans="1:11" x14ac:dyDescent="0.15">
      <c r="A4181"/>
      <c r="B4181"/>
      <c r="C4181"/>
      <c r="D4181"/>
      <c r="E4181"/>
      <c r="F4181"/>
      <c r="G4181"/>
      <c r="H4181"/>
      <c r="I4181"/>
      <c r="J4181"/>
      <c r="K4181"/>
    </row>
    <row r="4182" spans="1:11" x14ac:dyDescent="0.15">
      <c r="A4182"/>
      <c r="B4182"/>
      <c r="C4182"/>
      <c r="D4182"/>
      <c r="E4182"/>
      <c r="F4182"/>
      <c r="G4182"/>
      <c r="H4182"/>
      <c r="I4182"/>
      <c r="J4182"/>
      <c r="K4182"/>
    </row>
    <row r="4183" spans="1:11" x14ac:dyDescent="0.15">
      <c r="A4183"/>
      <c r="B4183"/>
      <c r="C4183"/>
      <c r="D4183"/>
      <c r="E4183"/>
      <c r="F4183"/>
      <c r="G4183"/>
      <c r="H4183"/>
      <c r="I4183"/>
      <c r="J4183"/>
      <c r="K4183"/>
    </row>
    <row r="4184" spans="1:11" x14ac:dyDescent="0.15">
      <c r="A4184"/>
      <c r="B4184"/>
      <c r="C4184"/>
      <c r="D4184"/>
      <c r="E4184"/>
      <c r="F4184"/>
      <c r="G4184"/>
      <c r="H4184"/>
      <c r="I4184"/>
      <c r="J4184"/>
      <c r="K4184"/>
    </row>
    <row r="4185" spans="1:11" x14ac:dyDescent="0.15">
      <c r="A4185"/>
      <c r="B4185"/>
      <c r="C4185"/>
      <c r="D4185"/>
      <c r="E4185"/>
      <c r="F4185"/>
      <c r="G4185"/>
      <c r="H4185"/>
      <c r="I4185"/>
      <c r="J4185"/>
      <c r="K4185"/>
    </row>
    <row r="4186" spans="1:11" x14ac:dyDescent="0.15">
      <c r="A4186"/>
      <c r="B4186"/>
      <c r="C4186"/>
      <c r="D4186"/>
      <c r="E4186"/>
      <c r="F4186"/>
      <c r="G4186"/>
      <c r="H4186"/>
      <c r="I4186"/>
      <c r="J4186"/>
      <c r="K4186"/>
    </row>
    <row r="4187" spans="1:11" x14ac:dyDescent="0.15">
      <c r="A4187"/>
      <c r="B4187"/>
      <c r="C4187"/>
      <c r="D4187"/>
      <c r="E4187"/>
      <c r="F4187"/>
      <c r="G4187"/>
      <c r="H4187"/>
      <c r="I4187"/>
      <c r="J4187"/>
      <c r="K4187"/>
    </row>
    <row r="4188" spans="1:11" x14ac:dyDescent="0.15">
      <c r="A4188"/>
      <c r="B4188"/>
      <c r="C4188"/>
      <c r="D4188"/>
      <c r="E4188"/>
      <c r="F4188"/>
      <c r="G4188"/>
      <c r="H4188"/>
      <c r="I4188"/>
      <c r="J4188"/>
      <c r="K4188"/>
    </row>
    <row r="4189" spans="1:11" x14ac:dyDescent="0.15">
      <c r="A4189"/>
      <c r="B4189"/>
      <c r="C4189"/>
      <c r="D4189"/>
      <c r="E4189"/>
      <c r="F4189"/>
      <c r="G4189"/>
      <c r="H4189"/>
      <c r="I4189"/>
      <c r="J4189"/>
      <c r="K4189"/>
    </row>
    <row r="4190" spans="1:11" x14ac:dyDescent="0.15">
      <c r="A4190"/>
      <c r="B4190"/>
      <c r="C4190"/>
      <c r="D4190"/>
      <c r="E4190"/>
      <c r="F4190"/>
      <c r="G4190"/>
      <c r="H4190"/>
      <c r="I4190"/>
      <c r="J4190"/>
      <c r="K4190"/>
    </row>
    <row r="4191" spans="1:11" x14ac:dyDescent="0.15">
      <c r="A4191"/>
      <c r="B4191"/>
      <c r="C4191"/>
      <c r="D4191"/>
      <c r="E4191"/>
      <c r="F4191"/>
      <c r="G4191"/>
      <c r="H4191"/>
      <c r="I4191"/>
      <c r="J4191"/>
      <c r="K4191"/>
    </row>
    <row r="4192" spans="1:11" x14ac:dyDescent="0.15">
      <c r="A4192"/>
      <c r="B4192"/>
      <c r="C4192"/>
      <c r="D4192"/>
      <c r="E4192"/>
      <c r="F4192"/>
      <c r="G4192"/>
      <c r="H4192"/>
      <c r="I4192"/>
      <c r="J4192"/>
      <c r="K4192"/>
    </row>
    <row r="4193" spans="1:11" x14ac:dyDescent="0.15">
      <c r="A4193"/>
      <c r="B4193"/>
      <c r="C4193"/>
      <c r="D4193"/>
      <c r="E4193"/>
      <c r="F4193"/>
      <c r="G4193"/>
      <c r="H4193"/>
      <c r="I4193"/>
      <c r="J4193"/>
      <c r="K4193"/>
    </row>
    <row r="4194" spans="1:11" x14ac:dyDescent="0.15">
      <c r="A4194"/>
      <c r="B4194"/>
      <c r="C4194"/>
      <c r="D4194"/>
      <c r="E4194"/>
      <c r="F4194"/>
      <c r="G4194"/>
      <c r="H4194"/>
      <c r="I4194"/>
      <c r="J4194"/>
      <c r="K4194"/>
    </row>
    <row r="4195" spans="1:11" x14ac:dyDescent="0.15">
      <c r="A4195"/>
      <c r="B4195"/>
      <c r="C4195"/>
      <c r="D4195"/>
      <c r="E4195"/>
      <c r="F4195"/>
      <c r="G4195"/>
      <c r="H4195"/>
      <c r="I4195"/>
      <c r="J4195"/>
      <c r="K4195"/>
    </row>
    <row r="4196" spans="1:11" x14ac:dyDescent="0.15">
      <c r="A4196"/>
      <c r="B4196"/>
      <c r="C4196"/>
      <c r="D4196"/>
      <c r="E4196"/>
      <c r="F4196"/>
      <c r="G4196"/>
      <c r="H4196"/>
      <c r="I4196"/>
      <c r="J4196"/>
      <c r="K4196"/>
    </row>
    <row r="4197" spans="1:11" x14ac:dyDescent="0.15">
      <c r="A4197"/>
      <c r="B4197"/>
      <c r="C4197"/>
      <c r="D4197"/>
      <c r="E4197"/>
      <c r="F4197"/>
      <c r="G4197"/>
      <c r="H4197"/>
      <c r="I4197"/>
      <c r="J4197"/>
      <c r="K4197"/>
    </row>
    <row r="4198" spans="1:11" x14ac:dyDescent="0.15">
      <c r="A4198"/>
      <c r="B4198"/>
      <c r="C4198"/>
      <c r="D4198"/>
      <c r="E4198"/>
      <c r="F4198"/>
      <c r="G4198"/>
      <c r="H4198"/>
      <c r="I4198"/>
      <c r="J4198"/>
      <c r="K4198"/>
    </row>
    <row r="4199" spans="1:11" x14ac:dyDescent="0.15">
      <c r="A4199"/>
      <c r="B4199"/>
      <c r="C4199"/>
      <c r="D4199"/>
      <c r="E4199"/>
      <c r="F4199"/>
      <c r="G4199"/>
      <c r="H4199"/>
      <c r="I4199"/>
      <c r="J4199"/>
      <c r="K4199"/>
    </row>
    <row r="4200" spans="1:11" x14ac:dyDescent="0.15">
      <c r="A4200"/>
      <c r="B4200"/>
      <c r="C4200"/>
      <c r="D4200"/>
      <c r="E4200"/>
      <c r="F4200"/>
      <c r="G4200"/>
      <c r="H4200"/>
      <c r="I4200"/>
      <c r="J4200"/>
      <c r="K4200"/>
    </row>
    <row r="4201" spans="1:11" x14ac:dyDescent="0.15">
      <c r="A4201"/>
      <c r="B4201"/>
      <c r="C4201"/>
      <c r="D4201"/>
      <c r="E4201"/>
      <c r="F4201"/>
      <c r="G4201"/>
      <c r="H4201"/>
      <c r="I4201"/>
      <c r="J4201"/>
      <c r="K4201"/>
    </row>
    <row r="4202" spans="1:11" x14ac:dyDescent="0.15">
      <c r="A4202"/>
      <c r="B4202"/>
      <c r="C4202"/>
      <c r="D4202"/>
      <c r="E4202"/>
      <c r="F4202"/>
      <c r="G4202"/>
      <c r="H4202"/>
      <c r="I4202"/>
      <c r="J4202"/>
      <c r="K4202"/>
    </row>
    <row r="4203" spans="1:11" x14ac:dyDescent="0.15">
      <c r="A4203"/>
      <c r="B4203"/>
      <c r="C4203"/>
      <c r="D4203"/>
      <c r="E4203"/>
      <c r="F4203"/>
      <c r="G4203"/>
      <c r="H4203"/>
      <c r="I4203"/>
      <c r="J4203"/>
      <c r="K4203"/>
    </row>
    <row r="4204" spans="1:11" x14ac:dyDescent="0.15">
      <c r="A4204"/>
      <c r="B4204"/>
      <c r="C4204"/>
      <c r="D4204"/>
      <c r="E4204"/>
      <c r="F4204"/>
      <c r="G4204"/>
      <c r="H4204"/>
      <c r="I4204"/>
      <c r="J4204"/>
      <c r="K4204"/>
    </row>
    <row r="4205" spans="1:11" x14ac:dyDescent="0.15">
      <c r="A4205"/>
      <c r="B4205"/>
      <c r="C4205"/>
      <c r="D4205"/>
      <c r="E4205"/>
      <c r="F4205"/>
      <c r="G4205"/>
      <c r="H4205"/>
      <c r="I4205"/>
      <c r="J4205"/>
      <c r="K4205"/>
    </row>
    <row r="4206" spans="1:11" x14ac:dyDescent="0.15">
      <c r="A4206"/>
      <c r="B4206"/>
      <c r="C4206"/>
      <c r="D4206"/>
      <c r="E4206"/>
      <c r="F4206"/>
      <c r="G4206"/>
      <c r="H4206"/>
      <c r="I4206"/>
      <c r="J4206"/>
      <c r="K4206"/>
    </row>
    <row r="4207" spans="1:11" x14ac:dyDescent="0.15">
      <c r="A4207"/>
      <c r="B4207"/>
      <c r="C4207"/>
      <c r="D4207"/>
      <c r="E4207"/>
      <c r="F4207"/>
      <c r="G4207"/>
      <c r="H4207"/>
      <c r="I4207"/>
      <c r="J4207"/>
      <c r="K4207"/>
    </row>
    <row r="4208" spans="1:11" x14ac:dyDescent="0.15">
      <c r="A4208"/>
      <c r="B4208"/>
      <c r="C4208"/>
      <c r="D4208"/>
      <c r="E4208"/>
      <c r="F4208"/>
      <c r="G4208"/>
      <c r="H4208"/>
      <c r="I4208"/>
      <c r="J4208"/>
      <c r="K4208"/>
    </row>
    <row r="4209" spans="1:11" x14ac:dyDescent="0.15">
      <c r="A4209"/>
      <c r="B4209"/>
      <c r="C4209"/>
      <c r="D4209"/>
      <c r="E4209"/>
      <c r="F4209"/>
      <c r="G4209"/>
      <c r="H4209"/>
      <c r="I4209"/>
      <c r="J4209"/>
      <c r="K4209"/>
    </row>
    <row r="4210" spans="1:11" x14ac:dyDescent="0.15">
      <c r="A4210"/>
      <c r="B4210"/>
      <c r="C4210"/>
      <c r="D4210"/>
      <c r="E4210"/>
      <c r="F4210"/>
      <c r="G4210"/>
      <c r="H4210"/>
      <c r="I4210"/>
      <c r="J4210"/>
      <c r="K4210"/>
    </row>
    <row r="4211" spans="1:11" x14ac:dyDescent="0.15">
      <c r="A4211"/>
      <c r="B4211"/>
      <c r="C4211"/>
      <c r="D4211"/>
      <c r="E4211"/>
      <c r="F4211"/>
      <c r="G4211"/>
      <c r="H4211"/>
      <c r="I4211"/>
      <c r="J4211"/>
      <c r="K4211"/>
    </row>
    <row r="4212" spans="1:11" x14ac:dyDescent="0.15">
      <c r="A4212"/>
      <c r="B4212"/>
      <c r="C4212"/>
      <c r="D4212"/>
      <c r="E4212"/>
      <c r="F4212"/>
      <c r="G4212"/>
      <c r="H4212"/>
      <c r="I4212"/>
      <c r="J4212"/>
      <c r="K4212"/>
    </row>
    <row r="4213" spans="1:11" x14ac:dyDescent="0.15">
      <c r="A4213"/>
      <c r="B4213"/>
      <c r="C4213"/>
      <c r="D4213"/>
      <c r="E4213"/>
      <c r="F4213"/>
      <c r="G4213"/>
      <c r="H4213"/>
      <c r="I4213"/>
      <c r="J4213"/>
      <c r="K4213"/>
    </row>
    <row r="4214" spans="1:11" x14ac:dyDescent="0.15">
      <c r="A4214"/>
      <c r="B4214"/>
      <c r="C4214"/>
      <c r="D4214"/>
      <c r="E4214"/>
      <c r="F4214"/>
      <c r="G4214"/>
      <c r="H4214"/>
      <c r="I4214"/>
      <c r="J4214"/>
      <c r="K4214"/>
    </row>
    <row r="4215" spans="1:11" x14ac:dyDescent="0.15">
      <c r="A4215"/>
      <c r="B4215"/>
      <c r="C4215"/>
      <c r="D4215"/>
      <c r="E4215"/>
      <c r="F4215"/>
      <c r="G4215"/>
      <c r="H4215"/>
      <c r="I4215"/>
      <c r="J4215"/>
      <c r="K4215"/>
    </row>
    <row r="4216" spans="1:11" x14ac:dyDescent="0.15">
      <c r="A4216"/>
      <c r="B4216"/>
      <c r="C4216"/>
      <c r="D4216"/>
      <c r="E4216"/>
      <c r="F4216"/>
      <c r="G4216"/>
      <c r="H4216"/>
      <c r="I4216"/>
      <c r="J4216"/>
      <c r="K4216"/>
    </row>
    <row r="4217" spans="1:11" x14ac:dyDescent="0.15">
      <c r="A4217"/>
      <c r="B4217"/>
      <c r="C4217"/>
      <c r="D4217"/>
      <c r="E4217"/>
      <c r="F4217"/>
      <c r="G4217"/>
      <c r="H4217"/>
      <c r="I4217"/>
      <c r="J4217"/>
      <c r="K4217"/>
    </row>
    <row r="4218" spans="1:11" x14ac:dyDescent="0.15">
      <c r="A4218"/>
      <c r="B4218"/>
      <c r="C4218"/>
      <c r="D4218"/>
      <c r="E4218"/>
      <c r="F4218"/>
      <c r="G4218"/>
      <c r="H4218"/>
      <c r="I4218"/>
      <c r="J4218"/>
      <c r="K4218"/>
    </row>
    <row r="4219" spans="1:11" x14ac:dyDescent="0.15">
      <c r="A4219"/>
      <c r="B4219"/>
      <c r="C4219"/>
      <c r="D4219"/>
      <c r="E4219"/>
      <c r="F4219"/>
      <c r="G4219"/>
      <c r="H4219"/>
      <c r="I4219"/>
      <c r="J4219"/>
      <c r="K4219"/>
    </row>
    <row r="4220" spans="1:11" x14ac:dyDescent="0.15">
      <c r="A4220"/>
      <c r="B4220"/>
      <c r="C4220"/>
      <c r="D4220"/>
      <c r="E4220"/>
      <c r="F4220"/>
      <c r="G4220"/>
      <c r="H4220"/>
      <c r="I4220"/>
      <c r="J4220"/>
      <c r="K4220"/>
    </row>
    <row r="4221" spans="1:11" x14ac:dyDescent="0.15">
      <c r="A4221"/>
      <c r="B4221"/>
      <c r="C4221"/>
      <c r="D4221"/>
      <c r="E4221"/>
      <c r="F4221"/>
      <c r="G4221"/>
      <c r="H4221"/>
      <c r="I4221"/>
      <c r="J4221"/>
      <c r="K4221"/>
    </row>
    <row r="4222" spans="1:11" x14ac:dyDescent="0.15">
      <c r="A4222"/>
      <c r="B4222"/>
      <c r="C4222"/>
      <c r="D4222"/>
      <c r="E4222"/>
      <c r="F4222"/>
      <c r="G4222"/>
      <c r="H4222"/>
      <c r="I4222"/>
      <c r="J4222"/>
      <c r="K4222"/>
    </row>
    <row r="4223" spans="1:11" x14ac:dyDescent="0.15">
      <c r="A4223"/>
      <c r="B4223"/>
      <c r="C4223"/>
      <c r="D4223"/>
      <c r="E4223"/>
      <c r="F4223"/>
      <c r="G4223"/>
      <c r="H4223"/>
      <c r="I4223"/>
      <c r="J4223"/>
      <c r="K4223"/>
    </row>
    <row r="4224" spans="1:11" x14ac:dyDescent="0.15">
      <c r="A4224"/>
      <c r="B4224"/>
      <c r="C4224"/>
      <c r="D4224"/>
      <c r="E4224"/>
      <c r="F4224"/>
      <c r="G4224"/>
      <c r="H4224"/>
      <c r="I4224"/>
      <c r="J4224"/>
      <c r="K4224"/>
    </row>
    <row r="4225" spans="1:11" x14ac:dyDescent="0.15">
      <c r="A4225"/>
      <c r="B4225"/>
      <c r="C4225"/>
      <c r="D4225"/>
      <c r="E4225"/>
      <c r="F4225"/>
      <c r="G4225"/>
      <c r="H4225"/>
      <c r="I4225"/>
      <c r="J4225"/>
      <c r="K4225"/>
    </row>
    <row r="4226" spans="1:11" x14ac:dyDescent="0.15">
      <c r="A4226"/>
      <c r="B4226"/>
      <c r="C4226"/>
      <c r="D4226"/>
      <c r="E4226"/>
      <c r="F4226"/>
      <c r="G4226"/>
      <c r="H4226"/>
      <c r="I4226"/>
      <c r="J4226"/>
      <c r="K4226"/>
    </row>
    <row r="4227" spans="1:11" x14ac:dyDescent="0.15">
      <c r="A4227"/>
      <c r="B4227"/>
      <c r="C4227"/>
      <c r="D4227"/>
      <c r="E4227"/>
      <c r="F4227"/>
      <c r="G4227"/>
      <c r="H4227"/>
      <c r="I4227"/>
      <c r="J4227"/>
      <c r="K4227"/>
    </row>
    <row r="4228" spans="1:11" x14ac:dyDescent="0.15">
      <c r="A4228"/>
      <c r="B4228"/>
      <c r="C4228"/>
      <c r="D4228"/>
      <c r="E4228"/>
      <c r="F4228"/>
      <c r="G4228"/>
      <c r="H4228"/>
      <c r="I4228"/>
      <c r="J4228"/>
      <c r="K4228"/>
    </row>
    <row r="4229" spans="1:11" x14ac:dyDescent="0.15">
      <c r="A4229"/>
      <c r="B4229"/>
      <c r="C4229"/>
      <c r="D4229"/>
      <c r="E4229"/>
      <c r="F4229"/>
      <c r="G4229"/>
      <c r="H4229"/>
      <c r="I4229"/>
      <c r="J4229"/>
      <c r="K4229"/>
    </row>
    <row r="4230" spans="1:11" x14ac:dyDescent="0.15">
      <c r="A4230"/>
      <c r="B4230"/>
      <c r="C4230"/>
      <c r="D4230"/>
      <c r="E4230"/>
      <c r="F4230"/>
      <c r="G4230"/>
      <c r="H4230"/>
      <c r="I4230"/>
      <c r="J4230"/>
      <c r="K4230"/>
    </row>
    <row r="4231" spans="1:11" x14ac:dyDescent="0.15">
      <c r="A4231"/>
      <c r="B4231"/>
      <c r="C4231"/>
      <c r="D4231"/>
      <c r="E4231"/>
      <c r="F4231"/>
      <c r="G4231"/>
      <c r="H4231"/>
      <c r="I4231"/>
      <c r="J4231"/>
      <c r="K4231"/>
    </row>
    <row r="4232" spans="1:11" x14ac:dyDescent="0.15">
      <c r="A4232"/>
      <c r="B4232"/>
      <c r="C4232"/>
      <c r="D4232"/>
      <c r="E4232"/>
      <c r="F4232"/>
      <c r="G4232"/>
      <c r="H4232"/>
      <c r="I4232"/>
      <c r="J4232"/>
      <c r="K4232"/>
    </row>
    <row r="4233" spans="1:11" x14ac:dyDescent="0.15">
      <c r="A4233"/>
      <c r="B4233"/>
      <c r="C4233"/>
      <c r="D4233"/>
      <c r="E4233"/>
      <c r="F4233"/>
      <c r="G4233"/>
      <c r="H4233"/>
      <c r="I4233"/>
      <c r="J4233"/>
      <c r="K4233"/>
    </row>
    <row r="4234" spans="1:11" x14ac:dyDescent="0.15">
      <c r="A4234"/>
      <c r="B4234"/>
      <c r="C4234"/>
      <c r="D4234"/>
      <c r="E4234"/>
      <c r="F4234"/>
      <c r="G4234"/>
      <c r="H4234"/>
      <c r="I4234"/>
      <c r="J4234"/>
      <c r="K4234"/>
    </row>
    <row r="4235" spans="1:11" x14ac:dyDescent="0.15">
      <c r="A4235"/>
      <c r="B4235"/>
      <c r="C4235"/>
      <c r="D4235"/>
      <c r="E4235"/>
      <c r="F4235"/>
      <c r="G4235"/>
      <c r="H4235"/>
      <c r="I4235"/>
      <c r="J4235"/>
      <c r="K4235"/>
    </row>
    <row r="4236" spans="1:11" x14ac:dyDescent="0.15">
      <c r="A4236"/>
      <c r="B4236"/>
      <c r="C4236"/>
      <c r="D4236"/>
      <c r="E4236"/>
      <c r="F4236"/>
      <c r="G4236"/>
      <c r="H4236"/>
      <c r="I4236"/>
      <c r="J4236"/>
      <c r="K4236"/>
    </row>
    <row r="4237" spans="1:11" x14ac:dyDescent="0.15">
      <c r="A4237"/>
      <c r="B4237"/>
      <c r="C4237"/>
      <c r="D4237"/>
      <c r="E4237"/>
      <c r="F4237"/>
      <c r="G4237"/>
      <c r="H4237"/>
      <c r="I4237"/>
      <c r="J4237"/>
      <c r="K4237"/>
    </row>
    <row r="4238" spans="1:11" x14ac:dyDescent="0.15">
      <c r="A4238"/>
      <c r="B4238"/>
      <c r="C4238"/>
      <c r="D4238"/>
      <c r="E4238"/>
      <c r="F4238"/>
      <c r="G4238"/>
      <c r="H4238"/>
      <c r="I4238"/>
      <c r="J4238"/>
      <c r="K4238"/>
    </row>
    <row r="4239" spans="1:11" x14ac:dyDescent="0.15">
      <c r="A4239"/>
      <c r="B4239"/>
      <c r="C4239"/>
      <c r="D4239"/>
      <c r="E4239"/>
      <c r="F4239"/>
      <c r="G4239"/>
      <c r="H4239"/>
      <c r="I4239"/>
      <c r="J4239"/>
      <c r="K4239"/>
    </row>
    <row r="4240" spans="1:11" x14ac:dyDescent="0.15">
      <c r="A4240"/>
      <c r="B4240"/>
      <c r="C4240"/>
      <c r="D4240"/>
      <c r="E4240"/>
      <c r="F4240"/>
      <c r="G4240"/>
      <c r="H4240"/>
      <c r="I4240"/>
      <c r="J4240"/>
      <c r="K4240"/>
    </row>
    <row r="4241" spans="1:11" x14ac:dyDescent="0.15">
      <c r="A4241"/>
      <c r="B4241"/>
      <c r="C4241"/>
      <c r="D4241"/>
      <c r="E4241"/>
      <c r="F4241"/>
      <c r="G4241"/>
      <c r="H4241"/>
      <c r="I4241"/>
      <c r="J4241"/>
      <c r="K4241"/>
    </row>
    <row r="4242" spans="1:11" x14ac:dyDescent="0.15">
      <c r="A4242"/>
      <c r="B4242"/>
      <c r="C4242"/>
      <c r="D4242"/>
      <c r="E4242"/>
      <c r="F4242"/>
      <c r="G4242"/>
      <c r="H4242"/>
      <c r="I4242"/>
      <c r="J4242"/>
      <c r="K4242"/>
    </row>
    <row r="4243" spans="1:11" x14ac:dyDescent="0.15">
      <c r="A4243"/>
      <c r="B4243"/>
      <c r="C4243"/>
      <c r="D4243"/>
      <c r="E4243"/>
      <c r="F4243"/>
      <c r="G4243"/>
      <c r="H4243"/>
      <c r="I4243"/>
      <c r="J4243"/>
      <c r="K4243"/>
    </row>
    <row r="4244" spans="1:11" x14ac:dyDescent="0.15">
      <c r="A4244"/>
      <c r="B4244"/>
      <c r="C4244"/>
      <c r="D4244"/>
      <c r="E4244"/>
      <c r="F4244"/>
      <c r="G4244"/>
      <c r="H4244"/>
      <c r="I4244"/>
      <c r="J4244"/>
      <c r="K4244"/>
    </row>
    <row r="4245" spans="1:11" x14ac:dyDescent="0.15">
      <c r="A4245"/>
      <c r="B4245"/>
      <c r="C4245"/>
      <c r="D4245"/>
      <c r="E4245"/>
      <c r="F4245"/>
      <c r="G4245"/>
      <c r="H4245"/>
      <c r="I4245"/>
      <c r="J4245"/>
      <c r="K4245"/>
    </row>
    <row r="4246" spans="1:11" x14ac:dyDescent="0.15">
      <c r="A4246"/>
      <c r="B4246"/>
      <c r="C4246"/>
      <c r="D4246"/>
      <c r="E4246"/>
      <c r="F4246"/>
      <c r="G4246"/>
      <c r="H4246"/>
      <c r="I4246"/>
      <c r="J4246"/>
      <c r="K4246"/>
    </row>
    <row r="4247" spans="1:11" x14ac:dyDescent="0.15">
      <c r="A4247"/>
      <c r="B4247"/>
      <c r="C4247"/>
      <c r="D4247"/>
      <c r="E4247"/>
      <c r="F4247"/>
      <c r="G4247"/>
      <c r="H4247"/>
      <c r="I4247"/>
      <c r="J4247"/>
      <c r="K4247"/>
    </row>
    <row r="4248" spans="1:11" x14ac:dyDescent="0.15">
      <c r="A4248"/>
      <c r="B4248"/>
      <c r="C4248"/>
      <c r="D4248"/>
      <c r="E4248"/>
      <c r="F4248"/>
      <c r="G4248"/>
      <c r="H4248"/>
      <c r="I4248"/>
      <c r="J4248"/>
      <c r="K4248"/>
    </row>
    <row r="4249" spans="1:11" x14ac:dyDescent="0.15">
      <c r="A4249"/>
      <c r="B4249"/>
      <c r="C4249"/>
      <c r="D4249"/>
      <c r="E4249"/>
      <c r="F4249"/>
      <c r="G4249"/>
      <c r="H4249"/>
      <c r="I4249"/>
      <c r="J4249"/>
      <c r="K4249"/>
    </row>
    <row r="4250" spans="1:11" x14ac:dyDescent="0.15">
      <c r="A4250"/>
      <c r="B4250"/>
      <c r="C4250"/>
      <c r="D4250"/>
      <c r="E4250"/>
      <c r="F4250"/>
      <c r="G4250"/>
      <c r="H4250"/>
      <c r="I4250"/>
      <c r="J4250"/>
      <c r="K4250"/>
    </row>
    <row r="4251" spans="1:11" x14ac:dyDescent="0.15">
      <c r="A4251"/>
      <c r="B4251"/>
      <c r="C4251"/>
      <c r="D4251"/>
      <c r="E4251"/>
      <c r="F4251"/>
      <c r="G4251"/>
      <c r="H4251"/>
      <c r="I4251"/>
      <c r="J4251"/>
      <c r="K4251"/>
    </row>
    <row r="4252" spans="1:11" x14ac:dyDescent="0.15">
      <c r="A4252"/>
      <c r="B4252"/>
      <c r="C4252"/>
      <c r="D4252"/>
      <c r="E4252"/>
      <c r="F4252"/>
      <c r="G4252"/>
      <c r="H4252"/>
      <c r="I4252"/>
      <c r="J4252"/>
      <c r="K4252"/>
    </row>
    <row r="4253" spans="1:11" x14ac:dyDescent="0.15">
      <c r="A4253"/>
      <c r="B4253"/>
      <c r="C4253"/>
      <c r="D4253"/>
      <c r="E4253"/>
      <c r="F4253"/>
      <c r="G4253"/>
      <c r="H4253"/>
      <c r="I4253"/>
      <c r="J4253"/>
      <c r="K4253"/>
    </row>
    <row r="4254" spans="1:11" x14ac:dyDescent="0.15">
      <c r="A4254"/>
      <c r="B4254"/>
      <c r="C4254"/>
      <c r="D4254"/>
      <c r="E4254"/>
      <c r="F4254"/>
      <c r="G4254"/>
      <c r="H4254"/>
      <c r="I4254"/>
      <c r="J4254"/>
      <c r="K4254"/>
    </row>
    <row r="4255" spans="1:11" x14ac:dyDescent="0.15">
      <c r="A4255"/>
      <c r="B4255"/>
      <c r="C4255"/>
      <c r="D4255"/>
      <c r="E4255"/>
      <c r="F4255"/>
      <c r="G4255"/>
      <c r="H4255"/>
      <c r="I4255"/>
      <c r="J4255"/>
      <c r="K4255"/>
    </row>
    <row r="4256" spans="1:11" x14ac:dyDescent="0.15">
      <c r="A4256"/>
      <c r="B4256"/>
      <c r="C4256"/>
      <c r="D4256"/>
      <c r="E4256"/>
      <c r="F4256"/>
      <c r="G4256"/>
      <c r="H4256"/>
      <c r="I4256"/>
      <c r="J4256"/>
      <c r="K4256"/>
    </row>
    <row r="4257" spans="1:11" x14ac:dyDescent="0.15">
      <c r="A4257"/>
      <c r="B4257"/>
      <c r="C4257"/>
      <c r="D4257"/>
      <c r="E4257"/>
      <c r="F4257"/>
      <c r="G4257"/>
      <c r="H4257"/>
      <c r="I4257"/>
      <c r="J4257"/>
      <c r="K4257"/>
    </row>
    <row r="4258" spans="1:11" x14ac:dyDescent="0.15">
      <c r="A4258"/>
      <c r="B4258"/>
      <c r="C4258"/>
      <c r="D4258"/>
      <c r="E4258"/>
      <c r="F4258"/>
      <c r="G4258"/>
      <c r="H4258"/>
      <c r="I4258"/>
      <c r="J4258"/>
      <c r="K4258"/>
    </row>
    <row r="4259" spans="1:11" x14ac:dyDescent="0.15">
      <c r="A4259"/>
      <c r="B4259"/>
      <c r="C4259"/>
      <c r="D4259"/>
      <c r="E4259"/>
      <c r="F4259"/>
      <c r="G4259"/>
      <c r="H4259"/>
      <c r="I4259"/>
      <c r="J4259"/>
      <c r="K4259"/>
    </row>
    <row r="4260" spans="1:11" x14ac:dyDescent="0.15">
      <c r="A4260"/>
      <c r="B4260"/>
      <c r="C4260"/>
      <c r="D4260"/>
      <c r="E4260"/>
      <c r="F4260"/>
      <c r="G4260"/>
      <c r="H4260"/>
      <c r="I4260"/>
      <c r="J4260"/>
      <c r="K4260"/>
    </row>
    <row r="4261" spans="1:11" x14ac:dyDescent="0.15">
      <c r="A4261"/>
      <c r="B4261"/>
      <c r="C4261"/>
      <c r="D4261"/>
      <c r="E4261"/>
      <c r="F4261"/>
      <c r="G4261"/>
      <c r="H4261"/>
      <c r="I4261"/>
      <c r="J4261"/>
      <c r="K4261"/>
    </row>
    <row r="4262" spans="1:11" x14ac:dyDescent="0.15">
      <c r="A4262"/>
      <c r="B4262"/>
      <c r="C4262"/>
      <c r="D4262"/>
      <c r="E4262"/>
      <c r="F4262"/>
      <c r="G4262"/>
      <c r="H4262"/>
      <c r="I4262"/>
      <c r="J4262"/>
      <c r="K4262"/>
    </row>
    <row r="4263" spans="1:11" x14ac:dyDescent="0.15">
      <c r="A4263"/>
      <c r="B4263"/>
      <c r="C4263"/>
      <c r="D4263"/>
      <c r="E4263"/>
      <c r="F4263"/>
      <c r="G4263"/>
      <c r="H4263"/>
      <c r="I4263"/>
      <c r="J4263"/>
      <c r="K4263"/>
    </row>
    <row r="4264" spans="1:11" x14ac:dyDescent="0.15">
      <c r="A4264"/>
      <c r="B4264"/>
      <c r="C4264"/>
      <c r="D4264"/>
      <c r="E4264"/>
      <c r="F4264"/>
      <c r="G4264"/>
      <c r="H4264"/>
      <c r="I4264"/>
      <c r="J4264"/>
      <c r="K4264"/>
    </row>
    <row r="4265" spans="1:11" x14ac:dyDescent="0.15">
      <c r="A4265"/>
      <c r="B4265"/>
      <c r="C4265"/>
      <c r="D4265"/>
      <c r="E4265"/>
      <c r="F4265"/>
      <c r="G4265"/>
      <c r="H4265"/>
      <c r="I4265"/>
      <c r="J4265"/>
      <c r="K4265"/>
    </row>
    <row r="4266" spans="1:11" x14ac:dyDescent="0.15">
      <c r="A4266"/>
      <c r="B4266"/>
      <c r="C4266"/>
      <c r="D4266"/>
      <c r="E4266"/>
      <c r="F4266"/>
      <c r="G4266"/>
      <c r="H4266"/>
      <c r="I4266"/>
      <c r="J4266"/>
      <c r="K4266"/>
    </row>
    <row r="4267" spans="1:11" x14ac:dyDescent="0.15">
      <c r="A4267"/>
      <c r="B4267"/>
      <c r="C4267"/>
      <c r="D4267"/>
      <c r="E4267"/>
      <c r="F4267"/>
      <c r="G4267"/>
      <c r="H4267"/>
      <c r="I4267"/>
      <c r="J4267"/>
      <c r="K4267"/>
    </row>
    <row r="4268" spans="1:11" x14ac:dyDescent="0.15">
      <c r="A4268"/>
      <c r="B4268"/>
      <c r="C4268"/>
      <c r="D4268"/>
      <c r="E4268"/>
      <c r="F4268"/>
      <c r="G4268"/>
      <c r="H4268"/>
      <c r="I4268"/>
      <c r="J4268"/>
      <c r="K4268"/>
    </row>
    <row r="4269" spans="1:11" x14ac:dyDescent="0.15">
      <c r="A4269"/>
      <c r="B4269"/>
      <c r="C4269"/>
      <c r="D4269"/>
      <c r="E4269"/>
      <c r="F4269"/>
      <c r="G4269"/>
      <c r="H4269"/>
      <c r="I4269"/>
      <c r="J4269"/>
      <c r="K4269"/>
    </row>
    <row r="4270" spans="1:11" x14ac:dyDescent="0.15">
      <c r="A4270"/>
      <c r="B4270"/>
      <c r="C4270"/>
      <c r="D4270"/>
      <c r="E4270"/>
      <c r="F4270"/>
      <c r="G4270"/>
      <c r="H4270"/>
      <c r="I4270"/>
      <c r="J4270"/>
      <c r="K4270"/>
    </row>
    <row r="4271" spans="1:11" x14ac:dyDescent="0.15">
      <c r="A4271"/>
      <c r="B4271"/>
      <c r="C4271"/>
      <c r="D4271"/>
      <c r="E4271"/>
      <c r="F4271"/>
      <c r="G4271"/>
      <c r="H4271"/>
      <c r="I4271"/>
      <c r="J4271"/>
      <c r="K4271"/>
    </row>
    <row r="4272" spans="1:11" x14ac:dyDescent="0.15">
      <c r="A4272"/>
      <c r="B4272"/>
      <c r="C4272"/>
      <c r="D4272"/>
      <c r="E4272"/>
      <c r="F4272"/>
      <c r="G4272"/>
      <c r="H4272"/>
      <c r="I4272"/>
      <c r="J4272"/>
      <c r="K4272"/>
    </row>
    <row r="4273" spans="1:11" x14ac:dyDescent="0.15">
      <c r="A4273"/>
      <c r="B4273"/>
      <c r="C4273"/>
      <c r="D4273"/>
      <c r="E4273"/>
      <c r="F4273"/>
      <c r="G4273"/>
      <c r="H4273"/>
      <c r="I4273"/>
      <c r="J4273"/>
      <c r="K4273"/>
    </row>
    <row r="4274" spans="1:11" x14ac:dyDescent="0.15">
      <c r="A4274"/>
      <c r="B4274"/>
      <c r="C4274"/>
      <c r="D4274"/>
      <c r="E4274"/>
      <c r="F4274"/>
      <c r="G4274"/>
      <c r="H4274"/>
      <c r="I4274"/>
      <c r="J4274"/>
      <c r="K4274"/>
    </row>
    <row r="4275" spans="1:11" x14ac:dyDescent="0.15">
      <c r="A4275"/>
      <c r="B4275"/>
      <c r="C4275"/>
      <c r="D4275"/>
      <c r="E4275"/>
      <c r="F4275"/>
      <c r="G4275"/>
      <c r="H4275"/>
      <c r="I4275"/>
      <c r="J4275"/>
      <c r="K4275"/>
    </row>
    <row r="4276" spans="1:11" x14ac:dyDescent="0.15">
      <c r="A4276"/>
      <c r="B4276"/>
      <c r="C4276"/>
      <c r="D4276"/>
      <c r="E4276"/>
      <c r="F4276"/>
      <c r="G4276"/>
      <c r="H4276"/>
      <c r="I4276"/>
      <c r="J4276"/>
      <c r="K4276"/>
    </row>
    <row r="4277" spans="1:11" x14ac:dyDescent="0.15">
      <c r="A4277"/>
      <c r="B4277"/>
      <c r="C4277"/>
      <c r="D4277"/>
      <c r="E4277"/>
      <c r="F4277"/>
      <c r="G4277"/>
      <c r="H4277"/>
      <c r="I4277"/>
      <c r="J4277"/>
      <c r="K4277"/>
    </row>
    <row r="4278" spans="1:11" x14ac:dyDescent="0.15">
      <c r="A4278"/>
      <c r="B4278"/>
      <c r="C4278"/>
      <c r="D4278"/>
      <c r="E4278"/>
      <c r="F4278"/>
      <c r="G4278"/>
      <c r="H4278"/>
      <c r="I4278"/>
      <c r="J4278"/>
      <c r="K4278"/>
    </row>
    <row r="4279" spans="1:11" x14ac:dyDescent="0.15">
      <c r="A4279"/>
      <c r="B4279"/>
      <c r="C4279"/>
      <c r="D4279"/>
      <c r="E4279"/>
      <c r="F4279"/>
      <c r="G4279"/>
      <c r="H4279"/>
      <c r="I4279"/>
      <c r="J4279"/>
      <c r="K4279"/>
    </row>
    <row r="4280" spans="1:11" x14ac:dyDescent="0.15">
      <c r="A4280"/>
      <c r="B4280"/>
      <c r="C4280"/>
      <c r="D4280"/>
      <c r="E4280"/>
      <c r="F4280"/>
      <c r="G4280"/>
      <c r="H4280"/>
      <c r="I4280"/>
      <c r="J4280"/>
      <c r="K4280"/>
    </row>
    <row r="4281" spans="1:11" x14ac:dyDescent="0.15">
      <c r="A4281"/>
      <c r="B4281"/>
      <c r="C4281"/>
      <c r="D4281"/>
      <c r="E4281"/>
      <c r="F4281"/>
      <c r="G4281"/>
      <c r="H4281"/>
      <c r="I4281"/>
      <c r="J4281"/>
      <c r="K4281"/>
    </row>
    <row r="4282" spans="1:11" x14ac:dyDescent="0.15">
      <c r="A4282"/>
      <c r="B4282"/>
      <c r="C4282"/>
      <c r="D4282"/>
      <c r="E4282"/>
      <c r="F4282"/>
      <c r="G4282"/>
      <c r="H4282"/>
      <c r="I4282"/>
      <c r="J4282"/>
      <c r="K4282"/>
    </row>
    <row r="4283" spans="1:11" x14ac:dyDescent="0.15">
      <c r="A4283"/>
      <c r="B4283"/>
      <c r="C4283"/>
      <c r="D4283"/>
      <c r="E4283"/>
      <c r="F4283"/>
      <c r="G4283"/>
      <c r="H4283"/>
      <c r="I4283"/>
      <c r="J4283"/>
      <c r="K4283"/>
    </row>
    <row r="4284" spans="1:11" x14ac:dyDescent="0.15">
      <c r="A4284"/>
      <c r="B4284"/>
      <c r="C4284"/>
      <c r="D4284"/>
      <c r="E4284"/>
      <c r="F4284"/>
      <c r="G4284"/>
      <c r="H4284"/>
      <c r="I4284"/>
      <c r="J4284"/>
      <c r="K4284"/>
    </row>
    <row r="4285" spans="1:11" x14ac:dyDescent="0.15">
      <c r="A4285"/>
      <c r="B4285"/>
      <c r="C4285"/>
      <c r="D4285"/>
      <c r="E4285"/>
      <c r="F4285"/>
      <c r="G4285"/>
      <c r="H4285"/>
      <c r="I4285"/>
      <c r="J4285"/>
      <c r="K4285"/>
    </row>
    <row r="4286" spans="1:11" x14ac:dyDescent="0.15">
      <c r="A4286"/>
      <c r="B4286"/>
      <c r="C4286"/>
      <c r="D4286"/>
      <c r="E4286"/>
      <c r="F4286"/>
      <c r="G4286"/>
      <c r="H4286"/>
      <c r="I4286"/>
      <c r="J4286"/>
      <c r="K4286"/>
    </row>
    <row r="4287" spans="1:11" x14ac:dyDescent="0.15">
      <c r="A4287"/>
      <c r="B4287"/>
      <c r="C4287"/>
      <c r="D4287"/>
      <c r="E4287"/>
      <c r="F4287"/>
      <c r="G4287"/>
      <c r="H4287"/>
      <c r="I4287"/>
      <c r="J4287"/>
      <c r="K4287"/>
    </row>
    <row r="4288" spans="1:11" x14ac:dyDescent="0.15">
      <c r="A4288"/>
      <c r="B4288"/>
      <c r="C4288"/>
      <c r="D4288"/>
      <c r="E4288"/>
      <c r="F4288"/>
      <c r="G4288"/>
      <c r="H4288"/>
      <c r="I4288"/>
      <c r="J4288"/>
      <c r="K4288"/>
    </row>
    <row r="4289" spans="1:11" x14ac:dyDescent="0.15">
      <c r="A4289"/>
      <c r="B4289"/>
      <c r="C4289"/>
      <c r="D4289"/>
      <c r="E4289"/>
      <c r="F4289"/>
      <c r="G4289"/>
      <c r="H4289"/>
      <c r="I4289"/>
      <c r="J4289"/>
      <c r="K4289"/>
    </row>
    <row r="4290" spans="1:11" x14ac:dyDescent="0.15">
      <c r="A4290"/>
      <c r="B4290"/>
      <c r="C4290"/>
      <c r="D4290"/>
      <c r="E4290"/>
      <c r="F4290"/>
      <c r="G4290"/>
      <c r="H4290"/>
      <c r="I4290"/>
      <c r="J4290"/>
      <c r="K4290"/>
    </row>
    <row r="4291" spans="1:11" x14ac:dyDescent="0.15">
      <c r="A4291"/>
      <c r="B4291"/>
      <c r="C4291"/>
      <c r="D4291"/>
      <c r="E4291"/>
      <c r="F4291"/>
      <c r="G4291"/>
      <c r="H4291"/>
      <c r="I4291"/>
      <c r="J4291"/>
      <c r="K4291"/>
    </row>
    <row r="4292" spans="1:11" x14ac:dyDescent="0.15">
      <c r="A4292"/>
      <c r="B4292"/>
      <c r="C4292"/>
      <c r="D4292"/>
      <c r="E4292"/>
      <c r="F4292"/>
      <c r="G4292"/>
      <c r="H4292"/>
      <c r="I4292"/>
      <c r="J4292"/>
      <c r="K4292"/>
    </row>
    <row r="4293" spans="1:11" x14ac:dyDescent="0.15">
      <c r="A4293"/>
      <c r="B4293"/>
      <c r="C4293"/>
      <c r="D4293"/>
      <c r="E4293"/>
      <c r="F4293"/>
      <c r="G4293"/>
      <c r="H4293"/>
      <c r="I4293"/>
      <c r="J4293"/>
      <c r="K4293"/>
    </row>
    <row r="4294" spans="1:11" x14ac:dyDescent="0.15">
      <c r="A4294"/>
      <c r="B4294"/>
      <c r="C4294"/>
      <c r="D4294"/>
      <c r="E4294"/>
      <c r="F4294"/>
      <c r="G4294"/>
      <c r="H4294"/>
      <c r="I4294"/>
      <c r="J4294"/>
      <c r="K4294"/>
    </row>
    <row r="4295" spans="1:11" x14ac:dyDescent="0.15">
      <c r="A4295"/>
      <c r="B4295"/>
      <c r="C4295"/>
      <c r="D4295"/>
      <c r="E4295"/>
      <c r="F4295"/>
      <c r="G4295"/>
      <c r="H4295"/>
      <c r="I4295"/>
      <c r="J4295"/>
      <c r="K4295"/>
    </row>
    <row r="4296" spans="1:11" x14ac:dyDescent="0.15">
      <c r="A4296"/>
      <c r="B4296"/>
      <c r="C4296"/>
      <c r="D4296"/>
      <c r="E4296"/>
      <c r="F4296"/>
      <c r="G4296"/>
      <c r="H4296"/>
      <c r="I4296"/>
      <c r="J4296"/>
      <c r="K4296"/>
    </row>
    <row r="4297" spans="1:11" x14ac:dyDescent="0.15">
      <c r="A4297"/>
      <c r="B4297"/>
      <c r="C4297"/>
      <c r="D4297"/>
      <c r="E4297"/>
      <c r="F4297"/>
      <c r="G4297"/>
      <c r="H4297"/>
      <c r="I4297"/>
      <c r="J4297"/>
      <c r="K4297"/>
    </row>
    <row r="4298" spans="1:11" x14ac:dyDescent="0.15">
      <c r="A4298"/>
      <c r="B4298"/>
      <c r="C4298"/>
      <c r="D4298"/>
      <c r="E4298"/>
      <c r="F4298"/>
      <c r="G4298"/>
      <c r="H4298"/>
      <c r="I4298"/>
      <c r="J4298"/>
      <c r="K4298"/>
    </row>
    <row r="4299" spans="1:11" x14ac:dyDescent="0.15">
      <c r="A4299"/>
      <c r="B4299"/>
      <c r="C4299"/>
      <c r="D4299"/>
      <c r="E4299"/>
      <c r="F4299"/>
      <c r="G4299"/>
      <c r="H4299"/>
      <c r="I4299"/>
      <c r="J4299"/>
      <c r="K4299"/>
    </row>
    <row r="4300" spans="1:11" x14ac:dyDescent="0.15">
      <c r="A4300"/>
      <c r="B4300"/>
      <c r="C4300"/>
      <c r="D4300"/>
      <c r="E4300"/>
      <c r="F4300"/>
      <c r="G4300"/>
      <c r="H4300"/>
      <c r="I4300"/>
      <c r="J4300"/>
      <c r="K4300"/>
    </row>
    <row r="4301" spans="1:11" x14ac:dyDescent="0.15">
      <c r="A4301"/>
      <c r="B4301"/>
      <c r="C4301"/>
      <c r="D4301"/>
      <c r="E4301"/>
      <c r="F4301"/>
      <c r="G4301"/>
      <c r="H4301"/>
      <c r="I4301"/>
      <c r="J4301"/>
      <c r="K4301"/>
    </row>
    <row r="4302" spans="1:11" x14ac:dyDescent="0.15">
      <c r="A4302"/>
      <c r="B4302"/>
      <c r="C4302"/>
      <c r="D4302"/>
      <c r="E4302"/>
      <c r="F4302"/>
      <c r="G4302"/>
      <c r="H4302"/>
      <c r="I4302"/>
      <c r="J4302"/>
      <c r="K4302"/>
    </row>
    <row r="4303" spans="1:11" x14ac:dyDescent="0.15">
      <c r="A4303"/>
      <c r="B4303"/>
      <c r="C4303"/>
      <c r="D4303"/>
      <c r="E4303"/>
      <c r="F4303"/>
      <c r="G4303"/>
      <c r="H4303"/>
      <c r="I4303"/>
      <c r="J4303"/>
      <c r="K4303"/>
    </row>
    <row r="4304" spans="1:11" x14ac:dyDescent="0.15">
      <c r="A4304"/>
      <c r="B4304"/>
      <c r="C4304"/>
      <c r="D4304"/>
      <c r="E4304"/>
      <c r="F4304"/>
      <c r="G4304"/>
      <c r="H4304"/>
      <c r="I4304"/>
      <c r="J4304"/>
      <c r="K4304"/>
    </row>
    <row r="4305" spans="1:11" x14ac:dyDescent="0.15">
      <c r="A4305"/>
      <c r="B4305"/>
      <c r="C4305"/>
      <c r="D4305"/>
      <c r="E4305"/>
      <c r="F4305"/>
      <c r="G4305"/>
      <c r="H4305"/>
      <c r="I4305"/>
      <c r="J4305"/>
      <c r="K4305"/>
    </row>
    <row r="4306" spans="1:11" x14ac:dyDescent="0.15">
      <c r="A4306"/>
      <c r="B4306"/>
      <c r="C4306"/>
      <c r="D4306"/>
      <c r="E4306"/>
      <c r="F4306"/>
      <c r="G4306"/>
      <c r="H4306"/>
      <c r="I4306"/>
      <c r="J4306"/>
      <c r="K4306"/>
    </row>
    <row r="4307" spans="1:11" x14ac:dyDescent="0.15">
      <c r="A4307"/>
      <c r="B4307"/>
      <c r="C4307"/>
      <c r="D4307"/>
      <c r="E4307"/>
      <c r="F4307"/>
      <c r="G4307"/>
      <c r="H4307"/>
      <c r="I4307"/>
      <c r="J4307"/>
      <c r="K4307"/>
    </row>
    <row r="4308" spans="1:11" x14ac:dyDescent="0.15">
      <c r="A4308"/>
      <c r="B4308"/>
      <c r="C4308"/>
      <c r="D4308"/>
      <c r="E4308"/>
      <c r="F4308"/>
      <c r="G4308"/>
      <c r="H4308"/>
      <c r="I4308"/>
      <c r="J4308"/>
      <c r="K4308"/>
    </row>
    <row r="4309" spans="1:11" x14ac:dyDescent="0.15">
      <c r="A4309"/>
      <c r="B4309"/>
      <c r="C4309"/>
      <c r="D4309"/>
      <c r="E4309"/>
      <c r="F4309"/>
      <c r="G4309"/>
      <c r="H4309"/>
      <c r="I4309"/>
      <c r="J4309"/>
      <c r="K4309"/>
    </row>
    <row r="4310" spans="1:11" x14ac:dyDescent="0.15">
      <c r="A4310"/>
      <c r="B4310"/>
      <c r="C4310"/>
      <c r="D4310"/>
      <c r="E4310"/>
      <c r="F4310"/>
      <c r="G4310"/>
      <c r="H4310"/>
      <c r="I4310"/>
      <c r="J4310"/>
      <c r="K4310"/>
    </row>
    <row r="4311" spans="1:11" x14ac:dyDescent="0.15">
      <c r="A4311"/>
      <c r="B4311"/>
      <c r="C4311"/>
      <c r="D4311"/>
      <c r="E4311"/>
      <c r="F4311"/>
      <c r="G4311"/>
      <c r="H4311"/>
      <c r="I4311"/>
      <c r="J4311"/>
      <c r="K4311"/>
    </row>
    <row r="4312" spans="1:11" x14ac:dyDescent="0.15">
      <c r="A4312"/>
      <c r="B4312"/>
      <c r="C4312"/>
      <c r="D4312"/>
      <c r="E4312"/>
      <c r="F4312"/>
      <c r="G4312"/>
      <c r="H4312"/>
      <c r="I4312"/>
      <c r="J4312"/>
      <c r="K4312"/>
    </row>
    <row r="4313" spans="1:11" x14ac:dyDescent="0.15">
      <c r="A4313"/>
      <c r="B4313"/>
      <c r="C4313"/>
      <c r="D4313"/>
      <c r="E4313"/>
      <c r="F4313"/>
      <c r="G4313"/>
      <c r="H4313"/>
      <c r="I4313"/>
      <c r="J4313"/>
      <c r="K4313"/>
    </row>
    <row r="4314" spans="1:11" x14ac:dyDescent="0.15">
      <c r="A4314"/>
      <c r="B4314"/>
      <c r="C4314"/>
      <c r="D4314"/>
      <c r="E4314"/>
      <c r="F4314"/>
      <c r="G4314"/>
      <c r="H4314"/>
      <c r="I4314"/>
      <c r="J4314"/>
      <c r="K4314"/>
    </row>
    <row r="4315" spans="1:11" x14ac:dyDescent="0.15">
      <c r="A4315"/>
      <c r="B4315"/>
      <c r="C4315"/>
      <c r="D4315"/>
      <c r="E4315"/>
      <c r="F4315"/>
      <c r="G4315"/>
      <c r="H4315"/>
      <c r="I4315"/>
      <c r="J4315"/>
      <c r="K4315"/>
    </row>
    <row r="4316" spans="1:11" x14ac:dyDescent="0.15">
      <c r="A4316"/>
      <c r="B4316"/>
      <c r="C4316"/>
      <c r="D4316"/>
      <c r="E4316"/>
      <c r="F4316"/>
      <c r="G4316"/>
      <c r="H4316"/>
      <c r="I4316"/>
      <c r="J4316"/>
      <c r="K4316"/>
    </row>
    <row r="4317" spans="1:11" x14ac:dyDescent="0.15">
      <c r="A4317"/>
      <c r="B4317"/>
      <c r="C4317"/>
      <c r="D4317"/>
      <c r="E4317"/>
      <c r="F4317"/>
      <c r="G4317"/>
      <c r="H4317"/>
      <c r="I4317"/>
      <c r="J4317"/>
      <c r="K4317"/>
    </row>
    <row r="4318" spans="1:11" x14ac:dyDescent="0.15">
      <c r="A4318"/>
      <c r="B4318"/>
      <c r="C4318"/>
      <c r="D4318"/>
      <c r="E4318"/>
      <c r="F4318"/>
      <c r="G4318"/>
      <c r="H4318"/>
      <c r="I4318"/>
      <c r="J4318"/>
      <c r="K4318"/>
    </row>
    <row r="4319" spans="1:11" x14ac:dyDescent="0.15">
      <c r="A4319"/>
      <c r="B4319"/>
      <c r="C4319"/>
      <c r="D4319"/>
      <c r="E4319"/>
      <c r="F4319"/>
      <c r="G4319"/>
      <c r="H4319"/>
      <c r="I4319"/>
      <c r="J4319"/>
      <c r="K4319"/>
    </row>
    <row r="4320" spans="1:11" x14ac:dyDescent="0.15">
      <c r="A4320"/>
      <c r="B4320"/>
      <c r="C4320"/>
      <c r="D4320"/>
      <c r="E4320"/>
      <c r="F4320"/>
      <c r="G4320"/>
      <c r="H4320"/>
      <c r="I4320"/>
      <c r="J4320"/>
      <c r="K4320"/>
    </row>
    <row r="4321" spans="1:11" x14ac:dyDescent="0.15">
      <c r="A4321"/>
      <c r="B4321"/>
      <c r="C4321"/>
      <c r="D4321"/>
      <c r="E4321"/>
      <c r="F4321"/>
      <c r="G4321"/>
      <c r="H4321"/>
      <c r="I4321"/>
      <c r="J4321"/>
      <c r="K4321"/>
    </row>
    <row r="4322" spans="1:11" x14ac:dyDescent="0.15">
      <c r="A4322"/>
      <c r="B4322"/>
      <c r="C4322"/>
      <c r="D4322"/>
      <c r="E4322"/>
      <c r="F4322"/>
      <c r="G4322"/>
      <c r="H4322"/>
      <c r="I4322"/>
      <c r="J4322"/>
      <c r="K4322"/>
    </row>
    <row r="4323" spans="1:11" x14ac:dyDescent="0.15">
      <c r="A4323"/>
      <c r="B4323"/>
      <c r="C4323"/>
      <c r="D4323"/>
      <c r="E4323"/>
      <c r="F4323"/>
      <c r="G4323"/>
      <c r="H4323"/>
      <c r="I4323"/>
      <c r="J4323"/>
      <c r="K4323"/>
    </row>
    <row r="4324" spans="1:11" x14ac:dyDescent="0.15">
      <c r="A4324"/>
      <c r="B4324"/>
      <c r="C4324"/>
      <c r="D4324"/>
      <c r="E4324"/>
      <c r="F4324"/>
      <c r="G4324"/>
      <c r="H4324"/>
      <c r="I4324"/>
      <c r="J4324"/>
      <c r="K4324"/>
    </row>
    <row r="4325" spans="1:11" x14ac:dyDescent="0.15">
      <c r="A4325"/>
      <c r="B4325"/>
      <c r="C4325"/>
      <c r="D4325"/>
      <c r="E4325"/>
      <c r="F4325"/>
      <c r="G4325"/>
      <c r="H4325"/>
      <c r="I4325"/>
      <c r="J4325"/>
      <c r="K4325"/>
    </row>
    <row r="4326" spans="1:11" x14ac:dyDescent="0.15">
      <c r="A4326"/>
      <c r="B4326"/>
      <c r="C4326"/>
      <c r="D4326"/>
      <c r="E4326"/>
      <c r="F4326"/>
      <c r="G4326"/>
      <c r="H4326"/>
      <c r="I4326"/>
      <c r="J4326"/>
      <c r="K4326"/>
    </row>
    <row r="4327" spans="1:11" x14ac:dyDescent="0.15">
      <c r="A4327"/>
      <c r="B4327"/>
      <c r="C4327"/>
      <c r="D4327"/>
      <c r="E4327"/>
      <c r="F4327"/>
      <c r="G4327"/>
      <c r="H4327"/>
      <c r="I4327"/>
      <c r="J4327"/>
      <c r="K4327"/>
    </row>
    <row r="4328" spans="1:11" x14ac:dyDescent="0.15">
      <c r="A4328"/>
      <c r="B4328"/>
      <c r="C4328"/>
      <c r="D4328"/>
      <c r="E4328"/>
      <c r="F4328"/>
      <c r="G4328"/>
      <c r="H4328"/>
      <c r="I4328"/>
      <c r="J4328"/>
      <c r="K4328"/>
    </row>
    <row r="4329" spans="1:11" x14ac:dyDescent="0.15">
      <c r="A4329"/>
      <c r="B4329"/>
      <c r="C4329"/>
      <c r="D4329"/>
      <c r="E4329"/>
      <c r="F4329"/>
      <c r="G4329"/>
      <c r="H4329"/>
      <c r="I4329"/>
      <c r="J4329"/>
      <c r="K4329"/>
    </row>
    <row r="4330" spans="1:11" x14ac:dyDescent="0.15">
      <c r="A4330"/>
      <c r="B4330"/>
      <c r="C4330"/>
      <c r="D4330"/>
      <c r="E4330"/>
      <c r="F4330"/>
      <c r="G4330"/>
      <c r="H4330"/>
      <c r="I4330"/>
      <c r="J4330"/>
      <c r="K4330"/>
    </row>
    <row r="4331" spans="1:11" x14ac:dyDescent="0.15">
      <c r="A4331"/>
      <c r="B4331"/>
      <c r="C4331"/>
      <c r="D4331"/>
      <c r="E4331"/>
      <c r="F4331"/>
      <c r="G4331"/>
      <c r="H4331"/>
      <c r="I4331"/>
      <c r="J4331"/>
      <c r="K4331"/>
    </row>
    <row r="4332" spans="1:11" x14ac:dyDescent="0.15">
      <c r="A4332"/>
      <c r="B4332"/>
      <c r="C4332"/>
      <c r="D4332"/>
      <c r="E4332"/>
      <c r="F4332"/>
      <c r="G4332"/>
      <c r="H4332"/>
      <c r="I4332"/>
      <c r="J4332"/>
      <c r="K4332"/>
    </row>
    <row r="4333" spans="1:11" x14ac:dyDescent="0.15">
      <c r="A4333"/>
      <c r="B4333"/>
      <c r="C4333"/>
      <c r="D4333"/>
      <c r="E4333"/>
      <c r="F4333"/>
      <c r="G4333"/>
      <c r="H4333"/>
      <c r="I4333"/>
      <c r="J4333"/>
      <c r="K4333"/>
    </row>
    <row r="4334" spans="1:11" x14ac:dyDescent="0.15">
      <c r="A4334"/>
      <c r="B4334"/>
      <c r="C4334"/>
      <c r="D4334"/>
      <c r="E4334"/>
      <c r="F4334"/>
      <c r="G4334"/>
      <c r="H4334"/>
      <c r="I4334"/>
      <c r="J4334"/>
      <c r="K4334"/>
    </row>
    <row r="4335" spans="1:11" x14ac:dyDescent="0.15">
      <c r="A4335"/>
      <c r="B4335"/>
      <c r="C4335"/>
      <c r="D4335"/>
      <c r="E4335"/>
      <c r="F4335"/>
      <c r="G4335"/>
      <c r="H4335"/>
      <c r="I4335"/>
      <c r="J4335"/>
      <c r="K4335"/>
    </row>
    <row r="4336" spans="1:11" x14ac:dyDescent="0.15">
      <c r="A4336"/>
      <c r="B4336"/>
      <c r="C4336"/>
      <c r="D4336"/>
      <c r="E4336"/>
      <c r="F4336"/>
      <c r="G4336"/>
      <c r="H4336"/>
      <c r="I4336"/>
      <c r="J4336"/>
      <c r="K4336"/>
    </row>
    <row r="4337" spans="1:11" x14ac:dyDescent="0.15">
      <c r="A4337"/>
      <c r="B4337"/>
      <c r="C4337"/>
      <c r="D4337"/>
      <c r="E4337"/>
      <c r="F4337"/>
      <c r="G4337"/>
      <c r="H4337"/>
      <c r="I4337"/>
      <c r="J4337"/>
      <c r="K4337"/>
    </row>
    <row r="4338" spans="1:11" x14ac:dyDescent="0.15">
      <c r="A4338"/>
      <c r="B4338"/>
      <c r="C4338"/>
      <c r="D4338"/>
      <c r="E4338"/>
      <c r="F4338"/>
      <c r="G4338"/>
      <c r="H4338"/>
      <c r="I4338"/>
      <c r="J4338"/>
      <c r="K4338"/>
    </row>
  </sheetData>
  <sheetProtection selectLockedCells="1" selectUnlockedCells="1"/>
  <autoFilter ref="A1:L4178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E27070"/>
  </sheetPr>
  <dimension ref="A4:K116"/>
  <sheetViews>
    <sheetView topLeftCell="D1" zoomScale="80" zoomScaleNormal="80" workbookViewId="0">
      <selection activeCell="H16" sqref="H16:I17"/>
    </sheetView>
  </sheetViews>
  <sheetFormatPr baseColWidth="10" defaultColWidth="8.83203125" defaultRowHeight="14" x14ac:dyDescent="0.15"/>
  <cols>
    <col min="1" max="1" width="43.5" style="15" customWidth="1"/>
    <col min="2" max="2" width="9.1640625" style="15"/>
    <col min="3" max="3" width="64.5" style="15" customWidth="1"/>
    <col min="4" max="4" width="4" style="44" customWidth="1"/>
    <col min="5" max="5" width="10" style="44" customWidth="1"/>
    <col min="6" max="6" width="9.1640625" style="15"/>
    <col min="7" max="7" width="51.1640625" style="15" customWidth="1"/>
    <col min="8" max="8" width="33.1640625" style="44" customWidth="1"/>
    <col min="9" max="9" width="32.83203125" style="44" customWidth="1"/>
    <col min="10" max="10" width="32.83203125" style="15" customWidth="1"/>
    <col min="11" max="11" width="9.1640625" style="15"/>
  </cols>
  <sheetData>
    <row r="4" spans="1:11" ht="16" x14ac:dyDescent="0.2">
      <c r="A4" s="39"/>
      <c r="B4" s="39"/>
      <c r="C4" s="20" t="s">
        <v>236</v>
      </c>
      <c r="D4" s="40"/>
      <c r="E4" s="51"/>
      <c r="F4" s="39"/>
      <c r="G4" s="41" t="s">
        <v>237</v>
      </c>
      <c r="H4" s="262" t="s">
        <v>238</v>
      </c>
      <c r="I4" s="262" t="s">
        <v>239</v>
      </c>
      <c r="J4" s="39"/>
      <c r="K4" s="39"/>
    </row>
    <row r="5" spans="1:11" ht="16" x14ac:dyDescent="0.2">
      <c r="A5" s="39"/>
      <c r="B5" s="39"/>
      <c r="C5" s="20"/>
      <c r="D5" s="40"/>
      <c r="E5" s="51"/>
      <c r="F5" s="39"/>
      <c r="G5" s="41"/>
      <c r="H5" s="262"/>
      <c r="I5" s="262"/>
      <c r="J5" s="39"/>
      <c r="K5" s="39"/>
    </row>
    <row r="6" spans="1:11" ht="16" x14ac:dyDescent="0.2">
      <c r="A6" s="38" t="s">
        <v>240</v>
      </c>
      <c r="B6" s="39"/>
      <c r="C6" s="22" t="s">
        <v>240</v>
      </c>
      <c r="D6" s="55">
        <f>COUNTIF('reductions data'!G:G,'reductions workings'!C6)</f>
        <v>0</v>
      </c>
      <c r="E6" s="55">
        <f>D6+0.0001</f>
        <v>1E-4</v>
      </c>
      <c r="F6" s="39"/>
      <c r="G6" s="22" t="s">
        <v>240</v>
      </c>
      <c r="H6" s="45">
        <f>SUMIF('reductions data'!G:G,'reductions workings'!G6,'reductions data'!H:H)</f>
        <v>0</v>
      </c>
      <c r="I6" s="35" t="e">
        <f>H6/H50</f>
        <v>#DIV/0!</v>
      </c>
      <c r="J6" s="39"/>
      <c r="K6" s="39"/>
    </row>
    <row r="7" spans="1:11" ht="16" x14ac:dyDescent="0.2">
      <c r="A7" s="38" t="s">
        <v>235</v>
      </c>
      <c r="B7" s="39"/>
      <c r="C7" s="22" t="s">
        <v>235</v>
      </c>
      <c r="D7" s="55">
        <f>COUNTIF('reductions data'!G:G,'reductions workings'!C7)</f>
        <v>0</v>
      </c>
      <c r="E7" s="55">
        <f>D7+0.0002</f>
        <v>2.0000000000000001E-4</v>
      </c>
      <c r="F7" s="39"/>
      <c r="G7" s="22" t="s">
        <v>235</v>
      </c>
      <c r="H7" s="45">
        <f>SUMIF('reductions data'!G:G,'reductions workings'!G7,'reductions data'!H:H)</f>
        <v>0</v>
      </c>
      <c r="I7" s="35" t="e">
        <f>H7/H50</f>
        <v>#DIV/0!</v>
      </c>
      <c r="J7" s="39"/>
      <c r="K7" s="39"/>
    </row>
    <row r="8" spans="1:11" ht="16" x14ac:dyDescent="0.2">
      <c r="A8" s="38" t="s">
        <v>226</v>
      </c>
      <c r="B8" s="39"/>
      <c r="C8" s="22" t="s">
        <v>226</v>
      </c>
      <c r="D8" s="55">
        <f>COUNTIF('reductions data'!G:G,'reductions workings'!C8)</f>
        <v>0</v>
      </c>
      <c r="E8" s="55">
        <f>D8+0.0003</f>
        <v>2.9999999999999997E-4</v>
      </c>
      <c r="F8" s="39"/>
      <c r="G8" s="22" t="s">
        <v>226</v>
      </c>
      <c r="H8" s="45">
        <f>SUMIF('reductions data'!G:G,'reductions workings'!G8,'reductions data'!H:H)</f>
        <v>0</v>
      </c>
      <c r="I8" s="35" t="e">
        <f>H8/H50</f>
        <v>#DIV/0!</v>
      </c>
      <c r="J8" s="39"/>
      <c r="K8" s="39"/>
    </row>
    <row r="9" spans="1:11" ht="16" x14ac:dyDescent="0.2">
      <c r="A9" s="38" t="s">
        <v>220</v>
      </c>
      <c r="B9" s="39"/>
      <c r="C9" s="22" t="s">
        <v>220</v>
      </c>
      <c r="D9" s="55">
        <f>COUNTIF('reductions data'!G:G,'reductions workings'!C9)</f>
        <v>0</v>
      </c>
      <c r="E9" s="55">
        <f>D9+0.0004</f>
        <v>4.0000000000000002E-4</v>
      </c>
      <c r="F9" s="39"/>
      <c r="G9" s="22" t="s">
        <v>220</v>
      </c>
      <c r="H9" s="45">
        <f>SUMIF('reductions data'!G:G,'reductions workings'!G9,'reductions data'!H:H)</f>
        <v>0</v>
      </c>
      <c r="I9" s="35" t="e">
        <f>H9/H50</f>
        <v>#DIV/0!</v>
      </c>
      <c r="J9" s="39"/>
      <c r="K9" s="39"/>
    </row>
    <row r="10" spans="1:11" ht="16" x14ac:dyDescent="0.2">
      <c r="A10" s="38" t="s">
        <v>241</v>
      </c>
      <c r="B10" s="39"/>
      <c r="C10" s="22" t="s">
        <v>241</v>
      </c>
      <c r="D10" s="55">
        <f>COUNTIF('reductions data'!G:G,'reductions workings'!C10)</f>
        <v>0</v>
      </c>
      <c r="E10" s="55">
        <f>D10+0.0005</f>
        <v>5.0000000000000001E-4</v>
      </c>
      <c r="F10" s="39"/>
      <c r="G10" s="22" t="s">
        <v>241</v>
      </c>
      <c r="H10" s="45">
        <f>SUMIF('reductions data'!G:G,'reductions workings'!G10,'reductions data'!H:H)</f>
        <v>0</v>
      </c>
      <c r="I10" s="35" t="e">
        <f>H10/H50</f>
        <v>#DIV/0!</v>
      </c>
      <c r="J10" s="39"/>
      <c r="K10" s="39"/>
    </row>
    <row r="11" spans="1:11" ht="16" x14ac:dyDescent="0.2">
      <c r="A11" s="38" t="s">
        <v>242</v>
      </c>
      <c r="B11" s="39"/>
      <c r="C11" s="22" t="s">
        <v>242</v>
      </c>
      <c r="D11" s="55">
        <f>COUNTIF('reductions data'!G:G,'reductions workings'!C11)</f>
        <v>0</v>
      </c>
      <c r="E11" s="55">
        <f>D11+0.0006</f>
        <v>5.9999999999999995E-4</v>
      </c>
      <c r="F11" s="39"/>
      <c r="G11" s="22" t="s">
        <v>242</v>
      </c>
      <c r="H11" s="45">
        <f>SUMIF('reductions data'!G:G,'reductions workings'!G11,'reductions data'!H:H)</f>
        <v>0</v>
      </c>
      <c r="I11" s="35" t="e">
        <f>H11/H50</f>
        <v>#DIV/0!</v>
      </c>
      <c r="J11" s="39"/>
      <c r="K11" s="39"/>
    </row>
    <row r="12" spans="1:11" s="30" customFormat="1" ht="16" x14ac:dyDescent="0.2">
      <c r="A12" s="38"/>
      <c r="B12" s="39"/>
      <c r="C12" s="22" t="s">
        <v>500</v>
      </c>
      <c r="D12" s="55">
        <f>COUNTIF('reductions data'!G:G,'reductions workings'!C12)</f>
        <v>0</v>
      </c>
      <c r="E12" s="55">
        <f>D12+0.0006</f>
        <v>5.9999999999999995E-4</v>
      </c>
      <c r="F12" s="39"/>
      <c r="G12" s="22" t="s">
        <v>500</v>
      </c>
      <c r="H12" s="45">
        <f>SUMIF('reductions data'!G:G,'reductions workings'!G12,'reductions data'!H:H)</f>
        <v>0</v>
      </c>
      <c r="I12" s="35" t="e">
        <f>H12/H50</f>
        <v>#DIV/0!</v>
      </c>
      <c r="J12" s="39"/>
      <c r="K12" s="39"/>
    </row>
    <row r="13" spans="1:11" ht="16" x14ac:dyDescent="0.2">
      <c r="A13" s="38" t="s">
        <v>243</v>
      </c>
      <c r="B13" s="39"/>
      <c r="C13" s="22" t="s">
        <v>243</v>
      </c>
      <c r="D13" s="55">
        <f>COUNTIF('reductions data'!G:G,'reductions workings'!C13)</f>
        <v>0</v>
      </c>
      <c r="E13" s="55">
        <f>D13+0.0007</f>
        <v>6.9999999999999999E-4</v>
      </c>
      <c r="F13" s="39"/>
      <c r="G13" s="22" t="s">
        <v>243</v>
      </c>
      <c r="H13" s="45">
        <f>SUMIF('reductions data'!G:G,'reductions workings'!G13,'reductions data'!H:H)</f>
        <v>0</v>
      </c>
      <c r="I13" s="35" t="e">
        <f>H13/H50</f>
        <v>#DIV/0!</v>
      </c>
      <c r="J13" s="39"/>
      <c r="K13" s="39"/>
    </row>
    <row r="14" spans="1:11" ht="16" x14ac:dyDescent="0.2">
      <c r="A14" s="38" t="s">
        <v>223</v>
      </c>
      <c r="B14" s="39"/>
      <c r="C14" s="22" t="s">
        <v>223</v>
      </c>
      <c r="D14" s="55">
        <f>COUNTIF('reductions data'!G:G,'reductions workings'!C14)</f>
        <v>0</v>
      </c>
      <c r="E14" s="55">
        <f>D14+0.0008</f>
        <v>8.0000000000000004E-4</v>
      </c>
      <c r="F14" s="39"/>
      <c r="G14" s="22" t="s">
        <v>223</v>
      </c>
      <c r="H14" s="45">
        <f>SUMIF('reductions data'!G:G,'reductions workings'!G14,'reductions data'!H:H)</f>
        <v>0</v>
      </c>
      <c r="I14" s="35" t="e">
        <f>H14/H50</f>
        <v>#DIV/0!</v>
      </c>
      <c r="J14" s="39"/>
      <c r="K14" s="39"/>
    </row>
    <row r="15" spans="1:11" ht="16" x14ac:dyDescent="0.2">
      <c r="A15" s="38" t="s">
        <v>230</v>
      </c>
      <c r="B15" s="39"/>
      <c r="C15" s="22" t="s">
        <v>230</v>
      </c>
      <c r="D15" s="55">
        <f>COUNTIF('reductions data'!G:G,'reductions workings'!C15)</f>
        <v>0</v>
      </c>
      <c r="E15" s="55">
        <f>D15+0.0009</f>
        <v>8.9999999999999998E-4</v>
      </c>
      <c r="F15" s="39"/>
      <c r="G15" s="22" t="s">
        <v>230</v>
      </c>
      <c r="H15" s="45">
        <f>SUMIF('reductions data'!G:G,'reductions workings'!G15,'reductions data'!H:H)</f>
        <v>0</v>
      </c>
      <c r="I15" s="35" t="e">
        <f>H15/H50</f>
        <v>#DIV/0!</v>
      </c>
      <c r="J15" s="39"/>
      <c r="K15" s="39"/>
    </row>
    <row r="16" spans="1:11" s="30" customFormat="1" ht="16" x14ac:dyDescent="0.2">
      <c r="A16" s="38"/>
      <c r="B16" s="39"/>
      <c r="C16" s="22" t="s">
        <v>497</v>
      </c>
      <c r="D16" s="55">
        <f>COUNTIF('reductions data'!G:G,'reductions workings'!C16)</f>
        <v>0</v>
      </c>
      <c r="E16" s="55">
        <f>D16+0.0009</f>
        <v>8.9999999999999998E-4</v>
      </c>
      <c r="F16" s="39"/>
      <c r="G16" s="22" t="s">
        <v>497</v>
      </c>
      <c r="H16" s="45">
        <f>SUMIF('reductions data'!G:G,'reductions workings'!G16,'reductions data'!H:H)</f>
        <v>0</v>
      </c>
      <c r="I16" s="35" t="e">
        <f>H16/H50</f>
        <v>#DIV/0!</v>
      </c>
      <c r="J16" s="39"/>
      <c r="K16" s="39"/>
    </row>
    <row r="17" spans="1:11" s="278" customFormat="1" ht="16" x14ac:dyDescent="0.2">
      <c r="A17" s="38"/>
      <c r="B17" s="39"/>
      <c r="C17" s="22" t="s">
        <v>1473</v>
      </c>
      <c r="D17" s="55">
        <f>COUNTIF('reductions data'!G:G,'reductions workings'!C17)</f>
        <v>0</v>
      </c>
      <c r="E17" s="55">
        <f>D17+0.0009</f>
        <v>8.9999999999999998E-4</v>
      </c>
      <c r="F17" s="39"/>
      <c r="G17" s="22" t="s">
        <v>1473</v>
      </c>
      <c r="H17" s="45">
        <f>SUMIF('reductions data'!G:G,'reductions workings'!G17,'reductions data'!H:H)</f>
        <v>0</v>
      </c>
      <c r="I17" s="35" t="e">
        <f>H17/H51</f>
        <v>#DIV/0!</v>
      </c>
      <c r="J17" s="39"/>
      <c r="K17" s="39"/>
    </row>
    <row r="18" spans="1:11" ht="16" x14ac:dyDescent="0.2">
      <c r="A18" s="38" t="s">
        <v>232</v>
      </c>
      <c r="B18" s="39"/>
      <c r="C18" s="22" t="s">
        <v>232</v>
      </c>
      <c r="D18" s="55">
        <f>COUNTIF('reductions data'!G:G,'reductions workings'!C18)</f>
        <v>0</v>
      </c>
      <c r="E18" s="55">
        <f>D18+0.00011</f>
        <v>1.1E-4</v>
      </c>
      <c r="F18" s="39"/>
      <c r="G18" s="22" t="s">
        <v>232</v>
      </c>
      <c r="H18" s="45">
        <f>SUMIF('reductions data'!G:G,'reductions workings'!G18,'reductions data'!H:H)</f>
        <v>0</v>
      </c>
      <c r="I18" s="35" t="e">
        <f>H18/H50</f>
        <v>#DIV/0!</v>
      </c>
      <c r="J18" s="39"/>
      <c r="K18" s="39"/>
    </row>
    <row r="19" spans="1:11" ht="16" x14ac:dyDescent="0.2">
      <c r="A19" s="38" t="s">
        <v>214</v>
      </c>
      <c r="B19" s="39"/>
      <c r="C19" s="22" t="s">
        <v>214</v>
      </c>
      <c r="D19" s="55">
        <f>COUNTIF('reductions data'!G:G,'reductions workings'!C19)</f>
        <v>0</v>
      </c>
      <c r="E19" s="55">
        <f>D19+0.00012</f>
        <v>1.2E-4</v>
      </c>
      <c r="F19" s="39"/>
      <c r="G19" s="22" t="s">
        <v>214</v>
      </c>
      <c r="H19" s="45">
        <f>SUMIF('reductions data'!G:G,'reductions workings'!G19,'reductions data'!H:H)</f>
        <v>0</v>
      </c>
      <c r="I19" s="35" t="e">
        <f>H19/H50</f>
        <v>#DIV/0!</v>
      </c>
      <c r="J19" s="39"/>
      <c r="K19" s="39"/>
    </row>
    <row r="20" spans="1:11" ht="16" x14ac:dyDescent="0.2">
      <c r="A20" s="38" t="s">
        <v>215</v>
      </c>
      <c r="B20" s="39"/>
      <c r="C20" s="22" t="s">
        <v>215</v>
      </c>
      <c r="D20" s="55">
        <f>COUNTIF('reductions data'!G:G,'reductions workings'!C20)</f>
        <v>0</v>
      </c>
      <c r="E20" s="55">
        <f>D20+0.00013</f>
        <v>1.2999999999999999E-4</v>
      </c>
      <c r="F20" s="39"/>
      <c r="G20" s="22" t="s">
        <v>215</v>
      </c>
      <c r="H20" s="45">
        <f>SUMIF('reductions data'!G:G,'reductions workings'!G20,'reductions data'!H:H)</f>
        <v>0</v>
      </c>
      <c r="I20" s="35" t="e">
        <f>H20/H50</f>
        <v>#DIV/0!</v>
      </c>
      <c r="J20" s="39"/>
    </row>
    <row r="21" spans="1:11" ht="16" x14ac:dyDescent="0.2">
      <c r="A21" s="38" t="s">
        <v>244</v>
      </c>
      <c r="B21" s="39"/>
      <c r="C21" s="22" t="s">
        <v>244</v>
      </c>
      <c r="D21" s="55">
        <f>COUNTIF('reductions data'!G:G,'reductions workings'!C21)</f>
        <v>0</v>
      </c>
      <c r="E21" s="55">
        <f>D21+0.00014</f>
        <v>1.3999999999999999E-4</v>
      </c>
      <c r="F21" s="39"/>
      <c r="G21" s="22" t="s">
        <v>244</v>
      </c>
      <c r="H21" s="45">
        <f>SUMIF('reductions data'!G:G,'reductions workings'!G21,'reductions data'!H:H)</f>
        <v>0</v>
      </c>
      <c r="I21" s="35" t="e">
        <f>H21/H50</f>
        <v>#DIV/0!</v>
      </c>
      <c r="J21" s="39"/>
    </row>
    <row r="22" spans="1:11" ht="16" x14ac:dyDescent="0.2">
      <c r="A22" s="38" t="s">
        <v>245</v>
      </c>
      <c r="B22" s="39"/>
      <c r="C22" s="22" t="s">
        <v>229</v>
      </c>
      <c r="D22" s="55">
        <f>COUNTIF('reductions data'!G:G,'reductions workings'!C22)</f>
        <v>0</v>
      </c>
      <c r="E22" s="55">
        <f>D22+0.00015</f>
        <v>1.4999999999999999E-4</v>
      </c>
      <c r="F22" s="39"/>
      <c r="G22" s="22" t="s">
        <v>229</v>
      </c>
      <c r="H22" s="45">
        <f>SUMIF('reductions data'!G:G,'reductions workings'!G22,'reductions data'!H:H)</f>
        <v>0</v>
      </c>
      <c r="I22" s="35" t="e">
        <f>H22/H50</f>
        <v>#DIV/0!</v>
      </c>
      <c r="J22" s="39"/>
    </row>
    <row r="23" spans="1:11" ht="16" x14ac:dyDescent="0.2">
      <c r="A23" s="38" t="s">
        <v>246</v>
      </c>
      <c r="B23" s="39"/>
      <c r="C23" s="22" t="s">
        <v>246</v>
      </c>
      <c r="D23" s="55">
        <f>COUNTIF('reductions data'!G:G,'reductions workings'!C23)</f>
        <v>0</v>
      </c>
      <c r="E23" s="55">
        <f>D23+0.00016</f>
        <v>1.6000000000000001E-4</v>
      </c>
      <c r="F23" s="39"/>
      <c r="G23" s="22" t="s">
        <v>246</v>
      </c>
      <c r="H23" s="45">
        <f>SUMIF('reductions data'!G:G,'reductions workings'!G23,'reductions data'!H:H)</f>
        <v>0</v>
      </c>
      <c r="I23" s="35" t="e">
        <f>H23/H50</f>
        <v>#DIV/0!</v>
      </c>
      <c r="J23" s="39"/>
    </row>
    <row r="24" spans="1:11" ht="16" x14ac:dyDescent="0.2">
      <c r="A24" s="38" t="s">
        <v>247</v>
      </c>
      <c r="B24" s="39"/>
      <c r="C24" s="22" t="s">
        <v>247</v>
      </c>
      <c r="D24" s="55">
        <f>COUNTIF('reductions data'!G:G,'reductions workings'!C24)</f>
        <v>0</v>
      </c>
      <c r="E24" s="55">
        <f>D24+0.00017</f>
        <v>1.7000000000000001E-4</v>
      </c>
      <c r="F24" s="39"/>
      <c r="G24" s="22" t="s">
        <v>247</v>
      </c>
      <c r="H24" s="45">
        <f>SUMIF('reductions data'!G:G,'reductions workings'!G24,'reductions data'!H:H)</f>
        <v>0</v>
      </c>
      <c r="I24" s="35" t="e">
        <f>H24/H50</f>
        <v>#DIV/0!</v>
      </c>
      <c r="J24" s="39"/>
    </row>
    <row r="25" spans="1:11" ht="16" x14ac:dyDescent="0.2">
      <c r="A25" s="38" t="s">
        <v>228</v>
      </c>
      <c r="B25" s="39"/>
      <c r="C25" s="22" t="s">
        <v>228</v>
      </c>
      <c r="D25" s="55">
        <f>COUNTIF('reductions data'!G:G,'reductions workings'!C25)</f>
        <v>0</v>
      </c>
      <c r="E25" s="55">
        <f>D25+0.00018</f>
        <v>1.8000000000000001E-4</v>
      </c>
      <c r="F25" s="39"/>
      <c r="G25" s="22" t="s">
        <v>228</v>
      </c>
      <c r="H25" s="45">
        <f>SUMIF('reductions data'!G:G,'reductions workings'!G25,'reductions data'!H:H)</f>
        <v>0</v>
      </c>
      <c r="I25" s="35" t="e">
        <f>H25/H50</f>
        <v>#DIV/0!</v>
      </c>
      <c r="J25" s="39"/>
    </row>
    <row r="26" spans="1:11" ht="16" x14ac:dyDescent="0.2">
      <c r="A26" s="38" t="s">
        <v>248</v>
      </c>
      <c r="B26" s="39"/>
      <c r="C26" s="22" t="s">
        <v>248</v>
      </c>
      <c r="D26" s="55">
        <f>COUNTIF('reductions data'!G:G,'reductions workings'!C26)</f>
        <v>0</v>
      </c>
      <c r="E26" s="55">
        <f>D26+0.00019</f>
        <v>1.9000000000000001E-4</v>
      </c>
      <c r="F26" s="39"/>
      <c r="G26" s="22" t="s">
        <v>248</v>
      </c>
      <c r="H26" s="45">
        <f>SUMIF('reductions data'!G:G,'reductions workings'!G26,'reductions data'!H:H)</f>
        <v>0</v>
      </c>
      <c r="I26" s="35" t="e">
        <f>H26/H50</f>
        <v>#DIV/0!</v>
      </c>
      <c r="J26" s="39"/>
    </row>
    <row r="27" spans="1:11" ht="16" x14ac:dyDescent="0.2">
      <c r="A27" s="38" t="s">
        <v>217</v>
      </c>
      <c r="B27" s="39"/>
      <c r="C27" s="22" t="s">
        <v>217</v>
      </c>
      <c r="D27" s="55">
        <f>COUNTIF('reductions data'!G:G,'reductions workings'!C27)</f>
        <v>0</v>
      </c>
      <c r="E27" s="55">
        <f>D27+0.00021</f>
        <v>2.1000000000000001E-4</v>
      </c>
      <c r="F27" s="39"/>
      <c r="G27" s="22" t="s">
        <v>217</v>
      </c>
      <c r="H27" s="45">
        <f>SUMIF('reductions data'!G:G,'reductions workings'!G27,'reductions data'!H:H)</f>
        <v>0</v>
      </c>
      <c r="I27" s="35" t="e">
        <f>H27/H50</f>
        <v>#DIV/0!</v>
      </c>
      <c r="J27" s="39"/>
    </row>
    <row r="28" spans="1:11" ht="16" x14ac:dyDescent="0.2">
      <c r="A28" s="38" t="s">
        <v>249</v>
      </c>
      <c r="B28" s="39"/>
      <c r="C28" s="22" t="s">
        <v>249</v>
      </c>
      <c r="D28" s="55">
        <f>COUNTIF('reductions data'!G:G,'reductions workings'!C28)</f>
        <v>0</v>
      </c>
      <c r="E28" s="55">
        <f>D28+0.00022</f>
        <v>2.2000000000000001E-4</v>
      </c>
      <c r="F28" s="39"/>
      <c r="G28" s="22" t="s">
        <v>249</v>
      </c>
      <c r="H28" s="45">
        <f>SUMIF('reductions data'!G:G,'reductions workings'!G28,'reductions data'!H:H)</f>
        <v>0</v>
      </c>
      <c r="I28" s="35" t="e">
        <f>H28/H50</f>
        <v>#DIV/0!</v>
      </c>
      <c r="J28" s="39"/>
    </row>
    <row r="29" spans="1:11" ht="16" x14ac:dyDescent="0.2">
      <c r="A29" s="38" t="s">
        <v>250</v>
      </c>
      <c r="B29" s="39"/>
      <c r="C29" s="22" t="s">
        <v>250</v>
      </c>
      <c r="D29" s="55">
        <f>COUNTIF('reductions data'!G:G,'reductions workings'!C29)</f>
        <v>0</v>
      </c>
      <c r="E29" s="55">
        <f>D29+0.00023</f>
        <v>2.3000000000000001E-4</v>
      </c>
      <c r="F29" s="39"/>
      <c r="G29" s="22" t="s">
        <v>250</v>
      </c>
      <c r="H29" s="45">
        <f>SUMIF('reductions data'!G:G,'reductions workings'!G29,'reductions data'!H:H)</f>
        <v>0</v>
      </c>
      <c r="I29" s="35" t="e">
        <f>H29/H50</f>
        <v>#DIV/0!</v>
      </c>
      <c r="J29" s="39"/>
    </row>
    <row r="30" spans="1:11" ht="16" x14ac:dyDescent="0.2">
      <c r="A30" s="38" t="s">
        <v>233</v>
      </c>
      <c r="B30" s="39"/>
      <c r="C30" s="22" t="s">
        <v>233</v>
      </c>
      <c r="D30" s="55">
        <f>COUNTIF('reductions data'!G:G,'reductions workings'!C30)</f>
        <v>0</v>
      </c>
      <c r="E30" s="55">
        <f>D30+0.00024</f>
        <v>2.4000000000000001E-4</v>
      </c>
      <c r="F30" s="39"/>
      <c r="G30" s="22" t="s">
        <v>233</v>
      </c>
      <c r="H30" s="45">
        <f>SUMIF('reductions data'!G:G,'reductions workings'!G30,'reductions data'!H:H)</f>
        <v>0</v>
      </c>
      <c r="I30" s="35" t="e">
        <f>H30/H50</f>
        <v>#DIV/0!</v>
      </c>
      <c r="J30" s="39"/>
    </row>
    <row r="31" spans="1:11" ht="16" x14ac:dyDescent="0.2">
      <c r="A31" s="38" t="s">
        <v>251</v>
      </c>
      <c r="B31" s="39"/>
      <c r="C31" s="22" t="s">
        <v>251</v>
      </c>
      <c r="D31" s="55">
        <f>COUNTIF('reductions data'!G:G,'reductions workings'!C31)</f>
        <v>0</v>
      </c>
      <c r="E31" s="55">
        <f>D31+0.00025</f>
        <v>2.5000000000000001E-4</v>
      </c>
      <c r="F31" s="39"/>
      <c r="G31" s="22" t="s">
        <v>251</v>
      </c>
      <c r="H31" s="45">
        <f>SUMIF('reductions data'!G:G,'reductions workings'!G31,'reductions data'!H:H)</f>
        <v>0</v>
      </c>
      <c r="I31" s="35" t="e">
        <f>H31/H50</f>
        <v>#DIV/0!</v>
      </c>
      <c r="J31" s="39"/>
    </row>
    <row r="32" spans="1:11" s="278" customFormat="1" ht="16" x14ac:dyDescent="0.2">
      <c r="A32" s="38"/>
      <c r="B32" s="39"/>
      <c r="C32" s="22" t="s">
        <v>1474</v>
      </c>
      <c r="D32" s="55">
        <f>COUNTIF('reductions data'!G:G,'reductions workings'!C32)</f>
        <v>0</v>
      </c>
      <c r="E32" s="55">
        <f>D32+0.00025</f>
        <v>2.5000000000000001E-4</v>
      </c>
      <c r="F32" s="39"/>
      <c r="G32" s="22" t="s">
        <v>1474</v>
      </c>
      <c r="H32" s="45">
        <f>SUMIF('reductions data'!G:G,'reductions workings'!G32,'reductions data'!H:H)</f>
        <v>0</v>
      </c>
      <c r="I32" s="35" t="e">
        <f>H32/H50</f>
        <v>#DIV/0!</v>
      </c>
      <c r="J32" s="39"/>
      <c r="K32" s="39"/>
    </row>
    <row r="33" spans="1:11" ht="16" x14ac:dyDescent="0.2">
      <c r="A33" s="38" t="s">
        <v>234</v>
      </c>
      <c r="B33" s="39"/>
      <c r="C33" s="22" t="s">
        <v>234</v>
      </c>
      <c r="D33" s="55">
        <f>COUNTIF('reductions data'!G:G,'reductions workings'!C33)</f>
        <v>0</v>
      </c>
      <c r="E33" s="55">
        <f>D33+0.00026</f>
        <v>2.5999999999999998E-4</v>
      </c>
      <c r="F33" s="39"/>
      <c r="G33" s="22" t="s">
        <v>234</v>
      </c>
      <c r="H33" s="45">
        <f>SUMIF('reductions data'!G:G,'reductions workings'!G33,'reductions data'!H:H)</f>
        <v>0</v>
      </c>
      <c r="I33" s="35" t="e">
        <f>H33/H50</f>
        <v>#DIV/0!</v>
      </c>
      <c r="J33" s="39"/>
    </row>
    <row r="34" spans="1:11" ht="16" x14ac:dyDescent="0.2">
      <c r="A34" s="38" t="s">
        <v>218</v>
      </c>
      <c r="B34" s="39"/>
      <c r="C34" s="22" t="s">
        <v>218</v>
      </c>
      <c r="D34" s="55">
        <f>COUNTIF('reductions data'!G:G,'reductions workings'!C34)</f>
        <v>0</v>
      </c>
      <c r="E34" s="55">
        <f>D34+0.00027</f>
        <v>2.7E-4</v>
      </c>
      <c r="F34" s="39"/>
      <c r="G34" s="22" t="s">
        <v>218</v>
      </c>
      <c r="H34" s="45">
        <f>SUMIF('reductions data'!G:G,'reductions workings'!G34,'reductions data'!H:H)</f>
        <v>0</v>
      </c>
      <c r="I34" s="35" t="e">
        <f>H34/H50</f>
        <v>#DIV/0!</v>
      </c>
      <c r="J34" s="39"/>
    </row>
    <row r="35" spans="1:11" ht="16" x14ac:dyDescent="0.2">
      <c r="A35" s="38" t="s">
        <v>222</v>
      </c>
      <c r="B35" s="39"/>
      <c r="C35" s="22" t="s">
        <v>222</v>
      </c>
      <c r="D35" s="55">
        <f>COUNTIF('reductions data'!G:G,'reductions workings'!C35)</f>
        <v>0</v>
      </c>
      <c r="E35" s="55">
        <f>D35+0.00028</f>
        <v>2.7999999999999998E-4</v>
      </c>
      <c r="F35" s="39"/>
      <c r="G35" s="22" t="s">
        <v>222</v>
      </c>
      <c r="H35" s="45">
        <f>SUMIF('reductions data'!G:G,'reductions workings'!G35,'reductions data'!H:H)</f>
        <v>0</v>
      </c>
      <c r="I35" s="35" t="e">
        <f>H35/H50</f>
        <v>#DIV/0!</v>
      </c>
      <c r="J35" s="39"/>
    </row>
    <row r="36" spans="1:11" ht="16" x14ac:dyDescent="0.2">
      <c r="A36" s="38" t="s">
        <v>221</v>
      </c>
      <c r="B36" s="39"/>
      <c r="C36" s="22" t="s">
        <v>221</v>
      </c>
      <c r="D36" s="55">
        <f>COUNTIF('reductions data'!G:G,'reductions workings'!C36)</f>
        <v>0</v>
      </c>
      <c r="E36" s="55">
        <f>D36+0.00029</f>
        <v>2.9E-4</v>
      </c>
      <c r="F36" s="39"/>
      <c r="G36" s="22" t="s">
        <v>221</v>
      </c>
      <c r="H36" s="45">
        <f>SUMIF('reductions data'!G:G,'reductions workings'!G36,'reductions data'!H:H)</f>
        <v>0</v>
      </c>
      <c r="I36" s="35" t="e">
        <f>H36/H50</f>
        <v>#DIV/0!</v>
      </c>
      <c r="J36" s="39"/>
    </row>
    <row r="37" spans="1:11" ht="16" x14ac:dyDescent="0.2">
      <c r="A37" s="38" t="s">
        <v>213</v>
      </c>
      <c r="B37" s="39"/>
      <c r="C37" s="22" t="s">
        <v>213</v>
      </c>
      <c r="D37" s="55">
        <f>COUNTIF('reductions data'!G:G,'reductions workings'!C37)</f>
        <v>0</v>
      </c>
      <c r="E37" s="55">
        <f>D37+0.00031</f>
        <v>3.1E-4</v>
      </c>
      <c r="F37" s="39"/>
      <c r="G37" s="22" t="s">
        <v>213</v>
      </c>
      <c r="H37" s="45">
        <f>SUMIF('reductions data'!G:G,'reductions workings'!G37,'reductions data'!H:H)</f>
        <v>0</v>
      </c>
      <c r="I37" s="35" t="e">
        <f>H37/H50</f>
        <v>#DIV/0!</v>
      </c>
      <c r="J37" s="39"/>
    </row>
    <row r="38" spans="1:11" ht="16" x14ac:dyDescent="0.2">
      <c r="A38" s="38" t="s">
        <v>224</v>
      </c>
      <c r="B38" s="39"/>
      <c r="C38" s="22" t="s">
        <v>224</v>
      </c>
      <c r="D38" s="55">
        <f>COUNTIF('reductions data'!G:G,'reductions workings'!C38)</f>
        <v>0</v>
      </c>
      <c r="E38" s="55">
        <f>D38+0.00032</f>
        <v>3.2000000000000003E-4</v>
      </c>
      <c r="F38" s="39"/>
      <c r="G38" s="22" t="s">
        <v>224</v>
      </c>
      <c r="H38" s="45">
        <f>SUMIF('reductions data'!G:G,'reductions workings'!G38,'reductions data'!H:H)</f>
        <v>0</v>
      </c>
      <c r="I38" s="35" t="e">
        <f>H38/H50</f>
        <v>#DIV/0!</v>
      </c>
      <c r="J38" s="39"/>
    </row>
    <row r="39" spans="1:11" ht="16" x14ac:dyDescent="0.2">
      <c r="A39" s="38" t="s">
        <v>252</v>
      </c>
      <c r="B39" s="39"/>
      <c r="C39" s="22" t="s">
        <v>219</v>
      </c>
      <c r="D39" s="55">
        <f>COUNTIF('reductions data'!G:G,'reductions workings'!C39)</f>
        <v>0</v>
      </c>
      <c r="E39" s="55">
        <f>D39+0.00033</f>
        <v>3.3E-4</v>
      </c>
      <c r="F39" s="39"/>
      <c r="G39" s="22" t="s">
        <v>219</v>
      </c>
      <c r="H39" s="45">
        <f>SUMIF('reductions data'!G:G,'reductions workings'!G39,'reductions data'!H:H)</f>
        <v>0</v>
      </c>
      <c r="I39" s="35" t="e">
        <f>H39/H50</f>
        <v>#DIV/0!</v>
      </c>
      <c r="J39" s="39"/>
    </row>
    <row r="40" spans="1:11" s="30" customFormat="1" ht="16" x14ac:dyDescent="0.2">
      <c r="A40" s="38"/>
      <c r="B40" s="39"/>
      <c r="C40" s="22" t="s">
        <v>496</v>
      </c>
      <c r="D40" s="55">
        <f>COUNTIF('reductions data'!G:G,'reductions workings'!C40)</f>
        <v>0</v>
      </c>
      <c r="E40" s="55">
        <f t="shared" ref="E40:E42" si="0">D40+0.00033</f>
        <v>3.3E-4</v>
      </c>
      <c r="F40" s="39"/>
      <c r="G40" s="22" t="s">
        <v>496</v>
      </c>
      <c r="H40" s="45">
        <f>SUMIF('reductions data'!G:G,'reductions workings'!G40,'reductions data'!H:H)</f>
        <v>0</v>
      </c>
      <c r="I40" s="35" t="e">
        <f>H40/H50</f>
        <v>#DIV/0!</v>
      </c>
      <c r="J40" s="39"/>
      <c r="K40" s="39"/>
    </row>
    <row r="41" spans="1:11" s="30" customFormat="1" ht="16" x14ac:dyDescent="0.2">
      <c r="A41" s="38"/>
      <c r="B41" s="39"/>
      <c r="C41" s="22" t="s">
        <v>498</v>
      </c>
      <c r="D41" s="55">
        <f>COUNTIF('reductions data'!G:G,'reductions workings'!C41)</f>
        <v>0</v>
      </c>
      <c r="E41" s="55">
        <f t="shared" si="0"/>
        <v>3.3E-4</v>
      </c>
      <c r="F41" s="39"/>
      <c r="G41" s="22" t="s">
        <v>498</v>
      </c>
      <c r="H41" s="45">
        <f>SUMIF('reductions data'!G:G,'reductions workings'!G41,'reductions data'!H:H)</f>
        <v>0</v>
      </c>
      <c r="I41" s="35" t="e">
        <f>H41/H50</f>
        <v>#DIV/0!</v>
      </c>
      <c r="J41" s="39"/>
      <c r="K41" s="39"/>
    </row>
    <row r="42" spans="1:11" s="30" customFormat="1" ht="16" x14ac:dyDescent="0.2">
      <c r="A42" s="38"/>
      <c r="B42" s="39"/>
      <c r="C42" s="22" t="s">
        <v>499</v>
      </c>
      <c r="D42" s="55">
        <f>COUNTIF('reductions data'!G:G,'reductions workings'!C42)</f>
        <v>0</v>
      </c>
      <c r="E42" s="55">
        <f t="shared" si="0"/>
        <v>3.3E-4</v>
      </c>
      <c r="F42" s="39"/>
      <c r="G42" s="22" t="s">
        <v>499</v>
      </c>
      <c r="H42" s="45">
        <f>SUMIF('reductions data'!G:G,'reductions workings'!G42,'reductions data'!H:H)</f>
        <v>0</v>
      </c>
      <c r="I42" s="35" t="e">
        <f>H42/H50</f>
        <v>#DIV/0!</v>
      </c>
      <c r="J42" s="39"/>
      <c r="K42" s="39"/>
    </row>
    <row r="43" spans="1:11" ht="16" x14ac:dyDescent="0.2">
      <c r="A43" s="38" t="s">
        <v>227</v>
      </c>
      <c r="B43" s="39"/>
      <c r="C43" s="22" t="s">
        <v>227</v>
      </c>
      <c r="D43" s="55">
        <f>COUNTIF('reductions data'!G:G,'reductions workings'!C43)</f>
        <v>0</v>
      </c>
      <c r="E43" s="55">
        <f>D43+0.00034</f>
        <v>3.4000000000000002E-4</v>
      </c>
      <c r="F43" s="39"/>
      <c r="G43" s="22" t="s">
        <v>227</v>
      </c>
      <c r="H43" s="45">
        <f>SUMIF('reductions data'!G:G,'reductions workings'!G43,'reductions data'!H:H)</f>
        <v>0</v>
      </c>
      <c r="I43" s="35" t="e">
        <f>H43/H50</f>
        <v>#DIV/0!</v>
      </c>
      <c r="J43" s="39"/>
    </row>
    <row r="44" spans="1:11" ht="16" x14ac:dyDescent="0.2">
      <c r="A44" s="38" t="s">
        <v>253</v>
      </c>
      <c r="B44" s="39"/>
      <c r="C44" s="22" t="s">
        <v>253</v>
      </c>
      <c r="D44" s="55">
        <f>COUNTIF('reductions data'!G:G,'reductions workings'!C44)</f>
        <v>0</v>
      </c>
      <c r="E44" s="55">
        <f>D44+0.00035</f>
        <v>3.5E-4</v>
      </c>
      <c r="F44" s="39"/>
      <c r="G44" s="22" t="s">
        <v>253</v>
      </c>
      <c r="H44" s="45">
        <f>SUMIF('reductions data'!G:G,'reductions workings'!G44,'reductions data'!H:H)</f>
        <v>0</v>
      </c>
      <c r="I44" s="35" t="e">
        <f>H44/H50</f>
        <v>#DIV/0!</v>
      </c>
      <c r="J44" s="39"/>
    </row>
    <row r="45" spans="1:11" ht="16" x14ac:dyDescent="0.2">
      <c r="A45" s="38" t="s">
        <v>225</v>
      </c>
      <c r="B45" s="39"/>
      <c r="C45" s="22" t="s">
        <v>225</v>
      </c>
      <c r="D45" s="55">
        <f>COUNTIF('reductions data'!G:G,'reductions workings'!C45)</f>
        <v>0</v>
      </c>
      <c r="E45" s="55">
        <f>D45+0.00036</f>
        <v>3.6000000000000002E-4</v>
      </c>
      <c r="F45" s="39"/>
      <c r="G45" s="22" t="s">
        <v>225</v>
      </c>
      <c r="H45" s="45">
        <f>SUMIF('reductions data'!G:G,'reductions workings'!G45,'reductions data'!H:H)</f>
        <v>0</v>
      </c>
      <c r="I45" s="35" t="e">
        <f>H45/H50</f>
        <v>#DIV/0!</v>
      </c>
      <c r="J45" s="39"/>
    </row>
    <row r="46" spans="1:11" ht="16" x14ac:dyDescent="0.2">
      <c r="A46" s="38" t="s">
        <v>254</v>
      </c>
      <c r="B46" s="39"/>
      <c r="C46" s="22" t="s">
        <v>254</v>
      </c>
      <c r="D46" s="55">
        <f>COUNTIF('reductions data'!G:G,'reductions workings'!C46)</f>
        <v>0</v>
      </c>
      <c r="E46" s="55">
        <f>D46+0.00037</f>
        <v>3.6999999999999999E-4</v>
      </c>
      <c r="F46" s="39"/>
      <c r="G46" s="22" t="s">
        <v>254</v>
      </c>
      <c r="H46" s="45">
        <f>SUMIF('reductions data'!G:G,'reductions workings'!G46,'reductions data'!H:H)</f>
        <v>0</v>
      </c>
      <c r="I46" s="35" t="e">
        <f>H46/H50</f>
        <v>#DIV/0!</v>
      </c>
      <c r="J46" s="39"/>
    </row>
    <row r="47" spans="1:11" ht="16" x14ac:dyDescent="0.2">
      <c r="A47" s="38" t="s">
        <v>216</v>
      </c>
      <c r="B47" s="39"/>
      <c r="C47" s="22" t="s">
        <v>216</v>
      </c>
      <c r="D47" s="55">
        <f>COUNTIF('reductions data'!G:G,'reductions workings'!C47)</f>
        <v>0</v>
      </c>
      <c r="E47" s="55">
        <f>D47+0.00038</f>
        <v>3.8000000000000002E-4</v>
      </c>
      <c r="F47" s="39"/>
      <c r="G47" s="22" t="s">
        <v>216</v>
      </c>
      <c r="H47" s="45">
        <f>SUMIF('reductions data'!G:G,'reductions workings'!G47,'reductions data'!H:H)</f>
        <v>0</v>
      </c>
      <c r="I47" s="35" t="e">
        <f>H47/H50</f>
        <v>#DIV/0!</v>
      </c>
      <c r="J47" s="39"/>
    </row>
    <row r="48" spans="1:11" ht="16" x14ac:dyDescent="0.2">
      <c r="A48" s="38" t="s">
        <v>231</v>
      </c>
      <c r="B48" s="39"/>
      <c r="C48" s="22" t="s">
        <v>231</v>
      </c>
      <c r="D48" s="55">
        <f>COUNTIF('reductions data'!G:G,'reductions workings'!C48)</f>
        <v>0</v>
      </c>
      <c r="E48" s="55">
        <f>D48+0.00039</f>
        <v>3.8999999999999999E-4</v>
      </c>
      <c r="F48" s="39"/>
      <c r="G48" s="22" t="s">
        <v>231</v>
      </c>
      <c r="H48" s="45">
        <f>SUMIF('reductions data'!G:G,'reductions workings'!G48,'reductions data'!H:H)</f>
        <v>0</v>
      </c>
      <c r="I48" s="35" t="e">
        <f>H48/H50</f>
        <v>#DIV/0!</v>
      </c>
      <c r="J48" s="39"/>
    </row>
    <row r="49" spans="1:10" ht="16" x14ac:dyDescent="0.2">
      <c r="A49" s="38" t="s">
        <v>1020</v>
      </c>
      <c r="B49" s="39"/>
      <c r="C49" s="22" t="s">
        <v>1020</v>
      </c>
      <c r="D49" s="55">
        <f>COUNTIF('reductions data'!G:G,'reductions workings'!C49)</f>
        <v>0</v>
      </c>
      <c r="E49" s="55">
        <f>D49+0.00041</f>
        <v>4.0999999999999999E-4</v>
      </c>
      <c r="F49" s="39"/>
      <c r="G49" s="22" t="s">
        <v>1020</v>
      </c>
      <c r="H49" s="45">
        <f>SUMIF('reductions data'!G:G,'reductions workings'!G49,'reductions data'!H:H)</f>
        <v>0</v>
      </c>
      <c r="I49" s="35" t="e">
        <f>H49/H50</f>
        <v>#DIV/0!</v>
      </c>
      <c r="J49" s="39"/>
    </row>
    <row r="50" spans="1:10" ht="18" x14ac:dyDescent="0.2">
      <c r="A50" s="39"/>
      <c r="B50" s="39"/>
      <c r="C50" s="42" t="s">
        <v>255</v>
      </c>
      <c r="D50" s="286">
        <f>SUM(D6:D49)</f>
        <v>0</v>
      </c>
      <c r="E50" s="287"/>
      <c r="F50" s="39"/>
      <c r="G50" s="42" t="s">
        <v>256</v>
      </c>
      <c r="H50" s="286">
        <f>SUM(H6:H49)</f>
        <v>0</v>
      </c>
      <c r="I50" s="288"/>
      <c r="J50" s="39"/>
    </row>
    <row r="88" spans="1:11" x14ac:dyDescent="0.15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</row>
    <row r="89" spans="1:11" x14ac:dyDescent="0.15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</row>
    <row r="90" spans="1:11" x14ac:dyDescent="0.15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</row>
    <row r="91" spans="1:11" x14ac:dyDescent="0.15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</row>
    <row r="92" spans="1:11" x14ac:dyDescent="0.15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</row>
    <row r="93" spans="1:11" x14ac:dyDescent="0.15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</row>
    <row r="94" spans="1:11" x14ac:dyDescent="0.15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</row>
    <row r="95" spans="1:11" x14ac:dyDescent="0.15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</row>
    <row r="96" spans="1:11" x14ac:dyDescent="0.15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</row>
    <row r="97" spans="1:11" x14ac:dyDescent="0.15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</row>
    <row r="98" spans="1:11" x14ac:dyDescent="0.15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</row>
    <row r="99" spans="1:11" x14ac:dyDescent="0.15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</row>
    <row r="100" spans="1:11" x14ac:dyDescent="0.15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</row>
    <row r="101" spans="1:11" x14ac:dyDescent="0.15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</row>
    <row r="116" spans="1:11" x14ac:dyDescent="0.15">
      <c r="A116" s="47"/>
      <c r="B116" s="47"/>
      <c r="C116" s="47"/>
      <c r="D116" s="48"/>
      <c r="E116" s="48"/>
      <c r="F116" s="47"/>
      <c r="G116" s="47"/>
      <c r="H116" s="48"/>
      <c r="I116" s="48"/>
      <c r="J116" s="47"/>
      <c r="K116" s="47"/>
    </row>
  </sheetData>
  <sheetProtection selectLockedCells="1" selectUnlockedCells="1"/>
  <mergeCells count="2">
    <mergeCell ref="D50:E50"/>
    <mergeCell ref="H50:I50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S1"/>
  <sheetViews>
    <sheetView showRowColHeaders="0" topLeftCell="A13" workbookViewId="0">
      <selection activeCell="A2" sqref="A2"/>
    </sheetView>
  </sheetViews>
  <sheetFormatPr baseColWidth="10" defaultColWidth="8.83203125" defaultRowHeight="14" x14ac:dyDescent="0.15"/>
  <sheetData>
    <row r="1" spans="1:19" ht="40.5" customHeight="1" x14ac:dyDescent="0.15">
      <c r="A1" s="289" t="s">
        <v>257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</row>
  </sheetData>
  <mergeCells count="1">
    <mergeCell ref="A1:S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K124"/>
  <sheetViews>
    <sheetView showGridLines="0" zoomScaleNormal="100" workbookViewId="0">
      <selection activeCell="G101" sqref="G101"/>
    </sheetView>
  </sheetViews>
  <sheetFormatPr baseColWidth="10" defaultColWidth="9.1640625" defaultRowHeight="14" x14ac:dyDescent="0.15"/>
  <cols>
    <col min="1" max="1" width="9.1640625" style="30"/>
    <col min="2" max="2" width="39.5" style="30" customWidth="1"/>
    <col min="3" max="3" width="14.5" style="30" bestFit="1" customWidth="1"/>
    <col min="4" max="4" width="17.5" style="30" customWidth="1"/>
    <col min="5" max="5" width="14.83203125" style="30" customWidth="1"/>
    <col min="6" max="6" width="17.1640625" style="30" customWidth="1"/>
    <col min="7" max="7" width="17.5" style="30" customWidth="1"/>
    <col min="8" max="8" width="22.1640625" style="30" bestFit="1" customWidth="1"/>
    <col min="9" max="9" width="17.5" style="30" customWidth="1"/>
    <col min="10" max="10" width="15.5" style="30" customWidth="1"/>
    <col min="11" max="11" width="35" style="30" bestFit="1" customWidth="1"/>
    <col min="12" max="12" width="16" style="30" customWidth="1"/>
    <col min="13" max="13" width="15.5" style="30" customWidth="1"/>
    <col min="14" max="20" width="9.1640625" style="30"/>
    <col min="21" max="21" width="43.5" style="30" bestFit="1" customWidth="1"/>
    <col min="22" max="16384" width="9.1640625" style="30"/>
  </cols>
  <sheetData>
    <row r="1" spans="1:19" ht="60.75" customHeight="1" x14ac:dyDescent="0.15">
      <c r="A1" s="299" t="s">
        <v>427</v>
      </c>
      <c r="B1" s="300"/>
      <c r="C1" s="300"/>
      <c r="D1" s="300"/>
      <c r="E1" s="300"/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300"/>
      <c r="Q1" s="300"/>
      <c r="R1" s="300"/>
      <c r="S1" s="300"/>
    </row>
    <row r="2" spans="1:19" ht="28.5" customHeight="1" x14ac:dyDescent="0.15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</row>
    <row r="4" spans="1:19" ht="36" customHeight="1" x14ac:dyDescent="0.15">
      <c r="B4" s="56" t="s">
        <v>470</v>
      </c>
    </row>
    <row r="5" spans="1:19" ht="39" customHeight="1" x14ac:dyDescent="0.15">
      <c r="B5" s="78" t="s">
        <v>382</v>
      </c>
      <c r="C5" s="61"/>
    </row>
    <row r="6" spans="1:19" x14ac:dyDescent="0.15">
      <c r="H6" s="73"/>
    </row>
    <row r="7" spans="1:19" ht="25" x14ac:dyDescent="0.15">
      <c r="B7" s="260" t="s">
        <v>258</v>
      </c>
      <c r="C7" s="63"/>
      <c r="D7" s="63"/>
      <c r="E7" s="63"/>
      <c r="F7" s="64"/>
    </row>
    <row r="8" spans="1:19" ht="78.75" customHeight="1" x14ac:dyDescent="0.15">
      <c r="B8" s="93"/>
      <c r="C8" s="269" t="s">
        <v>259</v>
      </c>
      <c r="D8" s="94" t="s">
        <v>260</v>
      </c>
      <c r="E8" s="94" t="s">
        <v>261</v>
      </c>
      <c r="F8" s="94" t="s">
        <v>262</v>
      </c>
      <c r="G8" s="95"/>
      <c r="H8" s="269" t="s">
        <v>263</v>
      </c>
      <c r="I8" s="269" t="s">
        <v>264</v>
      </c>
      <c r="J8" s="95"/>
      <c r="K8" s="269" t="s">
        <v>265</v>
      </c>
      <c r="L8" s="269" t="s">
        <v>266</v>
      </c>
    </row>
    <row r="9" spans="1:19" x14ac:dyDescent="0.15">
      <c r="B9" s="96" t="str">
        <f>B5</f>
        <v>Wales</v>
      </c>
      <c r="C9" s="97" t="e">
        <f>SUM((SUMIFS('capacity data'!$G:$G,'capacity data'!$E:$E,"PO",'capacity data'!$A:$A,B5))-SUMIFS('capacity data'!$H:$H,'capacity data'!$E:$E,"PO",'capacity data'!$A:$A,B5))/SUMIFS('capacity data'!$G:$G,'capacity data'!$E:$E,"PO",'capacity data'!$A:$A,B5)</f>
        <v>#DIV/0!</v>
      </c>
      <c r="D9" s="98" t="e">
        <f>SUM((SUMIFS('capacity data'!$G:$G,'capacity data'!$E:$E,"PSO",'capacity data'!$A:$A,B5))-SUMIFS('capacity data'!$H:$H,'capacity data'!$E:$E,"PSO",'capacity data'!$A:$A,B5))/SUMIFS('capacity data'!$G:$G,'capacity data'!$E:$E,"PSO",'capacity data'!$A:$A,B5)</f>
        <v>#DIV/0!</v>
      </c>
      <c r="E9" s="98" t="e">
        <f>SUM((SUMIFS('capacity data'!$G:$G,'capacity data'!$E:$E,"TPO",'capacity data'!$A:$A,B5))-SUMIFS('capacity data'!$H:$H,'capacity data'!$E:$E,"TPO",'capacity data'!$A:$A,B5))/SUMIFS('capacity data'!$G:$G,'capacity data'!$E:$E,"TPO",'capacity data'!$A:$A,B5)</f>
        <v>#DIV/0!</v>
      </c>
      <c r="F9" s="97" t="e">
        <f>SUM((SUMIFS('capacity data'!G:G,'capacity data'!A:A,B5))-SUMIFS('capacity data'!H:H,'capacity data'!A:A,B5))/SUMIFS('capacity data'!G:G,'capacity data'!A:A,B5)</f>
        <v>#DIV/0!</v>
      </c>
      <c r="G9" s="95"/>
      <c r="H9" s="97" t="e">
        <f>SUMIFS('capacity data'!$L:$L,'capacity data'!$A:$A,$B$5,'capacity data'!$E:$E,"PSO")/SUM((SUMIFS('capacity data'!$G:$G,'capacity data'!$E:$E,"PSO",'capacity data'!$A:$A,$B$5))-SUMIFS('capacity data'!$H:$H,'capacity data'!$E:$E,"PSO",'capacity data'!$A:$A,$B$5))</f>
        <v>#DIV/0!</v>
      </c>
      <c r="I9" s="97" t="e">
        <f>SUMIFS('capacity data'!$L:$L,'capacity data'!$A:$A,$B$5,'capacity data'!$E:$E,"PSO")/SUMIFS('capacity data'!$G:$G,'capacity data'!$E:$E,"PSO",'capacity data'!$A:$A,$B$5)</f>
        <v>#DIV/0!</v>
      </c>
      <c r="J9" s="95"/>
      <c r="K9" s="97" t="e">
        <f>SUMIFS('capacity data'!$L:$L,'capacity data'!$A:$A,$B$5,'capacity data'!$E:$E,"TPO")/SUM((SUMIFS('capacity data'!$G:$G,'capacity data'!$E:$E,"TPO",'capacity data'!$A:$A,$B$5))-SUMIFS('capacity data'!$H:$H,'capacity data'!$E:$E,"TPO",'capacity data'!$A:$A,$B$5))</f>
        <v>#DIV/0!</v>
      </c>
      <c r="L9" s="97" t="e">
        <f>SUMIFS('capacity data'!$L:$L,'capacity data'!$A:$A,$B$5,'capacity data'!$E:$E,"TPO")/SUMIFS('capacity data'!$G:$G,'capacity data'!$E:$E,"TPO",'capacity data'!$A:$A,$B$5)</f>
        <v>#DIV/0!</v>
      </c>
    </row>
    <row r="10" spans="1:19" x14ac:dyDescent="0.15">
      <c r="B10" s="139" t="s">
        <v>267</v>
      </c>
      <c r="C10" s="113" t="e">
        <f>SUM((SUMIF('capacity data'!E:E,"PO",'capacity data'!G:G))-SUMIF('capacity data'!E:E,"PO",'capacity data'!H:H))/SUMIF('capacity data'!E:E,"PO",'capacity data'!G:G)</f>
        <v>#DIV/0!</v>
      </c>
      <c r="D10" s="140" t="e">
        <f>SUM((SUMIF('capacity data'!E:E,"PSO",'capacity data'!G:G))-SUMIF('capacity data'!E:E,"PSO",'capacity data'!H:H))/SUMIF('capacity data'!E:E,"PSO",'capacity data'!G:G)</f>
        <v>#DIV/0!</v>
      </c>
      <c r="E10" s="140" t="e">
        <f>SUM((SUMIF('capacity data'!E:E,"PSO",'capacity data'!G:G))-SUMIF('capacity data'!E:E,"PSO",'capacity data'!H:H))/SUMIF('capacity data'!E:E,"PSO",'capacity data'!G:G)</f>
        <v>#DIV/0!</v>
      </c>
      <c r="F10" s="113" t="e">
        <f>SUM((SUM('capacity data'!G:G)-SUM('capacity data'!H:H))/SUM('capacity data'!G:G))</f>
        <v>#DIV/0!</v>
      </c>
      <c r="G10" s="95"/>
      <c r="H10" s="113" t="e">
        <f>SUMIF('capacity data'!$E:$E,"PSO",'capacity data'!$L:$L)/SUM(SUMIF('capacity data'!$E:$E,"PSO",'capacity data'!$G:$G)-SUMIF('capacity data'!$E:$E,"PSO",'capacity data'!$H:$H))</f>
        <v>#DIV/0!</v>
      </c>
      <c r="I10" s="113" t="e">
        <f>SUMIF('capacity data'!$E:$E,"PSO",'capacity data'!$L:$L)/SUMIF('capacity data'!$E:$E,"PSO",'capacity data'!$G:$G)</f>
        <v>#DIV/0!</v>
      </c>
      <c r="J10" s="95"/>
      <c r="K10" s="113" t="e">
        <f>SUMIF('capacity data'!$E:$E,"TPO",'capacity data'!$L:$L)/SUM(SUMIF('capacity data'!$E:$E,"TPO",'capacity data'!$G:$G)-SUMIF('capacity data'!$E:$E,"TPO",'capacity data'!$H:$H))</f>
        <v>#DIV/0!</v>
      </c>
      <c r="L10" s="113" t="e">
        <f>SUMIF('capacity data'!$E:$E,"TPO",'capacity data'!$L:$L)/SUMIF('capacity data'!$E:$E,"TPO",'capacity data'!$G:$G)</f>
        <v>#DIV/0!</v>
      </c>
    </row>
    <row r="11" spans="1:19" x14ac:dyDescent="0.15">
      <c r="B11" s="99" t="s">
        <v>268</v>
      </c>
      <c r="C11" s="135" t="e">
        <f>+C9-C10</f>
        <v>#DIV/0!</v>
      </c>
      <c r="D11" s="136" t="e">
        <f>+D9-D10</f>
        <v>#DIV/0!</v>
      </c>
      <c r="E11" s="136" t="e">
        <f>+E9-E10</f>
        <v>#DIV/0!</v>
      </c>
      <c r="F11" s="135" t="e">
        <f>+F9-F10</f>
        <v>#DIV/0!</v>
      </c>
      <c r="G11" s="95"/>
      <c r="H11" s="135" t="e">
        <f>+H9-H10</f>
        <v>#DIV/0!</v>
      </c>
      <c r="I11" s="132" t="e">
        <f>+I9-I10</f>
        <v>#DIV/0!</v>
      </c>
      <c r="J11" s="95"/>
      <c r="K11" s="135" t="e">
        <f>+K9-K10</f>
        <v>#DIV/0!</v>
      </c>
      <c r="L11" s="132" t="e">
        <f>+L9-L10</f>
        <v>#DIV/0!</v>
      </c>
    </row>
    <row r="13" spans="1:19" ht="23" x14ac:dyDescent="0.15">
      <c r="B13" s="310" t="s">
        <v>269</v>
      </c>
      <c r="C13" s="311"/>
      <c r="D13" s="311"/>
      <c r="E13" s="311"/>
      <c r="F13" s="311"/>
      <c r="G13" s="311"/>
      <c r="H13" s="311"/>
      <c r="I13" s="311"/>
      <c r="J13" s="311"/>
      <c r="K13" s="311"/>
      <c r="L13" s="311"/>
      <c r="M13" s="311"/>
    </row>
    <row r="14" spans="1:19" ht="63.75" customHeight="1" x14ac:dyDescent="0.15">
      <c r="B14" s="100"/>
      <c r="C14" s="101" t="s">
        <v>270</v>
      </c>
      <c r="D14" s="101" t="s">
        <v>271</v>
      </c>
      <c r="E14" s="101" t="s">
        <v>272</v>
      </c>
      <c r="F14" s="101" t="s">
        <v>273</v>
      </c>
      <c r="G14" s="101" t="s">
        <v>274</v>
      </c>
      <c r="H14" s="101" t="s">
        <v>275</v>
      </c>
      <c r="I14" s="101" t="s">
        <v>276</v>
      </c>
      <c r="J14" s="102" t="s">
        <v>277</v>
      </c>
      <c r="K14" s="101" t="s">
        <v>278</v>
      </c>
      <c r="L14" s="101" t="s">
        <v>279</v>
      </c>
      <c r="M14" s="101" t="s">
        <v>280</v>
      </c>
    </row>
    <row r="15" spans="1:19" ht="20.25" customHeight="1" x14ac:dyDescent="0.15">
      <c r="B15" s="103" t="str">
        <f>B5</f>
        <v>Wales</v>
      </c>
      <c r="C15" s="263">
        <f>COUNTIFS('capacity data'!A:A,B5,'capacity data'!E:E,"PO")</f>
        <v>0</v>
      </c>
      <c r="D15" s="263">
        <f>COUNTIFS('capacity data'!A:A,B5,'capacity data'!E:E,"PO",'capacity data'!F:F,"&gt;110%")</f>
        <v>0</v>
      </c>
      <c r="E15" s="104" t="e">
        <f>D15/C15</f>
        <v>#DIV/0!</v>
      </c>
      <c r="F15" s="263">
        <f>COUNTIFS('capacity data'!A:A,'divisional &amp; regional overview'!B5,'capacity data'!E:E,"PSO")</f>
        <v>0</v>
      </c>
      <c r="G15" s="263">
        <f>COUNTIFS('capacity data'!A:A,B5,'capacity data'!E:E,"PSO",'capacity data'!F:F,"&gt;110%")</f>
        <v>0</v>
      </c>
      <c r="H15" s="105" t="e">
        <f>G15/F15</f>
        <v>#DIV/0!</v>
      </c>
      <c r="I15" s="263">
        <f>COUNTIFS('capacity data'!A:A,B5,'capacity data'!E:E,"PSO",'capacity data'!F:F,"&lt;90%")</f>
        <v>0</v>
      </c>
      <c r="J15" s="105" t="e">
        <f>I15/F15</f>
        <v>#DIV/0!</v>
      </c>
      <c r="K15" s="263">
        <f>COUNTIFS('capacity data'!A:A,'divisional &amp; regional overview'!B5,'capacity data'!E:E,"TPO")</f>
        <v>0</v>
      </c>
      <c r="L15" s="263">
        <f>COUNTIFS('capacity data'!A:A,B5,'capacity data'!E:E,"TPO",'capacity data'!F:F,"&gt;110%")</f>
        <v>0</v>
      </c>
      <c r="M15" s="98" t="e">
        <f>L15/K15</f>
        <v>#DIV/0!</v>
      </c>
    </row>
    <row r="16" spans="1:19" x14ac:dyDescent="0.15">
      <c r="B16" s="139" t="s">
        <v>281</v>
      </c>
      <c r="C16" s="111">
        <f>COUNTIF('capacity data'!E:E,"PO")</f>
        <v>0</v>
      </c>
      <c r="D16" s="111">
        <f>COUNTIFS('capacity data'!E:E,"PO",'capacity data'!F:F,"&gt;110%")</f>
        <v>0</v>
      </c>
      <c r="E16" s="140" t="e">
        <f>D16/C16</f>
        <v>#DIV/0!</v>
      </c>
      <c r="F16" s="111">
        <f>COUNTIF('capacity data'!E:E,"PSO")</f>
        <v>0</v>
      </c>
      <c r="G16" s="111">
        <f>COUNTIFS('capacity data'!E:E,"PSO",'capacity data'!F:F,"&gt;110%")</f>
        <v>0</v>
      </c>
      <c r="H16" s="140" t="e">
        <f>G16/F16</f>
        <v>#DIV/0!</v>
      </c>
      <c r="I16" s="111">
        <f>COUNTIFS('capacity data'!E:E,"PSO",'capacity data'!F:F,"&lt;90%")</f>
        <v>0</v>
      </c>
      <c r="J16" s="140" t="e">
        <f>I16/F16</f>
        <v>#DIV/0!</v>
      </c>
      <c r="K16" s="111">
        <f>COUNTIF('capacity data'!E:E,"TPO")</f>
        <v>0</v>
      </c>
      <c r="L16" s="111">
        <f>COUNTIFS('capacity data'!E:E,"TPO",'capacity data'!F:F,"&gt;110%")</f>
        <v>0</v>
      </c>
      <c r="M16" s="140" t="e">
        <f>L16/K16</f>
        <v>#DIV/0!</v>
      </c>
    </row>
    <row r="17" spans="2:13" x14ac:dyDescent="0.15">
      <c r="B17" s="93" t="s">
        <v>268</v>
      </c>
      <c r="C17" s="133" t="s">
        <v>282</v>
      </c>
      <c r="D17" s="133" t="s">
        <v>282</v>
      </c>
      <c r="E17" s="134" t="e">
        <f>+E15-E16</f>
        <v>#DIV/0!</v>
      </c>
      <c r="F17" s="133" t="s">
        <v>282</v>
      </c>
      <c r="G17" s="133" t="s">
        <v>282</v>
      </c>
      <c r="H17" s="134" t="e">
        <f>+H15-H16</f>
        <v>#DIV/0!</v>
      </c>
      <c r="I17" s="133" t="s">
        <v>282</v>
      </c>
      <c r="J17" s="134" t="e">
        <f>+J15-J16</f>
        <v>#DIV/0!</v>
      </c>
      <c r="K17" s="133" t="s">
        <v>282</v>
      </c>
      <c r="L17" s="133" t="s">
        <v>282</v>
      </c>
      <c r="M17" s="134" t="e">
        <f>+M15-M16</f>
        <v>#DIV/0!</v>
      </c>
    </row>
    <row r="19" spans="2:13" ht="23" x14ac:dyDescent="0.25">
      <c r="B19" s="306" t="s">
        <v>283</v>
      </c>
      <c r="C19" s="307"/>
      <c r="D19" s="307"/>
      <c r="E19" s="307"/>
      <c r="F19" s="307"/>
      <c r="G19" s="308"/>
      <c r="H19" s="309"/>
    </row>
    <row r="20" spans="2:13" ht="42" x14ac:dyDescent="0.15">
      <c r="B20" s="107"/>
      <c r="C20" s="94" t="s">
        <v>284</v>
      </c>
      <c r="D20" s="94" t="s">
        <v>285</v>
      </c>
      <c r="E20" s="94" t="s">
        <v>286</v>
      </c>
      <c r="F20" s="94" t="s">
        <v>287</v>
      </c>
      <c r="G20" s="269" t="s">
        <v>288</v>
      </c>
      <c r="H20" s="269" t="s">
        <v>289</v>
      </c>
    </row>
    <row r="21" spans="2:13" x14ac:dyDescent="0.15">
      <c r="B21" s="93" t="str">
        <f>B5</f>
        <v>Wales</v>
      </c>
      <c r="C21" s="106">
        <f>SUMIFS('capacity data'!K:K,'capacity data'!A:A,'divisional &amp; regional overview'!B5,'capacity data'!E:E,"SPO")</f>
        <v>0</v>
      </c>
      <c r="D21" s="106">
        <f>SUMIFS('capacity data'!K:K,'capacity data'!A:A,'divisional &amp; regional overview'!B21,'capacity data'!E:E,"DMY")</f>
        <v>0</v>
      </c>
      <c r="E21" s="106">
        <f>SUM(C21:D21)</f>
        <v>0</v>
      </c>
      <c r="F21" s="108">
        <f>SUMIF('capacity data'!A:A,B21,'capacity data'!K:K)</f>
        <v>0</v>
      </c>
      <c r="G21" s="97" t="e">
        <f>E21/F21</f>
        <v>#DIV/0!</v>
      </c>
      <c r="H21" s="109">
        <f>SUMIF('caseload data'!A:A,'divisional &amp; regional overview'!B98,'caseload data'!U:U)</f>
        <v>0</v>
      </c>
    </row>
    <row r="22" spans="2:13" x14ac:dyDescent="0.15">
      <c r="B22" s="110" t="s">
        <v>281</v>
      </c>
      <c r="C22" s="111">
        <f>SUMIF('capacity data'!E:E,"SPO",'capacity data'!K:K)</f>
        <v>0</v>
      </c>
      <c r="D22" s="111">
        <f>SUMIF('capacity data'!E:E,"DMY",'capacity data'!K:K)</f>
        <v>0</v>
      </c>
      <c r="E22" s="111">
        <f>SUM(C22:D22)</f>
        <v>0</v>
      </c>
      <c r="F22" s="112">
        <f>SUM('capacity data'!K:K)</f>
        <v>0</v>
      </c>
      <c r="G22" s="113" t="e">
        <f>E22/F22</f>
        <v>#DIV/0!</v>
      </c>
      <c r="H22" s="111">
        <f>SUM('caseload data'!U:U)</f>
        <v>0</v>
      </c>
    </row>
    <row r="23" spans="2:13" x14ac:dyDescent="0.15">
      <c r="B23" s="114" t="s">
        <v>268</v>
      </c>
      <c r="C23" s="133" t="s">
        <v>282</v>
      </c>
      <c r="D23" s="133" t="s">
        <v>282</v>
      </c>
      <c r="E23" s="133" t="s">
        <v>282</v>
      </c>
      <c r="F23" s="137" t="s">
        <v>282</v>
      </c>
      <c r="G23" s="137" t="e">
        <f>+G21-G22</f>
        <v>#DIV/0!</v>
      </c>
      <c r="H23" s="133" t="s">
        <v>282</v>
      </c>
    </row>
    <row r="26" spans="2:13" ht="23" x14ac:dyDescent="0.25">
      <c r="B26" s="302" t="s">
        <v>290</v>
      </c>
      <c r="C26" s="302"/>
      <c r="D26" s="302"/>
      <c r="E26" s="302"/>
      <c r="F26" s="302"/>
      <c r="G26" s="302"/>
      <c r="H26" s="302"/>
      <c r="I26" s="302"/>
      <c r="J26" s="302"/>
      <c r="K26" s="302"/>
    </row>
    <row r="27" spans="2:13" ht="83.25" customHeight="1" x14ac:dyDescent="0.15">
      <c r="B27" s="115"/>
      <c r="C27" s="269" t="s">
        <v>291</v>
      </c>
      <c r="D27" s="269" t="s">
        <v>292</v>
      </c>
      <c r="E27" s="269" t="s">
        <v>293</v>
      </c>
      <c r="F27" s="269" t="s">
        <v>294</v>
      </c>
      <c r="G27" s="269" t="s">
        <v>295</v>
      </c>
      <c r="H27" s="269" t="s">
        <v>296</v>
      </c>
      <c r="I27" s="269" t="s">
        <v>297</v>
      </c>
      <c r="J27" s="269" t="s">
        <v>298</v>
      </c>
      <c r="K27" s="269" t="s">
        <v>299</v>
      </c>
    </row>
    <row r="28" spans="2:13" x14ac:dyDescent="0.15">
      <c r="B28" s="93" t="str">
        <f>B5</f>
        <v>Wales</v>
      </c>
      <c r="C28" s="116">
        <f>SUMIFS('capacity data'!I:I,'capacity data'!A:A,B28,'capacity data'!E:E,"PO")</f>
        <v>0</v>
      </c>
      <c r="D28" s="117">
        <f>SUMIFS('capacity data'!J:J,'capacity data'!A:A,B28,'capacity data'!E:E,"PO")</f>
        <v>0</v>
      </c>
      <c r="E28" s="118" t="e">
        <f>D28/C28</f>
        <v>#DIV/0!</v>
      </c>
      <c r="F28" s="117">
        <f>SUMIFS('capacity data'!I:I,'capacity data'!A:A,B28,'capacity data'!E:E,"PSO")</f>
        <v>0</v>
      </c>
      <c r="G28" s="117">
        <f>SUMIFS('capacity data'!J:J,'capacity data'!A:A,B28,'capacity data'!E:E,"PSO")</f>
        <v>0</v>
      </c>
      <c r="H28" s="118" t="e">
        <f>G28/F28</f>
        <v>#DIV/0!</v>
      </c>
      <c r="I28" s="117">
        <f>SUMIFS('capacity data'!I:I,'capacity data'!A:A,B28,'capacity data'!E:E,"TPO")</f>
        <v>0</v>
      </c>
      <c r="J28" s="119">
        <f>SUMIFS('capacity data'!J:J,'capacity data'!A:A,B28,'capacity data'!E:E,"TPO")</f>
        <v>0</v>
      </c>
      <c r="K28" s="118" t="e">
        <f>J28/I28</f>
        <v>#DIV/0!</v>
      </c>
    </row>
    <row r="29" spans="2:13" x14ac:dyDescent="0.15">
      <c r="B29" s="139" t="s">
        <v>300</v>
      </c>
      <c r="C29" s="141">
        <f>SUMIF('capacity data'!E:E,"PO",'capacity data'!I:I)</f>
        <v>0</v>
      </c>
      <c r="D29" s="141">
        <f>SUMIF('capacity data'!E:E,"PO",'capacity data'!J:J)</f>
        <v>0</v>
      </c>
      <c r="E29" s="142" t="e">
        <f>D29/C29</f>
        <v>#DIV/0!</v>
      </c>
      <c r="F29" s="141">
        <f>SUMIF('capacity data'!E:E,"PSO",'capacity data'!I:I)</f>
        <v>0</v>
      </c>
      <c r="G29" s="141">
        <f>SUMIF('capacity data'!E:E,"PSO",'capacity data'!J:J)</f>
        <v>0</v>
      </c>
      <c r="H29" s="142" t="e">
        <f>G29/F29</f>
        <v>#DIV/0!</v>
      </c>
      <c r="I29" s="141">
        <f>SUMIF('capacity data'!E:E,"TPO",'capacity data'!I:I)</f>
        <v>0</v>
      </c>
      <c r="J29" s="141">
        <f>SUMIF('capacity data'!E:E,"TPO",'capacity data'!J:J)</f>
        <v>0</v>
      </c>
      <c r="K29" s="142" t="e">
        <f>J29/I29</f>
        <v>#DIV/0!</v>
      </c>
    </row>
    <row r="30" spans="2:13" x14ac:dyDescent="0.15">
      <c r="B30" s="138" t="s">
        <v>268</v>
      </c>
      <c r="C30" s="133" t="s">
        <v>282</v>
      </c>
      <c r="D30" s="133" t="s">
        <v>282</v>
      </c>
      <c r="E30" s="132" t="e">
        <f>+E28-E29</f>
        <v>#DIV/0!</v>
      </c>
      <c r="F30" s="133" t="s">
        <v>282</v>
      </c>
      <c r="G30" s="133" t="s">
        <v>282</v>
      </c>
      <c r="H30" s="132" t="e">
        <f>+H28-H29</f>
        <v>#DIV/0!</v>
      </c>
      <c r="I30" s="133" t="s">
        <v>282</v>
      </c>
      <c r="J30" s="133" t="s">
        <v>282</v>
      </c>
      <c r="K30" s="132" t="e">
        <f>+K28-K29</f>
        <v>#DIV/0!</v>
      </c>
    </row>
    <row r="32" spans="2:13" ht="37.5" customHeight="1" x14ac:dyDescent="0.2">
      <c r="B32" s="303" t="s">
        <v>301</v>
      </c>
      <c r="C32" s="304"/>
      <c r="D32" s="304"/>
      <c r="E32" s="92"/>
      <c r="F32" s="305" t="s">
        <v>302</v>
      </c>
      <c r="G32" s="305"/>
    </row>
    <row r="33" spans="2:7" ht="88.5" customHeight="1" x14ac:dyDescent="0.15">
      <c r="B33" s="107" t="s">
        <v>303</v>
      </c>
      <c r="C33" s="269" t="s">
        <v>304</v>
      </c>
      <c r="D33" s="269" t="s">
        <v>305</v>
      </c>
      <c r="E33" s="95"/>
      <c r="F33" s="265" t="s">
        <v>306</v>
      </c>
      <c r="G33" s="264">
        <f>COUNTIF('reductions data'!A:A,'divisional &amp; regional overview'!B5)</f>
        <v>0</v>
      </c>
    </row>
    <row r="34" spans="2:7" ht="28" x14ac:dyDescent="0.15">
      <c r="B34" s="145" t="s">
        <v>240</v>
      </c>
      <c r="C34" s="120">
        <f>COUNTIFS('reductions data'!A:A,B5,'reductions data'!G:G,'divisional &amp; regional overview'!B34)</f>
        <v>0</v>
      </c>
      <c r="D34" s="121">
        <f>SUMIFS('reductions data'!H:H,'reductions data'!A:A,B5,'reductions data'!G:G,'divisional &amp; regional overview'!B34)</f>
        <v>0</v>
      </c>
      <c r="E34" s="95"/>
      <c r="F34" s="265" t="s">
        <v>307</v>
      </c>
      <c r="G34" s="264">
        <f>SUMIF('reductions data'!A:A,B5,'reductions data'!H:H)</f>
        <v>0</v>
      </c>
    </row>
    <row r="35" spans="2:7" ht="28" x14ac:dyDescent="0.15">
      <c r="B35" s="146" t="s">
        <v>235</v>
      </c>
      <c r="C35" s="122">
        <f>COUNTIFS('reductions data'!A:A,B5,'reductions data'!G:G,'divisional &amp; regional overview'!B35)</f>
        <v>0</v>
      </c>
      <c r="D35" s="121">
        <f>SUMIFS('reductions data'!H:H,'reductions data'!A:A,B5,'reductions data'!G:G,'divisional &amp; regional overview'!B35)</f>
        <v>0</v>
      </c>
      <c r="E35" s="95"/>
      <c r="F35" s="263" t="s">
        <v>308</v>
      </c>
      <c r="G35" s="264">
        <f>SUMIF('capacity data'!A:A,B5,'capacity data'!I:I)</f>
        <v>0</v>
      </c>
    </row>
    <row r="36" spans="2:7" ht="42" x14ac:dyDescent="0.15">
      <c r="B36" s="146" t="s">
        <v>226</v>
      </c>
      <c r="C36" s="122">
        <f>COUNTIFS('reductions data'!A:A,B5,'reductions data'!G:G,'divisional &amp; regional overview'!B36)</f>
        <v>0</v>
      </c>
      <c r="D36" s="121">
        <f>SUMIFS('reductions data'!H:H,'reductions data'!A:A,B5,'reductions data'!G:G,'divisional &amp; regional overview'!B36)</f>
        <v>0</v>
      </c>
      <c r="E36" s="123"/>
      <c r="F36" s="263" t="s">
        <v>309</v>
      </c>
      <c r="G36" s="124" t="e">
        <f>G34/G35</f>
        <v>#DIV/0!</v>
      </c>
    </row>
    <row r="37" spans="2:7" x14ac:dyDescent="0.15">
      <c r="B37" s="146" t="s">
        <v>220</v>
      </c>
      <c r="C37" s="122">
        <f>COUNTIFS('reductions data'!A:A,B5,'reductions data'!G:G,'divisional &amp; regional overview'!B37)</f>
        <v>0</v>
      </c>
      <c r="D37" s="121">
        <f>SUMIFS('reductions data'!H:H,'reductions data'!A:A,B5,'reductions data'!G:G,'divisional &amp; regional overview'!B37)</f>
        <v>0</v>
      </c>
      <c r="E37" s="123"/>
      <c r="F37" s="293" t="s">
        <v>310</v>
      </c>
      <c r="G37" s="296" t="e">
        <f>+G36-'div &amp; regional reduction hours'!N28</f>
        <v>#DIV/0!</v>
      </c>
    </row>
    <row r="38" spans="2:7" ht="24" customHeight="1" x14ac:dyDescent="0.15">
      <c r="B38" s="146" t="s">
        <v>241</v>
      </c>
      <c r="C38" s="122">
        <f>COUNTIFS('reductions data'!A:A,B5,'reductions data'!G:G,'divisional &amp; regional overview'!B38)</f>
        <v>0</v>
      </c>
      <c r="D38" s="121">
        <f>SUMIFS('reductions data'!H:H,'reductions data'!A:A,B5,'reductions data'!G:G,'divisional &amp; regional overview'!B38)</f>
        <v>0</v>
      </c>
      <c r="E38" s="123"/>
      <c r="F38" s="294"/>
      <c r="G38" s="295"/>
    </row>
    <row r="39" spans="2:7" x14ac:dyDescent="0.15">
      <c r="B39" s="146" t="s">
        <v>242</v>
      </c>
      <c r="C39" s="122">
        <f>COUNTIFS('reductions data'!A:A,B5,'reductions data'!G:G,'divisional &amp; regional overview'!B39)</f>
        <v>0</v>
      </c>
      <c r="D39" s="121">
        <f>SUMIFS('reductions data'!H:H,'reductions data'!A:A,B5,'reductions data'!G:G,'divisional &amp; regional overview'!B39)</f>
        <v>0</v>
      </c>
      <c r="E39" s="123"/>
      <c r="F39" s="295"/>
      <c r="G39" s="295"/>
    </row>
    <row r="40" spans="2:7" x14ac:dyDescent="0.15">
      <c r="B40" s="146" t="s">
        <v>500</v>
      </c>
      <c r="C40" s="122">
        <f>COUNTIFS('reductions data'!A:A,B5,'reductions data'!G:G,'divisional &amp; regional overview'!B40)</f>
        <v>0</v>
      </c>
      <c r="D40" s="121">
        <f>SUMIFS('reductions data'!H:H,'reductions data'!A:A,B5,'reductions data'!G:G,'divisional &amp; regional overview'!B40)</f>
        <v>0</v>
      </c>
      <c r="E40" s="123"/>
      <c r="F40" s="295"/>
      <c r="G40" s="295"/>
    </row>
    <row r="41" spans="2:7" ht="24.75" customHeight="1" x14ac:dyDescent="0.15">
      <c r="B41" s="146" t="s">
        <v>243</v>
      </c>
      <c r="C41" s="122">
        <f>COUNTIFS('reductions data'!A:A,B5,'reductions data'!G:G,'divisional &amp; regional overview'!B41)</f>
        <v>0</v>
      </c>
      <c r="D41" s="121">
        <f>SUMIFS('reductions data'!H:H,'reductions data'!A:A,B5,'reductions data'!G:G,'divisional &amp; regional overview'!B41)</f>
        <v>0</v>
      </c>
      <c r="E41" s="123"/>
      <c r="F41" s="295"/>
      <c r="G41" s="295"/>
    </row>
    <row r="42" spans="2:7" x14ac:dyDescent="0.15">
      <c r="B42" s="146" t="s">
        <v>223</v>
      </c>
      <c r="C42" s="122">
        <f>COUNTIFS('reductions data'!A:A,B5,'reductions data'!G:G,'divisional &amp; regional overview'!B42)</f>
        <v>0</v>
      </c>
      <c r="D42" s="121">
        <f>SUMIFS('reductions data'!H:H,'reductions data'!A:A,B5,'reductions data'!G:G,'divisional &amp; regional overview'!B42)</f>
        <v>0</v>
      </c>
      <c r="E42" s="123"/>
      <c r="F42" s="123"/>
      <c r="G42" s="95"/>
    </row>
    <row r="43" spans="2:7" x14ac:dyDescent="0.15">
      <c r="B43" s="146" t="s">
        <v>230</v>
      </c>
      <c r="C43" s="122">
        <f>COUNTIFS('reductions data'!A:A,B5,'reductions data'!G:G,'divisional &amp; regional overview'!B43)</f>
        <v>0</v>
      </c>
      <c r="D43" s="121">
        <f>SUMIFS('reductions data'!H:H,'reductions data'!A:A,B5,'reductions data'!G:G,'divisional &amp; regional overview'!B43)</f>
        <v>0</v>
      </c>
      <c r="E43" s="123"/>
      <c r="F43" s="123"/>
      <c r="G43" s="95"/>
    </row>
    <row r="44" spans="2:7" x14ac:dyDescent="0.15">
      <c r="B44" s="146" t="s">
        <v>497</v>
      </c>
      <c r="C44" s="122">
        <f>COUNTIFS('reductions data'!A:A,B5,'reductions data'!G:G,'divisional &amp; regional overview'!B44)</f>
        <v>0</v>
      </c>
      <c r="D44" s="121">
        <f>SUMIFS('reductions data'!H:H,'reductions data'!A:A,B5,'reductions data'!G:G,'divisional &amp; regional overview'!B44)</f>
        <v>0</v>
      </c>
      <c r="E44" s="123"/>
      <c r="F44" s="123"/>
      <c r="G44" s="95"/>
    </row>
    <row r="45" spans="2:7" x14ac:dyDescent="0.15">
      <c r="B45" s="146" t="s">
        <v>232</v>
      </c>
      <c r="C45" s="122">
        <f>COUNTIFS('reductions data'!A:A,B5,'reductions data'!G:G,'divisional &amp; regional overview'!B45)</f>
        <v>0</v>
      </c>
      <c r="D45" s="121">
        <f>SUMIFS('reductions data'!H:H,'reductions data'!A:A,B5,'reductions data'!G:G,'divisional &amp; regional overview'!B45)</f>
        <v>0</v>
      </c>
      <c r="E45" s="123"/>
      <c r="F45" s="123"/>
      <c r="G45" s="95"/>
    </row>
    <row r="46" spans="2:7" x14ac:dyDescent="0.15">
      <c r="B46" s="146" t="s">
        <v>214</v>
      </c>
      <c r="C46" s="122">
        <f>COUNTIFS('reductions data'!A:A,B5,'reductions data'!G:G,'divisional &amp; regional overview'!B46)</f>
        <v>0</v>
      </c>
      <c r="D46" s="121">
        <f>SUMIFS('reductions data'!H:H,'reductions data'!A:A,B5,'reductions data'!G:G,'divisional &amp; regional overview'!B46)</f>
        <v>0</v>
      </c>
      <c r="E46" s="123"/>
      <c r="F46" s="123"/>
      <c r="G46" s="95"/>
    </row>
    <row r="47" spans="2:7" x14ac:dyDescent="0.15">
      <c r="B47" s="146" t="s">
        <v>215</v>
      </c>
      <c r="C47" s="122">
        <f>COUNTIFS('reductions data'!A:A,B5,'reductions data'!G:G,'divisional &amp; regional overview'!B47)</f>
        <v>0</v>
      </c>
      <c r="D47" s="121">
        <f>SUMIFS('reductions data'!H:H,'reductions data'!A:A,B5,'reductions data'!G:G,'divisional &amp; regional overview'!B47)</f>
        <v>0</v>
      </c>
      <c r="E47" s="123"/>
      <c r="F47" s="123"/>
      <c r="G47" s="95"/>
    </row>
    <row r="48" spans="2:7" x14ac:dyDescent="0.15">
      <c r="B48" s="146" t="s">
        <v>244</v>
      </c>
      <c r="C48" s="122">
        <f>COUNTIFS('reductions data'!A:A,B5,'reductions data'!G:G,'divisional &amp; regional overview'!B48)</f>
        <v>0</v>
      </c>
      <c r="D48" s="121">
        <f>SUMIFS('reductions data'!H:H,'reductions data'!A:A,B5,'reductions data'!G:G,'divisional &amp; regional overview'!B48)</f>
        <v>0</v>
      </c>
      <c r="E48" s="123"/>
      <c r="F48" s="123"/>
      <c r="G48" s="95"/>
    </row>
    <row r="49" spans="2:7" x14ac:dyDescent="0.15">
      <c r="B49" s="146" t="s">
        <v>311</v>
      </c>
      <c r="C49" s="122">
        <f>COUNTIFS('reductions data'!A:A,B5,'reductions data'!G:G,'divisional &amp; regional overview'!B49)</f>
        <v>0</v>
      </c>
      <c r="D49" s="121">
        <f>SUMIFS('reductions data'!H:H,'reductions data'!A:A,B5,'reductions data'!G:G,'divisional &amp; regional overview'!B49)</f>
        <v>0</v>
      </c>
      <c r="E49" s="123"/>
      <c r="F49" s="123"/>
      <c r="G49" s="95"/>
    </row>
    <row r="50" spans="2:7" x14ac:dyDescent="0.15">
      <c r="B50" s="146" t="s">
        <v>246</v>
      </c>
      <c r="C50" s="122">
        <f>COUNTIFS('reductions data'!A:A,B5,'reductions data'!G:G,'divisional &amp; regional overview'!B50)</f>
        <v>0</v>
      </c>
      <c r="D50" s="121">
        <f>SUMIFS('reductions data'!H:H,'reductions data'!A:A,B5,'reductions data'!G:G,'divisional &amp; regional overview'!B50)</f>
        <v>0</v>
      </c>
      <c r="E50" s="123"/>
      <c r="F50" s="123"/>
      <c r="G50" s="95"/>
    </row>
    <row r="51" spans="2:7" x14ac:dyDescent="0.15">
      <c r="B51" s="146" t="s">
        <v>247</v>
      </c>
      <c r="C51" s="122">
        <f>COUNTIFS('reductions data'!A:A,B5,'reductions data'!G:G,'divisional &amp; regional overview'!B51)</f>
        <v>0</v>
      </c>
      <c r="D51" s="121">
        <f>SUMIFS('reductions data'!H:H,'reductions data'!A:A,B5,'reductions data'!G:G,'divisional &amp; regional overview'!B51)</f>
        <v>0</v>
      </c>
      <c r="E51" s="123"/>
      <c r="F51" s="123"/>
      <c r="G51" s="95"/>
    </row>
    <row r="52" spans="2:7" x14ac:dyDescent="0.15">
      <c r="B52" s="146" t="s">
        <v>228</v>
      </c>
      <c r="C52" s="122">
        <f>COUNTIFS('reductions data'!A:A,B5,'reductions data'!G:G,'divisional &amp; regional overview'!B52)</f>
        <v>0</v>
      </c>
      <c r="D52" s="121">
        <f>SUMIFS('reductions data'!H:H,'reductions data'!A:A,B5,'reductions data'!G:G,'divisional &amp; regional overview'!B52)</f>
        <v>0</v>
      </c>
      <c r="E52" s="123"/>
      <c r="F52" s="123"/>
      <c r="G52" s="95"/>
    </row>
    <row r="53" spans="2:7" x14ac:dyDescent="0.15">
      <c r="B53" s="146" t="s">
        <v>248</v>
      </c>
      <c r="C53" s="122">
        <f>COUNTIFS('reductions data'!A:A,B5,'reductions data'!G:G,'divisional &amp; regional overview'!B53)</f>
        <v>0</v>
      </c>
      <c r="D53" s="121">
        <f>SUMIFS('reductions data'!H:H,'reductions data'!A:A,B5,'reductions data'!G:G,'divisional &amp; regional overview'!B53)</f>
        <v>0</v>
      </c>
      <c r="E53" s="123"/>
      <c r="F53" s="123"/>
      <c r="G53" s="95"/>
    </row>
    <row r="54" spans="2:7" x14ac:dyDescent="0.15">
      <c r="B54" s="146" t="s">
        <v>217</v>
      </c>
      <c r="C54" s="122">
        <f>COUNTIFS('reductions data'!A:A,B5,'reductions data'!G:G,'divisional &amp; regional overview'!B54)</f>
        <v>0</v>
      </c>
      <c r="D54" s="121">
        <f>SUMIFS('reductions data'!H:H,'reductions data'!A:A,B5,'reductions data'!G:G,'divisional &amp; regional overview'!B54)</f>
        <v>0</v>
      </c>
      <c r="E54" s="123"/>
      <c r="F54" s="123"/>
      <c r="G54" s="95"/>
    </row>
    <row r="55" spans="2:7" x14ac:dyDescent="0.15">
      <c r="B55" s="146" t="s">
        <v>249</v>
      </c>
      <c r="C55" s="122">
        <f>COUNTIFS('reductions data'!A:A,B5,'reductions data'!G:G,'divisional &amp; regional overview'!B55)</f>
        <v>0</v>
      </c>
      <c r="D55" s="121">
        <f>SUMIFS('reductions data'!H:H,'reductions data'!A:A,B5,'reductions data'!G:G,'divisional &amp; regional overview'!B55)</f>
        <v>0</v>
      </c>
      <c r="E55" s="123"/>
      <c r="F55" s="123"/>
      <c r="G55" s="95"/>
    </row>
    <row r="56" spans="2:7" x14ac:dyDescent="0.15">
      <c r="B56" s="146" t="s">
        <v>250</v>
      </c>
      <c r="C56" s="122">
        <f>COUNTIFS('reductions data'!A:A,B5,'reductions data'!G:G,'divisional &amp; regional overview'!B56)</f>
        <v>0</v>
      </c>
      <c r="D56" s="121">
        <f>SUMIFS('reductions data'!H:H,'reductions data'!A:A,B5,'reductions data'!G:G,'divisional &amp; regional overview'!B56)</f>
        <v>0</v>
      </c>
      <c r="E56" s="123"/>
      <c r="F56" s="123"/>
      <c r="G56" s="95"/>
    </row>
    <row r="57" spans="2:7" x14ac:dyDescent="0.15">
      <c r="B57" s="146" t="s">
        <v>233</v>
      </c>
      <c r="C57" s="122">
        <f>COUNTIFS('reductions data'!A:A,B5,'reductions data'!G:G,'divisional &amp; regional overview'!B57)</f>
        <v>0</v>
      </c>
      <c r="D57" s="121">
        <f>SUMIFS('reductions data'!H:H,'reductions data'!A:A,B5,'reductions data'!G:G,'divisional &amp; regional overview'!B57)</f>
        <v>0</v>
      </c>
      <c r="E57" s="123"/>
      <c r="F57" s="123"/>
      <c r="G57" s="95"/>
    </row>
    <row r="58" spans="2:7" x14ac:dyDescent="0.15">
      <c r="B58" s="239" t="s">
        <v>312</v>
      </c>
      <c r="C58" s="122">
        <f>COUNTIFS('reductions data'!A:A,B5,'reductions data'!G:G,'divisional &amp; regional overview'!B58)</f>
        <v>0</v>
      </c>
      <c r="D58" s="121">
        <f>SUMIFS('reductions data'!H:H,'reductions data'!A:A,B5,'reductions data'!G:G,'divisional &amp; regional overview'!B58)</f>
        <v>0</v>
      </c>
      <c r="E58" s="123"/>
      <c r="F58" s="123"/>
      <c r="G58" s="95"/>
    </row>
    <row r="59" spans="2:7" x14ac:dyDescent="0.15">
      <c r="B59" s="146" t="s">
        <v>234</v>
      </c>
      <c r="C59" s="122">
        <f>COUNTIFS('reductions data'!A:A,B5,'reductions data'!G:G,'divisional &amp; regional overview'!B59)</f>
        <v>0</v>
      </c>
      <c r="D59" s="121">
        <f>SUMIFS('reductions data'!H:H,'reductions data'!A:A,B5,'reductions data'!G:G,'divisional &amp; regional overview'!B59)</f>
        <v>0</v>
      </c>
      <c r="E59" s="123"/>
      <c r="F59" s="123"/>
      <c r="G59" s="95"/>
    </row>
    <row r="60" spans="2:7" x14ac:dyDescent="0.15">
      <c r="B60" s="146" t="s">
        <v>218</v>
      </c>
      <c r="C60" s="122">
        <f>COUNTIFS('reductions data'!A:A,B5,'reductions data'!G:G,'divisional &amp; regional overview'!B60)</f>
        <v>0</v>
      </c>
      <c r="D60" s="121">
        <f>SUMIFS('reductions data'!H:H,'reductions data'!A:A,B5,'reductions data'!G:G,'divisional &amp; regional overview'!B60)</f>
        <v>0</v>
      </c>
      <c r="E60" s="123"/>
      <c r="F60" s="123"/>
      <c r="G60" s="95"/>
    </row>
    <row r="61" spans="2:7" x14ac:dyDescent="0.15">
      <c r="B61" s="146" t="s">
        <v>222</v>
      </c>
      <c r="C61" s="122">
        <f>COUNTIFS('reductions data'!A:A,B5,'reductions data'!G:G,'divisional &amp; regional overview'!B61)</f>
        <v>0</v>
      </c>
      <c r="D61" s="121">
        <f>SUMIFS('reductions data'!H:H,'reductions data'!A:A,B5,'reductions data'!G:G,'divisional &amp; regional overview'!B61)</f>
        <v>0</v>
      </c>
      <c r="E61" s="123"/>
      <c r="F61" s="123"/>
      <c r="G61" s="95"/>
    </row>
    <row r="62" spans="2:7" x14ac:dyDescent="0.15">
      <c r="B62" s="146" t="s">
        <v>221</v>
      </c>
      <c r="C62" s="122">
        <f>COUNTIFS('reductions data'!A:A,B5,'reductions data'!G:G,'divisional &amp; regional overview'!B62)</f>
        <v>0</v>
      </c>
      <c r="D62" s="121">
        <f>SUMIFS('reductions data'!H:H,'reductions data'!A:A,B5,'reductions data'!G:G,'divisional &amp; regional overview'!B62)</f>
        <v>0</v>
      </c>
      <c r="E62" s="123"/>
      <c r="F62" s="123"/>
      <c r="G62" s="95"/>
    </row>
    <row r="63" spans="2:7" x14ac:dyDescent="0.15">
      <c r="B63" s="146" t="s">
        <v>219</v>
      </c>
      <c r="C63" s="122">
        <f>COUNTIFS('reductions data'!A:A,B5,'reductions data'!G:G,'divisional &amp; regional overview'!B63)</f>
        <v>0</v>
      </c>
      <c r="D63" s="121">
        <f>SUMIFS('reductions data'!H:H,'reductions data'!A:A,B5,'reductions data'!G:G,'divisional &amp; regional overview'!B63)</f>
        <v>0</v>
      </c>
      <c r="E63" s="123"/>
      <c r="F63" s="123"/>
      <c r="G63" s="95"/>
    </row>
    <row r="64" spans="2:7" x14ac:dyDescent="0.15">
      <c r="B64" s="146" t="s">
        <v>224</v>
      </c>
      <c r="C64" s="122">
        <f>COUNTIFS('reductions data'!A:A,B5,'reductions data'!G:G,'divisional &amp; regional overview'!B64)</f>
        <v>0</v>
      </c>
      <c r="D64" s="121">
        <f>SUMIFS('reductions data'!H:H,'reductions data'!A:A,B5,'reductions data'!G:G,'divisional &amp; regional overview'!B64)</f>
        <v>0</v>
      </c>
      <c r="E64" s="123"/>
      <c r="F64" s="123"/>
      <c r="G64" s="95"/>
    </row>
    <row r="65" spans="1:19" x14ac:dyDescent="0.15">
      <c r="B65" s="146" t="s">
        <v>213</v>
      </c>
      <c r="C65" s="122">
        <f>COUNTIFS('reductions data'!A:A,B5,'reductions data'!G:G,'divisional &amp; regional overview'!B65)</f>
        <v>0</v>
      </c>
      <c r="D65" s="121">
        <f>SUMIFS('reductions data'!H:H,'reductions data'!A:A,B5,'reductions data'!G:G,'divisional &amp; regional overview'!B65)</f>
        <v>0</v>
      </c>
      <c r="E65" s="123"/>
      <c r="F65" s="123"/>
      <c r="G65" s="95"/>
    </row>
    <row r="66" spans="1:19" x14ac:dyDescent="0.15">
      <c r="B66" s="146" t="s">
        <v>227</v>
      </c>
      <c r="C66" s="122">
        <f>COUNTIFS('reductions data'!A:A,B5,'reductions data'!G:G,'divisional &amp; regional overview'!B66)</f>
        <v>0</v>
      </c>
      <c r="D66" s="121">
        <f>SUMIFS('reductions data'!H:H,'reductions data'!A:A,B5,'reductions data'!G:G,'divisional &amp; regional overview'!B66)</f>
        <v>0</v>
      </c>
      <c r="E66" s="123"/>
      <c r="F66" s="123"/>
      <c r="G66" s="95"/>
    </row>
    <row r="67" spans="1:19" x14ac:dyDescent="0.15">
      <c r="B67" s="146" t="s">
        <v>496</v>
      </c>
      <c r="C67" s="122">
        <f>COUNTIFS('reductions data'!A:A,B5,'reductions data'!G:G,'divisional &amp; regional overview'!B67)</f>
        <v>0</v>
      </c>
      <c r="D67" s="121">
        <f>SUMIFS('reductions data'!H:H,'reductions data'!A:A,B5,'reductions data'!G:G,'divisional &amp; regional overview'!B67)</f>
        <v>0</v>
      </c>
      <c r="E67" s="123"/>
      <c r="F67" s="123"/>
      <c r="G67" s="95"/>
    </row>
    <row r="68" spans="1:19" x14ac:dyDescent="0.15">
      <c r="B68" s="146" t="s">
        <v>498</v>
      </c>
      <c r="C68" s="122">
        <f>COUNTIFS('reductions data'!A:A,B5,'reductions data'!G:G,'divisional &amp; regional overview'!B68)</f>
        <v>0</v>
      </c>
      <c r="D68" s="121">
        <f>SUMIFS('reductions data'!H:H,'reductions data'!A:A,B5,'reductions data'!G:G,'divisional &amp; regional overview'!B68)</f>
        <v>0</v>
      </c>
      <c r="E68" s="123"/>
      <c r="F68" s="123"/>
      <c r="G68" s="95"/>
    </row>
    <row r="69" spans="1:19" x14ac:dyDescent="0.15">
      <c r="B69" s="146" t="s">
        <v>499</v>
      </c>
      <c r="C69" s="122">
        <f>COUNTIFS('reductions data'!A:A,B5,'reductions data'!G:G,'divisional &amp; regional overview'!B69)</f>
        <v>0</v>
      </c>
      <c r="D69" s="121">
        <f>SUMIFS('reductions data'!H:H,'reductions data'!A:A,B5,'reductions data'!G:G,'divisional &amp; regional overview'!B69)</f>
        <v>0</v>
      </c>
      <c r="E69" s="123"/>
      <c r="F69" s="123"/>
      <c r="G69" s="95"/>
    </row>
    <row r="70" spans="1:19" x14ac:dyDescent="0.15">
      <c r="B70" s="146" t="s">
        <v>253</v>
      </c>
      <c r="C70" s="122">
        <f>COUNTIFS('reductions data'!A:A,B5,'reductions data'!G:G,'divisional &amp; regional overview'!B70)</f>
        <v>0</v>
      </c>
      <c r="D70" s="121">
        <f>SUMIFS('reductions data'!H:H,'reductions data'!A:A,B5,'reductions data'!G:G,'divisional &amp; regional overview'!B70)</f>
        <v>0</v>
      </c>
      <c r="E70" s="123"/>
      <c r="F70" s="123"/>
      <c r="G70" s="95"/>
    </row>
    <row r="71" spans="1:19" x14ac:dyDescent="0.15">
      <c r="B71" s="146" t="s">
        <v>225</v>
      </c>
      <c r="C71" s="122">
        <f>COUNTIFS('reductions data'!A:A,B5,'reductions data'!G:G,'divisional &amp; regional overview'!B71)</f>
        <v>0</v>
      </c>
      <c r="D71" s="121">
        <f>SUMIFS('reductions data'!H:H,'reductions data'!A:A,B5,'reductions data'!G:G,'divisional &amp; regional overview'!B71)</f>
        <v>0</v>
      </c>
      <c r="E71" s="123"/>
      <c r="F71" s="123"/>
      <c r="G71" s="95"/>
    </row>
    <row r="72" spans="1:19" x14ac:dyDescent="0.15">
      <c r="B72" s="146" t="s">
        <v>254</v>
      </c>
      <c r="C72" s="122">
        <f>COUNTIFS('reductions data'!A:A,B5,'reductions data'!G:G,'divisional &amp; regional overview'!B72)</f>
        <v>0</v>
      </c>
      <c r="D72" s="264">
        <f>SUMIFS('reductions data'!H:H,'reductions data'!A:A,B5,'reductions data'!G:G,'divisional &amp; regional overview'!B72)</f>
        <v>0</v>
      </c>
      <c r="E72" s="123"/>
      <c r="F72" s="123"/>
      <c r="G72" s="95"/>
    </row>
    <row r="73" spans="1:19" x14ac:dyDescent="0.15">
      <c r="B73" s="146" t="s">
        <v>216</v>
      </c>
      <c r="C73" s="122">
        <f>COUNTIFS('reductions data'!A:A,B5,'reductions data'!G:G,'divisional &amp; regional overview'!B73)</f>
        <v>0</v>
      </c>
      <c r="D73" s="264">
        <f>SUMIFS('reductions data'!H:H,'reductions data'!A:A,B5,'reductions data'!G:G,'divisional &amp; regional overview'!B73)</f>
        <v>0</v>
      </c>
      <c r="E73" s="123"/>
      <c r="F73" s="123"/>
      <c r="G73" s="95"/>
    </row>
    <row r="74" spans="1:19" x14ac:dyDescent="0.15">
      <c r="B74" s="146" t="s">
        <v>231</v>
      </c>
      <c r="C74" s="122">
        <f>COUNTIFS('reductions data'!A:A,B5,'reductions data'!G:G,'divisional &amp; regional overview'!B74)</f>
        <v>0</v>
      </c>
      <c r="D74" s="264">
        <f>SUMIFS('reductions data'!H:H,'reductions data'!A:A,B5,'reductions data'!G:G,'divisional &amp; regional overview'!B74)</f>
        <v>0</v>
      </c>
      <c r="E74" s="123"/>
      <c r="F74" s="123"/>
      <c r="G74" s="95"/>
    </row>
    <row r="75" spans="1:19" x14ac:dyDescent="0.15">
      <c r="B75" s="146" t="s">
        <v>1020</v>
      </c>
      <c r="C75" s="122">
        <f>COUNTIFS('reductions data'!A:A,B5,'reductions data'!G:G,'divisional &amp; regional overview'!B75)</f>
        <v>0</v>
      </c>
      <c r="D75" s="264">
        <f>SUMIFS('reductions data'!H:H,'reductions data'!A:A,B5,'reductions data'!G:G,'divisional &amp; regional overview'!B75)</f>
        <v>0</v>
      </c>
      <c r="E75" s="123"/>
      <c r="F75" s="123"/>
      <c r="G75" s="95"/>
    </row>
    <row r="76" spans="1:19" x14ac:dyDescent="0.15">
      <c r="A76" s="123"/>
      <c r="B76" s="123"/>
      <c r="C76" s="123"/>
      <c r="D76" s="123"/>
      <c r="E76" s="123"/>
      <c r="F76" s="123"/>
      <c r="G76" s="95"/>
    </row>
    <row r="77" spans="1:19" x14ac:dyDescent="0.15">
      <c r="A77" s="123"/>
      <c r="B77" s="123"/>
      <c r="C77" s="123"/>
      <c r="D77" s="123"/>
      <c r="E77" s="123"/>
      <c r="F77" s="123"/>
      <c r="G77" s="95"/>
    </row>
    <row r="78" spans="1:19" x14ac:dyDescent="0.15">
      <c r="A78" s="123"/>
      <c r="B78" s="123"/>
      <c r="C78" s="123"/>
      <c r="D78" s="123"/>
      <c r="E78" s="123"/>
      <c r="F78" s="123"/>
      <c r="G78" s="95"/>
    </row>
    <row r="79" spans="1:19" ht="16" x14ac:dyDescent="0.2">
      <c r="E79" s="4"/>
      <c r="F79" s="4"/>
    </row>
    <row r="80" spans="1:19" ht="16.5" customHeight="1" x14ac:dyDescent="0.2">
      <c r="B80" s="59"/>
      <c r="C80" s="297" t="s">
        <v>313</v>
      </c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298"/>
    </row>
    <row r="81" spans="1:37" x14ac:dyDescent="0.15">
      <c r="B81" s="125" t="str">
        <f>B5</f>
        <v>Wales</v>
      </c>
      <c r="C81" s="58" t="s">
        <v>504</v>
      </c>
      <c r="D81" s="58" t="s">
        <v>503</v>
      </c>
      <c r="E81" s="58" t="s">
        <v>502</v>
      </c>
      <c r="F81" s="58" t="s">
        <v>501</v>
      </c>
      <c r="G81" s="58" t="s">
        <v>510</v>
      </c>
      <c r="H81" s="58" t="s">
        <v>176</v>
      </c>
      <c r="I81" s="58" t="s">
        <v>177</v>
      </c>
      <c r="J81" s="58" t="s">
        <v>505</v>
      </c>
      <c r="K81" s="58" t="s">
        <v>507</v>
      </c>
      <c r="L81" s="58" t="s">
        <v>178</v>
      </c>
      <c r="M81" s="58" t="s">
        <v>179</v>
      </c>
      <c r="N81" s="58" t="s">
        <v>506</v>
      </c>
      <c r="O81" s="58" t="s">
        <v>508</v>
      </c>
      <c r="P81" s="58" t="s">
        <v>180</v>
      </c>
      <c r="Q81" s="58" t="s">
        <v>181</v>
      </c>
      <c r="R81" s="58" t="s">
        <v>509</v>
      </c>
      <c r="S81" s="58" t="s">
        <v>183</v>
      </c>
    </row>
    <row r="82" spans="1:37" x14ac:dyDescent="0.15">
      <c r="B82" s="106" t="s">
        <v>314</v>
      </c>
      <c r="C82" s="126">
        <f>SUMIFS('caseload data'!E:E,'caseload data'!$B:$B,"custody",'caseload data'!$A:$A,$B$81)</f>
        <v>0</v>
      </c>
      <c r="D82" s="126">
        <f>SUMIFS('caseload data'!F:F,'caseload data'!$B:$B,"custody",'caseload data'!$A:$A,$B$81)</f>
        <v>0</v>
      </c>
      <c r="E82" s="126">
        <f>SUMIFS('caseload data'!G:G,'caseload data'!$B:$B,"custody",'caseload data'!$A:$A,$B$81)</f>
        <v>0</v>
      </c>
      <c r="F82" s="126">
        <f>SUMIFS('caseload data'!H:H,'caseload data'!$B:$B,"custody",'caseload data'!$A:$A,$B$81)</f>
        <v>0</v>
      </c>
      <c r="G82" s="126">
        <f>SUMIFS('caseload data'!I:I,'caseload data'!$B:$B,"custody",'caseload data'!$A:$A,$B$81)</f>
        <v>0</v>
      </c>
      <c r="H82" s="126">
        <f>SUMIFS('caseload data'!J:J,'caseload data'!$B:$B,"custody",'caseload data'!$A:$A,$B$81)</f>
        <v>0</v>
      </c>
      <c r="I82" s="126">
        <f>SUMIFS('caseload data'!K:K,'caseload data'!$B:$B,"custody",'caseload data'!$A:$A,$B$81)</f>
        <v>0</v>
      </c>
      <c r="J82" s="126">
        <f>SUMIFS('caseload data'!L:L,'caseload data'!$B:$B,"custody",'caseload data'!$A:$A,$B$81)</f>
        <v>0</v>
      </c>
      <c r="K82" s="126">
        <f>SUMIFS('caseload data'!M:M,'caseload data'!$B:$B,"custody",'caseload data'!$A:$A,$B$81)</f>
        <v>0</v>
      </c>
      <c r="L82" s="126">
        <f>SUMIFS('caseload data'!N:N,'caseload data'!$B:$B,"custody",'caseload data'!$A:$A,$B$81)</f>
        <v>0</v>
      </c>
      <c r="M82" s="126">
        <f>SUMIFS('caseload data'!O:O,'caseload data'!$B:$B,"custody",'caseload data'!$A:$A,$B$81)</f>
        <v>0</v>
      </c>
      <c r="N82" s="126">
        <f>SUMIFS('caseload data'!P:P,'caseload data'!$B:$B,"custody",'caseload data'!$A:$A,$B$81)</f>
        <v>0</v>
      </c>
      <c r="O82" s="126">
        <f>SUMIFS('caseload data'!Q:Q,'caseload data'!$B:$B,"custody",'caseload data'!$A:$A,$B$81)</f>
        <v>0</v>
      </c>
      <c r="P82" s="126">
        <f>SUMIFS('caseload data'!R:R,'caseload data'!$B:$B,"custody",'caseload data'!$A:$A,$B$81)</f>
        <v>0</v>
      </c>
      <c r="Q82" s="126">
        <f>SUMIFS('caseload data'!S:S,'caseload data'!$B:$B,"custody",'caseload data'!$A:$A,$B$81)</f>
        <v>0</v>
      </c>
      <c r="R82" s="126">
        <f>SUMIFS('caseload data'!T:T,'caseload data'!$B:$B,"custody",'caseload data'!$A:$A,$B$81)</f>
        <v>0</v>
      </c>
      <c r="S82" s="126">
        <f>SUMIFS('caseload data'!V:V,'caseload data'!A:A,B81,'caseload data'!B:B,"custody")</f>
        <v>0</v>
      </c>
    </row>
    <row r="83" spans="1:37" x14ac:dyDescent="0.15">
      <c r="B83" s="106" t="s">
        <v>315</v>
      </c>
      <c r="C83" s="106">
        <f>SUMIFS('caseload data'!E:E,'caseload data'!$B:$B,"licence",'caseload data'!$A:$A,$B$81)</f>
        <v>0</v>
      </c>
      <c r="D83" s="106">
        <f>SUMIFS('caseload data'!F:F,'caseload data'!$B:$B,"licence",'caseload data'!$A:$A,$B$81)</f>
        <v>0</v>
      </c>
      <c r="E83" s="106">
        <f>SUMIFS('caseload data'!G:G,'caseload data'!$B:$B,"licence",'caseload data'!$A:$A,$B$81)</f>
        <v>0</v>
      </c>
      <c r="F83" s="106">
        <f>SUMIFS('caseload data'!H:H,'caseload data'!$B:$B,"licence",'caseload data'!$A:$A,$B$81)</f>
        <v>0</v>
      </c>
      <c r="G83" s="106">
        <f>SUMIFS('caseload data'!I:I,'caseload data'!$B:$B,"licence",'caseload data'!$A:$A,$B$81)</f>
        <v>0</v>
      </c>
      <c r="H83" s="106">
        <f>SUMIFS('caseload data'!J:J,'caseload data'!$B:$B,"licence",'caseload data'!$A:$A,$B$81)</f>
        <v>0</v>
      </c>
      <c r="I83" s="106">
        <f>SUMIFS('caseload data'!K:K,'caseload data'!$B:$B,"licence",'caseload data'!$A:$A,$B$81)</f>
        <v>0</v>
      </c>
      <c r="J83" s="106">
        <f>SUMIFS('caseload data'!L:L,'caseload data'!$B:$B,"licence",'caseload data'!$A:$A,$B$81)</f>
        <v>0</v>
      </c>
      <c r="K83" s="106">
        <f>SUMIFS('caseload data'!M:M,'caseload data'!$B:$B,"licence",'caseload data'!$A:$A,$B$81)</f>
        <v>0</v>
      </c>
      <c r="L83" s="106">
        <f>SUMIFS('caseload data'!N:N,'caseload data'!$B:$B,"licence",'caseload data'!$A:$A,$B$81)</f>
        <v>0</v>
      </c>
      <c r="M83" s="106">
        <f>SUMIFS('caseload data'!O:O,'caseload data'!$B:$B,"licence",'caseload data'!$A:$A,$B$81)</f>
        <v>0</v>
      </c>
      <c r="N83" s="106">
        <f>SUMIFS('caseload data'!P:P,'caseload data'!$B:$B,"licence",'caseload data'!$A:$A,$B$81)</f>
        <v>0</v>
      </c>
      <c r="O83" s="106">
        <f>SUMIFS('caseload data'!Q:Q,'caseload data'!$B:$B,"licence",'caseload data'!$A:$A,$B$81)</f>
        <v>0</v>
      </c>
      <c r="P83" s="106">
        <f>SUMIFS('caseload data'!R:R,'caseload data'!$B:$B,"licence",'caseload data'!$A:$A,$B$81)</f>
        <v>0</v>
      </c>
      <c r="Q83" s="106">
        <f>SUMIFS('caseload data'!S:S,'caseload data'!$B:$B,"licence",'caseload data'!$A:$A,$B$81)</f>
        <v>0</v>
      </c>
      <c r="R83" s="106">
        <f>SUMIFS('caseload data'!T:T,'caseload data'!$B:$B,"licence",'caseload data'!$A:$A,$B$81)</f>
        <v>0</v>
      </c>
      <c r="S83" s="106">
        <f>SUMIFS('caseload data'!V:V,'caseload data'!A:A,B81,'caseload data'!B:B,"licence")</f>
        <v>0</v>
      </c>
    </row>
    <row r="84" spans="1:37" x14ac:dyDescent="0.15">
      <c r="B84" s="106" t="s">
        <v>316</v>
      </c>
      <c r="C84" s="106">
        <f>SUMIFS('caseload data'!E:E,'caseload data'!$B:$B,"community",'caseload data'!$A:$A,$B$81)</f>
        <v>0</v>
      </c>
      <c r="D84" s="106">
        <f>SUMIFS('caseload data'!F:F,'caseload data'!$B:$B,"community",'caseload data'!$A:$A,$B$81)</f>
        <v>0</v>
      </c>
      <c r="E84" s="106">
        <f>SUMIFS('caseload data'!G:G,'caseload data'!$B:$B,"community",'caseload data'!$A:$A,$B$81)</f>
        <v>0</v>
      </c>
      <c r="F84" s="106">
        <f>SUMIFS('caseload data'!H:H,'caseload data'!$B:$B,"community",'caseload data'!$A:$A,$B$81)</f>
        <v>0</v>
      </c>
      <c r="G84" s="106">
        <f>SUMIFS('caseload data'!I:I,'caseload data'!$B:$B,"community",'caseload data'!$A:$A,$B$81)</f>
        <v>0</v>
      </c>
      <c r="H84" s="106">
        <f>SUMIFS('caseload data'!J:J,'caseload data'!$B:$B,"community",'caseload data'!$A:$A,$B$81)</f>
        <v>0</v>
      </c>
      <c r="I84" s="106">
        <f>SUMIFS('caseload data'!K:K,'caseload data'!$B:$B,"community",'caseload data'!$A:$A,$B$81)</f>
        <v>0</v>
      </c>
      <c r="J84" s="106">
        <f>SUMIFS('caseload data'!L:L,'caseload data'!$B:$B,"community",'caseload data'!$A:$A,$B$81)</f>
        <v>0</v>
      </c>
      <c r="K84" s="106">
        <f>SUMIFS('caseload data'!M:M,'caseload data'!$B:$B,"community",'caseload data'!$A:$A,$B$81)</f>
        <v>0</v>
      </c>
      <c r="L84" s="106">
        <f>SUMIFS('caseload data'!N:N,'caseload data'!$B:$B,"community",'caseload data'!$A:$A,$B$81)</f>
        <v>0</v>
      </c>
      <c r="M84" s="106">
        <f>SUMIFS('caseload data'!O:O,'caseload data'!$B:$B,"community",'caseload data'!$A:$A,$B$81)</f>
        <v>0</v>
      </c>
      <c r="N84" s="106">
        <f>SUMIFS('caseload data'!P:P,'caseload data'!$B:$B,"community",'caseload data'!$A:$A,$B$81)</f>
        <v>0</v>
      </c>
      <c r="O84" s="106">
        <f>SUMIFS('caseload data'!Q:Q,'caseload data'!$B:$B,"community",'caseload data'!$A:$A,$B$81)</f>
        <v>0</v>
      </c>
      <c r="P84" s="106">
        <f>SUMIFS('caseload data'!R:R,'caseload data'!$B:$B,"community",'caseload data'!$A:$A,$B$81)</f>
        <v>0</v>
      </c>
      <c r="Q84" s="106">
        <f>SUMIFS('caseload data'!S:S,'caseload data'!$B:$B,"community",'caseload data'!$A:$A,$B$81)</f>
        <v>0</v>
      </c>
      <c r="R84" s="106">
        <f>SUMIFS('caseload data'!T:T,'caseload data'!$B:$B,"community",'caseload data'!$A:$A,$B$81)</f>
        <v>0</v>
      </c>
      <c r="S84" s="106">
        <f>SUMIFS('caseload data'!V:V,'caseload data'!A:A,B81,'caseload data'!B:B,"community")</f>
        <v>0</v>
      </c>
    </row>
    <row r="85" spans="1:37" x14ac:dyDescent="0.15">
      <c r="B85" s="143" t="s">
        <v>183</v>
      </c>
      <c r="C85" s="143">
        <f>SUMIF('caseload data'!$A:$A,$B$81,'caseload data'!E:E)</f>
        <v>0</v>
      </c>
      <c r="D85" s="143">
        <f>SUMIF('caseload data'!$A:$A,$B$81,'caseload data'!F:F)</f>
        <v>0</v>
      </c>
      <c r="E85" s="143">
        <f>SUMIF('caseload data'!$A:$A,$B$81,'caseload data'!G:G)</f>
        <v>0</v>
      </c>
      <c r="F85" s="143">
        <f>SUMIF('caseload data'!$A:$A,$B$81,'caseload data'!H:H)</f>
        <v>0</v>
      </c>
      <c r="G85" s="143">
        <f>SUMIF('caseload data'!$A:$A,$B$81,'caseload data'!I:I)</f>
        <v>0</v>
      </c>
      <c r="H85" s="143">
        <f>SUMIF('caseload data'!$A:$A,$B$81,'caseload data'!J:J)</f>
        <v>0</v>
      </c>
      <c r="I85" s="143">
        <f>SUMIF('caseload data'!$A:$A,$B$81,'caseload data'!K:K)</f>
        <v>0</v>
      </c>
      <c r="J85" s="143">
        <f>SUMIF('caseload data'!$A:$A,$B$81,'caseload data'!L:L)</f>
        <v>0</v>
      </c>
      <c r="K85" s="143">
        <f>SUMIF('caseload data'!$A:$A,$B$81,'caseload data'!M:M)</f>
        <v>0</v>
      </c>
      <c r="L85" s="143">
        <f>SUMIF('caseload data'!$A:$A,$B$81,'caseload data'!N:N)</f>
        <v>0</v>
      </c>
      <c r="M85" s="143">
        <f>SUMIF('caseload data'!$A:$A,$B$81,'caseload data'!O:O)</f>
        <v>0</v>
      </c>
      <c r="N85" s="143">
        <f>SUMIF('caseload data'!$A:$A,$B$81,'caseload data'!P:P)</f>
        <v>0</v>
      </c>
      <c r="O85" s="143">
        <f>SUMIF('caseload data'!$A:$A,$B$81,'caseload data'!Q:Q)</f>
        <v>0</v>
      </c>
      <c r="P85" s="143">
        <f>SUMIF('caseload data'!$A:$A,$B$81,'caseload data'!R:R)</f>
        <v>0</v>
      </c>
      <c r="Q85" s="143">
        <f>SUMIF('caseload data'!$A:$A,$B$81,'caseload data'!S:S)</f>
        <v>0</v>
      </c>
      <c r="R85" s="143">
        <f>SUMIF('caseload data'!$A:$A,$B$81,'caseload data'!T:T)</f>
        <v>0</v>
      </c>
      <c r="S85" s="143">
        <f>SUMIF('caseload data'!A:A,B81,'caseload data'!V:V)</f>
        <v>0</v>
      </c>
    </row>
    <row r="86" spans="1:37" x14ac:dyDescent="0.15">
      <c r="B86" s="82"/>
      <c r="C86" s="59"/>
      <c r="D86" s="59"/>
      <c r="E86" s="59"/>
      <c r="F86" s="59"/>
      <c r="G86" s="59"/>
      <c r="H86" s="59"/>
      <c r="I86" s="59"/>
      <c r="J86" s="59"/>
    </row>
    <row r="87" spans="1:37" ht="16" x14ac:dyDescent="0.2">
      <c r="B87" s="59"/>
      <c r="C87" s="297" t="s">
        <v>317</v>
      </c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</row>
    <row r="88" spans="1:37" x14ac:dyDescent="0.15">
      <c r="B88" s="125" t="str">
        <f>B5</f>
        <v>Wales</v>
      </c>
      <c r="C88" s="58" t="s">
        <v>504</v>
      </c>
      <c r="D88" s="58" t="s">
        <v>503</v>
      </c>
      <c r="E88" s="58" t="s">
        <v>502</v>
      </c>
      <c r="F88" s="58" t="s">
        <v>501</v>
      </c>
      <c r="G88" s="58" t="s">
        <v>510</v>
      </c>
      <c r="H88" s="58" t="s">
        <v>176</v>
      </c>
      <c r="I88" s="58" t="s">
        <v>177</v>
      </c>
      <c r="J88" s="58" t="s">
        <v>505</v>
      </c>
      <c r="K88" s="58" t="s">
        <v>507</v>
      </c>
      <c r="L88" s="58" t="s">
        <v>178</v>
      </c>
      <c r="M88" s="58" t="s">
        <v>179</v>
      </c>
      <c r="N88" s="58" t="s">
        <v>506</v>
      </c>
      <c r="O88" s="58" t="s">
        <v>508</v>
      </c>
      <c r="P88" s="58" t="s">
        <v>180</v>
      </c>
      <c r="Q88" s="58" t="s">
        <v>181</v>
      </c>
      <c r="R88" s="58" t="s">
        <v>509</v>
      </c>
    </row>
    <row r="89" spans="1:37" x14ac:dyDescent="0.15">
      <c r="B89" s="106" t="s">
        <v>314</v>
      </c>
      <c r="C89" s="128" t="e">
        <f t="shared" ref="C89:R89" si="0">C82/$S$82</f>
        <v>#DIV/0!</v>
      </c>
      <c r="D89" s="128" t="e">
        <f t="shared" si="0"/>
        <v>#DIV/0!</v>
      </c>
      <c r="E89" s="128" t="e">
        <f t="shared" si="0"/>
        <v>#DIV/0!</v>
      </c>
      <c r="F89" s="128" t="e">
        <f t="shared" si="0"/>
        <v>#DIV/0!</v>
      </c>
      <c r="G89" s="128" t="e">
        <f t="shared" si="0"/>
        <v>#DIV/0!</v>
      </c>
      <c r="H89" s="128" t="e">
        <f t="shared" si="0"/>
        <v>#DIV/0!</v>
      </c>
      <c r="I89" s="128" t="e">
        <f t="shared" si="0"/>
        <v>#DIV/0!</v>
      </c>
      <c r="J89" s="128" t="e">
        <f t="shared" si="0"/>
        <v>#DIV/0!</v>
      </c>
      <c r="K89" s="128" t="e">
        <f t="shared" si="0"/>
        <v>#DIV/0!</v>
      </c>
      <c r="L89" s="128" t="e">
        <f t="shared" si="0"/>
        <v>#DIV/0!</v>
      </c>
      <c r="M89" s="128" t="e">
        <f t="shared" si="0"/>
        <v>#DIV/0!</v>
      </c>
      <c r="N89" s="128" t="e">
        <f t="shared" si="0"/>
        <v>#DIV/0!</v>
      </c>
      <c r="O89" s="128" t="e">
        <f t="shared" si="0"/>
        <v>#DIV/0!</v>
      </c>
      <c r="P89" s="128" t="e">
        <f t="shared" si="0"/>
        <v>#DIV/0!</v>
      </c>
      <c r="Q89" s="128" t="e">
        <f t="shared" si="0"/>
        <v>#DIV/0!</v>
      </c>
      <c r="R89" s="128" t="e">
        <f t="shared" si="0"/>
        <v>#DIV/0!</v>
      </c>
    </row>
    <row r="90" spans="1:37" x14ac:dyDescent="0.15">
      <c r="B90" s="106" t="s">
        <v>315</v>
      </c>
      <c r="C90" s="97" t="e">
        <f t="shared" ref="C90:R90" si="1">C83/$S$83</f>
        <v>#DIV/0!</v>
      </c>
      <c r="D90" s="97" t="e">
        <f t="shared" si="1"/>
        <v>#DIV/0!</v>
      </c>
      <c r="E90" s="97" t="e">
        <f t="shared" si="1"/>
        <v>#DIV/0!</v>
      </c>
      <c r="F90" s="97" t="e">
        <f t="shared" si="1"/>
        <v>#DIV/0!</v>
      </c>
      <c r="G90" s="97" t="e">
        <f t="shared" si="1"/>
        <v>#DIV/0!</v>
      </c>
      <c r="H90" s="97" t="e">
        <f t="shared" si="1"/>
        <v>#DIV/0!</v>
      </c>
      <c r="I90" s="97" t="e">
        <f t="shared" si="1"/>
        <v>#DIV/0!</v>
      </c>
      <c r="J90" s="97" t="e">
        <f t="shared" si="1"/>
        <v>#DIV/0!</v>
      </c>
      <c r="K90" s="97" t="e">
        <f t="shared" si="1"/>
        <v>#DIV/0!</v>
      </c>
      <c r="L90" s="97" t="e">
        <f t="shared" si="1"/>
        <v>#DIV/0!</v>
      </c>
      <c r="M90" s="97" t="e">
        <f t="shared" si="1"/>
        <v>#DIV/0!</v>
      </c>
      <c r="N90" s="97" t="e">
        <f t="shared" si="1"/>
        <v>#DIV/0!</v>
      </c>
      <c r="O90" s="97" t="e">
        <f t="shared" si="1"/>
        <v>#DIV/0!</v>
      </c>
      <c r="P90" s="97" t="e">
        <f t="shared" si="1"/>
        <v>#DIV/0!</v>
      </c>
      <c r="Q90" s="97" t="e">
        <f t="shared" si="1"/>
        <v>#DIV/0!</v>
      </c>
      <c r="R90" s="97" t="e">
        <f t="shared" si="1"/>
        <v>#DIV/0!</v>
      </c>
    </row>
    <row r="91" spans="1:37" x14ac:dyDescent="0.15">
      <c r="B91" s="106" t="s">
        <v>316</v>
      </c>
      <c r="C91" s="97" t="e">
        <f t="shared" ref="C91:R91" si="2">C84/$S$84</f>
        <v>#DIV/0!</v>
      </c>
      <c r="D91" s="97" t="e">
        <f t="shared" si="2"/>
        <v>#DIV/0!</v>
      </c>
      <c r="E91" s="97" t="e">
        <f t="shared" si="2"/>
        <v>#DIV/0!</v>
      </c>
      <c r="F91" s="97" t="e">
        <f t="shared" si="2"/>
        <v>#DIV/0!</v>
      </c>
      <c r="G91" s="97" t="e">
        <f t="shared" si="2"/>
        <v>#DIV/0!</v>
      </c>
      <c r="H91" s="97" t="e">
        <f t="shared" si="2"/>
        <v>#DIV/0!</v>
      </c>
      <c r="I91" s="97" t="e">
        <f t="shared" si="2"/>
        <v>#DIV/0!</v>
      </c>
      <c r="J91" s="97" t="e">
        <f t="shared" si="2"/>
        <v>#DIV/0!</v>
      </c>
      <c r="K91" s="97" t="e">
        <f t="shared" si="2"/>
        <v>#DIV/0!</v>
      </c>
      <c r="L91" s="97" t="e">
        <f t="shared" si="2"/>
        <v>#DIV/0!</v>
      </c>
      <c r="M91" s="97" t="e">
        <f t="shared" si="2"/>
        <v>#DIV/0!</v>
      </c>
      <c r="N91" s="97" t="e">
        <f t="shared" si="2"/>
        <v>#DIV/0!</v>
      </c>
      <c r="O91" s="97" t="e">
        <f t="shared" si="2"/>
        <v>#DIV/0!</v>
      </c>
      <c r="P91" s="97" t="e">
        <f t="shared" si="2"/>
        <v>#DIV/0!</v>
      </c>
      <c r="Q91" s="97" t="e">
        <f t="shared" si="2"/>
        <v>#DIV/0!</v>
      </c>
      <c r="R91" s="97" t="e">
        <f t="shared" si="2"/>
        <v>#DIV/0!</v>
      </c>
    </row>
    <row r="92" spans="1:37" x14ac:dyDescent="0.15">
      <c r="B92" s="132" t="s">
        <v>183</v>
      </c>
      <c r="C92" s="132" t="e">
        <f>C85/$S$85</f>
        <v>#DIV/0!</v>
      </c>
      <c r="D92" s="132" t="e">
        <f t="shared" ref="D92:R92" si="3">D85/$S$85</f>
        <v>#DIV/0!</v>
      </c>
      <c r="E92" s="132" t="e">
        <f t="shared" si="3"/>
        <v>#DIV/0!</v>
      </c>
      <c r="F92" s="132" t="e">
        <f t="shared" si="3"/>
        <v>#DIV/0!</v>
      </c>
      <c r="G92" s="132" t="e">
        <f t="shared" si="3"/>
        <v>#DIV/0!</v>
      </c>
      <c r="H92" s="132" t="e">
        <f t="shared" si="3"/>
        <v>#DIV/0!</v>
      </c>
      <c r="I92" s="132" t="e">
        <f t="shared" si="3"/>
        <v>#DIV/0!</v>
      </c>
      <c r="J92" s="132" t="e">
        <f t="shared" si="3"/>
        <v>#DIV/0!</v>
      </c>
      <c r="K92" s="132" t="e">
        <f t="shared" si="3"/>
        <v>#DIV/0!</v>
      </c>
      <c r="L92" s="132" t="e">
        <f t="shared" si="3"/>
        <v>#DIV/0!</v>
      </c>
      <c r="M92" s="132" t="e">
        <f t="shared" si="3"/>
        <v>#DIV/0!</v>
      </c>
      <c r="N92" s="132" t="e">
        <f t="shared" si="3"/>
        <v>#DIV/0!</v>
      </c>
      <c r="O92" s="132" t="e">
        <f t="shared" si="3"/>
        <v>#DIV/0!</v>
      </c>
      <c r="P92" s="132" t="e">
        <f t="shared" si="3"/>
        <v>#DIV/0!</v>
      </c>
      <c r="Q92" s="132" t="e">
        <f t="shared" si="3"/>
        <v>#DIV/0!</v>
      </c>
      <c r="R92" s="132" t="e">
        <f t="shared" si="3"/>
        <v>#DIV/0!</v>
      </c>
    </row>
    <row r="93" spans="1:37" x14ac:dyDescent="0.1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U93" s="276" t="s">
        <v>319</v>
      </c>
      <c r="V93" s="277"/>
      <c r="W93" s="277"/>
      <c r="X93" s="277"/>
      <c r="Y93" s="277"/>
      <c r="Z93" s="277"/>
      <c r="AA93" s="277"/>
      <c r="AB93" s="277"/>
      <c r="AC93" s="277"/>
      <c r="AD93" s="277"/>
      <c r="AE93" s="277"/>
      <c r="AF93" s="277"/>
      <c r="AG93" s="277"/>
      <c r="AH93" s="277"/>
      <c r="AI93" s="277"/>
      <c r="AJ93" s="277"/>
      <c r="AK93" s="277"/>
    </row>
    <row r="94" spans="1:37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U94" s="60" t="s">
        <v>320</v>
      </c>
      <c r="V94" s="58" t="s">
        <v>504</v>
      </c>
      <c r="W94" s="58" t="s">
        <v>503</v>
      </c>
      <c r="X94" s="58" t="s">
        <v>502</v>
      </c>
      <c r="Y94" s="58" t="s">
        <v>501</v>
      </c>
      <c r="Z94" s="58" t="s">
        <v>510</v>
      </c>
      <c r="AA94" s="58" t="s">
        <v>176</v>
      </c>
      <c r="AB94" s="58" t="s">
        <v>177</v>
      </c>
      <c r="AC94" s="58" t="s">
        <v>505</v>
      </c>
      <c r="AD94" s="58" t="s">
        <v>507</v>
      </c>
      <c r="AE94" s="58" t="s">
        <v>178</v>
      </c>
      <c r="AF94" s="58" t="s">
        <v>179</v>
      </c>
      <c r="AG94" s="58" t="s">
        <v>506</v>
      </c>
      <c r="AH94" s="58" t="s">
        <v>508</v>
      </c>
      <c r="AI94" s="58" t="s">
        <v>180</v>
      </c>
      <c r="AJ94" s="58" t="s">
        <v>181</v>
      </c>
      <c r="AK94" s="58" t="s">
        <v>509</v>
      </c>
    </row>
    <row r="95" spans="1:37" x14ac:dyDescent="0.15">
      <c r="B95" s="82"/>
      <c r="C95" s="83"/>
      <c r="D95" s="83"/>
      <c r="E95" s="83"/>
      <c r="F95" s="83"/>
      <c r="G95" s="83"/>
      <c r="H95" s="83"/>
      <c r="I95" s="83"/>
      <c r="J95" s="59"/>
      <c r="U95" s="50" t="s">
        <v>184</v>
      </c>
      <c r="V95" s="25">
        <v>1</v>
      </c>
      <c r="W95" s="25">
        <v>1</v>
      </c>
      <c r="X95" s="25">
        <v>1</v>
      </c>
      <c r="Y95" s="25">
        <v>0.75</v>
      </c>
      <c r="Z95" s="25">
        <v>0.1</v>
      </c>
      <c r="AA95" s="25">
        <v>0</v>
      </c>
      <c r="AB95" s="25">
        <v>0</v>
      </c>
    </row>
    <row r="96" spans="1:37" x14ac:dyDescent="0.15">
      <c r="B96" s="82"/>
      <c r="C96" s="59"/>
      <c r="D96" s="59"/>
      <c r="E96" s="59"/>
      <c r="F96" s="59"/>
      <c r="G96" s="59"/>
      <c r="H96" s="59"/>
      <c r="I96" s="59"/>
      <c r="J96" s="59"/>
      <c r="U96" s="65" t="s">
        <v>321</v>
      </c>
      <c r="V96" s="25">
        <v>0</v>
      </c>
      <c r="W96" s="25">
        <v>0</v>
      </c>
      <c r="X96" s="25">
        <v>0</v>
      </c>
      <c r="Y96" s="25">
        <v>0.25</v>
      </c>
      <c r="Z96" s="25">
        <v>0.9</v>
      </c>
      <c r="AA96" s="25">
        <v>1</v>
      </c>
      <c r="AB96" s="25">
        <v>1</v>
      </c>
    </row>
    <row r="97" spans="2:37" x14ac:dyDescent="0.15">
      <c r="B97" s="82"/>
      <c r="C97" s="59"/>
      <c r="D97" s="59"/>
      <c r="E97" s="59"/>
      <c r="F97" s="59"/>
      <c r="G97" s="59"/>
      <c r="H97" s="59"/>
      <c r="I97" s="59"/>
      <c r="J97" s="59"/>
    </row>
    <row r="98" spans="2:37" x14ac:dyDescent="0.15">
      <c r="B98" s="76" t="str">
        <f>B5</f>
        <v>Wales</v>
      </c>
      <c r="C98" s="291" t="s">
        <v>322</v>
      </c>
      <c r="D98" s="292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292"/>
      <c r="Q98" s="292"/>
      <c r="R98" s="292"/>
      <c r="U98" s="76" t="str">
        <f>B5</f>
        <v>Wales</v>
      </c>
      <c r="V98" s="291" t="s">
        <v>323</v>
      </c>
      <c r="W98" s="292"/>
      <c r="X98" s="292"/>
      <c r="Y98" s="292"/>
      <c r="Z98" s="292"/>
      <c r="AA98" s="292"/>
      <c r="AB98" s="292"/>
      <c r="AC98" s="292"/>
      <c r="AD98" s="292"/>
      <c r="AE98" s="292"/>
      <c r="AF98" s="292"/>
      <c r="AG98" s="292"/>
      <c r="AH98" s="292"/>
      <c r="AI98" s="292"/>
      <c r="AJ98" s="292"/>
      <c r="AK98" s="292"/>
    </row>
    <row r="99" spans="2:37" x14ac:dyDescent="0.15">
      <c r="B99" s="127" t="s">
        <v>324</v>
      </c>
      <c r="C99" s="58" t="s">
        <v>504</v>
      </c>
      <c r="D99" s="58" t="s">
        <v>503</v>
      </c>
      <c r="E99" s="58" t="s">
        <v>502</v>
      </c>
      <c r="F99" s="58" t="s">
        <v>501</v>
      </c>
      <c r="G99" s="58" t="s">
        <v>510</v>
      </c>
      <c r="H99" s="58" t="s">
        <v>176</v>
      </c>
      <c r="I99" s="58" t="s">
        <v>177</v>
      </c>
      <c r="J99" s="58" t="s">
        <v>505</v>
      </c>
      <c r="K99" s="58" t="s">
        <v>507</v>
      </c>
      <c r="L99" s="58" t="s">
        <v>178</v>
      </c>
      <c r="M99" s="58" t="s">
        <v>179</v>
      </c>
      <c r="N99" s="58" t="s">
        <v>506</v>
      </c>
      <c r="O99" s="58" t="s">
        <v>508</v>
      </c>
      <c r="P99" s="58" t="s">
        <v>180</v>
      </c>
      <c r="Q99" s="58" t="s">
        <v>181</v>
      </c>
      <c r="R99" s="58" t="s">
        <v>509</v>
      </c>
      <c r="U99" s="127" t="s">
        <v>324</v>
      </c>
      <c r="V99" s="58" t="s">
        <v>504</v>
      </c>
      <c r="W99" s="58" t="s">
        <v>503</v>
      </c>
      <c r="X99" s="58" t="s">
        <v>502</v>
      </c>
      <c r="Y99" s="58" t="s">
        <v>501</v>
      </c>
      <c r="Z99" s="58" t="s">
        <v>510</v>
      </c>
      <c r="AA99" s="58" t="s">
        <v>176</v>
      </c>
      <c r="AB99" s="58" t="s">
        <v>177</v>
      </c>
      <c r="AC99" s="58" t="s">
        <v>505</v>
      </c>
      <c r="AD99" s="58" t="s">
        <v>507</v>
      </c>
      <c r="AE99" s="58" t="s">
        <v>178</v>
      </c>
      <c r="AF99" s="58" t="s">
        <v>179</v>
      </c>
      <c r="AG99" s="58" t="s">
        <v>506</v>
      </c>
      <c r="AH99" s="58" t="s">
        <v>508</v>
      </c>
      <c r="AI99" s="58" t="s">
        <v>180</v>
      </c>
      <c r="AJ99" s="58" t="s">
        <v>181</v>
      </c>
      <c r="AK99" s="58" t="s">
        <v>509</v>
      </c>
    </row>
    <row r="100" spans="2:37" x14ac:dyDescent="0.15">
      <c r="B100" s="129" t="s">
        <v>184</v>
      </c>
      <c r="C100" s="126">
        <f>SUMIFS('caseload data'!E:E,'caseload data'!$D:$D,"PO",'caseload data'!$A:$A,'divisional &amp; regional overview'!$B$98,'caseload data'!$B:$B,"community")</f>
        <v>0</v>
      </c>
      <c r="D100" s="126">
        <f>SUMIFS('caseload data'!F:F,'caseload data'!$D:$D,"PO",'caseload data'!$A:$A,'divisional &amp; regional overview'!$B$98,'caseload data'!$B:$B,"community")</f>
        <v>0</v>
      </c>
      <c r="E100" s="126">
        <f>SUMIFS('caseload data'!G:G,'caseload data'!$D:$D,"PO",'caseload data'!$A:$A,'divisional &amp; regional overview'!$B$98,'caseload data'!$B:$B,"community")</f>
        <v>0</v>
      </c>
      <c r="F100" s="126">
        <f>SUMIFS('caseload data'!H:H,'caseload data'!$D:$D,"PO",'caseload data'!$A:$A,'divisional &amp; regional overview'!$B$98,'caseload data'!$B:$B,"community")</f>
        <v>0</v>
      </c>
      <c r="G100" s="204">
        <f>SUMIFS('caseload data'!I:I,'caseload data'!$D:$D,"PO",'caseload data'!$A:$A,'divisional &amp; regional overview'!$B$98,'caseload data'!$B:$B,"community")</f>
        <v>0</v>
      </c>
      <c r="H100" s="204">
        <f>SUMIFS('caseload data'!J:J,'caseload data'!$D:$D,"PO",'caseload data'!$A:$A,'divisional &amp; regional overview'!$B$98,'caseload data'!$B:$B,"community")</f>
        <v>0</v>
      </c>
      <c r="I100" s="204">
        <f>SUMIFS('caseload data'!K:K,'caseload data'!$D:$D,"PO",'caseload data'!$A:$A,'divisional &amp; regional overview'!$B$98,'caseload data'!$B:$B,"community")</f>
        <v>0</v>
      </c>
      <c r="J100" s="204">
        <f>SUMIFS('caseload data'!L:L,'caseload data'!$D:$D,"PO",'caseload data'!$A:$A,'divisional &amp; regional overview'!$B$98,'caseload data'!$B:$B,"community")</f>
        <v>0</v>
      </c>
      <c r="K100" s="204">
        <f>SUMIFS('caseload data'!M:M,'caseload data'!$D:$D,"PO",'caseload data'!$A:$A,'divisional &amp; regional overview'!$B$98,'caseload data'!$B:$B,"community")</f>
        <v>0</v>
      </c>
      <c r="L100" s="204">
        <f>SUMIFS('caseload data'!N:N,'caseload data'!$D:$D,"PO",'caseload data'!$A:$A,'divisional &amp; regional overview'!$B$98,'caseload data'!$B:$B,"community")</f>
        <v>0</v>
      </c>
      <c r="M100" s="204">
        <f>SUMIFS('caseload data'!O:O,'caseload data'!$D:$D,"PO",'caseload data'!$A:$A,'divisional &amp; regional overview'!$B$98,'caseload data'!$B:$B,"community")</f>
        <v>0</v>
      </c>
      <c r="N100" s="204">
        <f>SUMIFS('caseload data'!P:P,'caseload data'!$D:$D,"PO",'caseload data'!$A:$A,'divisional &amp; regional overview'!$B$98,'caseload data'!$B:$B,"community")</f>
        <v>0</v>
      </c>
      <c r="O100" s="204">
        <f>SUMIFS('caseload data'!Q:Q,'caseload data'!$D:$D,"PO",'caseload data'!$A:$A,'divisional &amp; regional overview'!$B$98,'caseload data'!$B:$B,"community")</f>
        <v>0</v>
      </c>
      <c r="P100" s="204">
        <f>SUMIFS('caseload data'!R:R,'caseload data'!$D:$D,"PO",'caseload data'!$A:$A,'divisional &amp; regional overview'!$B$98,'caseload data'!$B:$B,"community")</f>
        <v>0</v>
      </c>
      <c r="Q100" s="204">
        <f>SUMIFS('caseload data'!S:S,'caseload data'!$D:$D,"PO",'caseload data'!$A:$A,'divisional &amp; regional overview'!$B$98,'caseload data'!$B:$B,"community")</f>
        <v>0</v>
      </c>
      <c r="R100" s="204">
        <f>SUMIFS('caseload data'!T:T,'caseload data'!$D:$D,"PO",'caseload data'!$A:$A,'divisional &amp; regional overview'!$B$98,'caseload data'!$B:$B,"community")</f>
        <v>0</v>
      </c>
      <c r="U100" s="129" t="s">
        <v>184</v>
      </c>
      <c r="V100" s="209" t="e">
        <f>C$100/SUM(C$100:C$103)</f>
        <v>#DIV/0!</v>
      </c>
      <c r="W100" s="209" t="e">
        <f t="shared" ref="W100:AK100" si="4">D$100/SUM(D$100:D$103)</f>
        <v>#DIV/0!</v>
      </c>
      <c r="X100" s="209" t="e">
        <f t="shared" si="4"/>
        <v>#DIV/0!</v>
      </c>
      <c r="Y100" s="209" t="e">
        <f t="shared" si="4"/>
        <v>#DIV/0!</v>
      </c>
      <c r="Z100" s="209" t="e">
        <f t="shared" si="4"/>
        <v>#DIV/0!</v>
      </c>
      <c r="AA100" s="209" t="e">
        <f t="shared" si="4"/>
        <v>#DIV/0!</v>
      </c>
      <c r="AB100" s="209" t="e">
        <f t="shared" si="4"/>
        <v>#DIV/0!</v>
      </c>
      <c r="AC100" s="209" t="e">
        <f t="shared" si="4"/>
        <v>#DIV/0!</v>
      </c>
      <c r="AD100" s="209" t="e">
        <f t="shared" si="4"/>
        <v>#DIV/0!</v>
      </c>
      <c r="AE100" s="209" t="e">
        <f t="shared" si="4"/>
        <v>#DIV/0!</v>
      </c>
      <c r="AF100" s="209" t="e">
        <f t="shared" si="4"/>
        <v>#DIV/0!</v>
      </c>
      <c r="AG100" s="209" t="e">
        <f t="shared" si="4"/>
        <v>#DIV/0!</v>
      </c>
      <c r="AH100" s="209" t="e">
        <f t="shared" si="4"/>
        <v>#DIV/0!</v>
      </c>
      <c r="AI100" s="209" t="e">
        <f t="shared" si="4"/>
        <v>#DIV/0!</v>
      </c>
      <c r="AJ100" s="209" t="e">
        <f t="shared" si="4"/>
        <v>#DIV/0!</v>
      </c>
      <c r="AK100" s="209" t="e">
        <f t="shared" si="4"/>
        <v>#DIV/0!</v>
      </c>
    </row>
    <row r="101" spans="2:37" x14ac:dyDescent="0.15">
      <c r="B101" s="130" t="s">
        <v>185</v>
      </c>
      <c r="C101" s="126">
        <f>SUMIFS('caseload data'!E:E,'caseload data'!$D:$D,"PSO",'caseload data'!$A:$A,'divisional &amp; regional overview'!$B$98,'caseload data'!$B:$B,"community")</f>
        <v>0</v>
      </c>
      <c r="D101" s="126">
        <f>SUMIFS('caseload data'!F:F,'caseload data'!$D:$D,"PSO",'caseload data'!$A:$A,'divisional &amp; regional overview'!$B$98,'caseload data'!$B:$B,"community")</f>
        <v>0</v>
      </c>
      <c r="E101" s="126">
        <f>SUMIFS('caseload data'!G:G,'caseload data'!$D:$D,"PSO",'caseload data'!$A:$A,'divisional &amp; regional overview'!$B$98,'caseload data'!$B:$B,"community")</f>
        <v>0</v>
      </c>
      <c r="F101" s="126">
        <f>SUMIFS('caseload data'!H:H,'caseload data'!$D:$D,"PSO",'caseload data'!$A:$A,'divisional &amp; regional overview'!$B$98,'caseload data'!$B:$B,"community")</f>
        <v>0</v>
      </c>
      <c r="G101" s="204">
        <f>SUMIFS('caseload data'!I:I,'caseload data'!$D:$D,"PSO",'caseload data'!$A:$A,'divisional &amp; regional overview'!$B$98,'caseload data'!$B:$B,"community")</f>
        <v>0</v>
      </c>
      <c r="H101" s="204">
        <f>SUMIFS('caseload data'!J:J,'caseload data'!$D:$D,"PSO",'caseload data'!$A:$A,'divisional &amp; regional overview'!$B$98,'caseload data'!$B:$B,"community")</f>
        <v>0</v>
      </c>
      <c r="I101" s="204">
        <f>SUMIFS('caseload data'!K:K,'caseload data'!$D:$D,"PSO",'caseload data'!$A:$A,'divisional &amp; regional overview'!$B$98,'caseload data'!$B:$B,"community")</f>
        <v>0</v>
      </c>
      <c r="J101" s="204">
        <f>SUMIFS('caseload data'!L:L,'caseload data'!$D:$D,"PSO",'caseload data'!$A:$A,'divisional &amp; regional overview'!$B$98,'caseload data'!$B:$B,"community")</f>
        <v>0</v>
      </c>
      <c r="K101" s="204">
        <f>SUMIFS('caseload data'!M:M,'caseload data'!$D:$D,"PSO",'caseload data'!$A:$A,'divisional &amp; regional overview'!$B$98,'caseload data'!$B:$B,"community")</f>
        <v>0</v>
      </c>
      <c r="L101" s="204">
        <f>SUMIFS('caseload data'!N:N,'caseload data'!$D:$D,"PSO",'caseload data'!$A:$A,'divisional &amp; regional overview'!$B$98,'caseload data'!$B:$B,"community")</f>
        <v>0</v>
      </c>
      <c r="M101" s="204">
        <f>SUMIFS('caseload data'!O:O,'caseload data'!$D:$D,"PSO",'caseload data'!$A:$A,'divisional &amp; regional overview'!$B$98,'caseload data'!$B:$B,"community")</f>
        <v>0</v>
      </c>
      <c r="N101" s="204">
        <f>SUMIFS('caseload data'!P:P,'caseload data'!$D:$D,"PSO",'caseload data'!$A:$A,'divisional &amp; regional overview'!$B$98,'caseload data'!$B:$B,"community")</f>
        <v>0</v>
      </c>
      <c r="O101" s="204">
        <f>SUMIFS('caseload data'!Q:Q,'caseload data'!$D:$D,"PSO",'caseload data'!$A:$A,'divisional &amp; regional overview'!$B$98,'caseload data'!$B:$B,"community")</f>
        <v>0</v>
      </c>
      <c r="P101" s="204">
        <f>SUMIFS('caseload data'!R:R,'caseload data'!$D:$D,"PSO",'caseload data'!$A:$A,'divisional &amp; regional overview'!$B$98,'caseload data'!$B:$B,"community")</f>
        <v>0</v>
      </c>
      <c r="Q101" s="204">
        <f>SUMIFS('caseload data'!S:S,'caseload data'!$D:$D,"PSO",'caseload data'!$A:$A,'divisional &amp; regional overview'!$B$98,'caseload data'!$B:$B,"community")</f>
        <v>0</v>
      </c>
      <c r="R101" s="204">
        <f>SUMIFS('caseload data'!T:T,'caseload data'!$D:$D,"PSO",'caseload data'!$A:$A,'divisional &amp; regional overview'!$B$98,'caseload data'!$B:$B,"community")</f>
        <v>0</v>
      </c>
      <c r="U101" s="130" t="s">
        <v>185</v>
      </c>
      <c r="V101" s="209" t="e">
        <f>C$101/SUM(C$100:C$103)</f>
        <v>#DIV/0!</v>
      </c>
      <c r="W101" s="209" t="e">
        <f t="shared" ref="W101:AK101" si="5">D$101/SUM(D$100:D$103)</f>
        <v>#DIV/0!</v>
      </c>
      <c r="X101" s="209" t="e">
        <f t="shared" si="5"/>
        <v>#DIV/0!</v>
      </c>
      <c r="Y101" s="209" t="e">
        <f t="shared" si="5"/>
        <v>#DIV/0!</v>
      </c>
      <c r="Z101" s="209" t="e">
        <f t="shared" si="5"/>
        <v>#DIV/0!</v>
      </c>
      <c r="AA101" s="209" t="e">
        <f t="shared" si="5"/>
        <v>#DIV/0!</v>
      </c>
      <c r="AB101" s="209" t="e">
        <f t="shared" si="5"/>
        <v>#DIV/0!</v>
      </c>
      <c r="AC101" s="209" t="e">
        <f t="shared" si="5"/>
        <v>#DIV/0!</v>
      </c>
      <c r="AD101" s="209" t="e">
        <f t="shared" si="5"/>
        <v>#DIV/0!</v>
      </c>
      <c r="AE101" s="209" t="e">
        <f t="shared" si="5"/>
        <v>#DIV/0!</v>
      </c>
      <c r="AF101" s="209" t="e">
        <f t="shared" si="5"/>
        <v>#DIV/0!</v>
      </c>
      <c r="AG101" s="209" t="e">
        <f t="shared" si="5"/>
        <v>#DIV/0!</v>
      </c>
      <c r="AH101" s="209" t="e">
        <f t="shared" si="5"/>
        <v>#DIV/0!</v>
      </c>
      <c r="AI101" s="209" t="e">
        <f t="shared" si="5"/>
        <v>#DIV/0!</v>
      </c>
      <c r="AJ101" s="209" t="e">
        <f t="shared" si="5"/>
        <v>#DIV/0!</v>
      </c>
      <c r="AK101" s="209" t="e">
        <f t="shared" si="5"/>
        <v>#DIV/0!</v>
      </c>
    </row>
    <row r="102" spans="2:37" x14ac:dyDescent="0.15">
      <c r="B102" s="130" t="s">
        <v>186</v>
      </c>
      <c r="C102" s="126">
        <f>SUMIFS('caseload data'!E:E,'caseload data'!$D:$D,"TPO",'caseload data'!$A:$A,'divisional &amp; regional overview'!$B$98,'caseload data'!$B:$B,"community")</f>
        <v>0</v>
      </c>
      <c r="D102" s="126">
        <f>SUMIFS('caseload data'!F:F,'caseload data'!$D:$D,"TPO",'caseload data'!$A:$A,'divisional &amp; regional overview'!$B$98,'caseload data'!$B:$B,"community")</f>
        <v>0</v>
      </c>
      <c r="E102" s="126">
        <f>SUMIFS('caseload data'!G:G,'caseload data'!$D:$D,"TPO",'caseload data'!$A:$A,'divisional &amp; regional overview'!$B$98,'caseload data'!$B:$B,"community")</f>
        <v>0</v>
      </c>
      <c r="F102" s="126">
        <f>SUMIFS('caseload data'!H:H,'caseload data'!$D:$D,"TPO",'caseload data'!$A:$A,'divisional &amp; regional overview'!$B$98,'caseload data'!$B:$B,"community")</f>
        <v>0</v>
      </c>
      <c r="G102" s="204">
        <f>SUMIFS('caseload data'!I:I,'caseload data'!$D:$D,"TPO",'caseload data'!$A:$A,'divisional &amp; regional overview'!$B$98,'caseload data'!$B:$B,"community")</f>
        <v>0</v>
      </c>
      <c r="H102" s="204">
        <f>SUMIFS('caseload data'!J:J,'caseload data'!$D:$D,"TPO",'caseload data'!$A:$A,'divisional &amp; regional overview'!$B$98,'caseload data'!$B:$B,"community")</f>
        <v>0</v>
      </c>
      <c r="I102" s="204">
        <f>SUMIFS('caseload data'!K:K,'caseload data'!$D:$D,"TPO",'caseload data'!$A:$A,'divisional &amp; regional overview'!$B$98,'caseload data'!$B:$B,"community")</f>
        <v>0</v>
      </c>
      <c r="J102" s="204">
        <f>SUMIFS('caseload data'!L:L,'caseload data'!$D:$D,"TPO",'caseload data'!$A:$A,'divisional &amp; regional overview'!$B$98,'caseload data'!$B:$B,"community")</f>
        <v>0</v>
      </c>
      <c r="K102" s="204">
        <f>SUMIFS('caseload data'!M:M,'caseload data'!$D:$D,"TPO",'caseload data'!$A:$A,'divisional &amp; regional overview'!$B$98,'caseload data'!$B:$B,"community")</f>
        <v>0</v>
      </c>
      <c r="L102" s="204">
        <f>SUMIFS('caseload data'!N:N,'caseload data'!$D:$D,"TPO",'caseload data'!$A:$A,'divisional &amp; regional overview'!$B$98,'caseload data'!$B:$B,"community")</f>
        <v>0</v>
      </c>
      <c r="M102" s="204">
        <f>SUMIFS('caseload data'!O:O,'caseload data'!$D:$D,"TPO",'caseload data'!$A:$A,'divisional &amp; regional overview'!$B$98,'caseload data'!$B:$B,"community")</f>
        <v>0</v>
      </c>
      <c r="N102" s="204">
        <f>SUMIFS('caseload data'!P:P,'caseload data'!$D:$D,"TPO",'caseload data'!$A:$A,'divisional &amp; regional overview'!$B$98,'caseload data'!$B:$B,"community")</f>
        <v>0</v>
      </c>
      <c r="O102" s="204">
        <f>SUMIFS('caseload data'!Q:Q,'caseload data'!$D:$D,"TPO",'caseload data'!$A:$A,'divisional &amp; regional overview'!$B$98,'caseload data'!$B:$B,"community")</f>
        <v>0</v>
      </c>
      <c r="P102" s="204">
        <f>SUMIFS('caseload data'!R:R,'caseload data'!$D:$D,"TPO",'caseload data'!$A:$A,'divisional &amp; regional overview'!$B$98,'caseload data'!$B:$B,"community")</f>
        <v>0</v>
      </c>
      <c r="Q102" s="204">
        <f>SUMIFS('caseload data'!S:S,'caseload data'!$D:$D,"TPO",'caseload data'!$A:$A,'divisional &amp; regional overview'!$B$98,'caseload data'!$B:$B,"community")</f>
        <v>0</v>
      </c>
      <c r="R102" s="204">
        <f>SUMIFS('caseload data'!T:T,'caseload data'!$D:$D,"TPO",'caseload data'!$A:$A,'divisional &amp; regional overview'!$B$98,'caseload data'!$B:$B,"community")</f>
        <v>0</v>
      </c>
      <c r="U102" s="130" t="s">
        <v>186</v>
      </c>
      <c r="V102" s="209" t="e">
        <f>C$102/SUM(C$100:C$103)</f>
        <v>#DIV/0!</v>
      </c>
      <c r="W102" s="209" t="e">
        <f t="shared" ref="W102:AK102" si="6">D$102/SUM(D$100:D$103)</f>
        <v>#DIV/0!</v>
      </c>
      <c r="X102" s="209" t="e">
        <f t="shared" si="6"/>
        <v>#DIV/0!</v>
      </c>
      <c r="Y102" s="209" t="e">
        <f t="shared" si="6"/>
        <v>#DIV/0!</v>
      </c>
      <c r="Z102" s="209" t="e">
        <f t="shared" si="6"/>
        <v>#DIV/0!</v>
      </c>
      <c r="AA102" s="209" t="e">
        <f t="shared" si="6"/>
        <v>#DIV/0!</v>
      </c>
      <c r="AB102" s="209" t="e">
        <f t="shared" si="6"/>
        <v>#DIV/0!</v>
      </c>
      <c r="AC102" s="209" t="e">
        <f t="shared" si="6"/>
        <v>#DIV/0!</v>
      </c>
      <c r="AD102" s="209" t="e">
        <f t="shared" si="6"/>
        <v>#DIV/0!</v>
      </c>
      <c r="AE102" s="209" t="e">
        <f t="shared" si="6"/>
        <v>#DIV/0!</v>
      </c>
      <c r="AF102" s="209" t="e">
        <f t="shared" si="6"/>
        <v>#DIV/0!</v>
      </c>
      <c r="AG102" s="209" t="e">
        <f t="shared" si="6"/>
        <v>#DIV/0!</v>
      </c>
      <c r="AH102" s="209" t="e">
        <f t="shared" si="6"/>
        <v>#DIV/0!</v>
      </c>
      <c r="AI102" s="209" t="e">
        <f t="shared" si="6"/>
        <v>#DIV/0!</v>
      </c>
      <c r="AJ102" s="209" t="e">
        <f t="shared" si="6"/>
        <v>#DIV/0!</v>
      </c>
      <c r="AK102" s="209" t="e">
        <f t="shared" si="6"/>
        <v>#DIV/0!</v>
      </c>
    </row>
    <row r="103" spans="2:37" x14ac:dyDescent="0.15">
      <c r="B103" s="131" t="s">
        <v>187</v>
      </c>
      <c r="C103" s="126">
        <f>SUMIFS('caseload data'!E:E,'caseload data'!$D:$D,"SPO",'caseload data'!$A:$A,'divisional &amp; regional overview'!$B$98,'caseload data'!$B:$B,"community")</f>
        <v>0</v>
      </c>
      <c r="D103" s="126">
        <f>SUMIFS('caseload data'!F:F,'caseload data'!$D:$D,"SPO",'caseload data'!$A:$A,'divisional &amp; regional overview'!$B$98,'caseload data'!$B:$B,"community")</f>
        <v>0</v>
      </c>
      <c r="E103" s="126">
        <f>SUMIFS('caseload data'!G:G,'caseload data'!$D:$D,"SPO",'caseload data'!$A:$A,'divisional &amp; regional overview'!$B$98,'caseload data'!$B:$B,"community")</f>
        <v>0</v>
      </c>
      <c r="F103" s="126">
        <f>SUMIFS('caseload data'!H:H,'caseload data'!$D:$D,"SPO",'caseload data'!$A:$A,'divisional &amp; regional overview'!$B$98,'caseload data'!$B:$B,"community")</f>
        <v>0</v>
      </c>
      <c r="G103" s="204">
        <f>SUMIFS('caseload data'!I:I,'caseload data'!$D:$D,"SPO",'caseload data'!$A:$A,'divisional &amp; regional overview'!$B$98,'caseload data'!$B:$B,"community")</f>
        <v>0</v>
      </c>
      <c r="H103" s="204">
        <f>SUMIFS('caseload data'!J:J,'caseload data'!$D:$D,"SPO",'caseload data'!$A:$A,'divisional &amp; regional overview'!$B$98,'caseload data'!$B:$B,"community")</f>
        <v>0</v>
      </c>
      <c r="I103" s="204">
        <f>SUMIFS('caseload data'!K:K,'caseload data'!$D:$D,"SPO",'caseload data'!$A:$A,'divisional &amp; regional overview'!$B$98,'caseload data'!$B:$B,"community")</f>
        <v>0</v>
      </c>
      <c r="J103" s="204">
        <f>SUMIFS('caseload data'!L:L,'caseload data'!$D:$D,"SPO",'caseload data'!$A:$A,'divisional &amp; regional overview'!$B$98,'caseload data'!$B:$B,"community")</f>
        <v>0</v>
      </c>
      <c r="K103" s="204">
        <f>SUMIFS('caseload data'!M:M,'caseload data'!$D:$D,"SPO",'caseload data'!$A:$A,'divisional &amp; regional overview'!$B$98,'caseload data'!$B:$B,"community")</f>
        <v>0</v>
      </c>
      <c r="L103" s="204">
        <f>SUMIFS('caseload data'!N:N,'caseload data'!$D:$D,"SPO",'caseload data'!$A:$A,'divisional &amp; regional overview'!$B$98,'caseload data'!$B:$B,"community")</f>
        <v>0</v>
      </c>
      <c r="M103" s="204">
        <f>SUMIFS('caseload data'!O:O,'caseload data'!$D:$D,"SPO",'caseload data'!$A:$A,'divisional &amp; regional overview'!$B$98,'caseload data'!$B:$B,"community")</f>
        <v>0</v>
      </c>
      <c r="N103" s="204">
        <f>SUMIFS('caseload data'!P:P,'caseload data'!$D:$D,"SPO",'caseload data'!$A:$A,'divisional &amp; regional overview'!$B$98,'caseload data'!$B:$B,"community")</f>
        <v>0</v>
      </c>
      <c r="O103" s="204">
        <f>SUMIFS('caseload data'!Q:Q,'caseload data'!$D:$D,"SPO",'caseload data'!$A:$A,'divisional &amp; regional overview'!$B$98,'caseload data'!$B:$B,"community")</f>
        <v>0</v>
      </c>
      <c r="P103" s="204">
        <f>SUMIFS('caseload data'!R:R,'caseload data'!$D:$D,"SPO",'caseload data'!$A:$A,'divisional &amp; regional overview'!$B$98,'caseload data'!$B:$B,"community")</f>
        <v>0</v>
      </c>
      <c r="Q103" s="204">
        <f>SUMIFS('caseload data'!S:S,'caseload data'!$D:$D,"SPO",'caseload data'!$A:$A,'divisional &amp; regional overview'!$B$98,'caseload data'!$B:$B,"community")</f>
        <v>0</v>
      </c>
      <c r="R103" s="204">
        <f>SUMIFS('caseload data'!T:T,'caseload data'!$D:$D,"SPO",'caseload data'!$A:$A,'divisional &amp; regional overview'!$B$98,'caseload data'!$B:$B,"community")</f>
        <v>0</v>
      </c>
      <c r="U103" s="131" t="s">
        <v>187</v>
      </c>
      <c r="V103" s="209" t="e">
        <f>C$103/SUM(C$100:C$103)</f>
        <v>#DIV/0!</v>
      </c>
      <c r="W103" s="209" t="e">
        <f t="shared" ref="W103:AK103" si="7">D$103/SUM(D$100:D$103)</f>
        <v>#DIV/0!</v>
      </c>
      <c r="X103" s="209" t="e">
        <f t="shared" si="7"/>
        <v>#DIV/0!</v>
      </c>
      <c r="Y103" s="209" t="e">
        <f t="shared" si="7"/>
        <v>#DIV/0!</v>
      </c>
      <c r="Z103" s="209" t="e">
        <f t="shared" si="7"/>
        <v>#DIV/0!</v>
      </c>
      <c r="AA103" s="209" t="e">
        <f t="shared" si="7"/>
        <v>#DIV/0!</v>
      </c>
      <c r="AB103" s="209" t="e">
        <f t="shared" si="7"/>
        <v>#DIV/0!</v>
      </c>
      <c r="AC103" s="209" t="e">
        <f t="shared" si="7"/>
        <v>#DIV/0!</v>
      </c>
      <c r="AD103" s="209" t="e">
        <f t="shared" si="7"/>
        <v>#DIV/0!</v>
      </c>
      <c r="AE103" s="209" t="e">
        <f t="shared" si="7"/>
        <v>#DIV/0!</v>
      </c>
      <c r="AF103" s="209" t="e">
        <f t="shared" si="7"/>
        <v>#DIV/0!</v>
      </c>
      <c r="AG103" s="209" t="e">
        <f t="shared" si="7"/>
        <v>#DIV/0!</v>
      </c>
      <c r="AH103" s="209" t="e">
        <f t="shared" si="7"/>
        <v>#DIV/0!</v>
      </c>
      <c r="AI103" s="209" t="e">
        <f t="shared" si="7"/>
        <v>#DIV/0!</v>
      </c>
      <c r="AJ103" s="209" t="e">
        <f t="shared" si="7"/>
        <v>#DIV/0!</v>
      </c>
      <c r="AK103" s="209" t="e">
        <f t="shared" si="7"/>
        <v>#DIV/0!</v>
      </c>
    </row>
    <row r="104" spans="2:37" x14ac:dyDescent="0.15">
      <c r="B104" s="32"/>
    </row>
    <row r="105" spans="2:37" x14ac:dyDescent="0.15">
      <c r="B105" s="76" t="str">
        <f>B5</f>
        <v>Wales</v>
      </c>
      <c r="C105" s="291" t="s">
        <v>325</v>
      </c>
      <c r="D105" s="292"/>
      <c r="E105" s="292"/>
      <c r="F105" s="292"/>
      <c r="G105" s="292"/>
      <c r="H105" s="292"/>
      <c r="I105" s="292"/>
      <c r="J105" s="292"/>
      <c r="K105" s="292"/>
      <c r="L105" s="292"/>
      <c r="M105" s="292"/>
      <c r="N105" s="292"/>
      <c r="O105" s="292"/>
      <c r="P105" s="292"/>
      <c r="Q105" s="292"/>
      <c r="R105" s="292"/>
      <c r="S105" s="61"/>
      <c r="U105" s="76" t="str">
        <f>B5</f>
        <v>Wales</v>
      </c>
      <c r="V105" s="291" t="s">
        <v>326</v>
      </c>
      <c r="W105" s="292"/>
      <c r="X105" s="292"/>
      <c r="Y105" s="292"/>
      <c r="Z105" s="292"/>
      <c r="AA105" s="292"/>
      <c r="AB105" s="292"/>
      <c r="AC105" s="292"/>
      <c r="AD105" s="292"/>
      <c r="AE105" s="292"/>
      <c r="AF105" s="292"/>
      <c r="AG105" s="292"/>
      <c r="AH105" s="292"/>
      <c r="AI105" s="292"/>
      <c r="AJ105" s="292"/>
      <c r="AK105" s="292"/>
    </row>
    <row r="106" spans="2:37" x14ac:dyDescent="0.15">
      <c r="B106" s="127" t="s">
        <v>324</v>
      </c>
      <c r="C106" s="58" t="s">
        <v>504</v>
      </c>
      <c r="D106" s="58" t="s">
        <v>503</v>
      </c>
      <c r="E106" s="58" t="s">
        <v>502</v>
      </c>
      <c r="F106" s="58" t="s">
        <v>501</v>
      </c>
      <c r="G106" s="58" t="s">
        <v>510</v>
      </c>
      <c r="H106" s="58" t="s">
        <v>176</v>
      </c>
      <c r="I106" s="58" t="s">
        <v>177</v>
      </c>
      <c r="J106" s="58" t="s">
        <v>505</v>
      </c>
      <c r="K106" s="58" t="s">
        <v>507</v>
      </c>
      <c r="L106" s="58" t="s">
        <v>178</v>
      </c>
      <c r="M106" s="58" t="s">
        <v>179</v>
      </c>
      <c r="N106" s="58" t="s">
        <v>506</v>
      </c>
      <c r="O106" s="58" t="s">
        <v>508</v>
      </c>
      <c r="P106" s="58" t="s">
        <v>180</v>
      </c>
      <c r="Q106" s="58" t="s">
        <v>181</v>
      </c>
      <c r="R106" s="58" t="s">
        <v>509</v>
      </c>
      <c r="S106" s="61"/>
      <c r="U106" s="127" t="s">
        <v>324</v>
      </c>
      <c r="V106" s="58" t="s">
        <v>504</v>
      </c>
      <c r="W106" s="58" t="s">
        <v>503</v>
      </c>
      <c r="X106" s="58" t="s">
        <v>502</v>
      </c>
      <c r="Y106" s="58" t="s">
        <v>501</v>
      </c>
      <c r="Z106" s="58" t="s">
        <v>510</v>
      </c>
      <c r="AA106" s="58" t="s">
        <v>176</v>
      </c>
      <c r="AB106" s="58" t="s">
        <v>177</v>
      </c>
      <c r="AC106" s="58" t="s">
        <v>505</v>
      </c>
      <c r="AD106" s="58" t="s">
        <v>507</v>
      </c>
      <c r="AE106" s="58" t="s">
        <v>178</v>
      </c>
      <c r="AF106" s="58" t="s">
        <v>179</v>
      </c>
      <c r="AG106" s="58" t="s">
        <v>506</v>
      </c>
      <c r="AH106" s="58" t="s">
        <v>508</v>
      </c>
      <c r="AI106" s="58" t="s">
        <v>180</v>
      </c>
      <c r="AJ106" s="58" t="s">
        <v>181</v>
      </c>
      <c r="AK106" s="58" t="s">
        <v>509</v>
      </c>
    </row>
    <row r="107" spans="2:37" x14ac:dyDescent="0.15">
      <c r="B107" s="129" t="s">
        <v>184</v>
      </c>
      <c r="C107" s="126">
        <f>SUMIFS('caseload data'!E:E,'caseload data'!$D:$D,"PO",'caseload data'!$A:$A,'divisional &amp; regional overview'!$B$98,'caseload data'!$B:$B,"licence")</f>
        <v>0</v>
      </c>
      <c r="D107" s="126">
        <f>SUMIFS('caseload data'!F:F,'caseload data'!$D:$D,"PO",'caseload data'!$A:$A,'divisional &amp; regional overview'!$B$98,'caseload data'!$B:$B,"licence")</f>
        <v>0</v>
      </c>
      <c r="E107" s="126">
        <f>SUMIFS('caseload data'!G:G,'caseload data'!$D:$D,"PO",'caseload data'!$A:$A,'divisional &amp; regional overview'!$B$98,'caseload data'!$B:$B,"licence")</f>
        <v>0</v>
      </c>
      <c r="F107" s="126">
        <f>SUMIFS('caseload data'!H:H,'caseload data'!$D:$D,"PO",'caseload data'!$A:$A,'divisional &amp; regional overview'!$B$98,'caseload data'!$B:$B,"licence")</f>
        <v>0</v>
      </c>
      <c r="G107" s="204">
        <f>SUMIFS('caseload data'!I:I,'caseload data'!$D:$D,"PO",'caseload data'!$A:$A,'divisional &amp; regional overview'!$B$98,'caseload data'!$B:$B,"licence")</f>
        <v>0</v>
      </c>
      <c r="H107" s="204">
        <f>SUMIFS('caseload data'!J:J,'caseload data'!$D:$D,"PO",'caseload data'!$A:$A,'divisional &amp; regional overview'!$B$98,'caseload data'!$B:$B,"licence")</f>
        <v>0</v>
      </c>
      <c r="I107" s="204">
        <f>SUMIFS('caseload data'!K:K,'caseload data'!$D:$D,"PO",'caseload data'!$A:$A,'divisional &amp; regional overview'!$B$98,'caseload data'!$B:$B,"licence")</f>
        <v>0</v>
      </c>
      <c r="J107" s="204">
        <f>SUMIFS('caseload data'!L:L,'caseload data'!$D:$D,"PO",'caseload data'!$A:$A,'divisional &amp; regional overview'!$B$98,'caseload data'!$B:$B,"licence")</f>
        <v>0</v>
      </c>
      <c r="K107" s="204">
        <f>SUMIFS('caseload data'!M:M,'caseload data'!$D:$D,"PO",'caseload data'!$A:$A,'divisional &amp; regional overview'!$B$98,'caseload data'!$B:$B,"licence")</f>
        <v>0</v>
      </c>
      <c r="L107" s="204">
        <f>SUMIFS('caseload data'!N:N,'caseload data'!$D:$D,"PO",'caseload data'!$A:$A,'divisional &amp; regional overview'!$B$98,'caseload data'!$B:$B,"licence")</f>
        <v>0</v>
      </c>
      <c r="M107" s="204">
        <f>SUMIFS('caseload data'!O:O,'caseload data'!$D:$D,"PO",'caseload data'!$A:$A,'divisional &amp; regional overview'!$B$98,'caseload data'!$B:$B,"licence")</f>
        <v>0</v>
      </c>
      <c r="N107" s="204">
        <f>SUMIFS('caseload data'!P:P,'caseload data'!$D:$D,"PO",'caseload data'!$A:$A,'divisional &amp; regional overview'!$B$98,'caseload data'!$B:$B,"licence")</f>
        <v>0</v>
      </c>
      <c r="O107" s="204">
        <f>SUMIFS('caseload data'!Q:Q,'caseload data'!$D:$D,"PO",'caseload data'!$A:$A,'divisional &amp; regional overview'!$B$98,'caseload data'!$B:$B,"licence")</f>
        <v>0</v>
      </c>
      <c r="P107" s="204">
        <f>SUMIFS('caseload data'!R:R,'caseload data'!$D:$D,"PO",'caseload data'!$A:$A,'divisional &amp; regional overview'!$B$98,'caseload data'!$B:$B,"licence")</f>
        <v>0</v>
      </c>
      <c r="Q107" s="204">
        <f>SUMIFS('caseload data'!S:S,'caseload data'!$D:$D,"PO",'caseload data'!$A:$A,'divisional &amp; regional overview'!$B$98,'caseload data'!$B:$B,"licence")</f>
        <v>0</v>
      </c>
      <c r="R107" s="204">
        <f>SUMIFS('caseload data'!T:T,'caseload data'!$D:$D,"PO",'caseload data'!$A:$A,'divisional &amp; regional overview'!$B$98,'caseload data'!$B:$B,"licence")</f>
        <v>0</v>
      </c>
      <c r="U107" s="129" t="s">
        <v>184</v>
      </c>
      <c r="V107" s="209" t="e">
        <f>C$107/SUM(C$107:C$110)</f>
        <v>#DIV/0!</v>
      </c>
      <c r="W107" s="209" t="e">
        <f t="shared" ref="W107:AK107" si="8">D$107/SUM(D$107:D$110)</f>
        <v>#DIV/0!</v>
      </c>
      <c r="X107" s="209" t="e">
        <f t="shared" si="8"/>
        <v>#DIV/0!</v>
      </c>
      <c r="Y107" s="209" t="e">
        <f t="shared" si="8"/>
        <v>#DIV/0!</v>
      </c>
      <c r="Z107" s="209" t="e">
        <f t="shared" si="8"/>
        <v>#DIV/0!</v>
      </c>
      <c r="AA107" s="209" t="e">
        <f t="shared" si="8"/>
        <v>#DIV/0!</v>
      </c>
      <c r="AB107" s="209" t="e">
        <f t="shared" si="8"/>
        <v>#DIV/0!</v>
      </c>
      <c r="AC107" s="209" t="e">
        <f t="shared" si="8"/>
        <v>#DIV/0!</v>
      </c>
      <c r="AD107" s="209" t="e">
        <f t="shared" si="8"/>
        <v>#DIV/0!</v>
      </c>
      <c r="AE107" s="209" t="e">
        <f t="shared" si="8"/>
        <v>#DIV/0!</v>
      </c>
      <c r="AF107" s="209" t="e">
        <f t="shared" si="8"/>
        <v>#DIV/0!</v>
      </c>
      <c r="AG107" s="209" t="e">
        <f t="shared" si="8"/>
        <v>#DIV/0!</v>
      </c>
      <c r="AH107" s="209" t="e">
        <f t="shared" si="8"/>
        <v>#DIV/0!</v>
      </c>
      <c r="AI107" s="209" t="e">
        <f t="shared" si="8"/>
        <v>#DIV/0!</v>
      </c>
      <c r="AJ107" s="209" t="e">
        <f t="shared" si="8"/>
        <v>#DIV/0!</v>
      </c>
      <c r="AK107" s="209" t="e">
        <f t="shared" si="8"/>
        <v>#DIV/0!</v>
      </c>
    </row>
    <row r="108" spans="2:37" x14ac:dyDescent="0.15">
      <c r="B108" s="130" t="s">
        <v>185</v>
      </c>
      <c r="C108" s="126">
        <f>SUMIFS('caseload data'!E:E,'caseload data'!$D:$D,"PSO",'caseload data'!$A:$A,'divisional &amp; regional overview'!$B$98,'caseload data'!$B:$B,"licence")</f>
        <v>0</v>
      </c>
      <c r="D108" s="126">
        <f>SUMIFS('caseload data'!F:F,'caseload data'!$D:$D,"PSO",'caseload data'!$A:$A,'divisional &amp; regional overview'!$B$98,'caseload data'!$B:$B,"licence")</f>
        <v>0</v>
      </c>
      <c r="E108" s="126">
        <f>SUMIFS('caseload data'!G:G,'caseload data'!$D:$D,"PSO",'caseload data'!$A:$A,'divisional &amp; regional overview'!$B$98,'caseload data'!$B:$B,"licence")</f>
        <v>0</v>
      </c>
      <c r="F108" s="126">
        <f>SUMIFS('caseload data'!H:H,'caseload data'!$D:$D,"PSO",'caseload data'!$A:$A,'divisional &amp; regional overview'!$B$98,'caseload data'!$B:$B,"licence")</f>
        <v>0</v>
      </c>
      <c r="G108" s="204">
        <f>SUMIFS('caseload data'!I:I,'caseload data'!$D:$D,"PSO",'caseload data'!$A:$A,'divisional &amp; regional overview'!$B$98,'caseload data'!$B:$B,"licence")</f>
        <v>0</v>
      </c>
      <c r="H108" s="204">
        <f>SUMIFS('caseload data'!J:J,'caseload data'!$D:$D,"PSO",'caseload data'!$A:$A,'divisional &amp; regional overview'!$B$98,'caseload data'!$B:$B,"licence")</f>
        <v>0</v>
      </c>
      <c r="I108" s="204">
        <f>SUMIFS('caseload data'!K:K,'caseload data'!$D:$D,"PSO",'caseload data'!$A:$A,'divisional &amp; regional overview'!$B$98,'caseload data'!$B:$B,"licence")</f>
        <v>0</v>
      </c>
      <c r="J108" s="204">
        <f>SUMIFS('caseload data'!L:L,'caseload data'!$D:$D,"PSO",'caseload data'!$A:$A,'divisional &amp; regional overview'!$B$98,'caseload data'!$B:$B,"licence")</f>
        <v>0</v>
      </c>
      <c r="K108" s="204">
        <f>SUMIFS('caseload data'!M:M,'caseload data'!$D:$D,"PSO",'caseload data'!$A:$A,'divisional &amp; regional overview'!$B$98,'caseload data'!$B:$B,"licence")</f>
        <v>0</v>
      </c>
      <c r="L108" s="204">
        <f>SUMIFS('caseload data'!N:N,'caseload data'!$D:$D,"PSO",'caseload data'!$A:$A,'divisional &amp; regional overview'!$B$98,'caseload data'!$B:$B,"licence")</f>
        <v>0</v>
      </c>
      <c r="M108" s="204">
        <f>SUMIFS('caseload data'!O:O,'caseload data'!$D:$D,"PSO",'caseload data'!$A:$A,'divisional &amp; regional overview'!$B$98,'caseload data'!$B:$B,"licence")</f>
        <v>0</v>
      </c>
      <c r="N108" s="204">
        <f>SUMIFS('caseload data'!P:P,'caseload data'!$D:$D,"PSO",'caseload data'!$A:$A,'divisional &amp; regional overview'!$B$98,'caseload data'!$B:$B,"licence")</f>
        <v>0</v>
      </c>
      <c r="O108" s="204">
        <f>SUMIFS('caseload data'!Q:Q,'caseload data'!$D:$D,"PSO",'caseload data'!$A:$A,'divisional &amp; regional overview'!$B$98,'caseload data'!$B:$B,"licence")</f>
        <v>0</v>
      </c>
      <c r="P108" s="204">
        <f>SUMIFS('caseload data'!R:R,'caseload data'!$D:$D,"PSO",'caseload data'!$A:$A,'divisional &amp; regional overview'!$B$98,'caseload data'!$B:$B,"licence")</f>
        <v>0</v>
      </c>
      <c r="Q108" s="204">
        <f>SUMIFS('caseload data'!S:S,'caseload data'!$D:$D,"PSO",'caseload data'!$A:$A,'divisional &amp; regional overview'!$B$98,'caseload data'!$B:$B,"licence")</f>
        <v>0</v>
      </c>
      <c r="R108" s="204">
        <f>SUMIFS('caseload data'!T:T,'caseload data'!$D:$D,"PSO",'caseload data'!$A:$A,'divisional &amp; regional overview'!$B$98,'caseload data'!$B:$B,"licence")</f>
        <v>0</v>
      </c>
      <c r="U108" s="130" t="s">
        <v>185</v>
      </c>
      <c r="V108" s="209" t="e">
        <f>C$108/SUM(C$107:C$110)</f>
        <v>#DIV/0!</v>
      </c>
      <c r="W108" s="209" t="e">
        <f t="shared" ref="W108:AK108" si="9">D$108/SUM(D$107:D$110)</f>
        <v>#DIV/0!</v>
      </c>
      <c r="X108" s="209" t="e">
        <f t="shared" si="9"/>
        <v>#DIV/0!</v>
      </c>
      <c r="Y108" s="209" t="e">
        <f t="shared" si="9"/>
        <v>#DIV/0!</v>
      </c>
      <c r="Z108" s="209" t="e">
        <f t="shared" si="9"/>
        <v>#DIV/0!</v>
      </c>
      <c r="AA108" s="209" t="e">
        <f t="shared" si="9"/>
        <v>#DIV/0!</v>
      </c>
      <c r="AB108" s="209" t="e">
        <f t="shared" si="9"/>
        <v>#DIV/0!</v>
      </c>
      <c r="AC108" s="209" t="e">
        <f t="shared" si="9"/>
        <v>#DIV/0!</v>
      </c>
      <c r="AD108" s="209" t="e">
        <f t="shared" si="9"/>
        <v>#DIV/0!</v>
      </c>
      <c r="AE108" s="209" t="e">
        <f t="shared" si="9"/>
        <v>#DIV/0!</v>
      </c>
      <c r="AF108" s="209" t="e">
        <f t="shared" si="9"/>
        <v>#DIV/0!</v>
      </c>
      <c r="AG108" s="209" t="e">
        <f t="shared" si="9"/>
        <v>#DIV/0!</v>
      </c>
      <c r="AH108" s="209" t="e">
        <f t="shared" si="9"/>
        <v>#DIV/0!</v>
      </c>
      <c r="AI108" s="209" t="e">
        <f t="shared" si="9"/>
        <v>#DIV/0!</v>
      </c>
      <c r="AJ108" s="209" t="e">
        <f t="shared" si="9"/>
        <v>#DIV/0!</v>
      </c>
      <c r="AK108" s="209" t="e">
        <f t="shared" si="9"/>
        <v>#DIV/0!</v>
      </c>
    </row>
    <row r="109" spans="2:37" x14ac:dyDescent="0.15">
      <c r="B109" s="130" t="s">
        <v>186</v>
      </c>
      <c r="C109" s="126">
        <f>SUMIFS('caseload data'!E:E,'caseload data'!$D:$D,"TPO",'caseload data'!$A:$A,'divisional &amp; regional overview'!$B$98,'caseload data'!$B:$B,"licence")</f>
        <v>0</v>
      </c>
      <c r="D109" s="126">
        <f>SUMIFS('caseload data'!F:F,'caseload data'!$D:$D,"TPO",'caseload data'!$A:$A,'divisional &amp; regional overview'!$B$98,'caseload data'!$B:$B,"licence")</f>
        <v>0</v>
      </c>
      <c r="E109" s="126">
        <f>SUMIFS('caseload data'!G:G,'caseload data'!$D:$D,"TPO",'caseload data'!$A:$A,'divisional &amp; regional overview'!$B$98,'caseload data'!$B:$B,"licence")</f>
        <v>0</v>
      </c>
      <c r="F109" s="126">
        <f>SUMIFS('caseload data'!H:H,'caseload data'!$D:$D,"TPO",'caseload data'!$A:$A,'divisional &amp; regional overview'!$B$98,'caseload data'!$B:$B,"licence")</f>
        <v>0</v>
      </c>
      <c r="G109" s="204">
        <f>SUMIFS('caseload data'!I:I,'caseload data'!$D:$D,"TPO",'caseload data'!$A:$A,'divisional &amp; regional overview'!$B$98,'caseload data'!$B:$B,"licence")</f>
        <v>0</v>
      </c>
      <c r="H109" s="204">
        <f>SUMIFS('caseload data'!J:J,'caseload data'!$D:$D,"TPO",'caseload data'!$A:$A,'divisional &amp; regional overview'!$B$98,'caseload data'!$B:$B,"licence")</f>
        <v>0</v>
      </c>
      <c r="I109" s="204">
        <f>SUMIFS('caseload data'!K:K,'caseload data'!$D:$D,"TPO",'caseload data'!$A:$A,'divisional &amp; regional overview'!$B$98,'caseload data'!$B:$B,"licence")</f>
        <v>0</v>
      </c>
      <c r="J109" s="204">
        <f>SUMIFS('caseload data'!L:L,'caseload data'!$D:$D,"TPO",'caseload data'!$A:$A,'divisional &amp; regional overview'!$B$98,'caseload data'!$B:$B,"licence")</f>
        <v>0</v>
      </c>
      <c r="K109" s="204">
        <f>SUMIFS('caseload data'!M:M,'caseload data'!$D:$D,"TPO",'caseload data'!$A:$A,'divisional &amp; regional overview'!$B$98,'caseload data'!$B:$B,"licence")</f>
        <v>0</v>
      </c>
      <c r="L109" s="204">
        <f>SUMIFS('caseload data'!N:N,'caseload data'!$D:$D,"TPO",'caseload data'!$A:$A,'divisional &amp; regional overview'!$B$98,'caseload data'!$B:$B,"licence")</f>
        <v>0</v>
      </c>
      <c r="M109" s="204">
        <f>SUMIFS('caseload data'!O:O,'caseload data'!$D:$D,"TPO",'caseload data'!$A:$A,'divisional &amp; regional overview'!$B$98,'caseload data'!$B:$B,"licence")</f>
        <v>0</v>
      </c>
      <c r="N109" s="204">
        <f>SUMIFS('caseload data'!P:P,'caseload data'!$D:$D,"TPO",'caseload data'!$A:$A,'divisional &amp; regional overview'!$B$98,'caseload data'!$B:$B,"licence")</f>
        <v>0</v>
      </c>
      <c r="O109" s="204">
        <f>SUMIFS('caseload data'!Q:Q,'caseload data'!$D:$D,"TPO",'caseload data'!$A:$A,'divisional &amp; regional overview'!$B$98,'caseload data'!$B:$B,"licence")</f>
        <v>0</v>
      </c>
      <c r="P109" s="204">
        <f>SUMIFS('caseload data'!R:R,'caseload data'!$D:$D,"TPO",'caseload data'!$A:$A,'divisional &amp; regional overview'!$B$98,'caseload data'!$B:$B,"licence")</f>
        <v>0</v>
      </c>
      <c r="Q109" s="204">
        <f>SUMIFS('caseload data'!S:S,'caseload data'!$D:$D,"TPO",'caseload data'!$A:$A,'divisional &amp; regional overview'!$B$98,'caseload data'!$B:$B,"licence")</f>
        <v>0</v>
      </c>
      <c r="R109" s="204">
        <f>SUMIFS('caseload data'!T:T,'caseload data'!$D:$D,"TPO",'caseload data'!$A:$A,'divisional &amp; regional overview'!$B$98,'caseload data'!$B:$B,"licence")</f>
        <v>0</v>
      </c>
      <c r="U109" s="130" t="s">
        <v>186</v>
      </c>
      <c r="V109" s="209" t="e">
        <f>C$109/SUM(C$107:C$110)</f>
        <v>#DIV/0!</v>
      </c>
      <c r="W109" s="209" t="e">
        <f t="shared" ref="W109:AK109" si="10">D$109/SUM(D$107:D$110)</f>
        <v>#DIV/0!</v>
      </c>
      <c r="X109" s="209" t="e">
        <f t="shared" si="10"/>
        <v>#DIV/0!</v>
      </c>
      <c r="Y109" s="209" t="e">
        <f t="shared" si="10"/>
        <v>#DIV/0!</v>
      </c>
      <c r="Z109" s="209" t="e">
        <f t="shared" si="10"/>
        <v>#DIV/0!</v>
      </c>
      <c r="AA109" s="209" t="e">
        <f t="shared" si="10"/>
        <v>#DIV/0!</v>
      </c>
      <c r="AB109" s="209" t="e">
        <f t="shared" si="10"/>
        <v>#DIV/0!</v>
      </c>
      <c r="AC109" s="209" t="e">
        <f t="shared" si="10"/>
        <v>#DIV/0!</v>
      </c>
      <c r="AD109" s="209" t="e">
        <f t="shared" si="10"/>
        <v>#DIV/0!</v>
      </c>
      <c r="AE109" s="209" t="e">
        <f t="shared" si="10"/>
        <v>#DIV/0!</v>
      </c>
      <c r="AF109" s="209" t="e">
        <f t="shared" si="10"/>
        <v>#DIV/0!</v>
      </c>
      <c r="AG109" s="209" t="e">
        <f t="shared" si="10"/>
        <v>#DIV/0!</v>
      </c>
      <c r="AH109" s="209" t="e">
        <f t="shared" si="10"/>
        <v>#DIV/0!</v>
      </c>
      <c r="AI109" s="209" t="e">
        <f t="shared" si="10"/>
        <v>#DIV/0!</v>
      </c>
      <c r="AJ109" s="209" t="e">
        <f t="shared" si="10"/>
        <v>#DIV/0!</v>
      </c>
      <c r="AK109" s="209" t="e">
        <f t="shared" si="10"/>
        <v>#DIV/0!</v>
      </c>
    </row>
    <row r="110" spans="2:37" x14ac:dyDescent="0.15">
      <c r="B110" s="131" t="s">
        <v>187</v>
      </c>
      <c r="C110" s="126">
        <f>SUMIFS('caseload data'!E:E,'caseload data'!$D:$D,"SPO",'caseload data'!$A:$A,'divisional &amp; regional overview'!$B$98,'caseload data'!$B:$B,"licence")</f>
        <v>0</v>
      </c>
      <c r="D110" s="126">
        <f>SUMIFS('caseload data'!F:F,'caseload data'!$D:$D,"SPO",'caseload data'!$A:$A,'divisional &amp; regional overview'!$B$98,'caseload data'!$B:$B,"licence")</f>
        <v>0</v>
      </c>
      <c r="E110" s="126">
        <f>SUMIFS('caseload data'!G:G,'caseload data'!$D:$D,"SPO",'caseload data'!$A:$A,'divisional &amp; regional overview'!$B$98,'caseload data'!$B:$B,"licence")</f>
        <v>0</v>
      </c>
      <c r="F110" s="126">
        <f>SUMIFS('caseload data'!H:H,'caseload data'!$D:$D,"SPO",'caseload data'!$A:$A,'divisional &amp; regional overview'!$B$98,'caseload data'!$B:$B,"licence")</f>
        <v>0</v>
      </c>
      <c r="G110" s="204">
        <f>SUMIFS('caseload data'!I:I,'caseload data'!$D:$D,"SPO",'caseload data'!$A:$A,'divisional &amp; regional overview'!$B$98,'caseload data'!$B:$B,"licence")</f>
        <v>0</v>
      </c>
      <c r="H110" s="204">
        <f>SUMIFS('caseload data'!J:J,'caseload data'!$D:$D,"SPO",'caseload data'!$A:$A,'divisional &amp; regional overview'!$B$98,'caseload data'!$B:$B,"licence")</f>
        <v>0</v>
      </c>
      <c r="I110" s="204">
        <f>SUMIFS('caseload data'!K:K,'caseload data'!$D:$D,"SPO",'caseload data'!$A:$A,'divisional &amp; regional overview'!$B$98,'caseload data'!$B:$B,"licence")</f>
        <v>0</v>
      </c>
      <c r="J110" s="204">
        <f>SUMIFS('caseload data'!L:L,'caseload data'!$D:$D,"SPO",'caseload data'!$A:$A,'divisional &amp; regional overview'!$B$98,'caseload data'!$B:$B,"licence")</f>
        <v>0</v>
      </c>
      <c r="K110" s="204">
        <f>SUMIFS('caseload data'!M:M,'caseload data'!$D:$D,"SPO",'caseload data'!$A:$A,'divisional &amp; regional overview'!$B$98,'caseload data'!$B:$B,"licence")</f>
        <v>0</v>
      </c>
      <c r="L110" s="204">
        <f>SUMIFS('caseload data'!N:N,'caseload data'!$D:$D,"SPO",'caseload data'!$A:$A,'divisional &amp; regional overview'!$B$98,'caseload data'!$B:$B,"licence")</f>
        <v>0</v>
      </c>
      <c r="M110" s="204">
        <f>SUMIFS('caseload data'!O:O,'caseload data'!$D:$D,"SPO",'caseload data'!$A:$A,'divisional &amp; regional overview'!$B$98,'caseload data'!$B:$B,"licence")</f>
        <v>0</v>
      </c>
      <c r="N110" s="204">
        <f>SUMIFS('caseload data'!P:P,'caseload data'!$D:$D,"SPO",'caseload data'!$A:$A,'divisional &amp; regional overview'!$B$98,'caseload data'!$B:$B,"licence")</f>
        <v>0</v>
      </c>
      <c r="O110" s="204">
        <f>SUMIFS('caseload data'!Q:Q,'caseload data'!$D:$D,"SPO",'caseload data'!$A:$A,'divisional &amp; regional overview'!$B$98,'caseload data'!$B:$B,"licence")</f>
        <v>0</v>
      </c>
      <c r="P110" s="204">
        <f>SUMIFS('caseload data'!R:R,'caseload data'!$D:$D,"SPO",'caseload data'!$A:$A,'divisional &amp; regional overview'!$B$98,'caseload data'!$B:$B,"licence")</f>
        <v>0</v>
      </c>
      <c r="Q110" s="204">
        <f>SUMIFS('caseload data'!S:S,'caseload data'!$D:$D,"SPO",'caseload data'!$A:$A,'divisional &amp; regional overview'!$B$98,'caseload data'!$B:$B,"licence")</f>
        <v>0</v>
      </c>
      <c r="R110" s="204">
        <f>SUMIFS('caseload data'!T:T,'caseload data'!$D:$D,"SPO",'caseload data'!$A:$A,'divisional &amp; regional overview'!$B$98,'caseload data'!$B:$B,"licence")</f>
        <v>0</v>
      </c>
      <c r="U110" s="131" t="s">
        <v>187</v>
      </c>
      <c r="V110" s="209" t="e">
        <f>C$110/SUM(C$107:C$110)</f>
        <v>#DIV/0!</v>
      </c>
      <c r="W110" s="209" t="e">
        <f t="shared" ref="W110:AK110" si="11">D$110/SUM(D$107:D$110)</f>
        <v>#DIV/0!</v>
      </c>
      <c r="X110" s="209" t="e">
        <f t="shared" si="11"/>
        <v>#DIV/0!</v>
      </c>
      <c r="Y110" s="209" t="e">
        <f t="shared" si="11"/>
        <v>#DIV/0!</v>
      </c>
      <c r="Z110" s="209" t="e">
        <f t="shared" si="11"/>
        <v>#DIV/0!</v>
      </c>
      <c r="AA110" s="209" t="e">
        <f t="shared" si="11"/>
        <v>#DIV/0!</v>
      </c>
      <c r="AB110" s="209" t="e">
        <f t="shared" si="11"/>
        <v>#DIV/0!</v>
      </c>
      <c r="AC110" s="209" t="e">
        <f t="shared" si="11"/>
        <v>#DIV/0!</v>
      </c>
      <c r="AD110" s="209" t="e">
        <f t="shared" si="11"/>
        <v>#DIV/0!</v>
      </c>
      <c r="AE110" s="209" t="e">
        <f t="shared" si="11"/>
        <v>#DIV/0!</v>
      </c>
      <c r="AF110" s="209" t="e">
        <f t="shared" si="11"/>
        <v>#DIV/0!</v>
      </c>
      <c r="AG110" s="209" t="e">
        <f t="shared" si="11"/>
        <v>#DIV/0!</v>
      </c>
      <c r="AH110" s="209" t="e">
        <f t="shared" si="11"/>
        <v>#DIV/0!</v>
      </c>
      <c r="AI110" s="209" t="e">
        <f t="shared" si="11"/>
        <v>#DIV/0!</v>
      </c>
      <c r="AJ110" s="209" t="e">
        <f t="shared" si="11"/>
        <v>#DIV/0!</v>
      </c>
      <c r="AK110" s="209" t="e">
        <f t="shared" si="11"/>
        <v>#DIV/0!</v>
      </c>
    </row>
    <row r="111" spans="2:37" x14ac:dyDescent="0.15">
      <c r="B111" s="32"/>
    </row>
    <row r="112" spans="2:37" x14ac:dyDescent="0.15">
      <c r="B112" s="76" t="str">
        <f>B5</f>
        <v>Wales</v>
      </c>
      <c r="C112" s="291" t="s">
        <v>327</v>
      </c>
      <c r="D112" s="292"/>
      <c r="E112" s="292"/>
      <c r="F112" s="292"/>
      <c r="G112" s="292"/>
      <c r="H112" s="292"/>
      <c r="I112" s="292"/>
      <c r="J112" s="292"/>
      <c r="K112" s="292"/>
      <c r="L112" s="292"/>
      <c r="M112" s="292"/>
      <c r="N112" s="292"/>
      <c r="O112" s="292"/>
      <c r="P112" s="292"/>
      <c r="Q112" s="292"/>
      <c r="R112" s="292"/>
      <c r="U112" s="76" t="str">
        <f>B5</f>
        <v>Wales</v>
      </c>
      <c r="V112" s="291" t="s">
        <v>328</v>
      </c>
      <c r="W112" s="292"/>
      <c r="X112" s="292"/>
      <c r="Y112" s="292"/>
      <c r="Z112" s="292"/>
      <c r="AA112" s="292"/>
      <c r="AB112" s="292"/>
      <c r="AC112" s="292"/>
      <c r="AD112" s="292"/>
      <c r="AE112" s="292"/>
      <c r="AF112" s="292"/>
      <c r="AG112" s="292"/>
      <c r="AH112" s="292"/>
      <c r="AI112" s="292"/>
      <c r="AJ112" s="292"/>
      <c r="AK112" s="292"/>
    </row>
    <row r="113" spans="2:37" x14ac:dyDescent="0.15">
      <c r="B113" s="127" t="s">
        <v>324</v>
      </c>
      <c r="C113" s="58" t="s">
        <v>504</v>
      </c>
      <c r="D113" s="58" t="s">
        <v>503</v>
      </c>
      <c r="E113" s="58" t="s">
        <v>502</v>
      </c>
      <c r="F113" s="58" t="s">
        <v>501</v>
      </c>
      <c r="G113" s="58" t="s">
        <v>510</v>
      </c>
      <c r="H113" s="58" t="s">
        <v>176</v>
      </c>
      <c r="I113" s="58" t="s">
        <v>177</v>
      </c>
      <c r="J113" s="58" t="s">
        <v>505</v>
      </c>
      <c r="K113" s="58" t="s">
        <v>507</v>
      </c>
      <c r="L113" s="58" t="s">
        <v>178</v>
      </c>
      <c r="M113" s="58" t="s">
        <v>179</v>
      </c>
      <c r="N113" s="58" t="s">
        <v>506</v>
      </c>
      <c r="O113" s="58" t="s">
        <v>508</v>
      </c>
      <c r="P113" s="58" t="s">
        <v>180</v>
      </c>
      <c r="Q113" s="58" t="s">
        <v>181</v>
      </c>
      <c r="R113" s="58" t="s">
        <v>509</v>
      </c>
      <c r="U113" s="127" t="s">
        <v>324</v>
      </c>
      <c r="V113" s="58" t="s">
        <v>504</v>
      </c>
      <c r="W113" s="58" t="s">
        <v>503</v>
      </c>
      <c r="X113" s="58" t="s">
        <v>502</v>
      </c>
      <c r="Y113" s="58" t="s">
        <v>501</v>
      </c>
      <c r="Z113" s="58" t="s">
        <v>510</v>
      </c>
      <c r="AA113" s="58" t="s">
        <v>176</v>
      </c>
      <c r="AB113" s="58" t="s">
        <v>177</v>
      </c>
      <c r="AC113" s="58" t="s">
        <v>505</v>
      </c>
      <c r="AD113" s="58" t="s">
        <v>507</v>
      </c>
      <c r="AE113" s="58" t="s">
        <v>178</v>
      </c>
      <c r="AF113" s="58" t="s">
        <v>179</v>
      </c>
      <c r="AG113" s="58" t="s">
        <v>506</v>
      </c>
      <c r="AH113" s="58" t="s">
        <v>508</v>
      </c>
      <c r="AI113" s="58" t="s">
        <v>180</v>
      </c>
      <c r="AJ113" s="58" t="s">
        <v>181</v>
      </c>
      <c r="AK113" s="58" t="s">
        <v>509</v>
      </c>
    </row>
    <row r="114" spans="2:37" x14ac:dyDescent="0.15">
      <c r="B114" s="129" t="s">
        <v>184</v>
      </c>
      <c r="C114" s="126">
        <f>SUMIFS('caseload data'!E:E,'caseload data'!$D:$D,"PO",'caseload data'!$A:$A,'divisional &amp; regional overview'!$B$98,'caseload data'!$B:$B,"custody")</f>
        <v>0</v>
      </c>
      <c r="D114" s="126">
        <f>SUMIFS('caseload data'!F:F,'caseload data'!$D:$D,"PO",'caseload data'!$A:$A,'divisional &amp; regional overview'!$B$98,'caseload data'!$B:$B,"custody")</f>
        <v>0</v>
      </c>
      <c r="E114" s="126">
        <f>SUMIFS('caseload data'!G:G,'caseload data'!$D:$D,"PO",'caseload data'!$A:$A,'divisional &amp; regional overview'!$B$98,'caseload data'!$B:$B,"custody")</f>
        <v>0</v>
      </c>
      <c r="F114" s="126">
        <f>SUMIFS('caseload data'!H:H,'caseload data'!$D:$D,"PO",'caseload data'!$A:$A,'divisional &amp; regional overview'!$B$98,'caseload data'!$B:$B,"custody")</f>
        <v>0</v>
      </c>
      <c r="G114" s="204">
        <f>SUMIFS('caseload data'!I:I,'caseload data'!$D:$D,"PO",'caseload data'!$A:$A,'divisional &amp; regional overview'!$B$98,'caseload data'!$B:$B,"custody")</f>
        <v>0</v>
      </c>
      <c r="H114" s="204">
        <f>SUMIFS('caseload data'!J:J,'caseload data'!$D:$D,"PO",'caseload data'!$A:$A,'divisional &amp; regional overview'!$B$98,'caseload data'!$B:$B,"custody")</f>
        <v>0</v>
      </c>
      <c r="I114" s="204">
        <f>SUMIFS('caseload data'!K:K,'caseload data'!$D:$D,"PO",'caseload data'!$A:$A,'divisional &amp; regional overview'!$B$98,'caseload data'!$B:$B,"custody")</f>
        <v>0</v>
      </c>
      <c r="J114" s="204">
        <f>SUMIFS('caseload data'!L:L,'caseload data'!$D:$D,"PO",'caseload data'!$A:$A,'divisional &amp; regional overview'!$B$98,'caseload data'!$B:$B,"custody")</f>
        <v>0</v>
      </c>
      <c r="K114" s="204">
        <f>SUMIFS('caseload data'!M:M,'caseload data'!$D:$D,"PO",'caseload data'!$A:$A,'divisional &amp; regional overview'!$B$98,'caseload data'!$B:$B,"custody")</f>
        <v>0</v>
      </c>
      <c r="L114" s="204">
        <f>SUMIFS('caseload data'!N:N,'caseload data'!$D:$D,"PO",'caseload data'!$A:$A,'divisional &amp; regional overview'!$B$98,'caseload data'!$B:$B,"custody")</f>
        <v>0</v>
      </c>
      <c r="M114" s="204">
        <f>SUMIFS('caseload data'!O:O,'caseload data'!$D:$D,"PO",'caseload data'!$A:$A,'divisional &amp; regional overview'!$B$98,'caseload data'!$B:$B,"custody")</f>
        <v>0</v>
      </c>
      <c r="N114" s="204">
        <f>SUMIFS('caseload data'!P:P,'caseload data'!$D:$D,"PO",'caseload data'!$A:$A,'divisional &amp; regional overview'!$B$98,'caseload data'!$B:$B,"custody")</f>
        <v>0</v>
      </c>
      <c r="O114" s="204">
        <f>SUMIFS('caseload data'!Q:Q,'caseload data'!$D:$D,"PO",'caseload data'!$A:$A,'divisional &amp; regional overview'!$B$98,'caseload data'!$B:$B,"custody")</f>
        <v>0</v>
      </c>
      <c r="P114" s="204">
        <f>SUMIFS('caseload data'!R:R,'caseload data'!$D:$D,"PO",'caseload data'!$A:$A,'divisional &amp; regional overview'!$B$98,'caseload data'!$B:$B,"custody")</f>
        <v>0</v>
      </c>
      <c r="Q114" s="204">
        <f>SUMIFS('caseload data'!S:S,'caseload data'!$D:$D,"PO",'caseload data'!$A:$A,'divisional &amp; regional overview'!$B$98,'caseload data'!$B:$B,"custody")</f>
        <v>0</v>
      </c>
      <c r="R114" s="204">
        <f>SUMIFS('caseload data'!T:T,'caseload data'!$D:$D,"PO",'caseload data'!$A:$A,'divisional &amp; regional overview'!$B$98,'caseload data'!$B:$B,"custody")</f>
        <v>0</v>
      </c>
      <c r="U114" s="129" t="s">
        <v>184</v>
      </c>
      <c r="V114" s="209" t="e">
        <f>C$114/SUM(C$114:C$117)</f>
        <v>#DIV/0!</v>
      </c>
      <c r="W114" s="209" t="e">
        <f t="shared" ref="W114:AK114" si="12">D$114/SUM(D$114:D$117)</f>
        <v>#DIV/0!</v>
      </c>
      <c r="X114" s="209" t="e">
        <f t="shared" si="12"/>
        <v>#DIV/0!</v>
      </c>
      <c r="Y114" s="209" t="e">
        <f t="shared" si="12"/>
        <v>#DIV/0!</v>
      </c>
      <c r="Z114" s="209" t="e">
        <f t="shared" si="12"/>
        <v>#DIV/0!</v>
      </c>
      <c r="AA114" s="209" t="e">
        <f t="shared" si="12"/>
        <v>#DIV/0!</v>
      </c>
      <c r="AB114" s="209" t="e">
        <f t="shared" si="12"/>
        <v>#DIV/0!</v>
      </c>
      <c r="AC114" s="209" t="e">
        <f t="shared" si="12"/>
        <v>#DIV/0!</v>
      </c>
      <c r="AD114" s="209" t="e">
        <f t="shared" si="12"/>
        <v>#DIV/0!</v>
      </c>
      <c r="AE114" s="209" t="e">
        <f t="shared" si="12"/>
        <v>#DIV/0!</v>
      </c>
      <c r="AF114" s="209" t="e">
        <f t="shared" si="12"/>
        <v>#DIV/0!</v>
      </c>
      <c r="AG114" s="209" t="e">
        <f t="shared" si="12"/>
        <v>#DIV/0!</v>
      </c>
      <c r="AH114" s="209" t="e">
        <f t="shared" si="12"/>
        <v>#DIV/0!</v>
      </c>
      <c r="AI114" s="209" t="e">
        <f t="shared" si="12"/>
        <v>#DIV/0!</v>
      </c>
      <c r="AJ114" s="209" t="e">
        <f t="shared" si="12"/>
        <v>#DIV/0!</v>
      </c>
      <c r="AK114" s="209" t="e">
        <f t="shared" si="12"/>
        <v>#DIV/0!</v>
      </c>
    </row>
    <row r="115" spans="2:37" x14ac:dyDescent="0.15">
      <c r="B115" s="130" t="s">
        <v>185</v>
      </c>
      <c r="C115" s="126">
        <f>SUMIFS('caseload data'!E:E,'caseload data'!$D:$D,"PSO",'caseload data'!$A:$A,'divisional &amp; regional overview'!$B$98,'caseload data'!$B:$B,"custody")</f>
        <v>0</v>
      </c>
      <c r="D115" s="126">
        <f>SUMIFS('caseload data'!F:F,'caseload data'!$D:$D,"PSO",'caseload data'!$A:$A,'divisional &amp; regional overview'!$B$98,'caseload data'!$B:$B,"custody")</f>
        <v>0</v>
      </c>
      <c r="E115" s="126">
        <f>SUMIFS('caseload data'!G:G,'caseload data'!$D:$D,"PSO",'caseload data'!$A:$A,'divisional &amp; regional overview'!$B$98,'caseload data'!$B:$B,"custody")</f>
        <v>0</v>
      </c>
      <c r="F115" s="126">
        <f>SUMIFS('caseload data'!H:H,'caseload data'!$D:$D,"PSO",'caseload data'!$A:$A,'divisional &amp; regional overview'!$B$98,'caseload data'!$B:$B,"custody")</f>
        <v>0</v>
      </c>
      <c r="G115" s="204">
        <f>SUMIFS('caseload data'!I:I,'caseload data'!$D:$D,"PSO",'caseload data'!$A:$A,'divisional &amp; regional overview'!$B$98,'caseload data'!$B:$B,"custody")</f>
        <v>0</v>
      </c>
      <c r="H115" s="204">
        <f>SUMIFS('caseload data'!J:J,'caseload data'!$D:$D,"PSO",'caseload data'!$A:$A,'divisional &amp; regional overview'!$B$98,'caseload data'!$B:$B,"custody")</f>
        <v>0</v>
      </c>
      <c r="I115" s="204">
        <f>SUMIFS('caseload data'!K:K,'caseload data'!$D:$D,"PSO",'caseload data'!$A:$A,'divisional &amp; regional overview'!$B$98,'caseload data'!$B:$B,"custody")</f>
        <v>0</v>
      </c>
      <c r="J115" s="204">
        <f>SUMIFS('caseload data'!L:L,'caseload data'!$D:$D,"PSO",'caseload data'!$A:$A,'divisional &amp; regional overview'!$B$98,'caseload data'!$B:$B,"custody")</f>
        <v>0</v>
      </c>
      <c r="K115" s="204">
        <f>SUMIFS('caseload data'!M:M,'caseload data'!$D:$D,"PSO",'caseload data'!$A:$A,'divisional &amp; regional overview'!$B$98,'caseload data'!$B:$B,"custody")</f>
        <v>0</v>
      </c>
      <c r="L115" s="204">
        <f>SUMIFS('caseload data'!N:N,'caseload data'!$D:$D,"PSO",'caseload data'!$A:$A,'divisional &amp; regional overview'!$B$98,'caseload data'!$B:$B,"custody")</f>
        <v>0</v>
      </c>
      <c r="M115" s="204">
        <f>SUMIFS('caseload data'!O:O,'caseload data'!$D:$D,"PSO",'caseload data'!$A:$A,'divisional &amp; regional overview'!$B$98,'caseload data'!$B:$B,"custody")</f>
        <v>0</v>
      </c>
      <c r="N115" s="204">
        <f>SUMIFS('caseload data'!P:P,'caseload data'!$D:$D,"PSO",'caseload data'!$A:$A,'divisional &amp; regional overview'!$B$98,'caseload data'!$B:$B,"custody")</f>
        <v>0</v>
      </c>
      <c r="O115" s="204">
        <f>SUMIFS('caseload data'!Q:Q,'caseload data'!$D:$D,"PSO",'caseload data'!$A:$A,'divisional &amp; regional overview'!$B$98,'caseload data'!$B:$B,"custody")</f>
        <v>0</v>
      </c>
      <c r="P115" s="204">
        <f>SUMIFS('caseload data'!R:R,'caseload data'!$D:$D,"PSO",'caseload data'!$A:$A,'divisional &amp; regional overview'!$B$98,'caseload data'!$B:$B,"custody")</f>
        <v>0</v>
      </c>
      <c r="Q115" s="204">
        <f>SUMIFS('caseload data'!S:S,'caseload data'!$D:$D,"PSO",'caseload data'!$A:$A,'divisional &amp; regional overview'!$B$98,'caseload data'!$B:$B,"custody")</f>
        <v>0</v>
      </c>
      <c r="R115" s="204">
        <f>SUMIFS('caseload data'!T:T,'caseload data'!$D:$D,"PSO",'caseload data'!$A:$A,'divisional &amp; regional overview'!$B$98,'caseload data'!$B:$B,"custody")</f>
        <v>0</v>
      </c>
      <c r="U115" s="130" t="s">
        <v>185</v>
      </c>
      <c r="V115" s="209" t="e">
        <f>C$115/SUM(C$114:C$117)</f>
        <v>#DIV/0!</v>
      </c>
      <c r="W115" s="209" t="e">
        <f t="shared" ref="W115:AK115" si="13">D$115/SUM(D$114:D$117)</f>
        <v>#DIV/0!</v>
      </c>
      <c r="X115" s="209" t="e">
        <f t="shared" si="13"/>
        <v>#DIV/0!</v>
      </c>
      <c r="Y115" s="209" t="e">
        <f t="shared" si="13"/>
        <v>#DIV/0!</v>
      </c>
      <c r="Z115" s="209" t="e">
        <f t="shared" si="13"/>
        <v>#DIV/0!</v>
      </c>
      <c r="AA115" s="209" t="e">
        <f t="shared" si="13"/>
        <v>#DIV/0!</v>
      </c>
      <c r="AB115" s="209" t="e">
        <f t="shared" si="13"/>
        <v>#DIV/0!</v>
      </c>
      <c r="AC115" s="209" t="e">
        <f t="shared" si="13"/>
        <v>#DIV/0!</v>
      </c>
      <c r="AD115" s="209" t="e">
        <f t="shared" si="13"/>
        <v>#DIV/0!</v>
      </c>
      <c r="AE115" s="209" t="e">
        <f t="shared" si="13"/>
        <v>#DIV/0!</v>
      </c>
      <c r="AF115" s="209" t="e">
        <f t="shared" si="13"/>
        <v>#DIV/0!</v>
      </c>
      <c r="AG115" s="209" t="e">
        <f t="shared" si="13"/>
        <v>#DIV/0!</v>
      </c>
      <c r="AH115" s="209" t="e">
        <f t="shared" si="13"/>
        <v>#DIV/0!</v>
      </c>
      <c r="AI115" s="209" t="e">
        <f t="shared" si="13"/>
        <v>#DIV/0!</v>
      </c>
      <c r="AJ115" s="209" t="e">
        <f t="shared" si="13"/>
        <v>#DIV/0!</v>
      </c>
      <c r="AK115" s="209" t="e">
        <f t="shared" si="13"/>
        <v>#DIV/0!</v>
      </c>
    </row>
    <row r="116" spans="2:37" x14ac:dyDescent="0.15">
      <c r="B116" s="130" t="s">
        <v>186</v>
      </c>
      <c r="C116" s="126">
        <f>SUMIFS('caseload data'!E:E,'caseload data'!$D:$D,"TPO",'caseload data'!$A:$A,'divisional &amp; regional overview'!$B$98,'caseload data'!$B:$B,"custody")</f>
        <v>0</v>
      </c>
      <c r="D116" s="126">
        <f>SUMIFS('caseload data'!F:F,'caseload data'!$D:$D,"TPO",'caseload data'!$A:$A,'divisional &amp; regional overview'!$B$98,'caseload data'!$B:$B,"custody")</f>
        <v>0</v>
      </c>
      <c r="E116" s="126">
        <f>SUMIFS('caseload data'!G:G,'caseload data'!$D:$D,"TPO",'caseload data'!$A:$A,'divisional &amp; regional overview'!$B$98,'caseload data'!$B:$B,"custody")</f>
        <v>0</v>
      </c>
      <c r="F116" s="126">
        <f>SUMIFS('caseload data'!H:H,'caseload data'!$D:$D,"TPO",'caseload data'!$A:$A,'divisional &amp; regional overview'!$B$98,'caseload data'!$B:$B,"custody")</f>
        <v>0</v>
      </c>
      <c r="G116" s="204">
        <f>SUMIFS('caseload data'!I:I,'caseload data'!$D:$D,"TPO",'caseload data'!$A:$A,'divisional &amp; regional overview'!$B$98,'caseload data'!$B:$B,"custody")</f>
        <v>0</v>
      </c>
      <c r="H116" s="204">
        <f>SUMIFS('caseload data'!J:J,'caseload data'!$D:$D,"TPO",'caseload data'!$A:$A,'divisional &amp; regional overview'!$B$98,'caseload data'!$B:$B,"custody")</f>
        <v>0</v>
      </c>
      <c r="I116" s="204">
        <f>SUMIFS('caseload data'!K:K,'caseload data'!$D:$D,"TPO",'caseload data'!$A:$A,'divisional &amp; regional overview'!$B$98,'caseload data'!$B:$B,"custody")</f>
        <v>0</v>
      </c>
      <c r="J116" s="204">
        <f>SUMIFS('caseload data'!L:L,'caseload data'!$D:$D,"TPO",'caseload data'!$A:$A,'divisional &amp; regional overview'!$B$98,'caseload data'!$B:$B,"custody")</f>
        <v>0</v>
      </c>
      <c r="K116" s="204">
        <f>SUMIFS('caseload data'!M:M,'caseload data'!$D:$D,"TPO",'caseload data'!$A:$A,'divisional &amp; regional overview'!$B$98,'caseload data'!$B:$B,"custody")</f>
        <v>0</v>
      </c>
      <c r="L116" s="204">
        <f>SUMIFS('caseload data'!N:N,'caseload data'!$D:$D,"TPO",'caseload data'!$A:$A,'divisional &amp; regional overview'!$B$98,'caseload data'!$B:$B,"custody")</f>
        <v>0</v>
      </c>
      <c r="M116" s="204">
        <f>SUMIFS('caseload data'!O:O,'caseload data'!$D:$D,"TPO",'caseload data'!$A:$A,'divisional &amp; regional overview'!$B$98,'caseload data'!$B:$B,"custody")</f>
        <v>0</v>
      </c>
      <c r="N116" s="204">
        <f>SUMIFS('caseload data'!P:P,'caseload data'!$D:$D,"TPO",'caseload data'!$A:$A,'divisional &amp; regional overview'!$B$98,'caseload data'!$B:$B,"custody")</f>
        <v>0</v>
      </c>
      <c r="O116" s="204">
        <f>SUMIFS('caseload data'!Q:Q,'caseload data'!$D:$D,"TPO",'caseload data'!$A:$A,'divisional &amp; regional overview'!$B$98,'caseload data'!$B:$B,"custody")</f>
        <v>0</v>
      </c>
      <c r="P116" s="204">
        <f>SUMIFS('caseload data'!R:R,'caseload data'!$D:$D,"TPO",'caseload data'!$A:$A,'divisional &amp; regional overview'!$B$98,'caseload data'!$B:$B,"custody")</f>
        <v>0</v>
      </c>
      <c r="Q116" s="204">
        <f>SUMIFS('caseload data'!S:S,'caseload data'!$D:$D,"TPO",'caseload data'!$A:$A,'divisional &amp; regional overview'!$B$98,'caseload data'!$B:$B,"custody")</f>
        <v>0</v>
      </c>
      <c r="R116" s="204">
        <f>SUMIFS('caseload data'!T:T,'caseload data'!$D:$D,"TPO",'caseload data'!$A:$A,'divisional &amp; regional overview'!$B$98,'caseload data'!$B:$B,"custody")</f>
        <v>0</v>
      </c>
      <c r="U116" s="130" t="s">
        <v>186</v>
      </c>
      <c r="V116" s="209" t="e">
        <f>C$116/SUM(C$114:C$117)</f>
        <v>#DIV/0!</v>
      </c>
      <c r="W116" s="209" t="e">
        <f t="shared" ref="W116:AK116" si="14">D$116/SUM(D$114:D$117)</f>
        <v>#DIV/0!</v>
      </c>
      <c r="X116" s="209" t="e">
        <f t="shared" si="14"/>
        <v>#DIV/0!</v>
      </c>
      <c r="Y116" s="209" t="e">
        <f t="shared" si="14"/>
        <v>#DIV/0!</v>
      </c>
      <c r="Z116" s="209" t="e">
        <f t="shared" si="14"/>
        <v>#DIV/0!</v>
      </c>
      <c r="AA116" s="209" t="e">
        <f t="shared" si="14"/>
        <v>#DIV/0!</v>
      </c>
      <c r="AB116" s="209" t="e">
        <f t="shared" si="14"/>
        <v>#DIV/0!</v>
      </c>
      <c r="AC116" s="209" t="e">
        <f t="shared" si="14"/>
        <v>#DIV/0!</v>
      </c>
      <c r="AD116" s="209" t="e">
        <f t="shared" si="14"/>
        <v>#DIV/0!</v>
      </c>
      <c r="AE116" s="209" t="e">
        <f t="shared" si="14"/>
        <v>#DIV/0!</v>
      </c>
      <c r="AF116" s="209" t="e">
        <f t="shared" si="14"/>
        <v>#DIV/0!</v>
      </c>
      <c r="AG116" s="209" t="e">
        <f t="shared" si="14"/>
        <v>#DIV/0!</v>
      </c>
      <c r="AH116" s="209" t="e">
        <f t="shared" si="14"/>
        <v>#DIV/0!</v>
      </c>
      <c r="AI116" s="209" t="e">
        <f t="shared" si="14"/>
        <v>#DIV/0!</v>
      </c>
      <c r="AJ116" s="209" t="e">
        <f t="shared" si="14"/>
        <v>#DIV/0!</v>
      </c>
      <c r="AK116" s="209" t="e">
        <f t="shared" si="14"/>
        <v>#DIV/0!</v>
      </c>
    </row>
    <row r="117" spans="2:37" x14ac:dyDescent="0.15">
      <c r="B117" s="131" t="s">
        <v>187</v>
      </c>
      <c r="C117" s="126">
        <f>SUMIFS('caseload data'!E:E,'caseload data'!$D:$D,"SPO",'caseload data'!$A:$A,'divisional &amp; regional overview'!$B$98,'caseload data'!$B:$B,"custody")</f>
        <v>0</v>
      </c>
      <c r="D117" s="126">
        <f>SUMIFS('caseload data'!F:F,'caseload data'!$D:$D,"SPO",'caseload data'!$A:$A,'divisional &amp; regional overview'!$B$98,'caseload data'!$B:$B,"custody")</f>
        <v>0</v>
      </c>
      <c r="E117" s="126">
        <f>SUMIFS('caseload data'!G:G,'caseload data'!$D:$D,"SPO",'caseload data'!$A:$A,'divisional &amp; regional overview'!$B$98,'caseload data'!$B:$B,"custody")</f>
        <v>0</v>
      </c>
      <c r="F117" s="126">
        <f>SUMIFS('caseload data'!H:H,'caseload data'!$D:$D,"SPO",'caseload data'!$A:$A,'divisional &amp; regional overview'!$B$98,'caseload data'!$B:$B,"custody")</f>
        <v>0</v>
      </c>
      <c r="G117" s="204">
        <f>SUMIFS('caseload data'!I:I,'caseload data'!$D:$D,"SPO",'caseload data'!$A:$A,'divisional &amp; regional overview'!$B$98,'caseload data'!$B:$B,"custody")</f>
        <v>0</v>
      </c>
      <c r="H117" s="204">
        <f>SUMIFS('caseload data'!J:J,'caseload data'!$D:$D,"SPO",'caseload data'!$A:$A,'divisional &amp; regional overview'!$B$98,'caseload data'!$B:$B,"custody")</f>
        <v>0</v>
      </c>
      <c r="I117" s="204">
        <f>SUMIFS('caseload data'!K:K,'caseload data'!$D:$D,"SPO",'caseload data'!$A:$A,'divisional &amp; regional overview'!$B$98,'caseload data'!$B:$B,"custody")</f>
        <v>0</v>
      </c>
      <c r="J117" s="204">
        <f>SUMIFS('caseload data'!L:L,'caseload data'!$D:$D,"SPO",'caseload data'!$A:$A,'divisional &amp; regional overview'!$B$98,'caseload data'!$B:$B,"custody")</f>
        <v>0</v>
      </c>
      <c r="K117" s="204">
        <f>SUMIFS('caseload data'!M:M,'caseload data'!$D:$D,"SPO",'caseload data'!$A:$A,'divisional &amp; regional overview'!$B$98,'caseload data'!$B:$B,"custody")</f>
        <v>0</v>
      </c>
      <c r="L117" s="204">
        <f>SUMIFS('caseload data'!N:N,'caseload data'!$D:$D,"SPO",'caseload data'!$A:$A,'divisional &amp; regional overview'!$B$98,'caseload data'!$B:$B,"custody")</f>
        <v>0</v>
      </c>
      <c r="M117" s="204">
        <f>SUMIFS('caseload data'!O:O,'caseload data'!$D:$D,"SPO",'caseload data'!$A:$A,'divisional &amp; regional overview'!$B$98,'caseload data'!$B:$B,"custody")</f>
        <v>0</v>
      </c>
      <c r="N117" s="204">
        <f>SUMIFS('caseload data'!P:P,'caseload data'!$D:$D,"SPO",'caseload data'!$A:$A,'divisional &amp; regional overview'!$B$98,'caseload data'!$B:$B,"custody")</f>
        <v>0</v>
      </c>
      <c r="O117" s="204">
        <f>SUMIFS('caseload data'!Q:Q,'caseload data'!$D:$D,"SPO",'caseload data'!$A:$A,'divisional &amp; regional overview'!$B$98,'caseload data'!$B:$B,"custody")</f>
        <v>0</v>
      </c>
      <c r="P117" s="204">
        <f>SUMIFS('caseload data'!R:R,'caseload data'!$D:$D,"SPO",'caseload data'!$A:$A,'divisional &amp; regional overview'!$B$98,'caseload data'!$B:$B,"custody")</f>
        <v>0</v>
      </c>
      <c r="Q117" s="204">
        <f>SUMIFS('caseload data'!S:S,'caseload data'!$D:$D,"SPO",'caseload data'!$A:$A,'divisional &amp; regional overview'!$B$98,'caseload data'!$B:$B,"custody")</f>
        <v>0</v>
      </c>
      <c r="R117" s="204">
        <f>SUMIFS('caseload data'!T:T,'caseload data'!$D:$D,"SPO",'caseload data'!$A:$A,'divisional &amp; regional overview'!$B$98,'caseload data'!$B:$B,"custody")</f>
        <v>0</v>
      </c>
      <c r="U117" s="131" t="s">
        <v>187</v>
      </c>
      <c r="V117" s="209" t="e">
        <f>C$117/SUM(C$114:C$117)</f>
        <v>#DIV/0!</v>
      </c>
      <c r="W117" s="209" t="e">
        <f t="shared" ref="W117:AK117" si="15">D$117/SUM(D$114:D$117)</f>
        <v>#DIV/0!</v>
      </c>
      <c r="X117" s="209" t="e">
        <f t="shared" si="15"/>
        <v>#DIV/0!</v>
      </c>
      <c r="Y117" s="209" t="e">
        <f t="shared" si="15"/>
        <v>#DIV/0!</v>
      </c>
      <c r="Z117" s="209" t="e">
        <f t="shared" si="15"/>
        <v>#DIV/0!</v>
      </c>
      <c r="AA117" s="209" t="e">
        <f t="shared" si="15"/>
        <v>#DIV/0!</v>
      </c>
      <c r="AB117" s="209" t="e">
        <f t="shared" si="15"/>
        <v>#DIV/0!</v>
      </c>
      <c r="AC117" s="209" t="e">
        <f t="shared" si="15"/>
        <v>#DIV/0!</v>
      </c>
      <c r="AD117" s="209" t="e">
        <f t="shared" si="15"/>
        <v>#DIV/0!</v>
      </c>
      <c r="AE117" s="209" t="e">
        <f t="shared" si="15"/>
        <v>#DIV/0!</v>
      </c>
      <c r="AF117" s="209" t="e">
        <f t="shared" si="15"/>
        <v>#DIV/0!</v>
      </c>
      <c r="AG117" s="209" t="e">
        <f t="shared" si="15"/>
        <v>#DIV/0!</v>
      </c>
      <c r="AH117" s="209" t="e">
        <f t="shared" si="15"/>
        <v>#DIV/0!</v>
      </c>
      <c r="AI117" s="209" t="e">
        <f t="shared" si="15"/>
        <v>#DIV/0!</v>
      </c>
      <c r="AJ117" s="209" t="e">
        <f t="shared" si="15"/>
        <v>#DIV/0!</v>
      </c>
      <c r="AK117" s="209" t="e">
        <f t="shared" si="15"/>
        <v>#DIV/0!</v>
      </c>
    </row>
    <row r="118" spans="2:37" x14ac:dyDescent="0.15">
      <c r="B118" s="32"/>
    </row>
    <row r="119" spans="2:37" x14ac:dyDescent="0.15">
      <c r="B119" s="76" t="str">
        <f>B5</f>
        <v>Wales</v>
      </c>
      <c r="C119" s="291" t="s">
        <v>329</v>
      </c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U119" s="76" t="str">
        <f>B5</f>
        <v>Wales</v>
      </c>
      <c r="V119" s="291" t="s">
        <v>330</v>
      </c>
      <c r="W119" s="292"/>
      <c r="X119" s="292"/>
      <c r="Y119" s="292"/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</row>
    <row r="120" spans="2:37" x14ac:dyDescent="0.15">
      <c r="B120" s="127" t="s">
        <v>324</v>
      </c>
      <c r="C120" s="58" t="s">
        <v>504</v>
      </c>
      <c r="D120" s="58" t="s">
        <v>503</v>
      </c>
      <c r="E120" s="58" t="s">
        <v>502</v>
      </c>
      <c r="F120" s="58" t="s">
        <v>501</v>
      </c>
      <c r="G120" s="58" t="s">
        <v>510</v>
      </c>
      <c r="H120" s="58" t="s">
        <v>176</v>
      </c>
      <c r="I120" s="58" t="s">
        <v>177</v>
      </c>
      <c r="J120" s="58" t="s">
        <v>505</v>
      </c>
      <c r="K120" s="58" t="s">
        <v>507</v>
      </c>
      <c r="L120" s="58" t="s">
        <v>178</v>
      </c>
      <c r="M120" s="58" t="s">
        <v>179</v>
      </c>
      <c r="N120" s="58" t="s">
        <v>506</v>
      </c>
      <c r="O120" s="58" t="s">
        <v>508</v>
      </c>
      <c r="P120" s="58" t="s">
        <v>180</v>
      </c>
      <c r="Q120" s="58" t="s">
        <v>181</v>
      </c>
      <c r="R120" s="58" t="s">
        <v>509</v>
      </c>
      <c r="U120" s="127" t="s">
        <v>324</v>
      </c>
      <c r="V120" s="58" t="s">
        <v>504</v>
      </c>
      <c r="W120" s="58" t="s">
        <v>503</v>
      </c>
      <c r="X120" s="58" t="s">
        <v>502</v>
      </c>
      <c r="Y120" s="58" t="s">
        <v>501</v>
      </c>
      <c r="Z120" s="58" t="s">
        <v>510</v>
      </c>
      <c r="AA120" s="58" t="s">
        <v>176</v>
      </c>
      <c r="AB120" s="58" t="s">
        <v>177</v>
      </c>
      <c r="AC120" s="58" t="s">
        <v>505</v>
      </c>
      <c r="AD120" s="58" t="s">
        <v>507</v>
      </c>
      <c r="AE120" s="58" t="s">
        <v>178</v>
      </c>
      <c r="AF120" s="58" t="s">
        <v>179</v>
      </c>
      <c r="AG120" s="58" t="s">
        <v>506</v>
      </c>
      <c r="AH120" s="58" t="s">
        <v>508</v>
      </c>
      <c r="AI120" s="58" t="s">
        <v>180</v>
      </c>
      <c r="AJ120" s="58" t="s">
        <v>181</v>
      </c>
      <c r="AK120" s="58" t="s">
        <v>509</v>
      </c>
    </row>
    <row r="121" spans="2:37" x14ac:dyDescent="0.15">
      <c r="B121" s="129" t="s">
        <v>184</v>
      </c>
      <c r="C121" s="126">
        <f>SUMIFS('caseload data'!E:E,'caseload data'!$D:$D,"PO",'caseload data'!$A:$A,'divisional &amp; regional overview'!$B$105)</f>
        <v>0</v>
      </c>
      <c r="D121" s="126">
        <f>SUMIFS('caseload data'!F:F,'caseload data'!$D:$D,"PO",'caseload data'!$A:$A,'divisional &amp; regional overview'!$B$105)</f>
        <v>0</v>
      </c>
      <c r="E121" s="126">
        <f>SUMIFS('caseload data'!G:G,'caseload data'!$D:$D,"PO",'caseload data'!$A:$A,'divisional &amp; regional overview'!$B$105)</f>
        <v>0</v>
      </c>
      <c r="F121" s="126">
        <f>SUMIFS('caseload data'!H:H,'caseload data'!$D:$D,"PO",'caseload data'!$A:$A,'divisional &amp; regional overview'!$B$105)</f>
        <v>0</v>
      </c>
      <c r="G121" s="204">
        <f>SUMIFS('caseload data'!I:I,'caseload data'!$D:$D,"PO",'caseload data'!$A:$A,'divisional &amp; regional overview'!$B$105)</f>
        <v>0</v>
      </c>
      <c r="H121" s="204">
        <f>SUMIFS('caseload data'!J:J,'caseload data'!$D:$D,"PO",'caseload data'!$A:$A,'divisional &amp; regional overview'!$B$105)</f>
        <v>0</v>
      </c>
      <c r="I121" s="204">
        <f>SUMIFS('caseload data'!K:K,'caseload data'!$D:$D,"PO",'caseload data'!$A:$A,'divisional &amp; regional overview'!$B$105)</f>
        <v>0</v>
      </c>
      <c r="J121" s="204">
        <f>SUMIFS('caseload data'!L:L,'caseload data'!$D:$D,"PO",'caseload data'!$A:$A,'divisional &amp; regional overview'!$B$105)</f>
        <v>0</v>
      </c>
      <c r="K121" s="204">
        <f>SUMIFS('caseload data'!M:M,'caseload data'!$D:$D,"PO",'caseload data'!$A:$A,'divisional &amp; regional overview'!$B$105)</f>
        <v>0</v>
      </c>
      <c r="L121" s="204">
        <f>SUMIFS('caseload data'!N:N,'caseload data'!$D:$D,"PO",'caseload data'!$A:$A,'divisional &amp; regional overview'!$B$105)</f>
        <v>0</v>
      </c>
      <c r="M121" s="204">
        <f>SUMIFS('caseload data'!O:O,'caseload data'!$D:$D,"PO",'caseload data'!$A:$A,'divisional &amp; regional overview'!$B$105)</f>
        <v>0</v>
      </c>
      <c r="N121" s="204">
        <f>SUMIFS('caseload data'!P:P,'caseload data'!$D:$D,"PO",'caseload data'!$A:$A,'divisional &amp; regional overview'!$B$105)</f>
        <v>0</v>
      </c>
      <c r="O121" s="204">
        <f>SUMIFS('caseload data'!Q:Q,'caseload data'!$D:$D,"PO",'caseload data'!$A:$A,'divisional &amp; regional overview'!$B$105)</f>
        <v>0</v>
      </c>
      <c r="P121" s="204">
        <f>SUMIFS('caseload data'!R:R,'caseload data'!$D:$D,"PO",'caseload data'!$A:$A,'divisional &amp; regional overview'!$B$105)</f>
        <v>0</v>
      </c>
      <c r="Q121" s="204">
        <f>SUMIFS('caseload data'!S:S,'caseload data'!$D:$D,"PO",'caseload data'!$A:$A,'divisional &amp; regional overview'!$B$105)</f>
        <v>0</v>
      </c>
      <c r="R121" s="204">
        <f>SUMIFS('caseload data'!T:T,'caseload data'!$D:$D,"PO",'caseload data'!$A:$A,'divisional &amp; regional overview'!$B$105)</f>
        <v>0</v>
      </c>
      <c r="U121" s="129" t="s">
        <v>184</v>
      </c>
      <c r="V121" s="209" t="e">
        <f>C$121/SUM(C$121:C$124)</f>
        <v>#DIV/0!</v>
      </c>
      <c r="W121" s="209" t="e">
        <f t="shared" ref="W121:AK121" si="16">D$121/SUM(D$121:D$124)</f>
        <v>#DIV/0!</v>
      </c>
      <c r="X121" s="209" t="e">
        <f t="shared" si="16"/>
        <v>#DIV/0!</v>
      </c>
      <c r="Y121" s="209" t="e">
        <f t="shared" si="16"/>
        <v>#DIV/0!</v>
      </c>
      <c r="Z121" s="209" t="e">
        <f t="shared" si="16"/>
        <v>#DIV/0!</v>
      </c>
      <c r="AA121" s="209" t="e">
        <f t="shared" si="16"/>
        <v>#DIV/0!</v>
      </c>
      <c r="AB121" s="209" t="e">
        <f t="shared" si="16"/>
        <v>#DIV/0!</v>
      </c>
      <c r="AC121" s="209" t="e">
        <f t="shared" si="16"/>
        <v>#DIV/0!</v>
      </c>
      <c r="AD121" s="209" t="e">
        <f t="shared" si="16"/>
        <v>#DIV/0!</v>
      </c>
      <c r="AE121" s="209" t="e">
        <f t="shared" si="16"/>
        <v>#DIV/0!</v>
      </c>
      <c r="AF121" s="209" t="e">
        <f t="shared" si="16"/>
        <v>#DIV/0!</v>
      </c>
      <c r="AG121" s="209" t="e">
        <f t="shared" si="16"/>
        <v>#DIV/0!</v>
      </c>
      <c r="AH121" s="209" t="e">
        <f t="shared" si="16"/>
        <v>#DIV/0!</v>
      </c>
      <c r="AI121" s="209" t="e">
        <f t="shared" si="16"/>
        <v>#DIV/0!</v>
      </c>
      <c r="AJ121" s="209" t="e">
        <f t="shared" si="16"/>
        <v>#DIV/0!</v>
      </c>
      <c r="AK121" s="209" t="e">
        <f t="shared" si="16"/>
        <v>#DIV/0!</v>
      </c>
    </row>
    <row r="122" spans="2:37" x14ac:dyDescent="0.15">
      <c r="B122" s="130" t="s">
        <v>185</v>
      </c>
      <c r="C122" s="126">
        <f>SUMIFS('caseload data'!E:E,'caseload data'!$D:$D,"PSO",'caseload data'!$A:$A,'divisional &amp; regional overview'!$B$105)</f>
        <v>0</v>
      </c>
      <c r="D122" s="126">
        <f>SUMIFS('caseload data'!F:F,'caseload data'!$D:$D,"PSO",'caseload data'!$A:$A,'divisional &amp; regional overview'!$B$105)</f>
        <v>0</v>
      </c>
      <c r="E122" s="126">
        <f>SUMIFS('caseload data'!G:G,'caseload data'!$D:$D,"PSO",'caseload data'!$A:$A,'divisional &amp; regional overview'!$B$105)</f>
        <v>0</v>
      </c>
      <c r="F122" s="126">
        <f>SUMIFS('caseload data'!H:H,'caseload data'!$D:$D,"PSO",'caseload data'!$A:$A,'divisional &amp; regional overview'!$B$105)</f>
        <v>0</v>
      </c>
      <c r="G122" s="204">
        <f>SUMIFS('caseload data'!I:I,'caseload data'!$D:$D,"PSO",'caseload data'!$A:$A,'divisional &amp; regional overview'!$B$105)</f>
        <v>0</v>
      </c>
      <c r="H122" s="204">
        <f>SUMIFS('caseload data'!J:J,'caseload data'!$D:$D,"PSO",'caseload data'!$A:$A,'divisional &amp; regional overview'!$B$105)</f>
        <v>0</v>
      </c>
      <c r="I122" s="204">
        <f>SUMIFS('caseload data'!K:K,'caseload data'!$D:$D,"PSO",'caseload data'!$A:$A,'divisional &amp; regional overview'!$B$105)</f>
        <v>0</v>
      </c>
      <c r="J122" s="204">
        <f>SUMIFS('caseload data'!L:L,'caseload data'!$D:$D,"PSO",'caseload data'!$A:$A,'divisional &amp; regional overview'!$B$105)</f>
        <v>0</v>
      </c>
      <c r="K122" s="204">
        <f>SUMIFS('caseload data'!M:M,'caseload data'!$D:$D,"PSO",'caseload data'!$A:$A,'divisional &amp; regional overview'!$B$105)</f>
        <v>0</v>
      </c>
      <c r="L122" s="204">
        <f>SUMIFS('caseload data'!N:N,'caseload data'!$D:$D,"PSO",'caseload data'!$A:$A,'divisional &amp; regional overview'!$B$105)</f>
        <v>0</v>
      </c>
      <c r="M122" s="204">
        <f>SUMIFS('caseload data'!O:O,'caseload data'!$D:$D,"PSO",'caseload data'!$A:$A,'divisional &amp; regional overview'!$B$105)</f>
        <v>0</v>
      </c>
      <c r="N122" s="204">
        <f>SUMIFS('caseload data'!P:P,'caseload data'!$D:$D,"PSO",'caseload data'!$A:$A,'divisional &amp; regional overview'!$B$105)</f>
        <v>0</v>
      </c>
      <c r="O122" s="204">
        <f>SUMIFS('caseload data'!Q:Q,'caseload data'!$D:$D,"PSO",'caseload data'!$A:$A,'divisional &amp; regional overview'!$B$105)</f>
        <v>0</v>
      </c>
      <c r="P122" s="204">
        <f>SUMIFS('caseload data'!R:R,'caseload data'!$D:$D,"PSO",'caseload data'!$A:$A,'divisional &amp; regional overview'!$B$105)</f>
        <v>0</v>
      </c>
      <c r="Q122" s="204">
        <f>SUMIFS('caseload data'!S:S,'caseload data'!$D:$D,"PSO",'caseload data'!$A:$A,'divisional &amp; regional overview'!$B$105)</f>
        <v>0</v>
      </c>
      <c r="R122" s="204">
        <f>SUMIFS('caseload data'!T:T,'caseload data'!$D:$D,"PSO",'caseload data'!$A:$A,'divisional &amp; regional overview'!$B$105)</f>
        <v>0</v>
      </c>
      <c r="U122" s="130" t="s">
        <v>185</v>
      </c>
      <c r="V122" s="209" t="e">
        <f>C$122/SUM(C$121:C$124)</f>
        <v>#DIV/0!</v>
      </c>
      <c r="W122" s="209" t="e">
        <f t="shared" ref="W122:AK122" si="17">D$122/SUM(D$121:D$124)</f>
        <v>#DIV/0!</v>
      </c>
      <c r="X122" s="209" t="e">
        <f t="shared" si="17"/>
        <v>#DIV/0!</v>
      </c>
      <c r="Y122" s="209" t="e">
        <f t="shared" si="17"/>
        <v>#DIV/0!</v>
      </c>
      <c r="Z122" s="209" t="e">
        <f t="shared" si="17"/>
        <v>#DIV/0!</v>
      </c>
      <c r="AA122" s="209" t="e">
        <f t="shared" si="17"/>
        <v>#DIV/0!</v>
      </c>
      <c r="AB122" s="209" t="e">
        <f t="shared" si="17"/>
        <v>#DIV/0!</v>
      </c>
      <c r="AC122" s="209" t="e">
        <f t="shared" si="17"/>
        <v>#DIV/0!</v>
      </c>
      <c r="AD122" s="209" t="e">
        <f t="shared" si="17"/>
        <v>#DIV/0!</v>
      </c>
      <c r="AE122" s="209" t="e">
        <f t="shared" si="17"/>
        <v>#DIV/0!</v>
      </c>
      <c r="AF122" s="209" t="e">
        <f t="shared" si="17"/>
        <v>#DIV/0!</v>
      </c>
      <c r="AG122" s="209" t="e">
        <f t="shared" si="17"/>
        <v>#DIV/0!</v>
      </c>
      <c r="AH122" s="209" t="e">
        <f t="shared" si="17"/>
        <v>#DIV/0!</v>
      </c>
      <c r="AI122" s="209" t="e">
        <f t="shared" si="17"/>
        <v>#DIV/0!</v>
      </c>
      <c r="AJ122" s="209" t="e">
        <f t="shared" si="17"/>
        <v>#DIV/0!</v>
      </c>
      <c r="AK122" s="209" t="e">
        <f t="shared" si="17"/>
        <v>#DIV/0!</v>
      </c>
    </row>
    <row r="123" spans="2:37" x14ac:dyDescent="0.15">
      <c r="B123" s="130" t="s">
        <v>186</v>
      </c>
      <c r="C123" s="126">
        <f>SUMIFS('caseload data'!E:E,'caseload data'!$D:$D,"TPO",'caseload data'!$A:$A,'divisional &amp; regional overview'!$B$105)</f>
        <v>0</v>
      </c>
      <c r="D123" s="126">
        <f>SUMIFS('caseload data'!F:F,'caseload data'!$D:$D,"TPO",'caseload data'!$A:$A,'divisional &amp; regional overview'!$B$105)</f>
        <v>0</v>
      </c>
      <c r="E123" s="126">
        <f>SUMIFS('caseload data'!G:G,'caseload data'!$D:$D,"TPO",'caseload data'!$A:$A,'divisional &amp; regional overview'!$B$105)</f>
        <v>0</v>
      </c>
      <c r="F123" s="126">
        <f>SUMIFS('caseload data'!H:H,'caseload data'!$D:$D,"TPO",'caseload data'!$A:$A,'divisional &amp; regional overview'!$B$105)</f>
        <v>0</v>
      </c>
      <c r="G123" s="204">
        <f>SUMIFS('caseload data'!I:I,'caseload data'!$D:$D,"TPO",'caseload data'!$A:$A,'divisional &amp; regional overview'!$B$105)</f>
        <v>0</v>
      </c>
      <c r="H123" s="204">
        <f>SUMIFS('caseload data'!J:J,'caseload data'!$D:$D,"TPO",'caseload data'!$A:$A,'divisional &amp; regional overview'!$B$105)</f>
        <v>0</v>
      </c>
      <c r="I123" s="204">
        <f>SUMIFS('caseload data'!K:K,'caseload data'!$D:$D,"TPO",'caseload data'!$A:$A,'divisional &amp; regional overview'!$B$105)</f>
        <v>0</v>
      </c>
      <c r="J123" s="204">
        <f>SUMIFS('caseload data'!L:L,'caseload data'!$D:$D,"TPO",'caseload data'!$A:$A,'divisional &amp; regional overview'!$B$105)</f>
        <v>0</v>
      </c>
      <c r="K123" s="204">
        <f>SUMIFS('caseload data'!M:M,'caseload data'!$D:$D,"TPO",'caseload data'!$A:$A,'divisional &amp; regional overview'!$B$105)</f>
        <v>0</v>
      </c>
      <c r="L123" s="204">
        <f>SUMIFS('caseload data'!N:N,'caseload data'!$D:$D,"TPO",'caseload data'!$A:$A,'divisional &amp; regional overview'!$B$105)</f>
        <v>0</v>
      </c>
      <c r="M123" s="204">
        <f>SUMIFS('caseload data'!O:O,'caseload data'!$D:$D,"TPO",'caseload data'!$A:$A,'divisional &amp; regional overview'!$B$105)</f>
        <v>0</v>
      </c>
      <c r="N123" s="204">
        <f>SUMIFS('caseload data'!P:P,'caseload data'!$D:$D,"TPO",'caseload data'!$A:$A,'divisional &amp; regional overview'!$B$105)</f>
        <v>0</v>
      </c>
      <c r="O123" s="204">
        <f>SUMIFS('caseload data'!Q:Q,'caseload data'!$D:$D,"TPO",'caseload data'!$A:$A,'divisional &amp; regional overview'!$B$105)</f>
        <v>0</v>
      </c>
      <c r="P123" s="204">
        <f>SUMIFS('caseload data'!R:R,'caseload data'!$D:$D,"TPO",'caseload data'!$A:$A,'divisional &amp; regional overview'!$B$105)</f>
        <v>0</v>
      </c>
      <c r="Q123" s="204">
        <f>SUMIFS('caseload data'!S:S,'caseload data'!$D:$D,"TPO",'caseload data'!$A:$A,'divisional &amp; regional overview'!$B$105)</f>
        <v>0</v>
      </c>
      <c r="R123" s="204">
        <f>SUMIFS('caseload data'!T:T,'caseload data'!$D:$D,"TPO",'caseload data'!$A:$A,'divisional &amp; regional overview'!$B$105)</f>
        <v>0</v>
      </c>
      <c r="U123" s="130" t="s">
        <v>186</v>
      </c>
      <c r="V123" s="209" t="e">
        <f>C$123/SUM(C$121:C$124)</f>
        <v>#DIV/0!</v>
      </c>
      <c r="W123" s="209" t="e">
        <f t="shared" ref="W123:AK123" si="18">D$123/SUM(D$121:D$124)</f>
        <v>#DIV/0!</v>
      </c>
      <c r="X123" s="209" t="e">
        <f t="shared" si="18"/>
        <v>#DIV/0!</v>
      </c>
      <c r="Y123" s="209" t="e">
        <f t="shared" si="18"/>
        <v>#DIV/0!</v>
      </c>
      <c r="Z123" s="209" t="e">
        <f t="shared" si="18"/>
        <v>#DIV/0!</v>
      </c>
      <c r="AA123" s="209" t="e">
        <f t="shared" si="18"/>
        <v>#DIV/0!</v>
      </c>
      <c r="AB123" s="209" t="e">
        <f t="shared" si="18"/>
        <v>#DIV/0!</v>
      </c>
      <c r="AC123" s="209" t="e">
        <f t="shared" si="18"/>
        <v>#DIV/0!</v>
      </c>
      <c r="AD123" s="209" t="e">
        <f t="shared" si="18"/>
        <v>#DIV/0!</v>
      </c>
      <c r="AE123" s="209" t="e">
        <f t="shared" si="18"/>
        <v>#DIV/0!</v>
      </c>
      <c r="AF123" s="209" t="e">
        <f t="shared" si="18"/>
        <v>#DIV/0!</v>
      </c>
      <c r="AG123" s="209" t="e">
        <f t="shared" si="18"/>
        <v>#DIV/0!</v>
      </c>
      <c r="AH123" s="209" t="e">
        <f t="shared" si="18"/>
        <v>#DIV/0!</v>
      </c>
      <c r="AI123" s="209" t="e">
        <f t="shared" si="18"/>
        <v>#DIV/0!</v>
      </c>
      <c r="AJ123" s="209" t="e">
        <f t="shared" si="18"/>
        <v>#DIV/0!</v>
      </c>
      <c r="AK123" s="209" t="e">
        <f t="shared" si="18"/>
        <v>#DIV/0!</v>
      </c>
    </row>
    <row r="124" spans="2:37" x14ac:dyDescent="0.15">
      <c r="B124" s="131" t="s">
        <v>187</v>
      </c>
      <c r="C124" s="126">
        <f>SUMIFS('caseload data'!E:E,'caseload data'!$D:$D,"SPO",'caseload data'!$A:$A,$B$98)</f>
        <v>0</v>
      </c>
      <c r="D124" s="126">
        <f>SUMIFS('caseload data'!F:F,'caseload data'!$D:$D,"SPO",'caseload data'!$A:$A,$B$98)</f>
        <v>0</v>
      </c>
      <c r="E124" s="126">
        <f>SUMIFS('caseload data'!G:G,'caseload data'!$D:$D,"SPO",'caseload data'!$A:$A,$B$98)</f>
        <v>0</v>
      </c>
      <c r="F124" s="126">
        <f>SUMIFS('caseload data'!H:H,'caseload data'!$D:$D,"SPO",'caseload data'!$A:$A,$B$98)</f>
        <v>0</v>
      </c>
      <c r="G124" s="204">
        <f>SUMIFS('caseload data'!I:I,'caseload data'!$D:$D,"SPO",'caseload data'!$A:$A,$B$98)</f>
        <v>0</v>
      </c>
      <c r="H124" s="204">
        <f>SUMIFS('caseload data'!J:J,'caseload data'!$D:$D,"SPO",'caseload data'!$A:$A,$B$98)</f>
        <v>0</v>
      </c>
      <c r="I124" s="204">
        <f>SUMIFS('caseload data'!K:K,'caseload data'!$D:$D,"SPO",'caseload data'!$A:$A,$B$98)</f>
        <v>0</v>
      </c>
      <c r="J124" s="204">
        <f>SUMIFS('caseload data'!L:L,'caseload data'!$D:$D,"SPO",'caseload data'!$A:$A,$B$98)</f>
        <v>0</v>
      </c>
      <c r="K124" s="204">
        <f>SUMIFS('caseload data'!M:M,'caseload data'!$D:$D,"SPO",'caseload data'!$A:$A,$B$98)</f>
        <v>0</v>
      </c>
      <c r="L124" s="204">
        <f>SUMIFS('caseload data'!N:N,'caseload data'!$D:$D,"SPO",'caseload data'!$A:$A,$B$98)</f>
        <v>0</v>
      </c>
      <c r="M124" s="204">
        <f>SUMIFS('caseload data'!O:O,'caseload data'!$D:$D,"SPO",'caseload data'!$A:$A,$B$98)</f>
        <v>0</v>
      </c>
      <c r="N124" s="204">
        <f>SUMIFS('caseload data'!P:P,'caseload data'!$D:$D,"SPO",'caseload data'!$A:$A,$B$98)</f>
        <v>0</v>
      </c>
      <c r="O124" s="204">
        <f>SUMIFS('caseload data'!Q:Q,'caseload data'!$D:$D,"SPO",'caseload data'!$A:$A,$B$98)</f>
        <v>0</v>
      </c>
      <c r="P124" s="204">
        <f>SUMIFS('caseload data'!R:R,'caseload data'!$D:$D,"SPO",'caseload data'!$A:$A,$B$98)</f>
        <v>0</v>
      </c>
      <c r="Q124" s="204">
        <f>SUMIFS('caseload data'!S:S,'caseload data'!$D:$D,"SPO",'caseload data'!$A:$A,$B$98)</f>
        <v>0</v>
      </c>
      <c r="R124" s="204">
        <f>SUMIFS('caseload data'!T:T,'caseload data'!$D:$D,"SPO",'caseload data'!$A:$A,$B$98)</f>
        <v>0</v>
      </c>
      <c r="U124" s="131" t="s">
        <v>187</v>
      </c>
      <c r="V124" s="209" t="e">
        <f>C$124/SUM(C$121:C$124)</f>
        <v>#DIV/0!</v>
      </c>
      <c r="W124" s="209" t="e">
        <f t="shared" ref="W124:AK124" si="19">D$124/SUM(D$121:D$124)</f>
        <v>#DIV/0!</v>
      </c>
      <c r="X124" s="209" t="e">
        <f t="shared" si="19"/>
        <v>#DIV/0!</v>
      </c>
      <c r="Y124" s="209" t="e">
        <f t="shared" si="19"/>
        <v>#DIV/0!</v>
      </c>
      <c r="Z124" s="209" t="e">
        <f t="shared" si="19"/>
        <v>#DIV/0!</v>
      </c>
      <c r="AA124" s="209" t="e">
        <f t="shared" si="19"/>
        <v>#DIV/0!</v>
      </c>
      <c r="AB124" s="209" t="e">
        <f t="shared" si="19"/>
        <v>#DIV/0!</v>
      </c>
      <c r="AC124" s="209" t="e">
        <f t="shared" si="19"/>
        <v>#DIV/0!</v>
      </c>
      <c r="AD124" s="209" t="e">
        <f t="shared" si="19"/>
        <v>#DIV/0!</v>
      </c>
      <c r="AE124" s="209" t="e">
        <f t="shared" si="19"/>
        <v>#DIV/0!</v>
      </c>
      <c r="AF124" s="209" t="e">
        <f t="shared" si="19"/>
        <v>#DIV/0!</v>
      </c>
      <c r="AG124" s="209" t="e">
        <f t="shared" si="19"/>
        <v>#DIV/0!</v>
      </c>
      <c r="AH124" s="209" t="e">
        <f t="shared" si="19"/>
        <v>#DIV/0!</v>
      </c>
      <c r="AI124" s="209" t="e">
        <f t="shared" si="19"/>
        <v>#DIV/0!</v>
      </c>
      <c r="AJ124" s="209" t="e">
        <f t="shared" si="19"/>
        <v>#DIV/0!</v>
      </c>
      <c r="AK124" s="209" t="e">
        <f t="shared" si="19"/>
        <v>#DIV/0!</v>
      </c>
    </row>
  </sheetData>
  <mergeCells count="19">
    <mergeCell ref="F37:F41"/>
    <mergeCell ref="G37:G41"/>
    <mergeCell ref="C80:S80"/>
    <mergeCell ref="C87:R87"/>
    <mergeCell ref="A1:S1"/>
    <mergeCell ref="A2:S2"/>
    <mergeCell ref="B26:K26"/>
    <mergeCell ref="B32:D32"/>
    <mergeCell ref="F32:G32"/>
    <mergeCell ref="B19:H19"/>
    <mergeCell ref="B13:M13"/>
    <mergeCell ref="V98:AK98"/>
    <mergeCell ref="V105:AK105"/>
    <mergeCell ref="V112:AK112"/>
    <mergeCell ref="V119:AK119"/>
    <mergeCell ref="C98:R98"/>
    <mergeCell ref="C105:R105"/>
    <mergeCell ref="C112:R112"/>
    <mergeCell ref="C119:R119"/>
  </mergeCells>
  <conditionalFormatting sqref="C9:F10">
    <cfRule type="cellIs" dxfId="5991" priority="351" operator="lessThan">
      <formula>0.9</formula>
    </cfRule>
    <cfRule type="cellIs" dxfId="5990" priority="352" operator="greaterThanOrEqual">
      <formula>1.1</formula>
    </cfRule>
  </conditionalFormatting>
  <conditionalFormatting sqref="C101:F102">
    <cfRule type="cellIs" dxfId="5989" priority="337" operator="equal">
      <formula>0</formula>
    </cfRule>
    <cfRule type="cellIs" dxfId="5988" priority="338" operator="notEqual">
      <formula>0</formula>
    </cfRule>
  </conditionalFormatting>
  <conditionalFormatting sqref="G101:G102">
    <cfRule type="cellIs" dxfId="5987" priority="255" operator="equal">
      <formula>0</formula>
    </cfRule>
    <cfRule type="cellIs" dxfId="5986" priority="256" operator="notEqual">
      <formula>0</formula>
    </cfRule>
  </conditionalFormatting>
  <conditionalFormatting sqref="H101:H102">
    <cfRule type="cellIs" dxfId="5985" priority="253" operator="equal">
      <formula>0</formula>
    </cfRule>
    <cfRule type="cellIs" dxfId="5984" priority="254" operator="notEqual">
      <formula>0</formula>
    </cfRule>
  </conditionalFormatting>
  <conditionalFormatting sqref="I101:I102">
    <cfRule type="cellIs" dxfId="5983" priority="251" operator="equal">
      <formula>0</formula>
    </cfRule>
    <cfRule type="cellIs" dxfId="5982" priority="252" operator="notEqual">
      <formula>0</formula>
    </cfRule>
  </conditionalFormatting>
  <conditionalFormatting sqref="J101:J102">
    <cfRule type="cellIs" dxfId="5981" priority="249" operator="equal">
      <formula>0</formula>
    </cfRule>
    <cfRule type="cellIs" dxfId="5980" priority="250" operator="notEqual">
      <formula>0</formula>
    </cfRule>
  </conditionalFormatting>
  <conditionalFormatting sqref="O100">
    <cfRule type="cellIs" dxfId="5979" priority="247" operator="equal">
      <formula>0</formula>
    </cfRule>
    <cfRule type="cellIs" dxfId="5978" priority="248" operator="notEqual">
      <formula>0</formula>
    </cfRule>
  </conditionalFormatting>
  <conditionalFormatting sqref="O103">
    <cfRule type="cellIs" dxfId="5977" priority="245" operator="equal">
      <formula>0</formula>
    </cfRule>
    <cfRule type="cellIs" dxfId="5976" priority="246" operator="notEqual">
      <formula>0</formula>
    </cfRule>
  </conditionalFormatting>
  <conditionalFormatting sqref="P100">
    <cfRule type="cellIs" dxfId="5975" priority="243" operator="equal">
      <formula>0</formula>
    </cfRule>
    <cfRule type="cellIs" dxfId="5974" priority="244" operator="notEqual">
      <formula>0</formula>
    </cfRule>
  </conditionalFormatting>
  <conditionalFormatting sqref="P103">
    <cfRule type="cellIs" dxfId="5973" priority="241" operator="equal">
      <formula>0</formula>
    </cfRule>
    <cfRule type="cellIs" dxfId="5972" priority="242" operator="notEqual">
      <formula>0</formula>
    </cfRule>
  </conditionalFormatting>
  <conditionalFormatting sqref="Q100">
    <cfRule type="cellIs" dxfId="5971" priority="239" operator="equal">
      <formula>0</formula>
    </cfRule>
    <cfRule type="cellIs" dxfId="5970" priority="240" operator="notEqual">
      <formula>0</formula>
    </cfRule>
  </conditionalFormatting>
  <conditionalFormatting sqref="Q103">
    <cfRule type="cellIs" dxfId="5969" priority="237" operator="equal">
      <formula>0</formula>
    </cfRule>
    <cfRule type="cellIs" dxfId="5968" priority="238" operator="notEqual">
      <formula>0</formula>
    </cfRule>
  </conditionalFormatting>
  <conditionalFormatting sqref="R100">
    <cfRule type="cellIs" dxfId="5967" priority="235" operator="equal">
      <formula>0</formula>
    </cfRule>
    <cfRule type="cellIs" dxfId="5966" priority="236" operator="notEqual">
      <formula>0</formula>
    </cfRule>
  </conditionalFormatting>
  <conditionalFormatting sqref="R103">
    <cfRule type="cellIs" dxfId="5965" priority="233" operator="equal">
      <formula>0</formula>
    </cfRule>
    <cfRule type="cellIs" dxfId="5964" priority="234" operator="notEqual">
      <formula>0</formula>
    </cfRule>
  </conditionalFormatting>
  <conditionalFormatting sqref="C115:F116">
    <cfRule type="cellIs" dxfId="5963" priority="205" operator="equal">
      <formula>0</formula>
    </cfRule>
    <cfRule type="cellIs" dxfId="5962" priority="206" operator="notEqual">
      <formula>0</formula>
    </cfRule>
  </conditionalFormatting>
  <conditionalFormatting sqref="G115:G116">
    <cfRule type="cellIs" dxfId="5961" priority="203" operator="equal">
      <formula>0</formula>
    </cfRule>
    <cfRule type="cellIs" dxfId="5960" priority="204" operator="notEqual">
      <formula>0</formula>
    </cfRule>
  </conditionalFormatting>
  <conditionalFormatting sqref="H115:H116">
    <cfRule type="cellIs" dxfId="5959" priority="201" operator="equal">
      <formula>0</formula>
    </cfRule>
    <cfRule type="cellIs" dxfId="5958" priority="202" operator="notEqual">
      <formula>0</formula>
    </cfRule>
  </conditionalFormatting>
  <conditionalFormatting sqref="I115:I116">
    <cfRule type="cellIs" dxfId="5957" priority="199" operator="equal">
      <formula>0</formula>
    </cfRule>
    <cfRule type="cellIs" dxfId="5956" priority="200" operator="notEqual">
      <formula>0</formula>
    </cfRule>
  </conditionalFormatting>
  <conditionalFormatting sqref="J115:J116">
    <cfRule type="cellIs" dxfId="5955" priority="197" operator="equal">
      <formula>0</formula>
    </cfRule>
    <cfRule type="cellIs" dxfId="5954" priority="198" operator="notEqual">
      <formula>0</formula>
    </cfRule>
  </conditionalFormatting>
  <conditionalFormatting sqref="O114">
    <cfRule type="cellIs" dxfId="5953" priority="195" operator="equal">
      <formula>0</formula>
    </cfRule>
    <cfRule type="cellIs" dxfId="5952" priority="196" operator="notEqual">
      <formula>0</formula>
    </cfRule>
  </conditionalFormatting>
  <conditionalFormatting sqref="O117">
    <cfRule type="cellIs" dxfId="5951" priority="193" operator="equal">
      <formula>0</formula>
    </cfRule>
    <cfRule type="cellIs" dxfId="5950" priority="194" operator="notEqual">
      <formula>0</formula>
    </cfRule>
  </conditionalFormatting>
  <conditionalFormatting sqref="P114">
    <cfRule type="cellIs" dxfId="5949" priority="191" operator="equal">
      <formula>0</formula>
    </cfRule>
    <cfRule type="cellIs" dxfId="5948" priority="192" operator="notEqual">
      <formula>0</formula>
    </cfRule>
  </conditionalFormatting>
  <conditionalFormatting sqref="P117">
    <cfRule type="cellIs" dxfId="5947" priority="189" operator="equal">
      <formula>0</formula>
    </cfRule>
    <cfRule type="cellIs" dxfId="5946" priority="190" operator="notEqual">
      <formula>0</formula>
    </cfRule>
  </conditionalFormatting>
  <conditionalFormatting sqref="Q114">
    <cfRule type="cellIs" dxfId="5945" priority="187" operator="equal">
      <formula>0</formula>
    </cfRule>
    <cfRule type="cellIs" dxfId="5944" priority="188" operator="notEqual">
      <formula>0</formula>
    </cfRule>
  </conditionalFormatting>
  <conditionalFormatting sqref="Q117">
    <cfRule type="cellIs" dxfId="5943" priority="185" operator="equal">
      <formula>0</formula>
    </cfRule>
    <cfRule type="cellIs" dxfId="5942" priority="186" operator="notEqual">
      <formula>0</formula>
    </cfRule>
  </conditionalFormatting>
  <conditionalFormatting sqref="R114">
    <cfRule type="cellIs" dxfId="5941" priority="183" operator="equal">
      <formula>0</formula>
    </cfRule>
    <cfRule type="cellIs" dxfId="5940" priority="184" operator="notEqual">
      <formula>0</formula>
    </cfRule>
  </conditionalFormatting>
  <conditionalFormatting sqref="R117">
    <cfRule type="cellIs" dxfId="5939" priority="181" operator="equal">
      <formula>0</formula>
    </cfRule>
    <cfRule type="cellIs" dxfId="5938" priority="182" operator="notEqual">
      <formula>0</formula>
    </cfRule>
  </conditionalFormatting>
  <conditionalFormatting sqref="C122:F123">
    <cfRule type="cellIs" dxfId="5937" priority="179" operator="equal">
      <formula>0</formula>
    </cfRule>
    <cfRule type="cellIs" dxfId="5936" priority="180" operator="notEqual">
      <formula>0</formula>
    </cfRule>
  </conditionalFormatting>
  <conditionalFormatting sqref="G122:G123">
    <cfRule type="cellIs" dxfId="5935" priority="177" operator="equal">
      <formula>0</formula>
    </cfRule>
    <cfRule type="cellIs" dxfId="5934" priority="178" operator="notEqual">
      <formula>0</formula>
    </cfRule>
  </conditionalFormatting>
  <conditionalFormatting sqref="H122:H123">
    <cfRule type="cellIs" dxfId="5933" priority="175" operator="equal">
      <formula>0</formula>
    </cfRule>
    <cfRule type="cellIs" dxfId="5932" priority="176" operator="notEqual">
      <formula>0</formula>
    </cfRule>
  </conditionalFormatting>
  <conditionalFormatting sqref="I122:I123">
    <cfRule type="cellIs" dxfId="5931" priority="173" operator="equal">
      <formula>0</formula>
    </cfRule>
    <cfRule type="cellIs" dxfId="5930" priority="174" operator="notEqual">
      <formula>0</formula>
    </cfRule>
  </conditionalFormatting>
  <conditionalFormatting sqref="J122:J123">
    <cfRule type="cellIs" dxfId="5929" priority="171" operator="equal">
      <formula>0</formula>
    </cfRule>
    <cfRule type="cellIs" dxfId="5928" priority="172" operator="notEqual">
      <formula>0</formula>
    </cfRule>
  </conditionalFormatting>
  <conditionalFormatting sqref="O121">
    <cfRule type="cellIs" dxfId="5927" priority="169" operator="equal">
      <formula>0</formula>
    </cfRule>
    <cfRule type="cellIs" dxfId="5926" priority="170" operator="notEqual">
      <formula>0</formula>
    </cfRule>
  </conditionalFormatting>
  <conditionalFormatting sqref="O124">
    <cfRule type="cellIs" dxfId="5925" priority="167" operator="equal">
      <formula>0</formula>
    </cfRule>
    <cfRule type="cellIs" dxfId="5924" priority="168" operator="notEqual">
      <formula>0</formula>
    </cfRule>
  </conditionalFormatting>
  <conditionalFormatting sqref="P121">
    <cfRule type="cellIs" dxfId="5923" priority="165" operator="equal">
      <formula>0</formula>
    </cfRule>
    <cfRule type="cellIs" dxfId="5922" priority="166" operator="notEqual">
      <formula>0</formula>
    </cfRule>
  </conditionalFormatting>
  <conditionalFormatting sqref="P124">
    <cfRule type="cellIs" dxfId="5921" priority="163" operator="equal">
      <formula>0</formula>
    </cfRule>
    <cfRule type="cellIs" dxfId="5920" priority="164" operator="notEqual">
      <formula>0</formula>
    </cfRule>
  </conditionalFormatting>
  <conditionalFormatting sqref="Q121">
    <cfRule type="cellIs" dxfId="5919" priority="161" operator="equal">
      <formula>0</formula>
    </cfRule>
    <cfRule type="cellIs" dxfId="5918" priority="162" operator="notEqual">
      <formula>0</formula>
    </cfRule>
  </conditionalFormatting>
  <conditionalFormatting sqref="Q124">
    <cfRule type="cellIs" dxfId="5917" priority="159" operator="equal">
      <formula>0</formula>
    </cfRule>
    <cfRule type="cellIs" dxfId="5916" priority="160" operator="notEqual">
      <formula>0</formula>
    </cfRule>
  </conditionalFormatting>
  <conditionalFormatting sqref="R121">
    <cfRule type="cellIs" dxfId="5915" priority="157" operator="equal">
      <formula>0</formula>
    </cfRule>
    <cfRule type="cellIs" dxfId="5914" priority="158" operator="notEqual">
      <formula>0</formula>
    </cfRule>
  </conditionalFormatting>
  <conditionalFormatting sqref="R124">
    <cfRule type="cellIs" dxfId="5913" priority="155" operator="equal">
      <formula>0</formula>
    </cfRule>
    <cfRule type="cellIs" dxfId="5912" priority="156" operator="notEqual">
      <formula>0</formula>
    </cfRule>
  </conditionalFormatting>
  <conditionalFormatting sqref="V101:V102">
    <cfRule type="cellIs" dxfId="5911" priority="153" operator="equal">
      <formula>0</formula>
    </cfRule>
    <cfRule type="cellIs" dxfId="5910" priority="154" operator="notEqual">
      <formula>0</formula>
    </cfRule>
  </conditionalFormatting>
  <conditionalFormatting sqref="W101:W102">
    <cfRule type="cellIs" dxfId="5909" priority="151" operator="equal">
      <formula>0</formula>
    </cfRule>
    <cfRule type="cellIs" dxfId="5908" priority="152" operator="notEqual">
      <formula>0</formula>
    </cfRule>
  </conditionalFormatting>
  <conditionalFormatting sqref="X101:X102">
    <cfRule type="cellIs" dxfId="5907" priority="149" operator="equal">
      <formula>0</formula>
    </cfRule>
    <cfRule type="cellIs" dxfId="5906" priority="150" operator="notEqual">
      <formula>0</formula>
    </cfRule>
  </conditionalFormatting>
  <conditionalFormatting sqref="Y101:Y102">
    <cfRule type="cellIs" dxfId="5905" priority="147" operator="equal">
      <formula>0</formula>
    </cfRule>
    <cfRule type="cellIs" dxfId="5904" priority="148" operator="notEqual">
      <formula>0</formula>
    </cfRule>
  </conditionalFormatting>
  <conditionalFormatting sqref="Z101:Z102">
    <cfRule type="cellIs" dxfId="5903" priority="145" operator="equal">
      <formula>0</formula>
    </cfRule>
    <cfRule type="cellIs" dxfId="5902" priority="146" operator="notEqual">
      <formula>0</formula>
    </cfRule>
  </conditionalFormatting>
  <conditionalFormatting sqref="AA101:AA102">
    <cfRule type="cellIs" dxfId="5901" priority="143" operator="equal">
      <formula>0</formula>
    </cfRule>
    <cfRule type="cellIs" dxfId="5900" priority="144" operator="notEqual">
      <formula>0</formula>
    </cfRule>
  </conditionalFormatting>
  <conditionalFormatting sqref="AB101:AB102">
    <cfRule type="cellIs" dxfId="5899" priority="141" operator="equal">
      <formula>0</formula>
    </cfRule>
    <cfRule type="cellIs" dxfId="5898" priority="142" operator="notEqual">
      <formula>0</formula>
    </cfRule>
  </conditionalFormatting>
  <conditionalFormatting sqref="AC101:AC102">
    <cfRule type="cellIs" dxfId="5897" priority="139" operator="equal">
      <formula>0</formula>
    </cfRule>
    <cfRule type="cellIs" dxfId="5896" priority="140" operator="notEqual">
      <formula>0</formula>
    </cfRule>
  </conditionalFormatting>
  <conditionalFormatting sqref="AH100">
    <cfRule type="cellIs" dxfId="5895" priority="137" operator="equal">
      <formula>0</formula>
    </cfRule>
    <cfRule type="cellIs" dxfId="5894" priority="138" operator="notEqual">
      <formula>0</formula>
    </cfRule>
  </conditionalFormatting>
  <conditionalFormatting sqref="AH103">
    <cfRule type="cellIs" dxfId="5893" priority="135" operator="equal">
      <formula>0</formula>
    </cfRule>
    <cfRule type="cellIs" dxfId="5892" priority="136" operator="notEqual">
      <formula>0</formula>
    </cfRule>
  </conditionalFormatting>
  <conditionalFormatting sqref="AI100">
    <cfRule type="cellIs" dxfId="5891" priority="133" operator="equal">
      <formula>0</formula>
    </cfRule>
    <cfRule type="cellIs" dxfId="5890" priority="134" operator="notEqual">
      <formula>0</formula>
    </cfRule>
  </conditionalFormatting>
  <conditionalFormatting sqref="AI103">
    <cfRule type="cellIs" dxfId="5889" priority="131" operator="equal">
      <formula>0</formula>
    </cfRule>
    <cfRule type="cellIs" dxfId="5888" priority="132" operator="notEqual">
      <formula>0</formula>
    </cfRule>
  </conditionalFormatting>
  <conditionalFormatting sqref="AJ100">
    <cfRule type="cellIs" dxfId="5887" priority="129" operator="equal">
      <formula>0</formula>
    </cfRule>
    <cfRule type="cellIs" dxfId="5886" priority="130" operator="notEqual">
      <formula>0</formula>
    </cfRule>
  </conditionalFormatting>
  <conditionalFormatting sqref="AJ103">
    <cfRule type="cellIs" dxfId="5885" priority="127" operator="equal">
      <formula>0</formula>
    </cfRule>
    <cfRule type="cellIs" dxfId="5884" priority="128" operator="notEqual">
      <formula>0</formula>
    </cfRule>
  </conditionalFormatting>
  <conditionalFormatting sqref="AK100">
    <cfRule type="cellIs" dxfId="5883" priority="125" operator="equal">
      <formula>0</formula>
    </cfRule>
    <cfRule type="cellIs" dxfId="5882" priority="126" operator="notEqual">
      <formula>0</formula>
    </cfRule>
  </conditionalFormatting>
  <conditionalFormatting sqref="AK103">
    <cfRule type="cellIs" dxfId="5881" priority="123" operator="equal">
      <formula>0</formula>
    </cfRule>
    <cfRule type="cellIs" dxfId="5880" priority="124" operator="notEqual">
      <formula>0</formula>
    </cfRule>
  </conditionalFormatting>
  <conditionalFormatting sqref="V108:V109">
    <cfRule type="cellIs" dxfId="5879" priority="121" operator="equal">
      <formula>0</formula>
    </cfRule>
    <cfRule type="cellIs" dxfId="5878" priority="122" operator="notEqual">
      <formula>0</formula>
    </cfRule>
  </conditionalFormatting>
  <conditionalFormatting sqref="W108:W109">
    <cfRule type="cellIs" dxfId="5877" priority="119" operator="equal">
      <formula>0</formula>
    </cfRule>
    <cfRule type="cellIs" dxfId="5876" priority="120" operator="notEqual">
      <formula>0</formula>
    </cfRule>
  </conditionalFormatting>
  <conditionalFormatting sqref="X108:X109">
    <cfRule type="cellIs" dxfId="5875" priority="117" operator="equal">
      <formula>0</formula>
    </cfRule>
    <cfRule type="cellIs" dxfId="5874" priority="118" operator="notEqual">
      <formula>0</formula>
    </cfRule>
  </conditionalFormatting>
  <conditionalFormatting sqref="Y108:Y109">
    <cfRule type="cellIs" dxfId="5873" priority="115" operator="equal">
      <formula>0</formula>
    </cfRule>
    <cfRule type="cellIs" dxfId="5872" priority="116" operator="notEqual">
      <formula>0</formula>
    </cfRule>
  </conditionalFormatting>
  <conditionalFormatting sqref="Z108:Z109">
    <cfRule type="cellIs" dxfId="5871" priority="113" operator="equal">
      <formula>0</formula>
    </cfRule>
    <cfRule type="cellIs" dxfId="5870" priority="114" operator="notEqual">
      <formula>0</formula>
    </cfRule>
  </conditionalFormatting>
  <conditionalFormatting sqref="AA108:AA109">
    <cfRule type="cellIs" dxfId="5869" priority="111" operator="equal">
      <formula>0</formula>
    </cfRule>
    <cfRule type="cellIs" dxfId="5868" priority="112" operator="notEqual">
      <formula>0</formula>
    </cfRule>
  </conditionalFormatting>
  <conditionalFormatting sqref="AB108:AB109">
    <cfRule type="cellIs" dxfId="5867" priority="109" operator="equal">
      <formula>0</formula>
    </cfRule>
    <cfRule type="cellIs" dxfId="5866" priority="110" operator="notEqual">
      <formula>0</formula>
    </cfRule>
  </conditionalFormatting>
  <conditionalFormatting sqref="AC108:AC109">
    <cfRule type="cellIs" dxfId="5865" priority="107" operator="equal">
      <formula>0</formula>
    </cfRule>
    <cfRule type="cellIs" dxfId="5864" priority="108" operator="notEqual">
      <formula>0</formula>
    </cfRule>
  </conditionalFormatting>
  <conditionalFormatting sqref="AH107">
    <cfRule type="cellIs" dxfId="5863" priority="105" operator="equal">
      <formula>0</formula>
    </cfRule>
    <cfRule type="cellIs" dxfId="5862" priority="106" operator="notEqual">
      <formula>0</formula>
    </cfRule>
  </conditionalFormatting>
  <conditionalFormatting sqref="AH110">
    <cfRule type="cellIs" dxfId="5861" priority="103" operator="equal">
      <formula>0</formula>
    </cfRule>
    <cfRule type="cellIs" dxfId="5860" priority="104" operator="notEqual">
      <formula>0</formula>
    </cfRule>
  </conditionalFormatting>
  <conditionalFormatting sqref="AI107">
    <cfRule type="cellIs" dxfId="5859" priority="101" operator="equal">
      <formula>0</formula>
    </cfRule>
    <cfRule type="cellIs" dxfId="5858" priority="102" operator="notEqual">
      <formula>0</formula>
    </cfRule>
  </conditionalFormatting>
  <conditionalFormatting sqref="AI110">
    <cfRule type="cellIs" dxfId="5857" priority="99" operator="equal">
      <formula>0</formula>
    </cfRule>
    <cfRule type="cellIs" dxfId="5856" priority="100" operator="notEqual">
      <formula>0</formula>
    </cfRule>
  </conditionalFormatting>
  <conditionalFormatting sqref="AJ107">
    <cfRule type="cellIs" dxfId="5855" priority="97" operator="equal">
      <formula>0</formula>
    </cfRule>
    <cfRule type="cellIs" dxfId="5854" priority="98" operator="notEqual">
      <formula>0</formula>
    </cfRule>
  </conditionalFormatting>
  <conditionalFormatting sqref="AJ110">
    <cfRule type="cellIs" dxfId="5853" priority="95" operator="equal">
      <formula>0</formula>
    </cfRule>
    <cfRule type="cellIs" dxfId="5852" priority="96" operator="notEqual">
      <formula>0</formula>
    </cfRule>
  </conditionalFormatting>
  <conditionalFormatting sqref="AK107">
    <cfRule type="cellIs" dxfId="5851" priority="93" operator="equal">
      <formula>0</formula>
    </cfRule>
    <cfRule type="cellIs" dxfId="5850" priority="94" operator="notEqual">
      <formula>0</formula>
    </cfRule>
  </conditionalFormatting>
  <conditionalFormatting sqref="AK110">
    <cfRule type="cellIs" dxfId="5849" priority="91" operator="equal">
      <formula>0</formula>
    </cfRule>
    <cfRule type="cellIs" dxfId="5848" priority="92" operator="notEqual">
      <formula>0</formula>
    </cfRule>
  </conditionalFormatting>
  <conditionalFormatting sqref="V115:V116">
    <cfRule type="cellIs" dxfId="5847" priority="89" operator="equal">
      <formula>0</formula>
    </cfRule>
    <cfRule type="cellIs" dxfId="5846" priority="90" operator="notEqual">
      <formula>0</formula>
    </cfRule>
  </conditionalFormatting>
  <conditionalFormatting sqref="W115:W116">
    <cfRule type="cellIs" dxfId="5845" priority="87" operator="equal">
      <formula>0</formula>
    </cfRule>
    <cfRule type="cellIs" dxfId="5844" priority="88" operator="notEqual">
      <formula>0</formula>
    </cfRule>
  </conditionalFormatting>
  <conditionalFormatting sqref="X115:X116">
    <cfRule type="cellIs" dxfId="5843" priority="85" operator="equal">
      <formula>0</formula>
    </cfRule>
    <cfRule type="cellIs" dxfId="5842" priority="86" operator="notEqual">
      <formula>0</formula>
    </cfRule>
  </conditionalFormatting>
  <conditionalFormatting sqref="Y115:Y116">
    <cfRule type="cellIs" dxfId="5841" priority="83" operator="equal">
      <formula>0</formula>
    </cfRule>
    <cfRule type="cellIs" dxfId="5840" priority="84" operator="notEqual">
      <formula>0</formula>
    </cfRule>
  </conditionalFormatting>
  <conditionalFormatting sqref="Z115:Z116">
    <cfRule type="cellIs" dxfId="5839" priority="81" operator="equal">
      <formula>0</formula>
    </cfRule>
    <cfRule type="cellIs" dxfId="5838" priority="82" operator="notEqual">
      <formula>0</formula>
    </cfRule>
  </conditionalFormatting>
  <conditionalFormatting sqref="AA115:AA116">
    <cfRule type="cellIs" dxfId="5837" priority="79" operator="equal">
      <formula>0</formula>
    </cfRule>
    <cfRule type="cellIs" dxfId="5836" priority="80" operator="notEqual">
      <formula>0</formula>
    </cfRule>
  </conditionalFormatting>
  <conditionalFormatting sqref="AB115:AB116">
    <cfRule type="cellIs" dxfId="5835" priority="77" operator="equal">
      <formula>0</formula>
    </cfRule>
    <cfRule type="cellIs" dxfId="5834" priority="78" operator="notEqual">
      <formula>0</formula>
    </cfRule>
  </conditionalFormatting>
  <conditionalFormatting sqref="AC115:AC116">
    <cfRule type="cellIs" dxfId="5833" priority="75" operator="equal">
      <formula>0</formula>
    </cfRule>
    <cfRule type="cellIs" dxfId="5832" priority="76" operator="notEqual">
      <formula>0</formula>
    </cfRule>
  </conditionalFormatting>
  <conditionalFormatting sqref="AH114">
    <cfRule type="cellIs" dxfId="5831" priority="73" operator="equal">
      <formula>0</formula>
    </cfRule>
    <cfRule type="cellIs" dxfId="5830" priority="74" operator="notEqual">
      <formula>0</formula>
    </cfRule>
  </conditionalFormatting>
  <conditionalFormatting sqref="AH117">
    <cfRule type="cellIs" dxfId="5829" priority="71" operator="equal">
      <formula>0</formula>
    </cfRule>
    <cfRule type="cellIs" dxfId="5828" priority="72" operator="notEqual">
      <formula>0</formula>
    </cfRule>
  </conditionalFormatting>
  <conditionalFormatting sqref="AI114">
    <cfRule type="cellIs" dxfId="5827" priority="69" operator="equal">
      <formula>0</formula>
    </cfRule>
    <cfRule type="cellIs" dxfId="5826" priority="70" operator="notEqual">
      <formula>0</formula>
    </cfRule>
  </conditionalFormatting>
  <conditionalFormatting sqref="AI117">
    <cfRule type="cellIs" dxfId="5825" priority="67" operator="equal">
      <formula>0</formula>
    </cfRule>
    <cfRule type="cellIs" dxfId="5824" priority="68" operator="notEqual">
      <formula>0</formula>
    </cfRule>
  </conditionalFormatting>
  <conditionalFormatting sqref="AJ114">
    <cfRule type="cellIs" dxfId="5823" priority="65" operator="equal">
      <formula>0</formula>
    </cfRule>
    <cfRule type="cellIs" dxfId="5822" priority="66" operator="notEqual">
      <formula>0</formula>
    </cfRule>
  </conditionalFormatting>
  <conditionalFormatting sqref="AJ117">
    <cfRule type="cellIs" dxfId="5821" priority="63" operator="equal">
      <formula>0</formula>
    </cfRule>
    <cfRule type="cellIs" dxfId="5820" priority="64" operator="notEqual">
      <formula>0</formula>
    </cfRule>
  </conditionalFormatting>
  <conditionalFormatting sqref="AK114">
    <cfRule type="cellIs" dxfId="5819" priority="61" operator="equal">
      <formula>0</formula>
    </cfRule>
    <cfRule type="cellIs" dxfId="5818" priority="62" operator="notEqual">
      <formula>0</formula>
    </cfRule>
  </conditionalFormatting>
  <conditionalFormatting sqref="AK117">
    <cfRule type="cellIs" dxfId="5817" priority="59" operator="equal">
      <formula>0</formula>
    </cfRule>
    <cfRule type="cellIs" dxfId="5816" priority="60" operator="notEqual">
      <formula>0</formula>
    </cfRule>
  </conditionalFormatting>
  <conditionalFormatting sqref="V122:V123">
    <cfRule type="cellIs" dxfId="5815" priority="57" operator="equal">
      <formula>0</formula>
    </cfRule>
    <cfRule type="cellIs" dxfId="5814" priority="58" operator="notEqual">
      <formula>0</formula>
    </cfRule>
  </conditionalFormatting>
  <conditionalFormatting sqref="W122:W123">
    <cfRule type="cellIs" dxfId="5813" priority="55" operator="equal">
      <formula>0</formula>
    </cfRule>
    <cfRule type="cellIs" dxfId="5812" priority="56" operator="notEqual">
      <formula>0</formula>
    </cfRule>
  </conditionalFormatting>
  <conditionalFormatting sqref="X122:X123">
    <cfRule type="cellIs" dxfId="5811" priority="53" operator="equal">
      <formula>0</formula>
    </cfRule>
    <cfRule type="cellIs" dxfId="5810" priority="54" operator="notEqual">
      <formula>0</formula>
    </cfRule>
  </conditionalFormatting>
  <conditionalFormatting sqref="Y122:Y123">
    <cfRule type="cellIs" dxfId="5809" priority="51" operator="equal">
      <formula>0</formula>
    </cfRule>
    <cfRule type="cellIs" dxfId="5808" priority="52" operator="notEqual">
      <formula>0</formula>
    </cfRule>
  </conditionalFormatting>
  <conditionalFormatting sqref="Z122:Z123">
    <cfRule type="cellIs" dxfId="5807" priority="49" operator="equal">
      <formula>0</formula>
    </cfRule>
    <cfRule type="cellIs" dxfId="5806" priority="50" operator="notEqual">
      <formula>0</formula>
    </cfRule>
  </conditionalFormatting>
  <conditionalFormatting sqref="AA122:AA123">
    <cfRule type="cellIs" dxfId="5805" priority="47" operator="equal">
      <formula>0</formula>
    </cfRule>
    <cfRule type="cellIs" dxfId="5804" priority="48" operator="notEqual">
      <formula>0</formula>
    </cfRule>
  </conditionalFormatting>
  <conditionalFormatting sqref="AB122:AB123">
    <cfRule type="cellIs" dxfId="5803" priority="45" operator="equal">
      <formula>0</formula>
    </cfRule>
    <cfRule type="cellIs" dxfId="5802" priority="46" operator="notEqual">
      <formula>0</formula>
    </cfRule>
  </conditionalFormatting>
  <conditionalFormatting sqref="AC122:AC123">
    <cfRule type="cellIs" dxfId="5801" priority="43" operator="equal">
      <formula>0</formula>
    </cfRule>
    <cfRule type="cellIs" dxfId="5800" priority="44" operator="notEqual">
      <formula>0</formula>
    </cfRule>
  </conditionalFormatting>
  <conditionalFormatting sqref="AH121">
    <cfRule type="cellIs" dxfId="5799" priority="41" operator="equal">
      <formula>0</formula>
    </cfRule>
    <cfRule type="cellIs" dxfId="5798" priority="42" operator="notEqual">
      <formula>0</formula>
    </cfRule>
  </conditionalFormatting>
  <conditionalFormatting sqref="AH124">
    <cfRule type="cellIs" dxfId="5797" priority="39" operator="equal">
      <formula>0</formula>
    </cfRule>
    <cfRule type="cellIs" dxfId="5796" priority="40" operator="notEqual">
      <formula>0</formula>
    </cfRule>
  </conditionalFormatting>
  <conditionalFormatting sqref="AI121">
    <cfRule type="cellIs" dxfId="5795" priority="37" operator="equal">
      <formula>0</formula>
    </cfRule>
    <cfRule type="cellIs" dxfId="5794" priority="38" operator="notEqual">
      <formula>0</formula>
    </cfRule>
  </conditionalFormatting>
  <conditionalFormatting sqref="AI124">
    <cfRule type="cellIs" dxfId="5793" priority="35" operator="equal">
      <formula>0</formula>
    </cfRule>
    <cfRule type="cellIs" dxfId="5792" priority="36" operator="notEqual">
      <formula>0</formula>
    </cfRule>
  </conditionalFormatting>
  <conditionalFormatting sqref="AJ121">
    <cfRule type="cellIs" dxfId="5791" priority="33" operator="equal">
      <formula>0</formula>
    </cfRule>
    <cfRule type="cellIs" dxfId="5790" priority="34" operator="notEqual">
      <formula>0</formula>
    </cfRule>
  </conditionalFormatting>
  <conditionalFormatting sqref="AJ124">
    <cfRule type="cellIs" dxfId="5789" priority="31" operator="equal">
      <formula>0</formula>
    </cfRule>
    <cfRule type="cellIs" dxfId="5788" priority="32" operator="notEqual">
      <formula>0</formula>
    </cfRule>
  </conditionalFormatting>
  <conditionalFormatting sqref="AK121">
    <cfRule type="cellIs" dxfId="5787" priority="29" operator="equal">
      <formula>0</formula>
    </cfRule>
    <cfRule type="cellIs" dxfId="5786" priority="30" operator="notEqual">
      <formula>0</formula>
    </cfRule>
  </conditionalFormatting>
  <conditionalFormatting sqref="AK124">
    <cfRule type="cellIs" dxfId="5785" priority="27" operator="equal">
      <formula>0</formula>
    </cfRule>
    <cfRule type="cellIs" dxfId="5784" priority="28" operator="notEqual">
      <formula>0</formula>
    </cfRule>
  </conditionalFormatting>
  <conditionalFormatting sqref="C108:F109">
    <cfRule type="cellIs" dxfId="5783" priority="25" operator="equal">
      <formula>0</formula>
    </cfRule>
    <cfRule type="cellIs" dxfId="5782" priority="26" operator="notEqual">
      <formula>0</formula>
    </cfRule>
  </conditionalFormatting>
  <conditionalFormatting sqref="G108:G109">
    <cfRule type="cellIs" dxfId="5781" priority="23" operator="equal">
      <formula>0</formula>
    </cfRule>
    <cfRule type="cellIs" dxfId="5780" priority="24" operator="notEqual">
      <formula>0</formula>
    </cfRule>
  </conditionalFormatting>
  <conditionalFormatting sqref="H108:H109">
    <cfRule type="cellIs" dxfId="5779" priority="21" operator="equal">
      <formula>0</formula>
    </cfRule>
    <cfRule type="cellIs" dxfId="5778" priority="22" operator="notEqual">
      <formula>0</formula>
    </cfRule>
  </conditionalFormatting>
  <conditionalFormatting sqref="I108:I109">
    <cfRule type="cellIs" dxfId="5777" priority="19" operator="equal">
      <formula>0</formula>
    </cfRule>
    <cfRule type="cellIs" dxfId="5776" priority="20" operator="notEqual">
      <formula>0</formula>
    </cfRule>
  </conditionalFormatting>
  <conditionalFormatting sqref="J108:J109">
    <cfRule type="cellIs" dxfId="5775" priority="17" operator="equal">
      <formula>0</formula>
    </cfRule>
    <cfRule type="cellIs" dxfId="5774" priority="18" operator="notEqual">
      <formula>0</formula>
    </cfRule>
  </conditionalFormatting>
  <conditionalFormatting sqref="O107">
    <cfRule type="cellIs" dxfId="5773" priority="15" operator="equal">
      <formula>0</formula>
    </cfRule>
    <cfRule type="cellIs" dxfId="5772" priority="16" operator="notEqual">
      <formula>0</formula>
    </cfRule>
  </conditionalFormatting>
  <conditionalFormatting sqref="O110">
    <cfRule type="cellIs" dxfId="5771" priority="13" operator="equal">
      <formula>0</formula>
    </cfRule>
    <cfRule type="cellIs" dxfId="5770" priority="14" operator="notEqual">
      <formula>0</formula>
    </cfRule>
  </conditionalFormatting>
  <conditionalFormatting sqref="P107">
    <cfRule type="cellIs" dxfId="5769" priority="11" operator="equal">
      <formula>0</formula>
    </cfRule>
    <cfRule type="cellIs" dxfId="5768" priority="12" operator="notEqual">
      <formula>0</formula>
    </cfRule>
  </conditionalFormatting>
  <conditionalFormatting sqref="P110">
    <cfRule type="cellIs" dxfId="5767" priority="9" operator="equal">
      <formula>0</formula>
    </cfRule>
    <cfRule type="cellIs" dxfId="5766" priority="10" operator="notEqual">
      <formula>0</formula>
    </cfRule>
  </conditionalFormatting>
  <conditionalFormatting sqref="Q107">
    <cfRule type="cellIs" dxfId="5765" priority="7" operator="equal">
      <formula>0</formula>
    </cfRule>
    <cfRule type="cellIs" dxfId="5764" priority="8" operator="notEqual">
      <formula>0</formula>
    </cfRule>
  </conditionalFormatting>
  <conditionalFormatting sqref="Q110">
    <cfRule type="cellIs" dxfId="5763" priority="5" operator="equal">
      <formula>0</formula>
    </cfRule>
    <cfRule type="cellIs" dxfId="5762" priority="6" operator="notEqual">
      <formula>0</formula>
    </cfRule>
  </conditionalFormatting>
  <conditionalFormatting sqref="R107">
    <cfRule type="cellIs" dxfId="5761" priority="3" operator="equal">
      <formula>0</formula>
    </cfRule>
    <cfRule type="cellIs" dxfId="5760" priority="4" operator="notEqual">
      <formula>0</formula>
    </cfRule>
  </conditionalFormatting>
  <conditionalFormatting sqref="R110">
    <cfRule type="cellIs" dxfId="5759" priority="1" operator="equal">
      <formula>0</formula>
    </cfRule>
    <cfRule type="cellIs" dxfId="5758" priority="2" operator="notEqual">
      <formula>0</formula>
    </cfRule>
  </conditionalFormatting>
  <dataValidations count="1">
    <dataValidation type="list" allowBlank="1" showInputMessage="1" showErrorMessage="1" sqref="B5" xr:uid="{00000000-0002-0000-0700-000000000000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autoPageBreaks="0"/>
  </sheetPr>
  <dimension ref="A1:AL124"/>
  <sheetViews>
    <sheetView showGridLines="0" topLeftCell="A9" zoomScale="85" zoomScaleNormal="85" workbookViewId="0">
      <selection activeCell="B6" sqref="B6"/>
    </sheetView>
  </sheetViews>
  <sheetFormatPr baseColWidth="10" defaultColWidth="8.83203125" defaultRowHeight="14" x14ac:dyDescent="0.15"/>
  <cols>
    <col min="2" max="2" width="39.5" customWidth="1"/>
    <col min="3" max="3" width="19.1640625" customWidth="1"/>
    <col min="4" max="4" width="20.5" bestFit="1" customWidth="1"/>
    <col min="5" max="5" width="14.83203125" customWidth="1"/>
    <col min="6" max="6" width="17.1640625" customWidth="1"/>
    <col min="7" max="7" width="18.5" customWidth="1"/>
    <col min="8" max="8" width="19.1640625" customWidth="1"/>
    <col min="9" max="9" width="15.5" customWidth="1"/>
    <col min="10" max="10" width="20.5" customWidth="1"/>
    <col min="11" max="11" width="26.5" bestFit="1" customWidth="1"/>
    <col min="12" max="12" width="16.83203125" customWidth="1"/>
    <col min="13" max="13" width="17.83203125" bestFit="1" customWidth="1"/>
    <col min="14" max="14" width="8.5" bestFit="1" customWidth="1"/>
    <col min="17" max="17" width="10" bestFit="1" customWidth="1"/>
    <col min="21" max="21" width="11.1640625" bestFit="1" customWidth="1"/>
  </cols>
  <sheetData>
    <row r="1" spans="1:20" ht="45.75" customHeight="1" x14ac:dyDescent="0.15">
      <c r="A1" s="315" t="s">
        <v>428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0"/>
    </row>
    <row r="2" spans="1:20" ht="37.5" customHeight="1" x14ac:dyDescent="0.15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  <c r="T2" s="30"/>
    </row>
    <row r="4" spans="1:20" s="30" customFormat="1" ht="57" customHeight="1" x14ac:dyDescent="0.15">
      <c r="B4" s="56" t="s">
        <v>471</v>
      </c>
    </row>
    <row r="5" spans="1:20" s="30" customFormat="1" ht="24" customHeight="1" x14ac:dyDescent="0.15">
      <c r="B5" s="78" t="s">
        <v>382</v>
      </c>
      <c r="F5" s="61"/>
    </row>
    <row r="6" spans="1:20" s="30" customFormat="1" ht="24" customHeight="1" x14ac:dyDescent="0.15">
      <c r="B6" s="79" t="s">
        <v>776</v>
      </c>
    </row>
    <row r="7" spans="1:20" s="30" customFormat="1" x14ac:dyDescent="0.15"/>
    <row r="8" spans="1:20" ht="23" x14ac:dyDescent="0.15">
      <c r="A8" s="30"/>
      <c r="B8" s="310" t="s">
        <v>258</v>
      </c>
      <c r="C8" s="311"/>
      <c r="D8" s="311"/>
      <c r="E8" s="311"/>
      <c r="F8" s="314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</row>
    <row r="9" spans="1:20" ht="56" x14ac:dyDescent="0.15">
      <c r="A9" s="30"/>
      <c r="B9" s="93"/>
      <c r="C9" s="269" t="s">
        <v>259</v>
      </c>
      <c r="D9" s="94" t="s">
        <v>260</v>
      </c>
      <c r="E9" s="94" t="s">
        <v>261</v>
      </c>
      <c r="F9" s="94" t="s">
        <v>262</v>
      </c>
      <c r="G9" s="30"/>
      <c r="H9" s="269" t="s">
        <v>331</v>
      </c>
      <c r="I9" s="269" t="s">
        <v>264</v>
      </c>
      <c r="J9" s="95"/>
      <c r="K9" s="269" t="s">
        <v>265</v>
      </c>
      <c r="L9" s="269" t="s">
        <v>266</v>
      </c>
      <c r="M9" s="30"/>
      <c r="N9" s="30"/>
      <c r="O9" s="30"/>
      <c r="P9" s="30"/>
      <c r="Q9" s="30"/>
      <c r="R9" s="30"/>
      <c r="S9" s="30"/>
      <c r="T9" s="30"/>
    </row>
    <row r="10" spans="1:20" x14ac:dyDescent="0.15">
      <c r="A10" s="30"/>
      <c r="B10" s="96" t="str">
        <f>B6</f>
        <v>Cardiff and Vale - N03</v>
      </c>
      <c r="C10" s="155" t="str">
        <f>IFERROR(SUM((SUMIFS('capacity data'!$G:$G,'capacity data'!$E:$E,"PO",'capacity data'!$B:$B,B6))-SUMIFS('capacity data'!$H:$H,'capacity data'!$E:$E,"PO",'capacity data'!$B:$B,B6))/SUMIFS('capacity data'!$G:$G,'capacity data'!$E:$E,"PO",'capacity data'!$B:$B,B6),"")</f>
        <v/>
      </c>
      <c r="D10" s="156" t="str">
        <f>IFERROR(SUM((SUMIFS('capacity data'!$G:$G,'capacity data'!$E:$E,"PSO",'capacity data'!$B:$B,B6))-SUMIFS('capacity data'!$H:$H,'capacity data'!$E:$E,"PSO",'capacity data'!$B:$B,B6))/SUMIFS('capacity data'!$G:$G,'capacity data'!$E:$E,"PSO",'capacity data'!$B:$B,B6),"")</f>
        <v/>
      </c>
      <c r="E10" s="156" t="str">
        <f>IFERROR(SUM((SUMIFS('capacity data'!$G:$G,'capacity data'!$E:$E,"TPO",'capacity data'!$B:$B,B6))-SUMIFS('capacity data'!$H:$H,'capacity data'!$E:$E,"TPO",'capacity data'!$B:$B,B6))/SUMIFS('capacity data'!$G:$G,'capacity data'!$E:$E,"TPO",'capacity data'!$B:$B,B6),"")</f>
        <v/>
      </c>
      <c r="F10" s="156" t="str">
        <f>IFERROR(SUM((SUMIFS('capacity data'!G:G,'capacity data'!B:B,'cluster overview'!B6))-SUMIFS('capacity data'!H:H,'capacity data'!B:B,'cluster overview'!B6))/SUMIFS('capacity data'!G:G,'capacity data'!B:B,'cluster overview'!B6),"")</f>
        <v/>
      </c>
      <c r="G10" s="30"/>
      <c r="H10" s="97" t="e">
        <f>SUMIFS('capacity data'!$L:$L,'capacity data'!$B:$B,$B$6,'capacity data'!$E:$E,"PSO")/SUM((SUMIFS('capacity data'!$G:$G,'capacity data'!$E:$E,"PSO",'capacity data'!$B:$B,$B$6))-SUMIFS('capacity data'!$H:$H,'capacity data'!$E:$E,"PSO",'capacity data'!$B:$B,$B$6))</f>
        <v>#DIV/0!</v>
      </c>
      <c r="I10" s="261" t="e">
        <f>SUMIFS('capacity data'!$L:$L,'capacity data'!$B:$B,$B$6,'capacity data'!$E:$E,"PSO")/SUMIFS('capacity data'!$G:$G,'capacity data'!$E:$E,"PSO",'capacity data'!$B:$B,$B$6)</f>
        <v>#DIV/0!</v>
      </c>
      <c r="J10" s="95"/>
      <c r="K10" s="97" t="e">
        <f>SUMIFS('capacity data'!$L:$L,'capacity data'!$B:$B,$B$6,'capacity data'!$E:$E,"TPO")/SUM((SUMIFS('capacity data'!$G:$G,'capacity data'!$E:$E,"TPO",'capacity data'!$B:$B,$B$6))-SUMIFS('capacity data'!$H:$H,'capacity data'!$E:$E,"TPO",'capacity data'!$B:$B,$B$6))</f>
        <v>#DIV/0!</v>
      </c>
      <c r="L10" s="261" t="e">
        <f>SUMIFS('capacity data'!$L:$L,'capacity data'!$B:$B,$B$6,'capacity data'!$E:$E,"TPO")/SUMIFS('capacity data'!$G:$G,'capacity data'!$E:$E,"TPO",'capacity data'!$B:$B,$B$6)</f>
        <v>#DIV/0!</v>
      </c>
      <c r="M10" s="30"/>
      <c r="N10" s="30"/>
      <c r="O10" s="30"/>
      <c r="P10" s="30"/>
      <c r="Q10" s="30"/>
      <c r="R10" s="30"/>
      <c r="S10" s="30"/>
      <c r="T10" s="30"/>
    </row>
    <row r="11" spans="1:20" x14ac:dyDescent="0.15">
      <c r="A11" s="30"/>
      <c r="B11" s="139" t="s">
        <v>267</v>
      </c>
      <c r="C11" s="140" t="e">
        <f>SUM((SUMIF('capacity data'!E:E,"PO",'capacity data'!G:G))-SUMIF('capacity data'!E:E,"PO",'capacity data'!H:H))/SUMIF('capacity data'!E:E,"PO",'capacity data'!G:G)</f>
        <v>#DIV/0!</v>
      </c>
      <c r="D11" s="140" t="e">
        <f>SUM((SUMIF('capacity data'!E:E,"PSO",'capacity data'!G:G))-SUMIF('capacity data'!E:E,"PSO",'capacity data'!H:H))/SUMIF('capacity data'!E:E,"PSO",'capacity data'!G:G)</f>
        <v>#DIV/0!</v>
      </c>
      <c r="E11" s="140" t="e">
        <f>SUM((SUMIF('capacity data'!E:E,"PSO",'capacity data'!G:G))-SUMIF('capacity data'!E:E,"PSO",'capacity data'!H:H))/SUMIF('capacity data'!E:E,"PSO",'capacity data'!G:G)</f>
        <v>#DIV/0!</v>
      </c>
      <c r="F11" s="113" t="e">
        <f>SUM((SUM('capacity data'!G:G)-SUM('capacity data'!H:H))/SUM('capacity data'!G:G))</f>
        <v>#DIV/0!</v>
      </c>
      <c r="G11" s="30"/>
      <c r="H11" s="150" t="e">
        <f>SUMIF('capacity data'!$E:$E,"PSO",'capacity data'!$L:$L)/SUM(SUMIF('capacity data'!$E:$E,"PSO",'capacity data'!$G:$G)-SUMIF('capacity data'!$E:$E,"PSO",'capacity data'!$H:$H))</f>
        <v>#DIV/0!</v>
      </c>
      <c r="I11" s="151" t="e">
        <f>SUMIF('capacity data'!$E:$E,"PSO",'capacity data'!$L:$L)/SUMIF('capacity data'!$E:$E,"PSO",'capacity data'!$G:$G)</f>
        <v>#DIV/0!</v>
      </c>
      <c r="J11" s="95"/>
      <c r="K11" s="150" t="e">
        <f>SUMIF('capacity data'!$E:$E,"TPO",'capacity data'!$L:$L)/SUM(SUMIF('capacity data'!$E:$E,"TPO",'capacity data'!$G:$G)-SUMIF('capacity data'!$E:$E,"TPO",'capacity data'!$H:$H))</f>
        <v>#DIV/0!</v>
      </c>
      <c r="L11" s="151" t="e">
        <f>SUMIF('capacity data'!$E:$E,"TPO",'capacity data'!$L:$L)/SUMIF('capacity data'!$E:$E,"TPO",'capacity data'!$G:$G)</f>
        <v>#DIV/0!</v>
      </c>
      <c r="M11" s="30"/>
      <c r="N11" s="30"/>
      <c r="O11" s="30"/>
      <c r="P11" s="30"/>
      <c r="Q11" s="30"/>
      <c r="R11" s="30"/>
      <c r="S11" s="30"/>
      <c r="T11" s="30"/>
    </row>
    <row r="12" spans="1:20" x14ac:dyDescent="0.15">
      <c r="A12" s="30"/>
      <c r="B12" s="152" t="s">
        <v>268</v>
      </c>
      <c r="C12" s="153" t="e">
        <f>+C10-C11</f>
        <v>#VALUE!</v>
      </c>
      <c r="D12" s="136" t="str">
        <f>IFERROR(+D10-D11,"N/A")</f>
        <v>N/A</v>
      </c>
      <c r="E12" s="136" t="str">
        <f>IFERROR(+E10-E11,"N/A")</f>
        <v>N/A</v>
      </c>
      <c r="F12" s="136" t="e">
        <f>+F10-F11</f>
        <v>#VALUE!</v>
      </c>
      <c r="G12" s="30"/>
      <c r="H12" s="132" t="e">
        <f>+H10-H11</f>
        <v>#DIV/0!</v>
      </c>
      <c r="I12" s="154" t="e">
        <f>+I10-I11</f>
        <v>#DIV/0!</v>
      </c>
      <c r="J12" s="95"/>
      <c r="K12" s="132" t="e">
        <f>+K10-K11</f>
        <v>#DIV/0!</v>
      </c>
      <c r="L12" s="154" t="e">
        <f>+L10-L11</f>
        <v>#DIV/0!</v>
      </c>
      <c r="M12" s="30"/>
      <c r="N12" s="30"/>
      <c r="O12" s="30"/>
      <c r="P12" s="30"/>
      <c r="Q12" s="30"/>
      <c r="R12" s="30"/>
      <c r="S12" s="30"/>
      <c r="T12" s="30"/>
    </row>
    <row r="13" spans="1:20" x14ac:dyDescent="0.15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</row>
    <row r="14" spans="1:20" s="30" customFormat="1" ht="63.75" customHeight="1" x14ac:dyDescent="0.15">
      <c r="B14" s="100"/>
      <c r="C14" s="101" t="s">
        <v>270</v>
      </c>
      <c r="D14" s="101" t="s">
        <v>271</v>
      </c>
      <c r="E14" s="101" t="s">
        <v>272</v>
      </c>
      <c r="F14" s="101" t="s">
        <v>273</v>
      </c>
      <c r="G14" s="101" t="s">
        <v>274</v>
      </c>
      <c r="H14" s="101" t="s">
        <v>275</v>
      </c>
      <c r="I14" s="101" t="s">
        <v>276</v>
      </c>
      <c r="J14" s="102" t="s">
        <v>277</v>
      </c>
      <c r="K14" s="101" t="s">
        <v>278</v>
      </c>
      <c r="L14" s="101" t="s">
        <v>279</v>
      </c>
      <c r="M14" s="101" t="s">
        <v>280</v>
      </c>
    </row>
    <row r="15" spans="1:20" s="30" customFormat="1" ht="20.25" customHeight="1" x14ac:dyDescent="0.15">
      <c r="B15" s="103" t="str">
        <f>B6</f>
        <v>Cardiff and Vale - N03</v>
      </c>
      <c r="C15" s="263">
        <f>COUNTIFS('capacity data'!B:B,'cluster overview'!B6,'capacity data'!E:E,"PO")</f>
        <v>0</v>
      </c>
      <c r="D15" s="263">
        <f>COUNTIFS('capacity data'!B:B,B6,'capacity data'!E:E,"PO",'capacity data'!F:F,"&gt;110%")</f>
        <v>0</v>
      </c>
      <c r="E15" s="104" t="e">
        <f>D15/C15</f>
        <v>#DIV/0!</v>
      </c>
      <c r="F15" s="263">
        <f>COUNTIFS('capacity data'!B:B,'cluster overview'!B6,'capacity data'!E:E,"PSO")</f>
        <v>0</v>
      </c>
      <c r="G15" s="263">
        <f>COUNTIFS('capacity data'!B:B,B6,'capacity data'!E:E,"PSO",'capacity data'!F:F,"&gt;110%")</f>
        <v>0</v>
      </c>
      <c r="H15" s="105" t="str">
        <f>IFERROR(G15/F15,"N/A")</f>
        <v>N/A</v>
      </c>
      <c r="I15" s="263">
        <f>COUNTIFS('capacity data'!B:B,B6,'capacity data'!E:E,"PSO",'capacity data'!F:F,"&lt;910%")</f>
        <v>0</v>
      </c>
      <c r="J15" s="105" t="str">
        <f>IFERROR(I15/F15,"")</f>
        <v/>
      </c>
      <c r="K15" s="263">
        <f>COUNTIFS('capacity data'!B:B,'cluster overview'!B6,'capacity data'!E:E,"TPO")</f>
        <v>0</v>
      </c>
      <c r="L15" s="263">
        <f>COUNTIFS('capacity data'!B:B,B6,'capacity data'!E:E,"TPO",'capacity data'!F:F,"&gt;110%")</f>
        <v>0</v>
      </c>
      <c r="M15" s="98" t="str">
        <f>IFERROR(L15/K15,"N/A")</f>
        <v>N/A</v>
      </c>
    </row>
    <row r="16" spans="1:20" s="30" customFormat="1" x14ac:dyDescent="0.15">
      <c r="B16" s="139" t="s">
        <v>281</v>
      </c>
      <c r="C16" s="111">
        <f>COUNTIF('capacity data'!E:E,"PO")</f>
        <v>0</v>
      </c>
      <c r="D16" s="111">
        <f>COUNTIFS('capacity data'!E:E,"PO",'capacity data'!F:F,"&gt;110%")</f>
        <v>0</v>
      </c>
      <c r="E16" s="140" t="e">
        <f>D16/C16</f>
        <v>#DIV/0!</v>
      </c>
      <c r="F16" s="111">
        <f>COUNTIF('capacity data'!E:E,"PSO")</f>
        <v>0</v>
      </c>
      <c r="G16" s="111">
        <f>COUNTIFS('capacity data'!E:E,"PSO",'capacity data'!F:F,"&gt;110%")</f>
        <v>0</v>
      </c>
      <c r="H16" s="140" t="e">
        <f>G16/F16</f>
        <v>#DIV/0!</v>
      </c>
      <c r="I16" s="111">
        <f>COUNTIFS('capacity data'!E:E,"PSO",'capacity data'!F:F,"&lt;90%")</f>
        <v>0</v>
      </c>
      <c r="J16" s="140" t="e">
        <f>I16/F16</f>
        <v>#DIV/0!</v>
      </c>
      <c r="K16" s="111">
        <f>COUNTIF('capacity data'!E:E,"TPO")</f>
        <v>0</v>
      </c>
      <c r="L16" s="111">
        <f>COUNTIFS('capacity data'!E:E,"TPO",'capacity data'!F:F,"&gt;110%")</f>
        <v>0</v>
      </c>
      <c r="M16" s="140" t="e">
        <f>L16/K16</f>
        <v>#DIV/0!</v>
      </c>
    </row>
    <row r="17" spans="2:20" x14ac:dyDescent="0.15">
      <c r="B17" s="138" t="s">
        <v>268</v>
      </c>
      <c r="C17" s="133" t="s">
        <v>282</v>
      </c>
      <c r="D17" s="133" t="s">
        <v>282</v>
      </c>
      <c r="E17" s="134" t="e">
        <f>+E15-E16</f>
        <v>#DIV/0!</v>
      </c>
      <c r="F17" s="133" t="s">
        <v>282</v>
      </c>
      <c r="G17" s="133" t="s">
        <v>282</v>
      </c>
      <c r="H17" s="134" t="str">
        <f>IFERROR(+H15-H16,"N/A")</f>
        <v>N/A</v>
      </c>
      <c r="I17" s="133" t="s">
        <v>282</v>
      </c>
      <c r="J17" s="134" t="str">
        <f>IFERROR(+J15-J16,"N/A")</f>
        <v>N/A</v>
      </c>
      <c r="K17" s="133" t="s">
        <v>282</v>
      </c>
      <c r="L17" s="133" t="s">
        <v>282</v>
      </c>
      <c r="M17" s="134" t="str">
        <f>IFERROR(+M15-M16,"N/A")</f>
        <v>N/A</v>
      </c>
      <c r="N17" s="30"/>
      <c r="O17" s="30"/>
      <c r="P17" s="30"/>
      <c r="Q17" s="30"/>
      <c r="R17" s="30"/>
      <c r="S17" s="30"/>
      <c r="T17" s="30"/>
    </row>
    <row r="18" spans="2:20" s="30" customFormat="1" x14ac:dyDescent="0.15"/>
    <row r="19" spans="2:20" ht="23" x14ac:dyDescent="0.25">
      <c r="B19" s="306" t="s">
        <v>283</v>
      </c>
      <c r="C19" s="307"/>
      <c r="D19" s="307"/>
      <c r="E19" s="307"/>
      <c r="F19" s="307"/>
      <c r="G19" s="308"/>
      <c r="H19" s="30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</row>
    <row r="20" spans="2:20" ht="66" customHeight="1" x14ac:dyDescent="0.15">
      <c r="B20" s="107"/>
      <c r="C20" s="94" t="s">
        <v>284</v>
      </c>
      <c r="D20" s="94" t="s">
        <v>332</v>
      </c>
      <c r="E20" s="94" t="s">
        <v>333</v>
      </c>
      <c r="F20" s="94" t="s">
        <v>287</v>
      </c>
      <c r="G20" s="269" t="s">
        <v>334</v>
      </c>
      <c r="H20" s="269" t="s">
        <v>335</v>
      </c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</row>
    <row r="21" spans="2:20" x14ac:dyDescent="0.15">
      <c r="B21" s="93" t="str">
        <f>B6</f>
        <v>Cardiff and Vale - N03</v>
      </c>
      <c r="C21" s="106">
        <f>SUMIFS('capacity data'!K:K,'capacity data'!B:B,'cluster overview'!B6,'capacity data'!E:E,"SPO")</f>
        <v>0</v>
      </c>
      <c r="D21" s="106">
        <f>SUMIFS('capacity data'!K:K,'capacity data'!B:B,'cluster overview'!B6,'capacity data'!E:E,"DMY")</f>
        <v>0</v>
      </c>
      <c r="E21" s="106">
        <f>SUM(C21:D21)</f>
        <v>0</v>
      </c>
      <c r="F21" s="108">
        <f>SUMIF('capacity data'!B:B,'cluster overview'!B6,'capacity data'!K:K)</f>
        <v>0</v>
      </c>
      <c r="G21" s="97" t="e">
        <f>E21/F21</f>
        <v>#DIV/0!</v>
      </c>
      <c r="H21" s="109">
        <f>SUMIF('caseload data'!C:C,'cluster overview'!B96,'caseload data'!U:U)</f>
        <v>0</v>
      </c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</row>
    <row r="22" spans="2:20" x14ac:dyDescent="0.15">
      <c r="B22" s="110" t="s">
        <v>281</v>
      </c>
      <c r="C22" s="111">
        <f>SUMIF('capacity data'!E:E,"SPO",'capacity data'!K:K)</f>
        <v>0</v>
      </c>
      <c r="D22" s="111">
        <f>SUMIF('capacity data'!E:E,"DMY",'capacity data'!K:K)</f>
        <v>0</v>
      </c>
      <c r="E22" s="111">
        <f>SUM(C22:D22)</f>
        <v>0</v>
      </c>
      <c r="F22" s="112">
        <f>SUM('capacity data'!K:K)</f>
        <v>0</v>
      </c>
      <c r="G22" s="113" t="e">
        <f>E22/F22</f>
        <v>#DIV/0!</v>
      </c>
      <c r="H22" s="111">
        <f>SUM('caseload data'!U:U)</f>
        <v>0</v>
      </c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</row>
    <row r="23" spans="2:20" x14ac:dyDescent="0.15">
      <c r="B23" s="149" t="s">
        <v>268</v>
      </c>
      <c r="C23" s="133" t="s">
        <v>282</v>
      </c>
      <c r="D23" s="133" t="s">
        <v>282</v>
      </c>
      <c r="E23" s="133" t="s">
        <v>282</v>
      </c>
      <c r="F23" s="137" t="s">
        <v>282</v>
      </c>
      <c r="G23" s="137" t="e">
        <f>+G21-G22</f>
        <v>#DIV/0!</v>
      </c>
      <c r="H23" s="133" t="s">
        <v>282</v>
      </c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</row>
    <row r="26" spans="2:20" ht="23" x14ac:dyDescent="0.25">
      <c r="B26" s="302" t="s">
        <v>290</v>
      </c>
      <c r="C26" s="302"/>
      <c r="D26" s="302"/>
      <c r="E26" s="302"/>
      <c r="F26" s="302"/>
      <c r="G26" s="302"/>
      <c r="H26" s="302"/>
      <c r="I26" s="302"/>
      <c r="J26" s="302"/>
      <c r="K26" s="302"/>
      <c r="L26" s="30"/>
      <c r="M26" s="30"/>
      <c r="N26" s="30"/>
      <c r="O26" s="30"/>
      <c r="P26" s="30"/>
      <c r="Q26" s="30"/>
      <c r="R26" s="30"/>
      <c r="S26" s="30"/>
      <c r="T26" s="30"/>
    </row>
    <row r="27" spans="2:20" s="30" customFormat="1" ht="83.25" customHeight="1" x14ac:dyDescent="0.15">
      <c r="B27" s="115"/>
      <c r="C27" s="269" t="s">
        <v>291</v>
      </c>
      <c r="D27" s="269" t="s">
        <v>292</v>
      </c>
      <c r="E27" s="269" t="s">
        <v>293</v>
      </c>
      <c r="F27" s="269" t="s">
        <v>294</v>
      </c>
      <c r="G27" s="269" t="s">
        <v>295</v>
      </c>
      <c r="H27" s="269" t="s">
        <v>296</v>
      </c>
      <c r="I27" s="269" t="s">
        <v>297</v>
      </c>
      <c r="J27" s="269" t="s">
        <v>298</v>
      </c>
      <c r="K27" s="269" t="s">
        <v>299</v>
      </c>
    </row>
    <row r="28" spans="2:20" x14ac:dyDescent="0.15">
      <c r="B28" s="93" t="str">
        <f>B6</f>
        <v>Cardiff and Vale - N03</v>
      </c>
      <c r="C28" s="116">
        <f>SUMIFS('capacity data'!I:I,'capacity data'!B:B,'cluster overview'!B6,'capacity data'!E:E,"PO")</f>
        <v>0</v>
      </c>
      <c r="D28" s="117">
        <f>SUMIFS('capacity data'!J:J,'capacity data'!B:B,'cluster overview'!B6,'capacity data'!E:E,"PO")</f>
        <v>0</v>
      </c>
      <c r="E28" s="118" t="e">
        <f>D28/C28</f>
        <v>#DIV/0!</v>
      </c>
      <c r="F28" s="117">
        <f>SUMIFS('capacity data'!I:I,'capacity data'!B:B,'cluster overview'!B6,'capacity data'!E:E,"PSO")</f>
        <v>0</v>
      </c>
      <c r="G28" s="117">
        <f>SUMIFS('capacity data'!J:J,'capacity data'!B:B,'cluster overview'!B6,'capacity data'!E:E,"PSO")</f>
        <v>0</v>
      </c>
      <c r="H28" s="118" t="str">
        <f>IFERROR(G28/F28,"N/A")</f>
        <v>N/A</v>
      </c>
      <c r="I28" s="117">
        <f>SUMIFS('capacity data'!I:I,'capacity data'!B:B,'cluster overview'!B6,'capacity data'!E:E,"TPO")</f>
        <v>0</v>
      </c>
      <c r="J28" s="119">
        <f>SUMIFS('capacity data'!J:J,'capacity data'!B:B,'cluster overview'!B6,'capacity data'!E:E,"TPO")</f>
        <v>0</v>
      </c>
      <c r="K28" s="118" t="str">
        <f>IFERROR(J28/I28,"N/A")</f>
        <v>N/A</v>
      </c>
      <c r="L28" s="30"/>
      <c r="M28" s="30"/>
      <c r="N28" s="30"/>
      <c r="O28" s="30"/>
      <c r="P28" s="30"/>
      <c r="Q28" s="30"/>
      <c r="R28" s="30"/>
      <c r="S28" s="30"/>
      <c r="T28" s="30"/>
    </row>
    <row r="29" spans="2:20" x14ac:dyDescent="0.15">
      <c r="B29" s="139" t="s">
        <v>300</v>
      </c>
      <c r="C29" s="141">
        <f>SUMIF('capacity data'!E:E,"PO",'capacity data'!I:I)</f>
        <v>0</v>
      </c>
      <c r="D29" s="141">
        <f>SUMIF('capacity data'!E:E,"PO",'capacity data'!J:J)</f>
        <v>0</v>
      </c>
      <c r="E29" s="142" t="e">
        <f>D29/C29</f>
        <v>#DIV/0!</v>
      </c>
      <c r="F29" s="141">
        <f>SUMIF('capacity data'!E:E,"PSO",'capacity data'!I:I)</f>
        <v>0</v>
      </c>
      <c r="G29" s="141">
        <f>SUMIF('capacity data'!E:E,"PSO",'capacity data'!J:J)</f>
        <v>0</v>
      </c>
      <c r="H29" s="142" t="e">
        <f>G29/F29</f>
        <v>#DIV/0!</v>
      </c>
      <c r="I29" s="141">
        <f>SUMIF('capacity data'!E:E,"TPO",'capacity data'!I:I)</f>
        <v>0</v>
      </c>
      <c r="J29" s="141">
        <f>SUMIF('capacity data'!E:E,"TPO",'capacity data'!J:J)</f>
        <v>0</v>
      </c>
      <c r="K29" s="142" t="e">
        <f>J29/I29</f>
        <v>#DIV/0!</v>
      </c>
      <c r="L29" s="30"/>
      <c r="M29" s="30"/>
      <c r="N29" s="30"/>
      <c r="O29" s="30"/>
      <c r="P29" s="30"/>
      <c r="Q29" s="30"/>
      <c r="R29" s="30"/>
      <c r="S29" s="30"/>
      <c r="T29" s="30"/>
    </row>
    <row r="30" spans="2:20" x14ac:dyDescent="0.15">
      <c r="B30" s="138" t="s">
        <v>268</v>
      </c>
      <c r="C30" s="133" t="s">
        <v>282</v>
      </c>
      <c r="D30" s="133" t="s">
        <v>282</v>
      </c>
      <c r="E30" s="132" t="e">
        <f>+E28-E29</f>
        <v>#DIV/0!</v>
      </c>
      <c r="F30" s="133" t="s">
        <v>282</v>
      </c>
      <c r="G30" s="133" t="s">
        <v>282</v>
      </c>
      <c r="H30" s="132" t="str">
        <f>IFERROR(+H28-H29,"N/A")</f>
        <v>N/A</v>
      </c>
      <c r="I30" s="133" t="s">
        <v>282</v>
      </c>
      <c r="J30" s="133" t="s">
        <v>282</v>
      </c>
      <c r="K30" s="132" t="str">
        <f>IFERROR(+K28-K29,"N/A")</f>
        <v>N/A</v>
      </c>
      <c r="L30" s="30"/>
      <c r="M30" s="30"/>
      <c r="N30" s="30"/>
      <c r="O30" s="30"/>
      <c r="P30" s="30"/>
      <c r="Q30" s="30"/>
      <c r="R30" s="30"/>
      <c r="S30" s="30"/>
      <c r="T30" s="30"/>
    </row>
    <row r="32" spans="2:20" ht="37.5" customHeight="1" x14ac:dyDescent="0.2">
      <c r="B32" s="303" t="s">
        <v>336</v>
      </c>
      <c r="C32" s="304"/>
      <c r="D32" s="304"/>
      <c r="E32" s="92"/>
      <c r="F32" s="305" t="s">
        <v>337</v>
      </c>
      <c r="G32" s="305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</row>
    <row r="33" spans="2:7" ht="60.75" customHeight="1" x14ac:dyDescent="0.15">
      <c r="B33" s="107" t="s">
        <v>303</v>
      </c>
      <c r="C33" s="269" t="s">
        <v>304</v>
      </c>
      <c r="D33" s="269" t="s">
        <v>305</v>
      </c>
      <c r="E33" s="95"/>
      <c r="F33" s="265" t="s">
        <v>338</v>
      </c>
      <c r="G33" s="264">
        <f>COUNTIFS('reductions data'!B:B,'cluster overview'!B6,'reductions data'!K:K,"ACTIVE")</f>
        <v>0</v>
      </c>
    </row>
    <row r="34" spans="2:7" x14ac:dyDescent="0.15">
      <c r="B34" s="145" t="s">
        <v>240</v>
      </c>
      <c r="C34" s="120">
        <f>COUNTIFS('reductions data'!B:B,'cluster overview'!$B$6,'reductions data'!G:G,'cluster overview'!B34)</f>
        <v>0</v>
      </c>
      <c r="D34" s="121">
        <f>SUMIFS('reductions data'!H:H,'reductions data'!B:B,'cluster overview'!$B$6,'reductions data'!$G:$G,'cluster overview'!B34)</f>
        <v>0</v>
      </c>
      <c r="E34" s="95"/>
      <c r="F34" s="323" t="s">
        <v>339</v>
      </c>
      <c r="G34" s="324">
        <f>SUMIF('reductions data'!B:B,'cluster overview'!B6,'reductions data'!H:H)</f>
        <v>0</v>
      </c>
    </row>
    <row r="35" spans="2:7" x14ac:dyDescent="0.15">
      <c r="B35" s="146" t="s">
        <v>235</v>
      </c>
      <c r="C35" s="122">
        <f>COUNTIFS('reductions data'!B:B,'cluster overview'!$B$6,'reductions data'!G:G,'cluster overview'!B35)</f>
        <v>0</v>
      </c>
      <c r="D35" s="121">
        <f>SUMIFS('reductions data'!H:H,'reductions data'!B:B,'cluster overview'!$B$6,'reductions data'!$G:$G,'cluster overview'!B35)</f>
        <v>0</v>
      </c>
      <c r="E35" s="95"/>
      <c r="F35" s="295"/>
      <c r="G35" s="295"/>
    </row>
    <row r="36" spans="2:7" x14ac:dyDescent="0.15">
      <c r="B36" s="146" t="s">
        <v>226</v>
      </c>
      <c r="C36" s="122">
        <f>COUNTIFS('reductions data'!B:B,'cluster overview'!$B$6,'reductions data'!G:G,'cluster overview'!B36)</f>
        <v>0</v>
      </c>
      <c r="D36" s="121">
        <f>SUMIFS('reductions data'!H:H,'reductions data'!B:B,'cluster overview'!$B$6,'reductions data'!$G:$G,'cluster overview'!B36)</f>
        <v>0</v>
      </c>
      <c r="E36" s="123"/>
      <c r="F36" s="295"/>
      <c r="G36" s="295"/>
    </row>
    <row r="37" spans="2:7" x14ac:dyDescent="0.15">
      <c r="B37" s="146" t="s">
        <v>220</v>
      </c>
      <c r="C37" s="122">
        <f>COUNTIFS('reductions data'!B:B,'cluster overview'!$B$6,'reductions data'!G:G,'cluster overview'!B37)</f>
        <v>0</v>
      </c>
      <c r="D37" s="121">
        <f>SUMIFS('reductions data'!H:H,'reductions data'!B:B,'cluster overview'!$B$6,'reductions data'!$G:$G,'cluster overview'!B37)</f>
        <v>0</v>
      </c>
      <c r="E37" s="123"/>
      <c r="F37" s="325" t="s">
        <v>340</v>
      </c>
      <c r="G37" s="324">
        <f>SUMIF('capacity data'!B:B,'cluster overview'!B6,'capacity data'!I:I)</f>
        <v>0</v>
      </c>
    </row>
    <row r="38" spans="2:7" x14ac:dyDescent="0.15">
      <c r="B38" s="146" t="s">
        <v>241</v>
      </c>
      <c r="C38" s="122">
        <f>COUNTIFS('reductions data'!B:B,'cluster overview'!$B$6,'reductions data'!G:G,'cluster overview'!B38)</f>
        <v>0</v>
      </c>
      <c r="D38" s="121">
        <f>SUMIFS('reductions data'!H:H,'reductions data'!B:B,'cluster overview'!$B$6,'reductions data'!$G:$G,'cluster overview'!B38)</f>
        <v>0</v>
      </c>
      <c r="E38" s="123"/>
      <c r="F38" s="295"/>
      <c r="G38" s="295"/>
    </row>
    <row r="39" spans="2:7" x14ac:dyDescent="0.15">
      <c r="B39" s="146" t="s">
        <v>242</v>
      </c>
      <c r="C39" s="122">
        <f>COUNTIFS('reductions data'!B:B,'cluster overview'!$B$6,'reductions data'!G:G,'cluster overview'!B39)</f>
        <v>0</v>
      </c>
      <c r="D39" s="121">
        <f>SUMIFS('reductions data'!H:H,'reductions data'!B:B,'cluster overview'!$B$6,'reductions data'!$G:$G,'cluster overview'!B39)</f>
        <v>0</v>
      </c>
      <c r="E39" s="123"/>
      <c r="F39" s="295"/>
      <c r="G39" s="295"/>
    </row>
    <row r="40" spans="2:7" s="30" customFormat="1" x14ac:dyDescent="0.15">
      <c r="B40" s="146" t="s">
        <v>500</v>
      </c>
      <c r="C40" s="122">
        <f>COUNTIFS('reductions data'!B:B,'cluster overview'!$B$6,'reductions data'!G:G,'cluster overview'!B40)</f>
        <v>0</v>
      </c>
      <c r="D40" s="121">
        <f>SUMIFS('reductions data'!H:H,'reductions data'!B:B,'cluster overview'!$B$6,'reductions data'!$G:$G,'cluster overview'!B40)</f>
        <v>0</v>
      </c>
      <c r="E40" s="123"/>
      <c r="F40" s="275"/>
      <c r="G40" s="275"/>
    </row>
    <row r="41" spans="2:7" ht="15.75" customHeight="1" x14ac:dyDescent="0.15">
      <c r="B41" s="146" t="s">
        <v>243</v>
      </c>
      <c r="C41" s="122">
        <f>COUNTIFS('reductions data'!B:B,'cluster overview'!$B$6,'reductions data'!G:G,'cluster overview'!B41)</f>
        <v>0</v>
      </c>
      <c r="D41" s="121">
        <f>SUMIFS('reductions data'!H:H,'reductions data'!B:B,'cluster overview'!$B$6,'reductions data'!$G:$G,'cluster overview'!B41)</f>
        <v>0</v>
      </c>
      <c r="E41" s="123"/>
      <c r="F41" s="326" t="s">
        <v>341</v>
      </c>
      <c r="G41" s="327" t="e">
        <f>G34/G37</f>
        <v>#DIV/0!</v>
      </c>
    </row>
    <row r="42" spans="2:7" x14ac:dyDescent="0.15">
      <c r="B42" s="146" t="s">
        <v>223</v>
      </c>
      <c r="C42" s="122">
        <f>COUNTIFS('reductions data'!B:B,'cluster overview'!$B$6,'reductions data'!G:G,'cluster overview'!B42)</f>
        <v>0</v>
      </c>
      <c r="D42" s="121">
        <f>SUMIFS('reductions data'!H:H,'reductions data'!B:B,'cluster overview'!$B$6,'reductions data'!$G:$G,'cluster overview'!B42)</f>
        <v>0</v>
      </c>
      <c r="E42" s="123"/>
      <c r="F42" s="318"/>
      <c r="G42" s="321"/>
    </row>
    <row r="43" spans="2:7" x14ac:dyDescent="0.15">
      <c r="B43" s="146" t="s">
        <v>230</v>
      </c>
      <c r="C43" s="122">
        <f>COUNTIFS('reductions data'!B:B,'cluster overview'!$B$6,'reductions data'!G:G,'cluster overview'!B43)</f>
        <v>0</v>
      </c>
      <c r="D43" s="121">
        <f>SUMIFS('reductions data'!H:H,'reductions data'!B:B,'cluster overview'!$B$6,'reductions data'!$G:$G,'cluster overview'!B43)</f>
        <v>0</v>
      </c>
      <c r="E43" s="123"/>
      <c r="F43" s="318"/>
      <c r="G43" s="321"/>
    </row>
    <row r="44" spans="2:7" s="30" customFormat="1" x14ac:dyDescent="0.15">
      <c r="B44" s="146" t="s">
        <v>497</v>
      </c>
      <c r="C44" s="122">
        <f>COUNTIFS('reductions data'!B:B,'cluster overview'!$B$6,'reductions data'!G:G,'cluster overview'!B44)</f>
        <v>0</v>
      </c>
      <c r="D44" s="121">
        <f>SUMIFS('reductions data'!H:H,'reductions data'!B:B,'cluster overview'!$B$6,'reductions data'!$G:$G,'cluster overview'!B44)</f>
        <v>0</v>
      </c>
      <c r="E44" s="123"/>
      <c r="F44" s="318"/>
      <c r="G44" s="321"/>
    </row>
    <row r="45" spans="2:7" x14ac:dyDescent="0.15">
      <c r="B45" s="146" t="s">
        <v>232</v>
      </c>
      <c r="C45" s="122">
        <f>COUNTIFS('reductions data'!B:B,'cluster overview'!$B$6,'reductions data'!G:G,'cluster overview'!B45)</f>
        <v>0</v>
      </c>
      <c r="D45" s="121">
        <f>SUMIFS('reductions data'!H:H,'reductions data'!B:B,'cluster overview'!$B$6,'reductions data'!$G:$G,'cluster overview'!B45)</f>
        <v>0</v>
      </c>
      <c r="E45" s="123"/>
      <c r="F45" s="319"/>
      <c r="G45" s="322"/>
    </row>
    <row r="46" spans="2:7" ht="15.75" customHeight="1" x14ac:dyDescent="0.15">
      <c r="B46" s="146" t="s">
        <v>214</v>
      </c>
      <c r="C46" s="122">
        <f>COUNTIFS('reductions data'!B:B,'cluster overview'!$B$6,'reductions data'!G:G,'cluster overview'!B46)</f>
        <v>0</v>
      </c>
      <c r="D46" s="121">
        <f>SUMIFS('reductions data'!H:H,'reductions data'!B:B,'cluster overview'!$B$6,'reductions data'!$G:$G,'cluster overview'!B46)</f>
        <v>0</v>
      </c>
      <c r="E46" s="123"/>
      <c r="F46" s="317" t="s">
        <v>310</v>
      </c>
      <c r="G46" s="320" t="e">
        <f>+G41-'div &amp; regional reduction hours'!N28</f>
        <v>#DIV/0!</v>
      </c>
    </row>
    <row r="47" spans="2:7" x14ac:dyDescent="0.15">
      <c r="B47" s="146" t="s">
        <v>215</v>
      </c>
      <c r="C47" s="122">
        <f>COUNTIFS('reductions data'!B:B,'cluster overview'!$B$6,'reductions data'!G:G,'cluster overview'!B47)</f>
        <v>0</v>
      </c>
      <c r="D47" s="121">
        <f>SUMIFS('reductions data'!H:H,'reductions data'!B:B,'cluster overview'!$B$6,'reductions data'!$G:$G,'cluster overview'!B47)</f>
        <v>0</v>
      </c>
      <c r="E47" s="123"/>
      <c r="F47" s="318"/>
      <c r="G47" s="321"/>
    </row>
    <row r="48" spans="2:7" x14ac:dyDescent="0.15">
      <c r="B48" s="146" t="s">
        <v>244</v>
      </c>
      <c r="C48" s="122">
        <f>COUNTIFS('reductions data'!B:B,'cluster overview'!$B$6,'reductions data'!G:G,'cluster overview'!B48)</f>
        <v>0</v>
      </c>
      <c r="D48" s="121">
        <f>SUMIFS('reductions data'!H:H,'reductions data'!B:B,'cluster overview'!$B$6,'reductions data'!$G:$G,'cluster overview'!B48)</f>
        <v>0</v>
      </c>
      <c r="E48" s="123"/>
      <c r="F48" s="318"/>
      <c r="G48" s="321"/>
    </row>
    <row r="49" spans="2:7" x14ac:dyDescent="0.15">
      <c r="B49" s="146" t="s">
        <v>311</v>
      </c>
      <c r="C49" s="122">
        <f>COUNTIFS('reductions data'!B:B,'cluster overview'!$B$6,'reductions data'!G:G,'cluster overview'!B49)</f>
        <v>0</v>
      </c>
      <c r="D49" s="121">
        <f>SUMIFS('reductions data'!H:H,'reductions data'!B:B,'cluster overview'!$B$6,'reductions data'!$G:$G,'cluster overview'!B49)</f>
        <v>0</v>
      </c>
      <c r="E49" s="123"/>
      <c r="F49" s="318"/>
      <c r="G49" s="321"/>
    </row>
    <row r="50" spans="2:7" x14ac:dyDescent="0.15">
      <c r="B50" s="146" t="s">
        <v>246</v>
      </c>
      <c r="C50" s="122">
        <f>COUNTIFS('reductions data'!B:B,'cluster overview'!$B$6,'reductions data'!G:G,'cluster overview'!B50)</f>
        <v>0</v>
      </c>
      <c r="D50" s="121">
        <f>SUMIFS('reductions data'!H:H,'reductions data'!B:B,'cluster overview'!$B$6,'reductions data'!$G:$G,'cluster overview'!B50)</f>
        <v>0</v>
      </c>
      <c r="E50" s="123"/>
      <c r="F50" s="319"/>
      <c r="G50" s="322"/>
    </row>
    <row r="51" spans="2:7" x14ac:dyDescent="0.15">
      <c r="B51" s="146" t="s">
        <v>247</v>
      </c>
      <c r="C51" s="122">
        <f>COUNTIFS('reductions data'!B:B,'cluster overview'!$B$6,'reductions data'!G:G,'cluster overview'!B51)</f>
        <v>0</v>
      </c>
      <c r="D51" s="121">
        <f>SUMIFS('reductions data'!H:H,'reductions data'!B:B,'cluster overview'!$B$6,'reductions data'!$G:$G,'cluster overview'!B51)</f>
        <v>0</v>
      </c>
      <c r="E51" s="123"/>
      <c r="F51" s="123"/>
      <c r="G51" s="95"/>
    </row>
    <row r="52" spans="2:7" x14ac:dyDescent="0.15">
      <c r="B52" s="146" t="s">
        <v>228</v>
      </c>
      <c r="C52" s="122">
        <f>COUNTIFS('reductions data'!B:B,'cluster overview'!$B$6,'reductions data'!G:G,'cluster overview'!B52)</f>
        <v>0</v>
      </c>
      <c r="D52" s="121">
        <f>SUMIFS('reductions data'!H:H,'reductions data'!B:B,'cluster overview'!$B$6,'reductions data'!$G:$G,'cluster overview'!B52)</f>
        <v>0</v>
      </c>
      <c r="E52" s="123"/>
      <c r="F52" s="123"/>
      <c r="G52" s="95"/>
    </row>
    <row r="53" spans="2:7" x14ac:dyDescent="0.15">
      <c r="B53" s="146" t="s">
        <v>248</v>
      </c>
      <c r="C53" s="122">
        <f>COUNTIFS('reductions data'!B:B,'cluster overview'!$B$6,'reductions data'!G:G,'cluster overview'!B53)</f>
        <v>0</v>
      </c>
      <c r="D53" s="121">
        <f>SUMIFS('reductions data'!H:H,'reductions data'!B:B,'cluster overview'!$B$6,'reductions data'!$G:$G,'cluster overview'!B53)</f>
        <v>0</v>
      </c>
      <c r="E53" s="123"/>
      <c r="F53" s="123"/>
      <c r="G53" s="95"/>
    </row>
    <row r="54" spans="2:7" x14ac:dyDescent="0.15">
      <c r="B54" s="146" t="s">
        <v>217</v>
      </c>
      <c r="C54" s="122">
        <f>COUNTIFS('reductions data'!B:B,'cluster overview'!$B$6,'reductions data'!G:G,'cluster overview'!B54)</f>
        <v>0</v>
      </c>
      <c r="D54" s="121">
        <f>SUMIFS('reductions data'!H:H,'reductions data'!B:B,'cluster overview'!$B$6,'reductions data'!$G:$G,'cluster overview'!B54)</f>
        <v>0</v>
      </c>
      <c r="E54" s="123"/>
      <c r="F54" s="123"/>
      <c r="G54" s="95"/>
    </row>
    <row r="55" spans="2:7" x14ac:dyDescent="0.15">
      <c r="B55" s="146" t="s">
        <v>249</v>
      </c>
      <c r="C55" s="122">
        <f>COUNTIFS('reductions data'!B:B,'cluster overview'!$B$6,'reductions data'!G:G,'cluster overview'!B55)</f>
        <v>0</v>
      </c>
      <c r="D55" s="121">
        <f>SUMIFS('reductions data'!H:H,'reductions data'!B:B,'cluster overview'!$B$6,'reductions data'!$G:$G,'cluster overview'!B55)</f>
        <v>0</v>
      </c>
      <c r="E55" s="123"/>
      <c r="F55" s="123"/>
      <c r="G55" s="95"/>
    </row>
    <row r="56" spans="2:7" x14ac:dyDescent="0.15">
      <c r="B56" s="146" t="s">
        <v>250</v>
      </c>
      <c r="C56" s="122">
        <f>COUNTIFS('reductions data'!B:B,'cluster overview'!$B$6,'reductions data'!G:G,'cluster overview'!B56)</f>
        <v>0</v>
      </c>
      <c r="D56" s="121">
        <f>SUMIFS('reductions data'!H:H,'reductions data'!B:B,'cluster overview'!$B$6,'reductions data'!$G:$G,'cluster overview'!B56)</f>
        <v>0</v>
      </c>
      <c r="E56" s="123"/>
      <c r="F56" s="123"/>
      <c r="G56" s="95"/>
    </row>
    <row r="57" spans="2:7" x14ac:dyDescent="0.15">
      <c r="B57" s="146" t="s">
        <v>233</v>
      </c>
      <c r="C57" s="122">
        <f>COUNTIFS('reductions data'!B:B,'cluster overview'!$B$6,'reductions data'!G:G,'cluster overview'!B57)</f>
        <v>0</v>
      </c>
      <c r="D57" s="121">
        <f>SUMIFS('reductions data'!H:H,'reductions data'!B:B,'cluster overview'!$B$6,'reductions data'!$G:$G,'cluster overview'!B57)</f>
        <v>0</v>
      </c>
      <c r="E57" s="123"/>
      <c r="F57" s="123"/>
      <c r="G57" s="95"/>
    </row>
    <row r="58" spans="2:7" x14ac:dyDescent="0.15">
      <c r="B58" s="239" t="s">
        <v>312</v>
      </c>
      <c r="C58" s="122">
        <f>COUNTIFS('reductions data'!B:B,'cluster overview'!$B$6,'reductions data'!G:G,'cluster overview'!B58)</f>
        <v>0</v>
      </c>
      <c r="D58" s="121">
        <f>SUMIFS('reductions data'!H:H,'reductions data'!B:B,'cluster overview'!$B$6,'reductions data'!$G:$G,'cluster overview'!B58)</f>
        <v>0</v>
      </c>
      <c r="E58" s="123"/>
      <c r="F58" s="123"/>
      <c r="G58" s="95"/>
    </row>
    <row r="59" spans="2:7" x14ac:dyDescent="0.15">
      <c r="B59" s="146" t="s">
        <v>234</v>
      </c>
      <c r="C59" s="122">
        <f>COUNTIFS('reductions data'!B:B,'cluster overview'!$B$6,'reductions data'!G:G,'cluster overview'!B59)</f>
        <v>0</v>
      </c>
      <c r="D59" s="121">
        <f>SUMIFS('reductions data'!H:H,'reductions data'!B:B,'cluster overview'!$B$6,'reductions data'!$G:$G,'cluster overview'!B59)</f>
        <v>0</v>
      </c>
      <c r="E59" s="123"/>
      <c r="F59" s="123"/>
      <c r="G59" s="95"/>
    </row>
    <row r="60" spans="2:7" x14ac:dyDescent="0.15">
      <c r="B60" s="146" t="s">
        <v>218</v>
      </c>
      <c r="C60" s="122">
        <f>COUNTIFS('reductions data'!B:B,'cluster overview'!$B$6,'reductions data'!G:G,'cluster overview'!B60)</f>
        <v>0</v>
      </c>
      <c r="D60" s="121">
        <f>SUMIFS('reductions data'!H:H,'reductions data'!B:B,'cluster overview'!$B$6,'reductions data'!$G:$G,'cluster overview'!B60)</f>
        <v>0</v>
      </c>
      <c r="E60" s="123"/>
      <c r="F60" s="123"/>
      <c r="G60" s="95"/>
    </row>
    <row r="61" spans="2:7" x14ac:dyDescent="0.15">
      <c r="B61" s="146" t="s">
        <v>222</v>
      </c>
      <c r="C61" s="122">
        <f>COUNTIFS('reductions data'!B:B,'cluster overview'!$B$6,'reductions data'!G:G,'cluster overview'!B61)</f>
        <v>0</v>
      </c>
      <c r="D61" s="121">
        <f>SUMIFS('reductions data'!H:H,'reductions data'!B:B,'cluster overview'!$B$6,'reductions data'!$G:$G,'cluster overview'!B61)</f>
        <v>0</v>
      </c>
      <c r="E61" s="123"/>
      <c r="F61" s="123"/>
      <c r="G61" s="95"/>
    </row>
    <row r="62" spans="2:7" x14ac:dyDescent="0.15">
      <c r="B62" s="146" t="s">
        <v>221</v>
      </c>
      <c r="C62" s="122">
        <f>COUNTIFS('reductions data'!B:B,'cluster overview'!$B$6,'reductions data'!G:G,'cluster overview'!B62)</f>
        <v>0</v>
      </c>
      <c r="D62" s="121">
        <f>SUMIFS('reductions data'!H:H,'reductions data'!B:B,'cluster overview'!$B$6,'reductions data'!$G:$G,'cluster overview'!B62)</f>
        <v>0</v>
      </c>
      <c r="E62" s="123"/>
      <c r="F62" s="123"/>
      <c r="G62" s="95"/>
    </row>
    <row r="63" spans="2:7" x14ac:dyDescent="0.15">
      <c r="B63" s="146" t="s">
        <v>219</v>
      </c>
      <c r="C63" s="122">
        <f>COUNTIFS('reductions data'!B:B,'cluster overview'!$B$6,'reductions data'!G:G,'cluster overview'!B63)</f>
        <v>0</v>
      </c>
      <c r="D63" s="121">
        <f>SUMIFS('reductions data'!H:H,'reductions data'!B:B,'cluster overview'!$B$6,'reductions data'!$G:$G,'cluster overview'!B63)</f>
        <v>0</v>
      </c>
      <c r="E63" s="123"/>
      <c r="F63" s="123"/>
      <c r="G63" s="95"/>
    </row>
    <row r="64" spans="2:7" x14ac:dyDescent="0.15">
      <c r="B64" s="146" t="s">
        <v>224</v>
      </c>
      <c r="C64" s="122">
        <f>COUNTIFS('reductions data'!B:B,'cluster overview'!$B$6,'reductions data'!G:G,'cluster overview'!B64)</f>
        <v>0</v>
      </c>
      <c r="D64" s="121">
        <f>SUMIFS('reductions data'!H:H,'reductions data'!B:B,'cluster overview'!$B$6,'reductions data'!$G:$G,'cluster overview'!B64)</f>
        <v>0</v>
      </c>
      <c r="E64" s="123"/>
      <c r="F64" s="123"/>
      <c r="G64" s="95"/>
    </row>
    <row r="65" spans="2:20" x14ac:dyDescent="0.15">
      <c r="B65" s="146" t="s">
        <v>213</v>
      </c>
      <c r="C65" s="122">
        <f>COUNTIFS('reductions data'!B:B,'cluster overview'!$B$6,'reductions data'!G:G,'cluster overview'!B65)</f>
        <v>0</v>
      </c>
      <c r="D65" s="121">
        <f>SUMIFS('reductions data'!H:H,'reductions data'!B:B,'cluster overview'!$B$6,'reductions data'!$G:$G,'cluster overview'!B65)</f>
        <v>0</v>
      </c>
      <c r="E65" s="123"/>
      <c r="F65" s="123"/>
      <c r="G65" s="95"/>
    </row>
    <row r="66" spans="2:20" x14ac:dyDescent="0.15">
      <c r="B66" s="146" t="s">
        <v>227</v>
      </c>
      <c r="C66" s="122">
        <f>COUNTIFS('reductions data'!B:B,'cluster overview'!$B$6,'reductions data'!G:G,'cluster overview'!B66)</f>
        <v>0</v>
      </c>
      <c r="D66" s="121">
        <f>SUMIFS('reductions data'!H:H,'reductions data'!B:B,'cluster overview'!$B$6,'reductions data'!$G:$G,'cluster overview'!B66)</f>
        <v>0</v>
      </c>
      <c r="E66" s="123"/>
      <c r="F66" s="123"/>
      <c r="G66" s="95"/>
    </row>
    <row r="67" spans="2:20" s="30" customFormat="1" x14ac:dyDescent="0.15">
      <c r="B67" s="146" t="s">
        <v>496</v>
      </c>
      <c r="C67" s="122">
        <f>COUNTIFS('reductions data'!B:B,'cluster overview'!$B$6,'reductions data'!G:G,'cluster overview'!B67)</f>
        <v>0</v>
      </c>
      <c r="D67" s="121">
        <f>SUMIFS('reductions data'!H:H,'reductions data'!B:B,'cluster overview'!$B$6,'reductions data'!$G:$G,'cluster overview'!B67)</f>
        <v>0</v>
      </c>
      <c r="E67" s="123"/>
      <c r="F67" s="123"/>
      <c r="G67" s="95"/>
    </row>
    <row r="68" spans="2:20" s="30" customFormat="1" x14ac:dyDescent="0.15">
      <c r="B68" s="146" t="s">
        <v>498</v>
      </c>
      <c r="C68" s="122">
        <f>COUNTIFS('reductions data'!B:B,'cluster overview'!$B$6,'reductions data'!G:G,'cluster overview'!B68)</f>
        <v>0</v>
      </c>
      <c r="D68" s="121">
        <f>SUMIFS('reductions data'!H:H,'reductions data'!B:B,'cluster overview'!$B$6,'reductions data'!$G:$G,'cluster overview'!B68)</f>
        <v>0</v>
      </c>
      <c r="E68" s="123"/>
      <c r="F68" s="123"/>
      <c r="G68" s="95"/>
    </row>
    <row r="69" spans="2:20" s="30" customFormat="1" x14ac:dyDescent="0.15">
      <c r="B69" s="146" t="s">
        <v>499</v>
      </c>
      <c r="C69" s="122">
        <f>COUNTIFS('reductions data'!B:B,'cluster overview'!$B$6,'reductions data'!G:G,'cluster overview'!B69)</f>
        <v>0</v>
      </c>
      <c r="D69" s="121">
        <f>SUMIFS('reductions data'!H:H,'reductions data'!B:B,'cluster overview'!$B$6,'reductions data'!$G:$G,'cluster overview'!B69)</f>
        <v>0</v>
      </c>
      <c r="E69" s="123"/>
      <c r="F69" s="123"/>
      <c r="G69" s="95"/>
    </row>
    <row r="70" spans="2:20" x14ac:dyDescent="0.15">
      <c r="B70" s="146" t="s">
        <v>253</v>
      </c>
      <c r="C70" s="122">
        <f>COUNTIFS('reductions data'!B:B,'cluster overview'!$B$6,'reductions data'!G:G,'cluster overview'!B70)</f>
        <v>0</v>
      </c>
      <c r="D70" s="121">
        <f>SUMIFS('reductions data'!H:H,'reductions data'!B:B,'cluster overview'!$B$6,'reductions data'!$G:$G,'cluster overview'!B70)</f>
        <v>0</v>
      </c>
      <c r="E70" s="123"/>
      <c r="F70" s="123"/>
      <c r="G70" s="95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</row>
    <row r="71" spans="2:20" x14ac:dyDescent="0.15">
      <c r="B71" s="146" t="s">
        <v>225</v>
      </c>
      <c r="C71" s="122">
        <f>COUNTIFS('reductions data'!B:B,'cluster overview'!$B$6,'reductions data'!G:G,'cluster overview'!B71)</f>
        <v>0</v>
      </c>
      <c r="D71" s="121">
        <f>SUMIFS('reductions data'!H:H,'reductions data'!B:B,'cluster overview'!$B$6,'reductions data'!$G:$G,'cluster overview'!B71)</f>
        <v>0</v>
      </c>
      <c r="E71" s="123"/>
      <c r="F71" s="123"/>
      <c r="G71" s="95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</row>
    <row r="72" spans="2:20" x14ac:dyDescent="0.15">
      <c r="B72" s="146" t="s">
        <v>254</v>
      </c>
      <c r="C72" s="122">
        <f>COUNTIFS('reductions data'!B:B,'cluster overview'!$B$6,'reductions data'!G:G,'cluster overview'!B72)</f>
        <v>0</v>
      </c>
      <c r="D72" s="121">
        <f>SUMIFS('reductions data'!H:H,'reductions data'!B:B,'cluster overview'!$B$6,'reductions data'!$G:$G,'cluster overview'!B72)</f>
        <v>0</v>
      </c>
      <c r="E72" s="123"/>
      <c r="F72" s="123"/>
      <c r="G72" s="95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</row>
    <row r="73" spans="2:20" x14ac:dyDescent="0.15">
      <c r="B73" s="146" t="s">
        <v>216</v>
      </c>
      <c r="C73" s="122">
        <f>COUNTIFS('reductions data'!B:B,'cluster overview'!$B$6,'reductions data'!G:G,'cluster overview'!B73)</f>
        <v>0</v>
      </c>
      <c r="D73" s="121">
        <f>SUMIFS('reductions data'!H:H,'reductions data'!B:B,'cluster overview'!$B$6,'reductions data'!$G:$G,'cluster overview'!B73)</f>
        <v>0</v>
      </c>
      <c r="E73" s="123"/>
      <c r="F73" s="123"/>
      <c r="G73" s="95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</row>
    <row r="74" spans="2:20" x14ac:dyDescent="0.15">
      <c r="B74" s="146" t="s">
        <v>231</v>
      </c>
      <c r="C74" s="122">
        <f>COUNTIFS('reductions data'!B:B,'cluster overview'!$B$6,'reductions data'!G:G,'cluster overview'!B74)</f>
        <v>0</v>
      </c>
      <c r="D74" s="121">
        <f>SUMIFS('reductions data'!H:H,'reductions data'!B:B,'cluster overview'!$B$6,'reductions data'!$G:$G,'cluster overview'!B74)</f>
        <v>0</v>
      </c>
      <c r="E74" s="123"/>
      <c r="F74" s="123"/>
      <c r="G74" s="95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</row>
    <row r="75" spans="2:20" x14ac:dyDescent="0.15">
      <c r="B75" s="146" t="s">
        <v>1020</v>
      </c>
      <c r="C75" s="122">
        <f>COUNTIFS('reductions data'!B:B,'cluster overview'!$B$6,'reductions data'!G:G,'cluster overview'!B75)</f>
        <v>0</v>
      </c>
      <c r="D75" s="121">
        <f>SUMIFS('reductions data'!H:H,'reductions data'!B:B,'cluster overview'!$B$6,'reductions data'!$G:$G,'cluster overview'!B75)</f>
        <v>0</v>
      </c>
      <c r="E75" s="123"/>
      <c r="F75" s="123"/>
      <c r="G75" s="95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</row>
    <row r="76" spans="2:20" x14ac:dyDescent="0.15">
      <c r="B76" s="123"/>
      <c r="C76" s="123"/>
      <c r="D76" s="123"/>
      <c r="E76" s="123"/>
      <c r="F76" s="123"/>
      <c r="G76" s="95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</row>
    <row r="77" spans="2:20" x14ac:dyDescent="0.15">
      <c r="B77" s="123"/>
      <c r="C77" s="123"/>
      <c r="D77" s="123"/>
      <c r="E77" s="123"/>
      <c r="F77" s="123"/>
      <c r="G77" s="95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62"/>
      <c r="T77" s="30"/>
    </row>
    <row r="78" spans="2:20" x14ac:dyDescent="0.15">
      <c r="B78" s="123"/>
      <c r="C78" s="123"/>
      <c r="D78" s="123"/>
      <c r="E78" s="123"/>
      <c r="F78" s="123"/>
      <c r="G78" s="95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</row>
    <row r="79" spans="2:20" s="30" customFormat="1" ht="16" x14ac:dyDescent="0.2">
      <c r="B79" s="86"/>
      <c r="C79" s="84"/>
      <c r="D79" s="85"/>
      <c r="E79" s="4"/>
      <c r="F79" s="4"/>
    </row>
    <row r="80" spans="2:20" s="30" customFormat="1" ht="16" x14ac:dyDescent="0.2">
      <c r="B80" s="59"/>
      <c r="C80" s="297" t="s">
        <v>342</v>
      </c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298"/>
    </row>
    <row r="81" spans="2:37" s="30" customFormat="1" x14ac:dyDescent="0.15">
      <c r="B81" s="147" t="str">
        <f>B6</f>
        <v>Cardiff and Vale - N03</v>
      </c>
      <c r="C81" s="58" t="s">
        <v>504</v>
      </c>
      <c r="D81" s="58" t="s">
        <v>503</v>
      </c>
      <c r="E81" s="58" t="s">
        <v>502</v>
      </c>
      <c r="F81" s="58" t="s">
        <v>501</v>
      </c>
      <c r="G81" s="58" t="s">
        <v>510</v>
      </c>
      <c r="H81" s="58" t="s">
        <v>176</v>
      </c>
      <c r="I81" s="58" t="s">
        <v>177</v>
      </c>
      <c r="J81" s="58" t="s">
        <v>505</v>
      </c>
      <c r="K81" s="58" t="s">
        <v>507</v>
      </c>
      <c r="L81" s="58" t="s">
        <v>178</v>
      </c>
      <c r="M81" s="58" t="s">
        <v>179</v>
      </c>
      <c r="N81" s="58" t="s">
        <v>506</v>
      </c>
      <c r="O81" s="58" t="s">
        <v>508</v>
      </c>
      <c r="P81" s="58" t="s">
        <v>180</v>
      </c>
      <c r="Q81" s="58" t="s">
        <v>181</v>
      </c>
      <c r="R81" s="58" t="s">
        <v>509</v>
      </c>
      <c r="S81" s="58" t="s">
        <v>511</v>
      </c>
    </row>
    <row r="82" spans="2:37" s="30" customFormat="1" x14ac:dyDescent="0.15">
      <c r="B82" s="106" t="s">
        <v>314</v>
      </c>
      <c r="C82" s="126">
        <f>SUMIFS('caseload data'!E:E,'caseload data'!$B:$B,"custody",'caseload data'!$C:$C,$B$81)</f>
        <v>0</v>
      </c>
      <c r="D82" s="126">
        <f>SUMIFS('caseload data'!F:F,'caseload data'!$B:$B,"custody",'caseload data'!$C:$C,$B$81)</f>
        <v>0</v>
      </c>
      <c r="E82" s="126">
        <f>SUMIFS('caseload data'!G:G,'caseload data'!$B:$B,"custody",'caseload data'!$C:$C,$B$81)</f>
        <v>0</v>
      </c>
      <c r="F82" s="126">
        <f>SUMIFS('caseload data'!H:H,'caseload data'!$B:$B,"custody",'caseload data'!$C:$C,$B$81)</f>
        <v>0</v>
      </c>
      <c r="G82" s="126">
        <f>SUMIFS('caseload data'!I:I,'caseload data'!$B:$B,"custody",'caseload data'!$C:$C,$B$81)</f>
        <v>0</v>
      </c>
      <c r="H82" s="126">
        <f>SUMIFS('caseload data'!J:J,'caseload data'!$B:$B,"custody",'caseload data'!$C:$C,$B$81)</f>
        <v>0</v>
      </c>
      <c r="I82" s="126">
        <f>SUMIFS('caseload data'!K:K,'caseload data'!$B:$B,"custody",'caseload data'!$C:$C,$B$81)</f>
        <v>0</v>
      </c>
      <c r="J82" s="126">
        <f>SUMIFS('caseload data'!L:L,'caseload data'!$B:$B,"custody",'caseload data'!$C:$C,$B$81)</f>
        <v>0</v>
      </c>
      <c r="K82" s="126">
        <f>SUMIFS('caseload data'!M:M,'caseload data'!$B:$B,"custody",'caseload data'!$C:$C,$B$81)</f>
        <v>0</v>
      </c>
      <c r="L82" s="126">
        <f>SUMIFS('caseload data'!N:N,'caseload data'!$B:$B,"custody",'caseload data'!$C:$C,$B$81)</f>
        <v>0</v>
      </c>
      <c r="M82" s="126">
        <f>SUMIFS('caseload data'!O:O,'caseload data'!$B:$B,"custody",'caseload data'!$C:$C,$B$81)</f>
        <v>0</v>
      </c>
      <c r="N82" s="126">
        <f>SUMIFS('caseload data'!P:P,'caseload data'!$B:$B,"custody",'caseload data'!$C:$C,$B$81)</f>
        <v>0</v>
      </c>
      <c r="O82" s="126">
        <f>SUMIFS('caseload data'!Q:Q,'caseload data'!$B:$B,"custody",'caseload data'!$C:$C,$B$81)</f>
        <v>0</v>
      </c>
      <c r="P82" s="126">
        <f>SUMIFS('caseload data'!R:R,'caseload data'!$B:$B,"custody",'caseload data'!$C:$C,$B$81)</f>
        <v>0</v>
      </c>
      <c r="Q82" s="126">
        <f>SUMIFS('caseload data'!S:S,'caseload data'!$B:$B,"custody",'caseload data'!$C:$C,$B$81)</f>
        <v>0</v>
      </c>
      <c r="R82" s="126">
        <f>SUMIFS('caseload data'!T:T,'caseload data'!$B:$B,"custody",'caseload data'!$C:$C,$B$81)</f>
        <v>0</v>
      </c>
      <c r="S82" s="126">
        <f>SUMIFS('caseload data'!$V:$V,'caseload data'!C:C,$B$81,'caseload data'!B:B,"custody")</f>
        <v>0</v>
      </c>
    </row>
    <row r="83" spans="2:37" s="30" customFormat="1" x14ac:dyDescent="0.15">
      <c r="B83" s="106" t="s">
        <v>315</v>
      </c>
      <c r="C83" s="106">
        <f>SUMIFS('caseload data'!E:E,'caseload data'!$B:$B,"licence",'caseload data'!$C:$C,$B$81)</f>
        <v>0</v>
      </c>
      <c r="D83" s="106">
        <f>SUMIFS('caseload data'!F:F,'caseload data'!$B:$B,"licence",'caseload data'!$C:$C,$B$81)</f>
        <v>0</v>
      </c>
      <c r="E83" s="106">
        <f>SUMIFS('caseload data'!G:G,'caseload data'!$B:$B,"licence",'caseload data'!$C:$C,$B$81)</f>
        <v>0</v>
      </c>
      <c r="F83" s="106">
        <f>SUMIFS('caseload data'!H:H,'caseload data'!$B:$B,"licence",'caseload data'!$C:$C,$B$81)</f>
        <v>0</v>
      </c>
      <c r="G83" s="106">
        <f>SUMIFS('caseload data'!I:I,'caseload data'!$B:$B,"licence",'caseload data'!$C:$C,$B$81)</f>
        <v>0</v>
      </c>
      <c r="H83" s="106">
        <f>SUMIFS('caseload data'!J:J,'caseload data'!$B:$B,"licence",'caseload data'!$C:$C,$B$81)</f>
        <v>0</v>
      </c>
      <c r="I83" s="106">
        <f>SUMIFS('caseload data'!K:K,'caseload data'!$B:$B,"licence",'caseload data'!$C:$C,$B$81)</f>
        <v>0</v>
      </c>
      <c r="J83" s="106">
        <f>SUMIFS('caseload data'!L:L,'caseload data'!$B:$B,"licence",'caseload data'!$C:$C,$B$81)</f>
        <v>0</v>
      </c>
      <c r="K83" s="106">
        <f>SUMIFS('caseload data'!M:M,'caseload data'!$B:$B,"licence",'caseload data'!$C:$C,$B$81)</f>
        <v>0</v>
      </c>
      <c r="L83" s="106">
        <f>SUMIFS('caseload data'!N:N,'caseload data'!$B:$B,"licence",'caseload data'!$C:$C,$B$81)</f>
        <v>0</v>
      </c>
      <c r="M83" s="106">
        <f>SUMIFS('caseload data'!O:O,'caseload data'!$B:$B,"licence",'caseload data'!$C:$C,$B$81)</f>
        <v>0</v>
      </c>
      <c r="N83" s="106">
        <f>SUMIFS('caseload data'!P:P,'caseload data'!$B:$B,"licence",'caseload data'!$C:$C,$B$81)</f>
        <v>0</v>
      </c>
      <c r="O83" s="106">
        <f>SUMIFS('caseload data'!Q:Q,'caseload data'!$B:$B,"licence",'caseload data'!$C:$C,$B$81)</f>
        <v>0</v>
      </c>
      <c r="P83" s="106">
        <f>SUMIFS('caseload data'!R:R,'caseload data'!$B:$B,"licence",'caseload data'!$C:$C,$B$81)</f>
        <v>0</v>
      </c>
      <c r="Q83" s="106">
        <f>SUMIFS('caseload data'!S:S,'caseload data'!$B:$B,"licence",'caseload data'!$C:$C,$B$81)</f>
        <v>0</v>
      </c>
      <c r="R83" s="106">
        <f>SUMIFS('caseload data'!T:T,'caseload data'!$B:$B,"licence",'caseload data'!$C:$C,$B$81)</f>
        <v>0</v>
      </c>
      <c r="S83" s="106">
        <f>SUMIFS('caseload data'!$V:$V,'caseload data'!C:C,$B$81,'caseload data'!B:B,"licence")</f>
        <v>0</v>
      </c>
    </row>
    <row r="84" spans="2:37" s="30" customFormat="1" x14ac:dyDescent="0.15">
      <c r="B84" s="106" t="s">
        <v>316</v>
      </c>
      <c r="C84" s="106">
        <f>SUMIFS('caseload data'!E:E,'caseload data'!$B:$B,"community",'caseload data'!$C:$C,$B$81)</f>
        <v>0</v>
      </c>
      <c r="D84" s="106">
        <f>SUMIFS('caseload data'!F:F,'caseload data'!$B:$B,"community",'caseload data'!$C:$C,$B$81)</f>
        <v>0</v>
      </c>
      <c r="E84" s="106">
        <f>SUMIFS('caseload data'!G:G,'caseload data'!$B:$B,"community",'caseload data'!$C:$C,$B$81)</f>
        <v>0</v>
      </c>
      <c r="F84" s="106">
        <f>SUMIFS('caseload data'!H:H,'caseload data'!$B:$B,"community",'caseload data'!$C:$C,$B$81)</f>
        <v>0</v>
      </c>
      <c r="G84" s="106">
        <f>SUMIFS('caseload data'!I:I,'caseload data'!$B:$B,"community",'caseload data'!$C:$C,$B$81)</f>
        <v>0</v>
      </c>
      <c r="H84" s="106">
        <f>SUMIFS('caseload data'!J:J,'caseload data'!$B:$B,"community",'caseload data'!$C:$C,$B$81)</f>
        <v>0</v>
      </c>
      <c r="I84" s="106">
        <f>SUMIFS('caseload data'!K:K,'caseload data'!$B:$B,"community",'caseload data'!$C:$C,$B$81)</f>
        <v>0</v>
      </c>
      <c r="J84" s="106">
        <f>SUMIFS('caseload data'!L:L,'caseload data'!$B:$B,"community",'caseload data'!$C:$C,$B$81)</f>
        <v>0</v>
      </c>
      <c r="K84" s="106">
        <f>SUMIFS('caseload data'!M:M,'caseload data'!$B:$B,"community",'caseload data'!$C:$C,$B$81)</f>
        <v>0</v>
      </c>
      <c r="L84" s="106">
        <f>SUMIFS('caseload data'!N:N,'caseload data'!$B:$B,"community",'caseload data'!$C:$C,$B$81)</f>
        <v>0</v>
      </c>
      <c r="M84" s="106">
        <f>SUMIFS('caseload data'!O:O,'caseload data'!$B:$B,"community",'caseload data'!$C:$C,$B$81)</f>
        <v>0</v>
      </c>
      <c r="N84" s="106">
        <f>SUMIFS('caseload data'!P:P,'caseload data'!$B:$B,"community",'caseload data'!$C:$C,$B$81)</f>
        <v>0</v>
      </c>
      <c r="O84" s="106">
        <f>SUMIFS('caseload data'!Q:Q,'caseload data'!$B:$B,"community",'caseload data'!$C:$C,$B$81)</f>
        <v>0</v>
      </c>
      <c r="P84" s="106">
        <f>SUMIFS('caseload data'!R:R,'caseload data'!$B:$B,"community",'caseload data'!$C:$C,$B$81)</f>
        <v>0</v>
      </c>
      <c r="Q84" s="106">
        <f>SUMIFS('caseload data'!S:S,'caseload data'!$B:$B,"community",'caseload data'!$C:$C,$B$81)</f>
        <v>0</v>
      </c>
      <c r="R84" s="106">
        <f>SUMIFS('caseload data'!T:T,'caseload data'!$B:$B,"community",'caseload data'!$C:$C,$B$81)</f>
        <v>0</v>
      </c>
      <c r="S84" s="106">
        <f>SUMIFS('caseload data'!$V:$V,'caseload data'!C:C,$B$81,'caseload data'!B:B,"community")</f>
        <v>0</v>
      </c>
    </row>
    <row r="85" spans="2:37" s="30" customFormat="1" x14ac:dyDescent="0.15">
      <c r="B85" s="143" t="s">
        <v>183</v>
      </c>
      <c r="C85" s="143">
        <f>SUMIF('caseload data'!$C:$C,$B$81,'caseload data'!E:E)</f>
        <v>0</v>
      </c>
      <c r="D85" s="143">
        <f>SUMIF('caseload data'!$C:$C,$B$81,'caseload data'!F:F)</f>
        <v>0</v>
      </c>
      <c r="E85" s="143">
        <f>SUMIF('caseload data'!$C:$C,$B$81,'caseload data'!G:G)</f>
        <v>0</v>
      </c>
      <c r="F85" s="143">
        <f>SUMIF('caseload data'!$C:$C,$B$81,'caseload data'!H:H)</f>
        <v>0</v>
      </c>
      <c r="G85" s="143">
        <f>SUMIF('caseload data'!$C:$C,$B$81,'caseload data'!I:I)</f>
        <v>0</v>
      </c>
      <c r="H85" s="143">
        <f>SUMIF('caseload data'!$C:$C,$B$81,'caseload data'!J:J)</f>
        <v>0</v>
      </c>
      <c r="I85" s="143">
        <f>SUMIF('caseload data'!$C:$C,$B$81,'caseload data'!K:K)</f>
        <v>0</v>
      </c>
      <c r="J85" s="143">
        <f>SUMIF('caseload data'!$C:$C,$B$81,'caseload data'!L:L)</f>
        <v>0</v>
      </c>
      <c r="K85" s="143">
        <f>SUMIF('caseload data'!$C:$C,$B$81,'caseload data'!M:M)</f>
        <v>0</v>
      </c>
      <c r="L85" s="143">
        <f>SUMIF('caseload data'!$C:$C,$B$81,'caseload data'!N:N)</f>
        <v>0</v>
      </c>
      <c r="M85" s="143">
        <f>SUMIF('caseload data'!$C:$C,$B$81,'caseload data'!O:O)</f>
        <v>0</v>
      </c>
      <c r="N85" s="143">
        <f>SUMIF('caseload data'!$C:$C,$B$81,'caseload data'!P:P)</f>
        <v>0</v>
      </c>
      <c r="O85" s="143">
        <f>SUMIF('caseload data'!$C:$C,$B$81,'caseload data'!Q:Q)</f>
        <v>0</v>
      </c>
      <c r="P85" s="143">
        <f>SUMIF('caseload data'!$C:$C,$B$81,'caseload data'!R:R)</f>
        <v>0</v>
      </c>
      <c r="Q85" s="143">
        <f>SUMIF('caseload data'!$C:$C,$B$81,'caseload data'!S:S)</f>
        <v>0</v>
      </c>
      <c r="R85" s="143">
        <f>SUMIF('caseload data'!$C:$C,$B$81,'caseload data'!T:T)</f>
        <v>0</v>
      </c>
      <c r="S85" s="143">
        <f>SUMIF('caseload data'!C:C,B81,'caseload data'!V:V)</f>
        <v>0</v>
      </c>
    </row>
    <row r="86" spans="2:37" ht="16" x14ac:dyDescent="0.2">
      <c r="B86" s="30"/>
      <c r="C86" s="30"/>
      <c r="D86" s="30"/>
      <c r="E86" s="4"/>
      <c r="F86" s="4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2:37" s="30" customFormat="1" ht="16" x14ac:dyDescent="0.2">
      <c r="B87" s="59"/>
      <c r="C87" s="297" t="s">
        <v>343</v>
      </c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</row>
    <row r="88" spans="2:37" x14ac:dyDescent="0.15">
      <c r="B88" s="147" t="str">
        <f>B6</f>
        <v>Cardiff and Vale - N03</v>
      </c>
      <c r="C88" s="58" t="s">
        <v>504</v>
      </c>
      <c r="D88" s="58" t="s">
        <v>503</v>
      </c>
      <c r="E88" s="58" t="s">
        <v>502</v>
      </c>
      <c r="F88" s="58" t="s">
        <v>501</v>
      </c>
      <c r="G88" s="58" t="s">
        <v>510</v>
      </c>
      <c r="H88" s="58" t="s">
        <v>176</v>
      </c>
      <c r="I88" s="58" t="s">
        <v>177</v>
      </c>
      <c r="J88" s="58" t="s">
        <v>505</v>
      </c>
      <c r="K88" s="58" t="s">
        <v>507</v>
      </c>
      <c r="L88" s="58" t="s">
        <v>178</v>
      </c>
      <c r="M88" s="58" t="s">
        <v>179</v>
      </c>
      <c r="N88" s="58" t="s">
        <v>506</v>
      </c>
      <c r="O88" s="58" t="s">
        <v>508</v>
      </c>
      <c r="P88" s="58" t="s">
        <v>180</v>
      </c>
      <c r="Q88" s="58" t="s">
        <v>181</v>
      </c>
      <c r="R88" s="58" t="s">
        <v>509</v>
      </c>
    </row>
    <row r="89" spans="2:37" x14ac:dyDescent="0.15">
      <c r="B89" s="106" t="s">
        <v>314</v>
      </c>
      <c r="C89" s="128" t="e">
        <f t="shared" ref="C89:P89" si="0">C82/$S$82</f>
        <v>#DIV/0!</v>
      </c>
      <c r="D89" s="128" t="e">
        <f t="shared" si="0"/>
        <v>#DIV/0!</v>
      </c>
      <c r="E89" s="128" t="e">
        <f t="shared" si="0"/>
        <v>#DIV/0!</v>
      </c>
      <c r="F89" s="128" t="e">
        <f t="shared" si="0"/>
        <v>#DIV/0!</v>
      </c>
      <c r="G89" s="128" t="e">
        <f t="shared" si="0"/>
        <v>#DIV/0!</v>
      </c>
      <c r="H89" s="128" t="e">
        <f t="shared" si="0"/>
        <v>#DIV/0!</v>
      </c>
      <c r="I89" s="128" t="e">
        <f t="shared" si="0"/>
        <v>#DIV/0!</v>
      </c>
      <c r="J89" s="128" t="e">
        <f t="shared" si="0"/>
        <v>#DIV/0!</v>
      </c>
      <c r="K89" s="128" t="e">
        <f t="shared" si="0"/>
        <v>#DIV/0!</v>
      </c>
      <c r="L89" s="128" t="e">
        <f t="shared" si="0"/>
        <v>#DIV/0!</v>
      </c>
      <c r="M89" s="128" t="e">
        <f t="shared" si="0"/>
        <v>#DIV/0!</v>
      </c>
      <c r="N89" s="128" t="e">
        <f t="shared" si="0"/>
        <v>#DIV/0!</v>
      </c>
      <c r="O89" s="128" t="e">
        <f t="shared" si="0"/>
        <v>#DIV/0!</v>
      </c>
      <c r="P89" s="128" t="e">
        <f t="shared" si="0"/>
        <v>#DIV/0!</v>
      </c>
      <c r="Q89" s="128" t="e">
        <f t="shared" ref="Q89:R89" si="1">Q82/$S$82</f>
        <v>#DIV/0!</v>
      </c>
      <c r="R89" s="128" t="e">
        <f t="shared" si="1"/>
        <v>#DIV/0!</v>
      </c>
    </row>
    <row r="90" spans="2:37" x14ac:dyDescent="0.15">
      <c r="B90" s="106" t="s">
        <v>315</v>
      </c>
      <c r="C90" s="128" t="e">
        <f>C83/$S$82</f>
        <v>#DIV/0!</v>
      </c>
      <c r="D90" s="97" t="e">
        <f t="shared" ref="D90:P90" si="2">D83/$S$83</f>
        <v>#DIV/0!</v>
      </c>
      <c r="E90" s="97" t="e">
        <f t="shared" si="2"/>
        <v>#DIV/0!</v>
      </c>
      <c r="F90" s="97" t="e">
        <f t="shared" si="2"/>
        <v>#DIV/0!</v>
      </c>
      <c r="G90" s="97" t="e">
        <f t="shared" si="2"/>
        <v>#DIV/0!</v>
      </c>
      <c r="H90" s="97" t="e">
        <f t="shared" si="2"/>
        <v>#DIV/0!</v>
      </c>
      <c r="I90" s="97" t="e">
        <f t="shared" si="2"/>
        <v>#DIV/0!</v>
      </c>
      <c r="J90" s="97" t="e">
        <f t="shared" si="2"/>
        <v>#DIV/0!</v>
      </c>
      <c r="K90" s="97" t="e">
        <f t="shared" si="2"/>
        <v>#DIV/0!</v>
      </c>
      <c r="L90" s="97" t="e">
        <f t="shared" si="2"/>
        <v>#DIV/0!</v>
      </c>
      <c r="M90" s="97" t="e">
        <f t="shared" si="2"/>
        <v>#DIV/0!</v>
      </c>
      <c r="N90" s="97" t="e">
        <f t="shared" si="2"/>
        <v>#DIV/0!</v>
      </c>
      <c r="O90" s="97" t="e">
        <f t="shared" si="2"/>
        <v>#DIV/0!</v>
      </c>
      <c r="P90" s="97" t="e">
        <f t="shared" si="2"/>
        <v>#DIV/0!</v>
      </c>
      <c r="Q90" s="97" t="e">
        <f t="shared" ref="Q90:R90" si="3">Q83/$S$83</f>
        <v>#DIV/0!</v>
      </c>
      <c r="R90" s="97" t="e">
        <f t="shared" si="3"/>
        <v>#DIV/0!</v>
      </c>
      <c r="U90" s="30"/>
      <c r="V90" s="30"/>
      <c r="W90" s="30"/>
      <c r="X90" s="30"/>
      <c r="Y90" s="30"/>
      <c r="Z90" s="30"/>
      <c r="AA90" s="30"/>
      <c r="AB90" s="30"/>
    </row>
    <row r="91" spans="2:37" ht="15.5" customHeight="1" x14ac:dyDescent="0.15">
      <c r="B91" s="106" t="s">
        <v>316</v>
      </c>
      <c r="C91" s="128" t="e">
        <f>C84/$S$82</f>
        <v>#DIV/0!</v>
      </c>
      <c r="D91" s="97" t="e">
        <f t="shared" ref="D91:P91" si="4">D84/$S$84</f>
        <v>#DIV/0!</v>
      </c>
      <c r="E91" s="97" t="e">
        <f t="shared" si="4"/>
        <v>#DIV/0!</v>
      </c>
      <c r="F91" s="97" t="e">
        <f t="shared" si="4"/>
        <v>#DIV/0!</v>
      </c>
      <c r="G91" s="97" t="e">
        <f t="shared" si="4"/>
        <v>#DIV/0!</v>
      </c>
      <c r="H91" s="97" t="e">
        <f t="shared" si="4"/>
        <v>#DIV/0!</v>
      </c>
      <c r="I91" s="97" t="e">
        <f t="shared" si="4"/>
        <v>#DIV/0!</v>
      </c>
      <c r="J91" s="97" t="e">
        <f t="shared" si="4"/>
        <v>#DIV/0!</v>
      </c>
      <c r="K91" s="97" t="e">
        <f t="shared" si="4"/>
        <v>#DIV/0!</v>
      </c>
      <c r="L91" s="97" t="e">
        <f t="shared" si="4"/>
        <v>#DIV/0!</v>
      </c>
      <c r="M91" s="97" t="e">
        <f t="shared" si="4"/>
        <v>#DIV/0!</v>
      </c>
      <c r="N91" s="97" t="e">
        <f t="shared" si="4"/>
        <v>#DIV/0!</v>
      </c>
      <c r="O91" s="97" t="e">
        <f t="shared" si="4"/>
        <v>#DIV/0!</v>
      </c>
      <c r="P91" s="97" t="e">
        <f t="shared" si="4"/>
        <v>#DIV/0!</v>
      </c>
      <c r="Q91" s="97" t="e">
        <f t="shared" ref="Q91:R91" si="5">Q84/$S$84</f>
        <v>#DIV/0!</v>
      </c>
      <c r="R91" s="97" t="e">
        <f t="shared" si="5"/>
        <v>#DIV/0!</v>
      </c>
      <c r="U91" s="30"/>
      <c r="V91" s="30"/>
      <c r="W91" s="30"/>
      <c r="X91" s="30"/>
      <c r="Y91" s="30"/>
      <c r="Z91" s="30"/>
      <c r="AA91" s="30"/>
      <c r="AB91" s="30"/>
      <c r="AC91" s="30"/>
    </row>
    <row r="92" spans="2:37" ht="14" customHeight="1" x14ac:dyDescent="0.15">
      <c r="B92" s="143" t="s">
        <v>183</v>
      </c>
      <c r="C92" s="148" t="e">
        <f t="shared" ref="C92:P92" si="6">C85/$S$85</f>
        <v>#DIV/0!</v>
      </c>
      <c r="D92" s="148" t="e">
        <f t="shared" si="6"/>
        <v>#DIV/0!</v>
      </c>
      <c r="E92" s="148" t="e">
        <f t="shared" si="6"/>
        <v>#DIV/0!</v>
      </c>
      <c r="F92" s="148" t="e">
        <f t="shared" si="6"/>
        <v>#DIV/0!</v>
      </c>
      <c r="G92" s="148" t="e">
        <f t="shared" si="6"/>
        <v>#DIV/0!</v>
      </c>
      <c r="H92" s="148" t="e">
        <f t="shared" si="6"/>
        <v>#DIV/0!</v>
      </c>
      <c r="I92" s="148" t="e">
        <f t="shared" si="6"/>
        <v>#DIV/0!</v>
      </c>
      <c r="J92" s="148" t="e">
        <f t="shared" si="6"/>
        <v>#DIV/0!</v>
      </c>
      <c r="K92" s="148" t="e">
        <f t="shared" si="6"/>
        <v>#DIV/0!</v>
      </c>
      <c r="L92" s="148" t="e">
        <f t="shared" si="6"/>
        <v>#DIV/0!</v>
      </c>
      <c r="M92" s="148" t="e">
        <f t="shared" si="6"/>
        <v>#DIV/0!</v>
      </c>
      <c r="N92" s="148" t="e">
        <f t="shared" si="6"/>
        <v>#DIV/0!</v>
      </c>
      <c r="O92" s="148" t="e">
        <f t="shared" si="6"/>
        <v>#DIV/0!</v>
      </c>
      <c r="P92" s="148" t="e">
        <f t="shared" si="6"/>
        <v>#DIV/0!</v>
      </c>
      <c r="Q92" s="148" t="e">
        <f t="shared" ref="Q92:R92" si="7">Q85/$S$85</f>
        <v>#DIV/0!</v>
      </c>
      <c r="R92" s="148" t="e">
        <f t="shared" si="7"/>
        <v>#DIV/0!</v>
      </c>
      <c r="U92" s="30"/>
      <c r="V92" s="30"/>
      <c r="W92" s="30"/>
      <c r="X92" s="30"/>
      <c r="Y92" s="30"/>
      <c r="Z92" s="30"/>
      <c r="AA92" s="30"/>
      <c r="AB92" s="30"/>
      <c r="AC92" s="30"/>
    </row>
    <row r="93" spans="2:37" s="30" customFormat="1" ht="14" customHeight="1" x14ac:dyDescent="0.15"/>
    <row r="94" spans="2:37" s="30" customFormat="1" ht="14" customHeight="1" x14ac:dyDescent="0.15"/>
    <row r="95" spans="2:37" ht="14" customHeight="1" x14ac:dyDescent="0.15">
      <c r="U95" s="30"/>
      <c r="V95" s="30"/>
      <c r="W95" s="30"/>
      <c r="X95" s="30"/>
      <c r="Y95" s="30"/>
      <c r="Z95" s="30"/>
      <c r="AA95" s="30"/>
      <c r="AB95" s="30"/>
      <c r="AC95" s="30"/>
    </row>
    <row r="96" spans="2:37" s="30" customFormat="1" ht="16" x14ac:dyDescent="0.2">
      <c r="B96" s="147" t="str">
        <f>B6</f>
        <v>Cardiff and Vale - N03</v>
      </c>
      <c r="C96" s="312" t="s">
        <v>322</v>
      </c>
      <c r="D96" s="313"/>
      <c r="E96" s="313"/>
      <c r="F96" s="313"/>
      <c r="G96" s="313"/>
      <c r="H96" s="313"/>
      <c r="I96" s="313"/>
      <c r="J96" s="313"/>
      <c r="K96" s="313"/>
      <c r="L96" s="313"/>
      <c r="M96" s="313"/>
      <c r="N96" s="313"/>
      <c r="O96" s="313"/>
      <c r="P96" s="313"/>
      <c r="Q96" s="313"/>
      <c r="R96" s="313"/>
      <c r="U96" s="147" t="str">
        <f>B6</f>
        <v>Cardiff and Vale - N03</v>
      </c>
      <c r="V96" s="312" t="s">
        <v>344</v>
      </c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3"/>
      <c r="AH96" s="313"/>
      <c r="AI96" s="313"/>
      <c r="AJ96" s="313"/>
      <c r="AK96" s="313"/>
    </row>
    <row r="97" spans="2:38" ht="14" customHeight="1" x14ac:dyDescent="0.15">
      <c r="C97" s="58" t="s">
        <v>504</v>
      </c>
      <c r="D97" s="58" t="s">
        <v>503</v>
      </c>
      <c r="E97" s="58" t="s">
        <v>502</v>
      </c>
      <c r="F97" s="58" t="s">
        <v>501</v>
      </c>
      <c r="G97" s="58" t="s">
        <v>510</v>
      </c>
      <c r="H97" s="58" t="s">
        <v>176</v>
      </c>
      <c r="I97" s="58" t="s">
        <v>177</v>
      </c>
      <c r="J97" s="58" t="s">
        <v>505</v>
      </c>
      <c r="K97" s="58" t="s">
        <v>507</v>
      </c>
      <c r="L97" s="58" t="s">
        <v>178</v>
      </c>
      <c r="M97" s="58" t="s">
        <v>179</v>
      </c>
      <c r="N97" s="58" t="s">
        <v>506</v>
      </c>
      <c r="O97" s="58" t="s">
        <v>508</v>
      </c>
      <c r="P97" s="58" t="s">
        <v>180</v>
      </c>
      <c r="Q97" s="58" t="s">
        <v>181</v>
      </c>
      <c r="R97" s="58" t="s">
        <v>509</v>
      </c>
      <c r="U97" s="127" t="s">
        <v>324</v>
      </c>
      <c r="V97" s="58" t="s">
        <v>504</v>
      </c>
      <c r="W97" s="58" t="s">
        <v>503</v>
      </c>
      <c r="X97" s="58" t="s">
        <v>502</v>
      </c>
      <c r="Y97" s="58" t="s">
        <v>501</v>
      </c>
      <c r="Z97" s="58" t="s">
        <v>510</v>
      </c>
      <c r="AA97" s="58" t="s">
        <v>176</v>
      </c>
      <c r="AB97" s="58" t="s">
        <v>177</v>
      </c>
      <c r="AC97" s="58" t="s">
        <v>505</v>
      </c>
      <c r="AD97" s="58" t="s">
        <v>507</v>
      </c>
      <c r="AE97" s="58" t="s">
        <v>178</v>
      </c>
      <c r="AF97" s="58" t="s">
        <v>179</v>
      </c>
      <c r="AG97" s="58" t="s">
        <v>506</v>
      </c>
      <c r="AH97" s="58" t="s">
        <v>508</v>
      </c>
      <c r="AI97" s="58" t="s">
        <v>180</v>
      </c>
      <c r="AJ97" s="58" t="s">
        <v>181</v>
      </c>
      <c r="AK97" s="58" t="s">
        <v>509</v>
      </c>
    </row>
    <row r="98" spans="2:38" ht="14" customHeight="1" x14ac:dyDescent="0.15">
      <c r="B98" s="106" t="s">
        <v>184</v>
      </c>
      <c r="C98" s="106">
        <f>SUMIFS('caseload data'!E:E,'caseload data'!$D:$D,"PO",'caseload data'!$C:$C,'cluster overview'!$B$96,'caseload data'!$B:$B,"community")</f>
        <v>0</v>
      </c>
      <c r="D98" s="106">
        <f>SUMIFS('caseload data'!F:F,'caseload data'!$D:$D,"PO",'caseload data'!$C:$C,'cluster overview'!$B$96,'caseload data'!$B:$B,"community")</f>
        <v>0</v>
      </c>
      <c r="E98" s="106">
        <f>SUMIFS('caseload data'!G:G,'caseload data'!$D:$D,"PO",'caseload data'!$C:$C,'cluster overview'!$B$96,'caseload data'!$B:$B,"community")</f>
        <v>0</v>
      </c>
      <c r="F98" s="106">
        <f>SUMIFS('caseload data'!H:H,'caseload data'!$D:$D,"PO",'caseload data'!$C:$C,'cluster overview'!$B$96,'caseload data'!$B:$B,"community")</f>
        <v>0</v>
      </c>
      <c r="G98" s="106">
        <f>SUMIFS('caseload data'!I:I,'caseload data'!$D:$D,"PO",'caseload data'!$C:$C,'cluster overview'!$B$96,'caseload data'!$B:$B,"community")</f>
        <v>0</v>
      </c>
      <c r="H98" s="106">
        <f>SUMIFS('caseload data'!J:J,'caseload data'!$D:$D,"PO",'caseload data'!$C:$C,'cluster overview'!$B$96,'caseload data'!$B:$B,"community")</f>
        <v>0</v>
      </c>
      <c r="I98" s="106">
        <f>SUMIFS('caseload data'!K:K,'caseload data'!$D:$D,"PO",'caseload data'!$C:$C,'cluster overview'!$B$96,'caseload data'!$B:$B,"community")</f>
        <v>0</v>
      </c>
      <c r="J98" s="106">
        <f>SUMIFS('caseload data'!L:L,'caseload data'!$D:$D,"PO",'caseload data'!$C:$C,'cluster overview'!$B$96,'caseload data'!$B:$B,"community")</f>
        <v>0</v>
      </c>
      <c r="K98" s="106">
        <f>SUMIFS('caseload data'!M:M,'caseload data'!$D:$D,"PO",'caseload data'!$C:$C,'cluster overview'!$B$96,'caseload data'!$B:$B,"community")</f>
        <v>0</v>
      </c>
      <c r="L98" s="106">
        <f>SUMIFS('caseload data'!N:N,'caseload data'!$D:$D,"PO",'caseload data'!$C:$C,'cluster overview'!$B$96,'caseload data'!$B:$B,"community")</f>
        <v>0</v>
      </c>
      <c r="M98" s="106">
        <f>SUMIFS('caseload data'!O:O,'caseload data'!$D:$D,"PO",'caseload data'!$C:$C,'cluster overview'!$B$96,'caseload data'!$B:$B,"community")</f>
        <v>0</v>
      </c>
      <c r="N98" s="106">
        <f>SUMIFS('caseload data'!P:P,'caseload data'!$D:$D,"PO",'caseload data'!$C:$C,'cluster overview'!$B$96,'caseload data'!$B:$B,"community")</f>
        <v>0</v>
      </c>
      <c r="O98" s="106">
        <f>SUMIFS('caseload data'!Q:Q,'caseload data'!$D:$D,"PO",'caseload data'!$C:$C,'cluster overview'!$B$96,'caseload data'!$B:$B,"community")</f>
        <v>0</v>
      </c>
      <c r="P98" s="106">
        <f>SUMIFS('caseload data'!R:R,'caseload data'!$D:$D,"PO",'caseload data'!$C:$C,'cluster overview'!$B$96,'caseload data'!$B:$B,"community")</f>
        <v>0</v>
      </c>
      <c r="Q98" s="106">
        <f>SUMIFS('caseload data'!S:S,'caseload data'!$D:$D,"PO",'caseload data'!$C:$C,'cluster overview'!$B$96,'caseload data'!$B:$B,"community")</f>
        <v>0</v>
      </c>
      <c r="R98" s="106">
        <f>SUMIFS('caseload data'!T:T,'caseload data'!$D:$D,"PO",'caseload data'!$C:$C,'cluster overview'!$B$96,'caseload data'!$B:$B,"community")</f>
        <v>0</v>
      </c>
      <c r="U98" s="106" t="s">
        <v>184</v>
      </c>
      <c r="V98" s="98" t="str">
        <f>IFERROR(C$98/SUM(C$98:C$101),"")</f>
        <v/>
      </c>
      <c r="W98" s="98" t="str">
        <f t="shared" ref="W98:AK98" si="8">IFERROR(D$98/SUM(D$98:D$101),"")</f>
        <v/>
      </c>
      <c r="X98" s="98" t="str">
        <f t="shared" si="8"/>
        <v/>
      </c>
      <c r="Y98" s="98" t="str">
        <f t="shared" si="8"/>
        <v/>
      </c>
      <c r="Z98" s="98" t="str">
        <f t="shared" si="8"/>
        <v/>
      </c>
      <c r="AA98" s="98" t="str">
        <f t="shared" si="8"/>
        <v/>
      </c>
      <c r="AB98" s="98" t="str">
        <f t="shared" si="8"/>
        <v/>
      </c>
      <c r="AC98" s="98" t="str">
        <f t="shared" si="8"/>
        <v/>
      </c>
      <c r="AD98" s="98" t="str">
        <f t="shared" si="8"/>
        <v/>
      </c>
      <c r="AE98" s="98" t="str">
        <f t="shared" si="8"/>
        <v/>
      </c>
      <c r="AF98" s="98" t="str">
        <f t="shared" si="8"/>
        <v/>
      </c>
      <c r="AG98" s="98" t="str">
        <f t="shared" si="8"/>
        <v/>
      </c>
      <c r="AH98" s="98" t="str">
        <f t="shared" si="8"/>
        <v/>
      </c>
      <c r="AI98" s="98" t="str">
        <f t="shared" si="8"/>
        <v/>
      </c>
      <c r="AJ98" s="98" t="str">
        <f t="shared" si="8"/>
        <v/>
      </c>
      <c r="AK98" s="98" t="str">
        <f t="shared" si="8"/>
        <v/>
      </c>
      <c r="AL98" s="30"/>
    </row>
    <row r="99" spans="2:38" ht="14" customHeight="1" x14ac:dyDescent="0.15">
      <c r="B99" s="106" t="s">
        <v>185</v>
      </c>
      <c r="C99" s="106">
        <f>SUMIFS('caseload data'!E:E,'caseload data'!$D:$D,"PSO",'caseload data'!$C:$C,'cluster overview'!$B$96,'caseload data'!$B:$B,"community")</f>
        <v>0</v>
      </c>
      <c r="D99" s="106">
        <f>SUMIFS('caseload data'!F:F,'caseload data'!$D:$D,"PSO",'caseload data'!$C:$C,'cluster overview'!$B$96,'caseload data'!$B:$B,"community")</f>
        <v>0</v>
      </c>
      <c r="E99" s="106">
        <f>SUMIFS('caseload data'!G:G,'caseload data'!$D:$D,"PSO",'caseload data'!$C:$C,'cluster overview'!$B$96,'caseload data'!$B:$B,"community")</f>
        <v>0</v>
      </c>
      <c r="F99" s="106">
        <f>SUMIFS('caseload data'!H:H,'caseload data'!$D:$D,"PSO",'caseload data'!$C:$C,'cluster overview'!$B$96,'caseload data'!$B:$B,"community")</f>
        <v>0</v>
      </c>
      <c r="G99" s="106">
        <f>SUMIFS('caseload data'!I:I,'caseload data'!$D:$D,"PSO",'caseload data'!$C:$C,'cluster overview'!$B$96,'caseload data'!$B:$B,"community")</f>
        <v>0</v>
      </c>
      <c r="H99" s="106">
        <f>SUMIFS('caseload data'!J:J,'caseload data'!$D:$D,"PSO",'caseload data'!$C:$C,'cluster overview'!$B$96,'caseload data'!$B:$B,"community")</f>
        <v>0</v>
      </c>
      <c r="I99" s="106">
        <f>SUMIFS('caseload data'!K:K,'caseload data'!$D:$D,"PSO",'caseload data'!$C:$C,'cluster overview'!$B$96,'caseload data'!$B:$B,"community")</f>
        <v>0</v>
      </c>
      <c r="J99" s="106">
        <f>SUMIFS('caseload data'!L:L,'caseload data'!$D:$D,"PSO",'caseload data'!$C:$C,'cluster overview'!$B$96,'caseload data'!$B:$B,"community")</f>
        <v>0</v>
      </c>
      <c r="K99" s="106">
        <f>SUMIFS('caseload data'!M:M,'caseload data'!$D:$D,"PSO",'caseload data'!$C:$C,'cluster overview'!$B$96,'caseload data'!$B:$B,"community")</f>
        <v>0</v>
      </c>
      <c r="L99" s="106">
        <f>SUMIFS('caseload data'!N:N,'caseload data'!$D:$D,"PSO",'caseload data'!$C:$C,'cluster overview'!$B$96,'caseload data'!$B:$B,"community")</f>
        <v>0</v>
      </c>
      <c r="M99" s="106">
        <f>SUMIFS('caseload data'!O:O,'caseload data'!$D:$D,"PSO",'caseload data'!$C:$C,'cluster overview'!$B$96,'caseload data'!$B:$B,"community")</f>
        <v>0</v>
      </c>
      <c r="N99" s="106">
        <f>SUMIFS('caseload data'!P:P,'caseload data'!$D:$D,"PSO",'caseload data'!$C:$C,'cluster overview'!$B$96,'caseload data'!$B:$B,"community")</f>
        <v>0</v>
      </c>
      <c r="O99" s="106">
        <f>SUMIFS('caseload data'!Q:Q,'caseload data'!$D:$D,"PSO",'caseload data'!$C:$C,'cluster overview'!$B$96,'caseload data'!$B:$B,"community")</f>
        <v>0</v>
      </c>
      <c r="P99" s="106">
        <f>SUMIFS('caseload data'!R:R,'caseload data'!$D:$D,"PSO",'caseload data'!$C:$C,'cluster overview'!$B$96,'caseload data'!$B:$B,"community")</f>
        <v>0</v>
      </c>
      <c r="Q99" s="106">
        <f>SUMIFS('caseload data'!S:S,'caseload data'!$D:$D,"PSO",'caseload data'!$C:$C,'cluster overview'!$B$96,'caseload data'!$B:$B,"community")</f>
        <v>0</v>
      </c>
      <c r="R99" s="106">
        <f>SUMIFS('caseload data'!T:T,'caseload data'!$D:$D,"PSO",'caseload data'!$C:$C,'cluster overview'!$B$96,'caseload data'!$B:$B,"community")</f>
        <v>0</v>
      </c>
      <c r="U99" s="106" t="s">
        <v>185</v>
      </c>
      <c r="V99" s="98" t="str">
        <f>IFERROR(C$99/SUM(C$98:C$101),"")</f>
        <v/>
      </c>
      <c r="W99" s="98" t="str">
        <f t="shared" ref="W99:AK99" si="9">IFERROR(D$99/SUM(D$98:D$101),"")</f>
        <v/>
      </c>
      <c r="X99" s="98" t="str">
        <f t="shared" si="9"/>
        <v/>
      </c>
      <c r="Y99" s="98" t="str">
        <f t="shared" si="9"/>
        <v/>
      </c>
      <c r="Z99" s="98" t="str">
        <f t="shared" si="9"/>
        <v/>
      </c>
      <c r="AA99" s="98" t="str">
        <f t="shared" si="9"/>
        <v/>
      </c>
      <c r="AB99" s="98" t="str">
        <f t="shared" si="9"/>
        <v/>
      </c>
      <c r="AC99" s="98" t="str">
        <f t="shared" si="9"/>
        <v/>
      </c>
      <c r="AD99" s="98" t="str">
        <f t="shared" si="9"/>
        <v/>
      </c>
      <c r="AE99" s="98" t="str">
        <f t="shared" si="9"/>
        <v/>
      </c>
      <c r="AF99" s="98" t="str">
        <f t="shared" si="9"/>
        <v/>
      </c>
      <c r="AG99" s="98" t="str">
        <f t="shared" si="9"/>
        <v/>
      </c>
      <c r="AH99" s="98" t="str">
        <f t="shared" si="9"/>
        <v/>
      </c>
      <c r="AI99" s="98" t="str">
        <f t="shared" si="9"/>
        <v/>
      </c>
      <c r="AJ99" s="98" t="str">
        <f t="shared" si="9"/>
        <v/>
      </c>
      <c r="AK99" s="98" t="str">
        <f t="shared" si="9"/>
        <v/>
      </c>
      <c r="AL99" s="30"/>
    </row>
    <row r="100" spans="2:38" ht="14" customHeight="1" x14ac:dyDescent="0.15">
      <c r="B100" s="106" t="s">
        <v>186</v>
      </c>
      <c r="C100" s="106">
        <f>SUMIFS('caseload data'!E:E,'caseload data'!$D:$D,"TPO",'caseload data'!$C:$C,'cluster overview'!$B$96,'caseload data'!$B:$B,"community")</f>
        <v>0</v>
      </c>
      <c r="D100" s="106">
        <f>SUMIFS('caseload data'!F:F,'caseload data'!$D:$D,"TPO",'caseload data'!$C:$C,'cluster overview'!$B$96,'caseload data'!$B:$B,"community")</f>
        <v>0</v>
      </c>
      <c r="E100" s="106">
        <f>SUMIFS('caseload data'!G:G,'caseload data'!$D:$D,"TPO",'caseload data'!$C:$C,'cluster overview'!$B$96,'caseload data'!$B:$B,"community")</f>
        <v>0</v>
      </c>
      <c r="F100" s="106">
        <f>SUMIFS('caseload data'!H:H,'caseload data'!$D:$D,"TPO",'caseload data'!$C:$C,'cluster overview'!$B$96,'caseload data'!$B:$B,"community")</f>
        <v>0</v>
      </c>
      <c r="G100" s="106">
        <f>SUMIFS('caseload data'!I:I,'caseload data'!$D:$D,"TPO",'caseload data'!$C:$C,'cluster overview'!$B$96,'caseload data'!$B:$B,"community")</f>
        <v>0</v>
      </c>
      <c r="H100" s="106">
        <f>SUMIFS('caseload data'!J:J,'caseload data'!$D:$D,"TPO",'caseload data'!$C:$C,'cluster overview'!$B$96,'caseload data'!$B:$B,"community")</f>
        <v>0</v>
      </c>
      <c r="I100" s="106">
        <f>SUMIFS('caseload data'!K:K,'caseload data'!$D:$D,"TPO",'caseload data'!$C:$C,'cluster overview'!$B$96,'caseload data'!$B:$B,"community")</f>
        <v>0</v>
      </c>
      <c r="J100" s="106">
        <f>SUMIFS('caseload data'!L:L,'caseload data'!$D:$D,"TPO",'caseload data'!$C:$C,'cluster overview'!$B$96,'caseload data'!$B:$B,"community")</f>
        <v>0</v>
      </c>
      <c r="K100" s="106">
        <f>SUMIFS('caseload data'!M:M,'caseload data'!$D:$D,"TPO",'caseload data'!$C:$C,'cluster overview'!$B$96,'caseload data'!$B:$B,"community")</f>
        <v>0</v>
      </c>
      <c r="L100" s="106">
        <f>SUMIFS('caseload data'!N:N,'caseload data'!$D:$D,"TPO",'caseload data'!$C:$C,'cluster overview'!$B$96,'caseload data'!$B:$B,"community")</f>
        <v>0</v>
      </c>
      <c r="M100" s="106">
        <f>SUMIFS('caseload data'!O:O,'caseload data'!$D:$D,"TPO",'caseload data'!$C:$C,'cluster overview'!$B$96,'caseload data'!$B:$B,"community")</f>
        <v>0</v>
      </c>
      <c r="N100" s="106">
        <f>SUMIFS('caseload data'!P:P,'caseload data'!$D:$D,"TPO",'caseload data'!$C:$C,'cluster overview'!$B$96,'caseload data'!$B:$B,"community")</f>
        <v>0</v>
      </c>
      <c r="O100" s="106">
        <f>SUMIFS('caseload data'!Q:Q,'caseload data'!$D:$D,"TPO",'caseload data'!$C:$C,'cluster overview'!$B$96,'caseload data'!$B:$B,"community")</f>
        <v>0</v>
      </c>
      <c r="P100" s="106">
        <f>SUMIFS('caseload data'!R:R,'caseload data'!$D:$D,"TPO",'caseload data'!$C:$C,'cluster overview'!$B$96,'caseload data'!$B:$B,"community")</f>
        <v>0</v>
      </c>
      <c r="Q100" s="106">
        <f>SUMIFS('caseload data'!S:S,'caseload data'!$D:$D,"TPO",'caseload data'!$C:$C,'cluster overview'!$B$96,'caseload data'!$B:$B,"community")</f>
        <v>0</v>
      </c>
      <c r="R100" s="106">
        <f>SUMIFS('caseload data'!T:T,'caseload data'!$D:$D,"TPO",'caseload data'!$C:$C,'cluster overview'!$B$96,'caseload data'!$B:$B,"community")</f>
        <v>0</v>
      </c>
      <c r="U100" s="106" t="s">
        <v>186</v>
      </c>
      <c r="V100" s="98" t="str">
        <f>IFERROR(C$100/SUM(C$98:C$101),"")</f>
        <v/>
      </c>
      <c r="W100" s="98" t="str">
        <f t="shared" ref="W100:AK100" si="10">IFERROR(D$100/SUM(D$98:D$101),"")</f>
        <v/>
      </c>
      <c r="X100" s="98" t="str">
        <f t="shared" si="10"/>
        <v/>
      </c>
      <c r="Y100" s="98" t="str">
        <f t="shared" si="10"/>
        <v/>
      </c>
      <c r="Z100" s="98" t="str">
        <f t="shared" si="10"/>
        <v/>
      </c>
      <c r="AA100" s="98" t="str">
        <f t="shared" si="10"/>
        <v/>
      </c>
      <c r="AB100" s="98" t="str">
        <f t="shared" si="10"/>
        <v/>
      </c>
      <c r="AC100" s="98" t="str">
        <f t="shared" si="10"/>
        <v/>
      </c>
      <c r="AD100" s="98" t="str">
        <f t="shared" si="10"/>
        <v/>
      </c>
      <c r="AE100" s="98" t="str">
        <f t="shared" si="10"/>
        <v/>
      </c>
      <c r="AF100" s="98" t="str">
        <f t="shared" si="10"/>
        <v/>
      </c>
      <c r="AG100" s="98" t="str">
        <f t="shared" si="10"/>
        <v/>
      </c>
      <c r="AH100" s="98" t="str">
        <f t="shared" si="10"/>
        <v/>
      </c>
      <c r="AI100" s="98" t="str">
        <f t="shared" si="10"/>
        <v/>
      </c>
      <c r="AJ100" s="98" t="str">
        <f t="shared" si="10"/>
        <v/>
      </c>
      <c r="AK100" s="98" t="str">
        <f t="shared" si="10"/>
        <v/>
      </c>
      <c r="AL100" s="30"/>
    </row>
    <row r="101" spans="2:38" ht="14" customHeight="1" x14ac:dyDescent="0.15">
      <c r="B101" s="106" t="s">
        <v>187</v>
      </c>
      <c r="C101" s="106">
        <f>SUMIFS('caseload data'!E:E,'caseload data'!$D:$D,"SPO",'caseload data'!$C:$C,'cluster overview'!$B$96,'caseload data'!$B:$B,"community")</f>
        <v>0</v>
      </c>
      <c r="D101" s="106">
        <f>SUMIFS('caseload data'!F:F,'caseload data'!$D:$D,"SPO",'caseload data'!$C:$C,'cluster overview'!$B$96,'caseload data'!$B:$B,"community")</f>
        <v>0</v>
      </c>
      <c r="E101" s="106">
        <f>SUMIFS('caseload data'!G:G,'caseload data'!$D:$D,"SPO",'caseload data'!$C:$C,'cluster overview'!$B$96,'caseload data'!$B:$B,"community")</f>
        <v>0</v>
      </c>
      <c r="F101" s="106">
        <f>SUMIFS('caseload data'!H:H,'caseload data'!$D:$D,"SPO",'caseload data'!$C:$C,'cluster overview'!$B$96,'caseload data'!$B:$B,"community")</f>
        <v>0</v>
      </c>
      <c r="G101" s="106">
        <f>SUMIFS('caseload data'!I:I,'caseload data'!$D:$D,"SPO",'caseload data'!$C:$C,'cluster overview'!$B$96,'caseload data'!$B:$B,"community")</f>
        <v>0</v>
      </c>
      <c r="H101" s="106">
        <f>SUMIFS('caseload data'!J:J,'caseload data'!$D:$D,"SPO",'caseload data'!$C:$C,'cluster overview'!$B$96,'caseload data'!$B:$B,"community")</f>
        <v>0</v>
      </c>
      <c r="I101" s="106">
        <f>SUMIFS('caseload data'!K:K,'caseload data'!$D:$D,"SPO",'caseload data'!$C:$C,'cluster overview'!$B$96,'caseload data'!$B:$B,"community")</f>
        <v>0</v>
      </c>
      <c r="J101" s="106">
        <f>SUMIFS('caseload data'!L:L,'caseload data'!$D:$D,"SPO",'caseload data'!$C:$C,'cluster overview'!$B$96,'caseload data'!$B:$B,"community")</f>
        <v>0</v>
      </c>
      <c r="K101" s="106">
        <f>SUMIFS('caseload data'!M:M,'caseload data'!$D:$D,"SPO",'caseload data'!$C:$C,'cluster overview'!$B$96,'caseload data'!$B:$B,"community")</f>
        <v>0</v>
      </c>
      <c r="L101" s="106">
        <f>SUMIFS('caseload data'!N:N,'caseload data'!$D:$D,"SPO",'caseload data'!$C:$C,'cluster overview'!$B$96,'caseload data'!$B:$B,"community")</f>
        <v>0</v>
      </c>
      <c r="M101" s="106">
        <f>SUMIFS('caseload data'!O:O,'caseload data'!$D:$D,"SPO",'caseload data'!$C:$C,'cluster overview'!$B$96,'caseload data'!$B:$B,"community")</f>
        <v>0</v>
      </c>
      <c r="N101" s="106">
        <f>SUMIFS('caseload data'!P:P,'caseload data'!$D:$D,"SPO",'caseload data'!$C:$C,'cluster overview'!$B$96,'caseload data'!$B:$B,"community")</f>
        <v>0</v>
      </c>
      <c r="O101" s="106">
        <f>SUMIFS('caseload data'!Q:Q,'caseload data'!$D:$D,"SPO",'caseload data'!$C:$C,'cluster overview'!$B$96,'caseload data'!$B:$B,"community")</f>
        <v>0</v>
      </c>
      <c r="P101" s="106">
        <f>SUMIFS('caseload data'!R:R,'caseload data'!$D:$D,"SPO",'caseload data'!$C:$C,'cluster overview'!$B$96,'caseload data'!$B:$B,"community")</f>
        <v>0</v>
      </c>
      <c r="Q101" s="106">
        <f>SUMIFS('caseload data'!S:S,'caseload data'!$D:$D,"SPO",'caseload data'!$C:$C,'cluster overview'!$B$96,'caseload data'!$B:$B,"community")</f>
        <v>0</v>
      </c>
      <c r="R101" s="106">
        <f>SUMIFS('caseload data'!T:T,'caseload data'!$D:$D,"SPO",'caseload data'!$C:$C,'cluster overview'!$B$96,'caseload data'!$B:$B,"community")</f>
        <v>0</v>
      </c>
      <c r="U101" s="106" t="s">
        <v>187</v>
      </c>
      <c r="V101" s="98" t="str">
        <f>IFERROR(C$101/SUM(C$98:C$101),"")</f>
        <v/>
      </c>
      <c r="W101" s="98" t="str">
        <f t="shared" ref="W101:AK101" si="11">IFERROR(D$101/SUM(D$98:D$101),"")</f>
        <v/>
      </c>
      <c r="X101" s="98" t="str">
        <f t="shared" si="11"/>
        <v/>
      </c>
      <c r="Y101" s="98" t="str">
        <f t="shared" si="11"/>
        <v/>
      </c>
      <c r="Z101" s="98" t="str">
        <f t="shared" si="11"/>
        <v/>
      </c>
      <c r="AA101" s="98" t="str">
        <f t="shared" si="11"/>
        <v/>
      </c>
      <c r="AB101" s="98" t="str">
        <f t="shared" si="11"/>
        <v/>
      </c>
      <c r="AC101" s="98" t="str">
        <f t="shared" si="11"/>
        <v/>
      </c>
      <c r="AD101" s="98" t="str">
        <f t="shared" si="11"/>
        <v/>
      </c>
      <c r="AE101" s="98" t="str">
        <f t="shared" si="11"/>
        <v/>
      </c>
      <c r="AF101" s="98" t="str">
        <f t="shared" si="11"/>
        <v/>
      </c>
      <c r="AG101" s="98" t="str">
        <f t="shared" si="11"/>
        <v/>
      </c>
      <c r="AH101" s="98" t="str">
        <f t="shared" si="11"/>
        <v/>
      </c>
      <c r="AI101" s="98" t="str">
        <f t="shared" si="11"/>
        <v/>
      </c>
      <c r="AJ101" s="98" t="str">
        <f t="shared" si="11"/>
        <v/>
      </c>
      <c r="AK101" s="98" t="str">
        <f t="shared" si="11"/>
        <v/>
      </c>
      <c r="AL101" s="30"/>
    </row>
    <row r="102" spans="2:38" ht="14" customHeight="1" x14ac:dyDescent="0.15">
      <c r="B102" s="32"/>
      <c r="C102" s="30"/>
      <c r="D102" s="30"/>
      <c r="E102" s="30"/>
      <c r="F102" s="30"/>
      <c r="G102" s="30"/>
      <c r="H102" s="30"/>
      <c r="I102" s="30"/>
      <c r="J102" s="30"/>
      <c r="U102" s="30"/>
      <c r="V102" s="30"/>
      <c r="W102" s="30"/>
      <c r="X102" s="30"/>
      <c r="Y102" s="30"/>
      <c r="Z102" s="30"/>
      <c r="AA102" s="30"/>
      <c r="AB102" s="30"/>
      <c r="AC102" s="30"/>
      <c r="AL102" s="30"/>
    </row>
    <row r="103" spans="2:38" s="30" customFormat="1" ht="16" x14ac:dyDescent="0.2">
      <c r="B103" s="147" t="str">
        <f>B6</f>
        <v>Cardiff and Vale - N03</v>
      </c>
      <c r="C103" s="312" t="s">
        <v>325</v>
      </c>
      <c r="D103" s="313"/>
      <c r="E103" s="313"/>
      <c r="F103" s="313"/>
      <c r="G103" s="313"/>
      <c r="H103" s="313"/>
      <c r="I103" s="313"/>
      <c r="J103" s="313"/>
      <c r="K103" s="313"/>
      <c r="L103" s="313"/>
      <c r="M103" s="313"/>
      <c r="N103" s="313"/>
      <c r="O103" s="313"/>
      <c r="P103" s="313"/>
      <c r="Q103" s="313"/>
      <c r="R103" s="313"/>
      <c r="U103" s="147" t="str">
        <f>B6</f>
        <v>Cardiff and Vale - N03</v>
      </c>
      <c r="V103" s="312" t="s">
        <v>345</v>
      </c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3"/>
      <c r="AH103" s="313"/>
      <c r="AI103" s="313"/>
      <c r="AJ103" s="313"/>
      <c r="AK103" s="313"/>
    </row>
    <row r="104" spans="2:38" s="30" customFormat="1" ht="14" customHeight="1" x14ac:dyDescent="0.15">
      <c r="B104" s="127" t="s">
        <v>324</v>
      </c>
      <c r="C104" s="58" t="s">
        <v>504</v>
      </c>
      <c r="D104" s="58" t="s">
        <v>503</v>
      </c>
      <c r="E104" s="58" t="s">
        <v>502</v>
      </c>
      <c r="F104" s="58" t="s">
        <v>501</v>
      </c>
      <c r="G104" s="58" t="s">
        <v>510</v>
      </c>
      <c r="H104" s="58" t="s">
        <v>176</v>
      </c>
      <c r="I104" s="58" t="s">
        <v>177</v>
      </c>
      <c r="J104" s="58" t="s">
        <v>505</v>
      </c>
      <c r="K104" s="58" t="s">
        <v>507</v>
      </c>
      <c r="L104" s="58" t="s">
        <v>178</v>
      </c>
      <c r="M104" s="58" t="s">
        <v>179</v>
      </c>
      <c r="N104" s="58" t="s">
        <v>506</v>
      </c>
      <c r="O104" s="58" t="s">
        <v>508</v>
      </c>
      <c r="P104" s="58" t="s">
        <v>180</v>
      </c>
      <c r="Q104" s="58" t="s">
        <v>181</v>
      </c>
      <c r="R104" s="58" t="s">
        <v>509</v>
      </c>
      <c r="U104" s="127" t="s">
        <v>324</v>
      </c>
      <c r="V104" s="58" t="s">
        <v>504</v>
      </c>
      <c r="W104" s="58" t="s">
        <v>503</v>
      </c>
      <c r="X104" s="58" t="s">
        <v>502</v>
      </c>
      <c r="Y104" s="58" t="s">
        <v>501</v>
      </c>
      <c r="Z104" s="58" t="s">
        <v>510</v>
      </c>
      <c r="AA104" s="58" t="s">
        <v>176</v>
      </c>
      <c r="AB104" s="58" t="s">
        <v>177</v>
      </c>
      <c r="AC104" s="58" t="s">
        <v>505</v>
      </c>
      <c r="AD104" s="58" t="s">
        <v>507</v>
      </c>
      <c r="AE104" s="58" t="s">
        <v>178</v>
      </c>
      <c r="AF104" s="58" t="s">
        <v>179</v>
      </c>
      <c r="AG104" s="58" t="s">
        <v>506</v>
      </c>
      <c r="AH104" s="58" t="s">
        <v>508</v>
      </c>
      <c r="AI104" s="58" t="s">
        <v>180</v>
      </c>
      <c r="AJ104" s="58" t="s">
        <v>181</v>
      </c>
      <c r="AK104" s="58" t="s">
        <v>509</v>
      </c>
    </row>
    <row r="105" spans="2:38" ht="14" customHeight="1" x14ac:dyDescent="0.15">
      <c r="B105" s="106" t="s">
        <v>184</v>
      </c>
      <c r="C105" s="106">
        <f>SUMIFS('caseload data'!E:E,'caseload data'!$D:$D,"PO",'caseload data'!$C:$C,'cluster overview'!$B$96,'caseload data'!$B:$B,"licence")</f>
        <v>0</v>
      </c>
      <c r="D105" s="106">
        <f>SUMIFS('caseload data'!F:F,'caseload data'!$D:$D,"PO",'caseload data'!$C:$C,'cluster overview'!$B$96,'caseload data'!$B:$B,"licence")</f>
        <v>0</v>
      </c>
      <c r="E105" s="106">
        <f>SUMIFS('caseload data'!G:G,'caseload data'!$D:$D,"PO",'caseload data'!$C:$C,'cluster overview'!$B$96,'caseload data'!$B:$B,"licence")</f>
        <v>0</v>
      </c>
      <c r="F105" s="106">
        <f>SUMIFS('caseload data'!H:H,'caseload data'!$D:$D,"PO",'caseload data'!$C:$C,'cluster overview'!$B$96,'caseload data'!$B:$B,"licence")</f>
        <v>0</v>
      </c>
      <c r="G105" s="106">
        <f>SUMIFS('caseload data'!I:I,'caseload data'!$D:$D,"PO",'caseload data'!$C:$C,'cluster overview'!$B$96,'caseload data'!$B:$B,"licence")</f>
        <v>0</v>
      </c>
      <c r="H105" s="106">
        <f>SUMIFS('caseload data'!J:J,'caseload data'!$D:$D,"PO",'caseload data'!$C:$C,'cluster overview'!$B$96,'caseload data'!$B:$B,"licence")</f>
        <v>0</v>
      </c>
      <c r="I105" s="106">
        <f>SUMIFS('caseload data'!K:K,'caseload data'!$D:$D,"PO",'caseload data'!$C:$C,'cluster overview'!$B$96,'caseload data'!$B:$B,"licence")</f>
        <v>0</v>
      </c>
      <c r="J105" s="106">
        <f>SUMIFS('caseload data'!L:L,'caseload data'!$D:$D,"PO",'caseload data'!$C:$C,'cluster overview'!$B$96,'caseload data'!$B:$B,"licence")</f>
        <v>0</v>
      </c>
      <c r="K105" s="106">
        <f>SUMIFS('caseload data'!M:M,'caseload data'!$D:$D,"PO",'caseload data'!$C:$C,'cluster overview'!$B$96,'caseload data'!$B:$B,"licence")</f>
        <v>0</v>
      </c>
      <c r="L105" s="106">
        <f>SUMIFS('caseload data'!N:N,'caseload data'!$D:$D,"PO",'caseload data'!$C:$C,'cluster overview'!$B$96,'caseload data'!$B:$B,"licence")</f>
        <v>0</v>
      </c>
      <c r="M105" s="106">
        <f>SUMIFS('caseload data'!O:O,'caseload data'!$D:$D,"PO",'caseload data'!$C:$C,'cluster overview'!$B$96,'caseload data'!$B:$B,"licence")</f>
        <v>0</v>
      </c>
      <c r="N105" s="106">
        <f>SUMIFS('caseload data'!P:P,'caseload data'!$D:$D,"PO",'caseload data'!$C:$C,'cluster overview'!$B$96,'caseload data'!$B:$B,"licence")</f>
        <v>0</v>
      </c>
      <c r="O105" s="106">
        <f>SUMIFS('caseload data'!Q:Q,'caseload data'!$D:$D,"PO",'caseload data'!$C:$C,'cluster overview'!$B$96,'caseload data'!$B:$B,"licence")</f>
        <v>0</v>
      </c>
      <c r="P105" s="106">
        <f>SUMIFS('caseload data'!R:R,'caseload data'!$D:$D,"PO",'caseload data'!$C:$C,'cluster overview'!$B$96,'caseload data'!$B:$B,"licence")</f>
        <v>0</v>
      </c>
      <c r="Q105" s="106">
        <f>SUMIFS('caseload data'!S:S,'caseload data'!$D:$D,"PO",'caseload data'!$C:$C,'cluster overview'!$B$96,'caseload data'!$B:$B,"licence")</f>
        <v>0</v>
      </c>
      <c r="R105" s="106">
        <f>SUMIFS('caseload data'!T:T,'caseload data'!$D:$D,"PO",'caseload data'!$C:$C,'cluster overview'!$B$96,'caseload data'!$B:$B,"licence")</f>
        <v>0</v>
      </c>
      <c r="U105" s="106" t="s">
        <v>184</v>
      </c>
      <c r="V105" s="98" t="str">
        <f>IFERROR(C$105/SUM(C$105:C$108),"")</f>
        <v/>
      </c>
      <c r="W105" s="98" t="str">
        <f t="shared" ref="W105:AK105" si="12">IFERROR(D$105/SUM(D$105:D$108),"")</f>
        <v/>
      </c>
      <c r="X105" s="98" t="str">
        <f t="shared" si="12"/>
        <v/>
      </c>
      <c r="Y105" s="98" t="str">
        <f t="shared" si="12"/>
        <v/>
      </c>
      <c r="Z105" s="98" t="str">
        <f t="shared" si="12"/>
        <v/>
      </c>
      <c r="AA105" s="98" t="str">
        <f t="shared" si="12"/>
        <v/>
      </c>
      <c r="AB105" s="98" t="str">
        <f t="shared" si="12"/>
        <v/>
      </c>
      <c r="AC105" s="98" t="str">
        <f t="shared" si="12"/>
        <v/>
      </c>
      <c r="AD105" s="98" t="str">
        <f t="shared" si="12"/>
        <v/>
      </c>
      <c r="AE105" s="98" t="str">
        <f t="shared" si="12"/>
        <v/>
      </c>
      <c r="AF105" s="98" t="str">
        <f t="shared" si="12"/>
        <v/>
      </c>
      <c r="AG105" s="98" t="str">
        <f t="shared" si="12"/>
        <v/>
      </c>
      <c r="AH105" s="98" t="str">
        <f t="shared" si="12"/>
        <v/>
      </c>
      <c r="AI105" s="98" t="str">
        <f t="shared" si="12"/>
        <v/>
      </c>
      <c r="AJ105" s="98" t="str">
        <f t="shared" si="12"/>
        <v/>
      </c>
      <c r="AK105" s="98" t="str">
        <f t="shared" si="12"/>
        <v/>
      </c>
    </row>
    <row r="106" spans="2:38" ht="14" customHeight="1" x14ac:dyDescent="0.15">
      <c r="B106" s="106" t="s">
        <v>185</v>
      </c>
      <c r="C106" s="106">
        <f>SUMIFS('caseload data'!E:E,'caseload data'!$D:$D,"PSO",'caseload data'!$C:$C,'cluster overview'!$B$96,'caseload data'!$B:$B,"licence")</f>
        <v>0</v>
      </c>
      <c r="D106" s="106">
        <f>SUMIFS('caseload data'!F:F,'caseload data'!$D:$D,"PSO",'caseload data'!$C:$C,'cluster overview'!$B$96,'caseload data'!$B:$B,"licence")</f>
        <v>0</v>
      </c>
      <c r="E106" s="106">
        <f>SUMIFS('caseload data'!G:G,'caseload data'!$D:$D,"PSO",'caseload data'!$C:$C,'cluster overview'!$B$96,'caseload data'!$B:$B,"licence")</f>
        <v>0</v>
      </c>
      <c r="F106" s="106">
        <f>SUMIFS('caseload data'!H:H,'caseload data'!$D:$D,"PSO",'caseload data'!$C:$C,'cluster overview'!$B$96,'caseload data'!$B:$B,"licence")</f>
        <v>0</v>
      </c>
      <c r="G106" s="106">
        <f>SUMIFS('caseload data'!I:I,'caseload data'!$D:$D,"PSO",'caseload data'!$C:$C,'cluster overview'!$B$96,'caseload data'!$B:$B,"licence")</f>
        <v>0</v>
      </c>
      <c r="H106" s="106">
        <f>SUMIFS('caseload data'!J:J,'caseload data'!$D:$D,"PSO",'caseload data'!$C:$C,'cluster overview'!$B$96,'caseload data'!$B:$B,"licence")</f>
        <v>0</v>
      </c>
      <c r="I106" s="106">
        <f>SUMIFS('caseload data'!K:K,'caseload data'!$D:$D,"PSO",'caseload data'!$C:$C,'cluster overview'!$B$96,'caseload data'!$B:$B,"licence")</f>
        <v>0</v>
      </c>
      <c r="J106" s="106">
        <f>SUMIFS('caseload data'!L:L,'caseload data'!$D:$D,"PSO",'caseload data'!$C:$C,'cluster overview'!$B$96,'caseload data'!$B:$B,"licence")</f>
        <v>0</v>
      </c>
      <c r="K106" s="106">
        <f>SUMIFS('caseload data'!M:M,'caseload data'!$D:$D,"PSO",'caseload data'!$C:$C,'cluster overview'!$B$96,'caseload data'!$B:$B,"licence")</f>
        <v>0</v>
      </c>
      <c r="L106" s="106">
        <f>SUMIFS('caseload data'!N:N,'caseload data'!$D:$D,"PSO",'caseload data'!$C:$C,'cluster overview'!$B$96,'caseload data'!$B:$B,"licence")</f>
        <v>0</v>
      </c>
      <c r="M106" s="106">
        <f>SUMIFS('caseload data'!O:O,'caseload data'!$D:$D,"PSO",'caseload data'!$C:$C,'cluster overview'!$B$96,'caseload data'!$B:$B,"licence")</f>
        <v>0</v>
      </c>
      <c r="N106" s="106">
        <f>SUMIFS('caseload data'!P:P,'caseload data'!$D:$D,"PSO",'caseload data'!$C:$C,'cluster overview'!$B$96,'caseload data'!$B:$B,"licence")</f>
        <v>0</v>
      </c>
      <c r="O106" s="106">
        <f>SUMIFS('caseload data'!Q:Q,'caseload data'!$D:$D,"PSO",'caseload data'!$C:$C,'cluster overview'!$B$96,'caseload data'!$B:$B,"licence")</f>
        <v>0</v>
      </c>
      <c r="P106" s="106">
        <f>SUMIFS('caseload data'!R:R,'caseload data'!$D:$D,"PSO",'caseload data'!$C:$C,'cluster overview'!$B$96,'caseload data'!$B:$B,"licence")</f>
        <v>0</v>
      </c>
      <c r="Q106" s="106">
        <f>SUMIFS('caseload data'!S:S,'caseload data'!$D:$D,"PSO",'caseload data'!$C:$C,'cluster overview'!$B$96,'caseload data'!$B:$B,"licence")</f>
        <v>0</v>
      </c>
      <c r="R106" s="106">
        <f>SUMIFS('caseload data'!T:T,'caseload data'!$D:$D,"PSO",'caseload data'!$C:$C,'cluster overview'!$B$96,'caseload data'!$B:$B,"licence")</f>
        <v>0</v>
      </c>
      <c r="U106" s="106" t="s">
        <v>185</v>
      </c>
      <c r="V106" s="98" t="str">
        <f>IFERROR(C$106/SUM(C$105:C$108),"")</f>
        <v/>
      </c>
      <c r="W106" s="98" t="str">
        <f t="shared" ref="W106:AK106" si="13">IFERROR(D$106/SUM(D$105:D$108),"")</f>
        <v/>
      </c>
      <c r="X106" s="98" t="str">
        <f t="shared" si="13"/>
        <v/>
      </c>
      <c r="Y106" s="98" t="str">
        <f t="shared" si="13"/>
        <v/>
      </c>
      <c r="Z106" s="98" t="str">
        <f t="shared" si="13"/>
        <v/>
      </c>
      <c r="AA106" s="98" t="str">
        <f t="shared" si="13"/>
        <v/>
      </c>
      <c r="AB106" s="98" t="str">
        <f t="shared" si="13"/>
        <v/>
      </c>
      <c r="AC106" s="98" t="str">
        <f t="shared" si="13"/>
        <v/>
      </c>
      <c r="AD106" s="98" t="str">
        <f t="shared" si="13"/>
        <v/>
      </c>
      <c r="AE106" s="98" t="str">
        <f t="shared" si="13"/>
        <v/>
      </c>
      <c r="AF106" s="98" t="str">
        <f t="shared" si="13"/>
        <v/>
      </c>
      <c r="AG106" s="98" t="str">
        <f t="shared" si="13"/>
        <v/>
      </c>
      <c r="AH106" s="98" t="str">
        <f t="shared" si="13"/>
        <v/>
      </c>
      <c r="AI106" s="98" t="str">
        <f t="shared" si="13"/>
        <v/>
      </c>
      <c r="AJ106" s="98" t="str">
        <f t="shared" si="13"/>
        <v/>
      </c>
      <c r="AK106" s="98" t="str">
        <f t="shared" si="13"/>
        <v/>
      </c>
    </row>
    <row r="107" spans="2:38" ht="14" customHeight="1" x14ac:dyDescent="0.15">
      <c r="B107" s="106" t="s">
        <v>186</v>
      </c>
      <c r="C107" s="106">
        <f>SUMIFS('caseload data'!E:E,'caseload data'!$D:$D,"TPO",'caseload data'!$C:$C,'cluster overview'!$B$96,'caseload data'!$B:$B,"licence")</f>
        <v>0</v>
      </c>
      <c r="D107" s="106">
        <f>SUMIFS('caseload data'!F:F,'caseload data'!$D:$D,"TPO",'caseload data'!$C:$C,'cluster overview'!$B$96,'caseload data'!$B:$B,"licence")</f>
        <v>0</v>
      </c>
      <c r="E107" s="106">
        <f>SUMIFS('caseload data'!G:G,'caseload data'!$D:$D,"TPO",'caseload data'!$C:$C,'cluster overview'!$B$96,'caseload data'!$B:$B,"licence")</f>
        <v>0</v>
      </c>
      <c r="F107" s="106">
        <f>SUMIFS('caseload data'!H:H,'caseload data'!$D:$D,"TPO",'caseload data'!$C:$C,'cluster overview'!$B$96,'caseload data'!$B:$B,"licence")</f>
        <v>0</v>
      </c>
      <c r="G107" s="106">
        <f>SUMIFS('caseload data'!I:I,'caseload data'!$D:$D,"TPO",'caseload data'!$C:$C,'cluster overview'!$B$96,'caseload data'!$B:$B,"licence")</f>
        <v>0</v>
      </c>
      <c r="H107" s="106">
        <f>SUMIFS('caseload data'!J:J,'caseload data'!$D:$D,"TPO",'caseload data'!$C:$C,'cluster overview'!$B$96,'caseload data'!$B:$B,"licence")</f>
        <v>0</v>
      </c>
      <c r="I107" s="106">
        <f>SUMIFS('caseload data'!K:K,'caseload data'!$D:$D,"TPO",'caseload data'!$C:$C,'cluster overview'!$B$96,'caseload data'!$B:$B,"licence")</f>
        <v>0</v>
      </c>
      <c r="J107" s="106">
        <f>SUMIFS('caseload data'!L:L,'caseload data'!$D:$D,"TPO",'caseload data'!$C:$C,'cluster overview'!$B$96,'caseload data'!$B:$B,"licence")</f>
        <v>0</v>
      </c>
      <c r="K107" s="106">
        <f>SUMIFS('caseload data'!M:M,'caseload data'!$D:$D,"TPO",'caseload data'!$C:$C,'cluster overview'!$B$96,'caseload data'!$B:$B,"licence")</f>
        <v>0</v>
      </c>
      <c r="L107" s="106">
        <f>SUMIFS('caseload data'!N:N,'caseload data'!$D:$D,"TPO",'caseload data'!$C:$C,'cluster overview'!$B$96,'caseload data'!$B:$B,"licence")</f>
        <v>0</v>
      </c>
      <c r="M107" s="106">
        <f>SUMIFS('caseload data'!O:O,'caseload data'!$D:$D,"TPO",'caseload data'!$C:$C,'cluster overview'!$B$96,'caseload data'!$B:$B,"licence")</f>
        <v>0</v>
      </c>
      <c r="N107" s="106">
        <f>SUMIFS('caseload data'!P:P,'caseload data'!$D:$D,"TPO",'caseload data'!$C:$C,'cluster overview'!$B$96,'caseload data'!$B:$B,"licence")</f>
        <v>0</v>
      </c>
      <c r="O107" s="106">
        <f>SUMIFS('caseload data'!Q:Q,'caseload data'!$D:$D,"TPO",'caseload data'!$C:$C,'cluster overview'!$B$96,'caseload data'!$B:$B,"licence")</f>
        <v>0</v>
      </c>
      <c r="P107" s="106">
        <f>SUMIFS('caseload data'!R:R,'caseload data'!$D:$D,"TPO",'caseload data'!$C:$C,'cluster overview'!$B$96,'caseload data'!$B:$B,"licence")</f>
        <v>0</v>
      </c>
      <c r="Q107" s="106">
        <f>SUMIFS('caseload data'!S:S,'caseload data'!$D:$D,"TPO",'caseload data'!$C:$C,'cluster overview'!$B$96,'caseload data'!$B:$B,"licence")</f>
        <v>0</v>
      </c>
      <c r="R107" s="106">
        <f>SUMIFS('caseload data'!T:T,'caseload data'!$D:$D,"TPO",'caseload data'!$C:$C,'cluster overview'!$B$96,'caseload data'!$B:$B,"licence")</f>
        <v>0</v>
      </c>
      <c r="U107" s="106" t="s">
        <v>186</v>
      </c>
      <c r="V107" s="98" t="str">
        <f>IFERROR(C$107/SUM(C$105:C$108),"")</f>
        <v/>
      </c>
      <c r="W107" s="98" t="str">
        <f t="shared" ref="W107:AK107" si="14">IFERROR(D$107/SUM(D$105:D$108),"")</f>
        <v/>
      </c>
      <c r="X107" s="98" t="str">
        <f t="shared" si="14"/>
        <v/>
      </c>
      <c r="Y107" s="98" t="str">
        <f t="shared" si="14"/>
        <v/>
      </c>
      <c r="Z107" s="98" t="str">
        <f t="shared" si="14"/>
        <v/>
      </c>
      <c r="AA107" s="98" t="str">
        <f t="shared" si="14"/>
        <v/>
      </c>
      <c r="AB107" s="98" t="str">
        <f t="shared" si="14"/>
        <v/>
      </c>
      <c r="AC107" s="98" t="str">
        <f t="shared" si="14"/>
        <v/>
      </c>
      <c r="AD107" s="98" t="str">
        <f t="shared" si="14"/>
        <v/>
      </c>
      <c r="AE107" s="98" t="str">
        <f t="shared" si="14"/>
        <v/>
      </c>
      <c r="AF107" s="98" t="str">
        <f t="shared" si="14"/>
        <v/>
      </c>
      <c r="AG107" s="98" t="str">
        <f t="shared" si="14"/>
        <v/>
      </c>
      <c r="AH107" s="98" t="str">
        <f t="shared" si="14"/>
        <v/>
      </c>
      <c r="AI107" s="98" t="str">
        <f t="shared" si="14"/>
        <v/>
      </c>
      <c r="AJ107" s="98" t="str">
        <f t="shared" si="14"/>
        <v/>
      </c>
      <c r="AK107" s="98" t="str">
        <f t="shared" si="14"/>
        <v/>
      </c>
    </row>
    <row r="108" spans="2:38" ht="14" customHeight="1" x14ac:dyDescent="0.15">
      <c r="B108" s="106" t="s">
        <v>187</v>
      </c>
      <c r="C108" s="106">
        <f>SUMIFS('caseload data'!E:E,'caseload data'!$D:$D,"SPO",'caseload data'!$C:$C,'cluster overview'!$B$96,'caseload data'!$B:$B,"licence")</f>
        <v>0</v>
      </c>
      <c r="D108" s="106">
        <f>SUMIFS('caseload data'!F:F,'caseload data'!$D:$D,"SPO",'caseload data'!$C:$C,'cluster overview'!$B$96,'caseload data'!$B:$B,"licence")</f>
        <v>0</v>
      </c>
      <c r="E108" s="106">
        <f>SUMIFS('caseload data'!G:G,'caseload data'!$D:$D,"SPO",'caseload data'!$C:$C,'cluster overview'!$B$96,'caseload data'!$B:$B,"licence")</f>
        <v>0</v>
      </c>
      <c r="F108" s="106">
        <f>SUMIFS('caseload data'!H:H,'caseload data'!$D:$D,"SPO",'caseload data'!$C:$C,'cluster overview'!$B$96,'caseload data'!$B:$B,"licence")</f>
        <v>0</v>
      </c>
      <c r="G108" s="106">
        <f>SUMIFS('caseload data'!I:I,'caseload data'!$D:$D,"SPO",'caseload data'!$C:$C,'cluster overview'!$B$96,'caseload data'!$B:$B,"licence")</f>
        <v>0</v>
      </c>
      <c r="H108" s="106">
        <f>SUMIFS('caseload data'!J:J,'caseload data'!$D:$D,"SPO",'caseload data'!$C:$C,'cluster overview'!$B$96,'caseload data'!$B:$B,"licence")</f>
        <v>0</v>
      </c>
      <c r="I108" s="106">
        <f>SUMIFS('caseload data'!K:K,'caseload data'!$D:$D,"SPO",'caseload data'!$C:$C,'cluster overview'!$B$96,'caseload data'!$B:$B,"licence")</f>
        <v>0</v>
      </c>
      <c r="J108" s="106">
        <f>SUMIFS('caseload data'!L:L,'caseload data'!$D:$D,"SPO",'caseload data'!$C:$C,'cluster overview'!$B$96,'caseload data'!$B:$B,"licence")</f>
        <v>0</v>
      </c>
      <c r="K108" s="106">
        <f>SUMIFS('caseload data'!M:M,'caseload data'!$D:$D,"SPO",'caseload data'!$C:$C,'cluster overview'!$B$96,'caseload data'!$B:$B,"licence")</f>
        <v>0</v>
      </c>
      <c r="L108" s="106">
        <f>SUMIFS('caseload data'!N:N,'caseload data'!$D:$D,"SPO",'caseload data'!$C:$C,'cluster overview'!$B$96,'caseload data'!$B:$B,"licence")</f>
        <v>0</v>
      </c>
      <c r="M108" s="106">
        <f>SUMIFS('caseload data'!O:O,'caseload data'!$D:$D,"SPO",'caseload data'!$C:$C,'cluster overview'!$B$96,'caseload data'!$B:$B,"licence")</f>
        <v>0</v>
      </c>
      <c r="N108" s="106">
        <f>SUMIFS('caseload data'!P:P,'caseload data'!$D:$D,"SPO",'caseload data'!$C:$C,'cluster overview'!$B$96,'caseload data'!$B:$B,"licence")</f>
        <v>0</v>
      </c>
      <c r="O108" s="106">
        <f>SUMIFS('caseload data'!Q:Q,'caseload data'!$D:$D,"SPO",'caseload data'!$C:$C,'cluster overview'!$B$96,'caseload data'!$B:$B,"licence")</f>
        <v>0</v>
      </c>
      <c r="P108" s="106">
        <f>SUMIFS('caseload data'!R:R,'caseload data'!$D:$D,"SPO",'caseload data'!$C:$C,'cluster overview'!$B$96,'caseload data'!$B:$B,"licence")</f>
        <v>0</v>
      </c>
      <c r="Q108" s="106">
        <f>SUMIFS('caseload data'!S:S,'caseload data'!$D:$D,"SPO",'caseload data'!$C:$C,'cluster overview'!$B$96,'caseload data'!$B:$B,"licence")</f>
        <v>0</v>
      </c>
      <c r="R108" s="106">
        <f>SUMIFS('caseload data'!T:T,'caseload data'!$D:$D,"SPO",'caseload data'!$C:$C,'cluster overview'!$B$96,'caseload data'!$B:$B,"licence")</f>
        <v>0</v>
      </c>
      <c r="U108" s="106" t="s">
        <v>187</v>
      </c>
      <c r="V108" s="98" t="str">
        <f>IFERROR(C$108/SUM(C$105:C$108),"")</f>
        <v/>
      </c>
      <c r="W108" s="98" t="str">
        <f t="shared" ref="W108:AK108" si="15">IFERROR(D$108/SUM(D$105:D$108),"")</f>
        <v/>
      </c>
      <c r="X108" s="98" t="str">
        <f t="shared" si="15"/>
        <v/>
      </c>
      <c r="Y108" s="98" t="str">
        <f t="shared" si="15"/>
        <v/>
      </c>
      <c r="Z108" s="98" t="str">
        <f t="shared" si="15"/>
        <v/>
      </c>
      <c r="AA108" s="98" t="str">
        <f t="shared" si="15"/>
        <v/>
      </c>
      <c r="AB108" s="98" t="str">
        <f t="shared" si="15"/>
        <v/>
      </c>
      <c r="AC108" s="98" t="str">
        <f t="shared" si="15"/>
        <v/>
      </c>
      <c r="AD108" s="98" t="str">
        <f t="shared" si="15"/>
        <v/>
      </c>
      <c r="AE108" s="98" t="str">
        <f t="shared" si="15"/>
        <v/>
      </c>
      <c r="AF108" s="98" t="str">
        <f t="shared" si="15"/>
        <v/>
      </c>
      <c r="AG108" s="98" t="str">
        <f t="shared" si="15"/>
        <v/>
      </c>
      <c r="AH108" s="98" t="str">
        <f t="shared" si="15"/>
        <v/>
      </c>
      <c r="AI108" s="98" t="str">
        <f t="shared" si="15"/>
        <v/>
      </c>
      <c r="AJ108" s="98" t="str">
        <f t="shared" si="15"/>
        <v/>
      </c>
      <c r="AK108" s="98" t="str">
        <f t="shared" si="15"/>
        <v/>
      </c>
    </row>
    <row r="109" spans="2:38" ht="14" customHeight="1" x14ac:dyDescent="0.15">
      <c r="B109" s="59"/>
      <c r="C109" s="1"/>
      <c r="D109" s="1"/>
      <c r="E109" s="1"/>
      <c r="F109" s="1"/>
      <c r="G109" s="1"/>
      <c r="H109" s="1"/>
      <c r="I109" s="1"/>
      <c r="J109" s="30"/>
      <c r="U109" s="30"/>
      <c r="V109" s="30"/>
      <c r="W109" s="30"/>
      <c r="X109" s="30"/>
      <c r="Y109" s="30"/>
      <c r="Z109" s="30"/>
      <c r="AA109" s="30"/>
      <c r="AB109" s="30"/>
      <c r="AC109" s="30"/>
    </row>
    <row r="110" spans="2:38" s="30" customFormat="1" ht="16" x14ac:dyDescent="0.2">
      <c r="B110" s="147" t="str">
        <f>B6</f>
        <v>Cardiff and Vale - N03</v>
      </c>
      <c r="C110" s="312" t="s">
        <v>327</v>
      </c>
      <c r="D110" s="313"/>
      <c r="E110" s="313"/>
      <c r="F110" s="313"/>
      <c r="G110" s="313"/>
      <c r="H110" s="313"/>
      <c r="I110" s="313"/>
      <c r="J110" s="313"/>
      <c r="K110" s="313"/>
      <c r="L110" s="313"/>
      <c r="M110" s="313"/>
      <c r="N110" s="313"/>
      <c r="O110" s="313"/>
      <c r="P110" s="313"/>
      <c r="Q110" s="313"/>
      <c r="R110" s="313"/>
      <c r="U110" s="147" t="str">
        <f>B6</f>
        <v>Cardiff and Vale - N03</v>
      </c>
      <c r="V110" s="312" t="s">
        <v>512</v>
      </c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3"/>
      <c r="AH110" s="313"/>
      <c r="AI110" s="313"/>
      <c r="AJ110" s="313"/>
      <c r="AK110" s="313"/>
    </row>
    <row r="111" spans="2:38" ht="14" customHeight="1" x14ac:dyDescent="0.15">
      <c r="B111" s="127" t="s">
        <v>324</v>
      </c>
      <c r="C111" s="58" t="s">
        <v>504</v>
      </c>
      <c r="D111" s="58" t="s">
        <v>503</v>
      </c>
      <c r="E111" s="58" t="s">
        <v>502</v>
      </c>
      <c r="F111" s="58" t="s">
        <v>501</v>
      </c>
      <c r="G111" s="58" t="s">
        <v>510</v>
      </c>
      <c r="H111" s="58" t="s">
        <v>176</v>
      </c>
      <c r="I111" s="58" t="s">
        <v>177</v>
      </c>
      <c r="J111" s="58" t="s">
        <v>505</v>
      </c>
      <c r="K111" s="58" t="s">
        <v>507</v>
      </c>
      <c r="L111" s="58" t="s">
        <v>178</v>
      </c>
      <c r="M111" s="58" t="s">
        <v>179</v>
      </c>
      <c r="N111" s="58" t="s">
        <v>506</v>
      </c>
      <c r="O111" s="58" t="s">
        <v>508</v>
      </c>
      <c r="P111" s="58" t="s">
        <v>180</v>
      </c>
      <c r="Q111" s="58" t="s">
        <v>181</v>
      </c>
      <c r="R111" s="58" t="s">
        <v>509</v>
      </c>
      <c r="U111" s="127" t="s">
        <v>324</v>
      </c>
      <c r="V111" s="58" t="s">
        <v>504</v>
      </c>
      <c r="W111" s="58" t="s">
        <v>503</v>
      </c>
      <c r="X111" s="58" t="s">
        <v>502</v>
      </c>
      <c r="Y111" s="58" t="s">
        <v>501</v>
      </c>
      <c r="Z111" s="58" t="s">
        <v>510</v>
      </c>
      <c r="AA111" s="58" t="s">
        <v>176</v>
      </c>
      <c r="AB111" s="58" t="s">
        <v>177</v>
      </c>
      <c r="AC111" s="58" t="s">
        <v>505</v>
      </c>
      <c r="AD111" s="58" t="s">
        <v>507</v>
      </c>
      <c r="AE111" s="58" t="s">
        <v>178</v>
      </c>
      <c r="AF111" s="58" t="s">
        <v>179</v>
      </c>
      <c r="AG111" s="58" t="s">
        <v>506</v>
      </c>
      <c r="AH111" s="58" t="s">
        <v>508</v>
      </c>
      <c r="AI111" s="58" t="s">
        <v>180</v>
      </c>
      <c r="AJ111" s="58" t="s">
        <v>181</v>
      </c>
      <c r="AK111" s="58" t="s">
        <v>509</v>
      </c>
    </row>
    <row r="112" spans="2:38" ht="14" customHeight="1" x14ac:dyDescent="0.15">
      <c r="B112" s="106" t="s">
        <v>184</v>
      </c>
      <c r="C112" s="106">
        <f>SUMIFS('caseload data'!E:E,'caseload data'!$D:$D,"PO",'caseload data'!$C:$C,'cluster overview'!$B$96,'caseload data'!$B:$B,"custody")</f>
        <v>0</v>
      </c>
      <c r="D112" s="106">
        <f>SUMIFS('caseload data'!F:F,'caseload data'!$D:$D,"PO",'caseload data'!$C:$C,'cluster overview'!$B$96,'caseload data'!$B:$B,"custody")</f>
        <v>0</v>
      </c>
      <c r="E112" s="106">
        <f>SUMIFS('caseload data'!G:G,'caseload data'!$D:$D,"PO",'caseload data'!$C:$C,'cluster overview'!$B$96,'caseload data'!$B:$B,"custody")</f>
        <v>0</v>
      </c>
      <c r="F112" s="106">
        <f>SUMIFS('caseload data'!H:H,'caseload data'!$D:$D,"PO",'caseload data'!$C:$C,'cluster overview'!$B$96,'caseload data'!$B:$B,"custody")</f>
        <v>0</v>
      </c>
      <c r="G112" s="106">
        <f>SUMIFS('caseload data'!I:I,'caseload data'!$D:$D,"PO",'caseload data'!$C:$C,'cluster overview'!$B$96,'caseload data'!$B:$B,"custody")</f>
        <v>0</v>
      </c>
      <c r="H112" s="106">
        <f>SUMIFS('caseload data'!J:J,'caseload data'!$D:$D,"PO",'caseload data'!$C:$C,'cluster overview'!$B$96,'caseload data'!$B:$B,"custody")</f>
        <v>0</v>
      </c>
      <c r="I112" s="106">
        <f>SUMIFS('caseload data'!K:K,'caseload data'!$D:$D,"PO",'caseload data'!$C:$C,'cluster overview'!$B$96,'caseload data'!$B:$B,"custody")</f>
        <v>0</v>
      </c>
      <c r="J112" s="106">
        <f>SUMIFS('caseload data'!L:L,'caseload data'!$D:$D,"PO",'caseload data'!$C:$C,'cluster overview'!$B$96,'caseload data'!$B:$B,"custody")</f>
        <v>0</v>
      </c>
      <c r="K112" s="106">
        <f>SUMIFS('caseload data'!M:M,'caseload data'!$D:$D,"PO",'caseload data'!$C:$C,'cluster overview'!$B$96,'caseload data'!$B:$B,"custody")</f>
        <v>0</v>
      </c>
      <c r="L112" s="106">
        <f>SUMIFS('caseload data'!N:N,'caseload data'!$D:$D,"PO",'caseload data'!$C:$C,'cluster overview'!$B$96,'caseload data'!$B:$B,"custody")</f>
        <v>0</v>
      </c>
      <c r="M112" s="106">
        <f>SUMIFS('caseload data'!O:O,'caseload data'!$D:$D,"PO",'caseload data'!$C:$C,'cluster overview'!$B$96,'caseload data'!$B:$B,"custody")</f>
        <v>0</v>
      </c>
      <c r="N112" s="106">
        <f>SUMIFS('caseload data'!P:P,'caseload data'!$D:$D,"PO",'caseload data'!$C:$C,'cluster overview'!$B$96,'caseload data'!$B:$B,"custody")</f>
        <v>0</v>
      </c>
      <c r="O112" s="106">
        <f>SUMIFS('caseload data'!Q:Q,'caseload data'!$D:$D,"PO",'caseload data'!$C:$C,'cluster overview'!$B$96,'caseload data'!$B:$B,"custody")</f>
        <v>0</v>
      </c>
      <c r="P112" s="106">
        <f>SUMIFS('caseload data'!R:R,'caseload data'!$D:$D,"PO",'caseload data'!$C:$C,'cluster overview'!$B$96,'caseload data'!$B:$B,"custody")</f>
        <v>0</v>
      </c>
      <c r="Q112" s="106">
        <f>SUMIFS('caseload data'!S:S,'caseload data'!$D:$D,"PO",'caseload data'!$C:$C,'cluster overview'!$B$96,'caseload data'!$B:$B,"custody")</f>
        <v>0</v>
      </c>
      <c r="R112" s="106">
        <f>SUMIFS('caseload data'!T:T,'caseload data'!$D:$D,"PO",'caseload data'!$C:$C,'cluster overview'!$B$96,'caseload data'!$B:$B,"custody")</f>
        <v>0</v>
      </c>
      <c r="U112" s="106" t="s">
        <v>184</v>
      </c>
      <c r="V112" s="98" t="str">
        <f>IFERROR(C$112/SUM(C$112:C$115),"")</f>
        <v/>
      </c>
      <c r="W112" s="98" t="str">
        <f t="shared" ref="W112:AK112" si="16">IFERROR(D$112/SUM(D$112:D$115),"")</f>
        <v/>
      </c>
      <c r="X112" s="98" t="str">
        <f t="shared" si="16"/>
        <v/>
      </c>
      <c r="Y112" s="98" t="str">
        <f t="shared" si="16"/>
        <v/>
      </c>
      <c r="Z112" s="98" t="str">
        <f t="shared" si="16"/>
        <v/>
      </c>
      <c r="AA112" s="98" t="str">
        <f t="shared" si="16"/>
        <v/>
      </c>
      <c r="AB112" s="98" t="str">
        <f t="shared" si="16"/>
        <v/>
      </c>
      <c r="AC112" s="98" t="str">
        <f t="shared" si="16"/>
        <v/>
      </c>
      <c r="AD112" s="98" t="str">
        <f t="shared" si="16"/>
        <v/>
      </c>
      <c r="AE112" s="98" t="str">
        <f t="shared" si="16"/>
        <v/>
      </c>
      <c r="AF112" s="98" t="str">
        <f t="shared" si="16"/>
        <v/>
      </c>
      <c r="AG112" s="98" t="str">
        <f t="shared" si="16"/>
        <v/>
      </c>
      <c r="AH112" s="98" t="str">
        <f t="shared" si="16"/>
        <v/>
      </c>
      <c r="AI112" s="98" t="str">
        <f t="shared" si="16"/>
        <v/>
      </c>
      <c r="AJ112" s="98" t="str">
        <f t="shared" si="16"/>
        <v/>
      </c>
      <c r="AK112" s="98" t="str">
        <f t="shared" si="16"/>
        <v/>
      </c>
    </row>
    <row r="113" spans="2:37" ht="14" customHeight="1" x14ac:dyDescent="0.15">
      <c r="B113" s="106" t="s">
        <v>185</v>
      </c>
      <c r="C113" s="106">
        <f>SUMIFS('caseload data'!E:E,'caseload data'!$D:$D,"PSO",'caseload data'!$C:$C,'cluster overview'!$B$96,'caseload data'!$B:$B,"custody")</f>
        <v>0</v>
      </c>
      <c r="D113" s="106">
        <f>SUMIFS('caseload data'!F:F,'caseload data'!$D:$D,"PSO",'caseload data'!$C:$C,'cluster overview'!$B$96,'caseload data'!$B:$B,"custody")</f>
        <v>0</v>
      </c>
      <c r="E113" s="106">
        <f>SUMIFS('caseload data'!G:G,'caseload data'!$D:$D,"PSO",'caseload data'!$C:$C,'cluster overview'!$B$96,'caseload data'!$B:$B,"custody")</f>
        <v>0</v>
      </c>
      <c r="F113" s="106">
        <f>SUMIFS('caseload data'!H:H,'caseload data'!$D:$D,"PSO",'caseload data'!$C:$C,'cluster overview'!$B$96,'caseload data'!$B:$B,"custody")</f>
        <v>0</v>
      </c>
      <c r="G113" s="106">
        <f>SUMIFS('caseload data'!I:I,'caseload data'!$D:$D,"PSO",'caseload data'!$C:$C,'cluster overview'!$B$96,'caseload data'!$B:$B,"custody")</f>
        <v>0</v>
      </c>
      <c r="H113" s="106">
        <f>SUMIFS('caseload data'!J:J,'caseload data'!$D:$D,"PSO",'caseload data'!$C:$C,'cluster overview'!$B$96,'caseload data'!$B:$B,"custody")</f>
        <v>0</v>
      </c>
      <c r="I113" s="106">
        <f>SUMIFS('caseload data'!K:K,'caseload data'!$D:$D,"PSO",'caseload data'!$C:$C,'cluster overview'!$B$96,'caseload data'!$B:$B,"custody")</f>
        <v>0</v>
      </c>
      <c r="J113" s="106">
        <f>SUMIFS('caseload data'!L:L,'caseload data'!$D:$D,"PSO",'caseload data'!$C:$C,'cluster overview'!$B$96,'caseload data'!$B:$B,"custody")</f>
        <v>0</v>
      </c>
      <c r="K113" s="106">
        <f>SUMIFS('caseload data'!M:M,'caseload data'!$D:$D,"PSO",'caseload data'!$C:$C,'cluster overview'!$B$96,'caseload data'!$B:$B,"custody")</f>
        <v>0</v>
      </c>
      <c r="L113" s="106">
        <f>SUMIFS('caseload data'!N:N,'caseload data'!$D:$D,"PSO",'caseload data'!$C:$C,'cluster overview'!$B$96,'caseload data'!$B:$B,"custody")</f>
        <v>0</v>
      </c>
      <c r="M113" s="106">
        <f>SUMIFS('caseload data'!O:O,'caseload data'!$D:$D,"PSO",'caseload data'!$C:$C,'cluster overview'!$B$96,'caseload data'!$B:$B,"custody")</f>
        <v>0</v>
      </c>
      <c r="N113" s="106">
        <f>SUMIFS('caseload data'!P:P,'caseload data'!$D:$D,"PSO",'caseload data'!$C:$C,'cluster overview'!$B$96,'caseload data'!$B:$B,"custody")</f>
        <v>0</v>
      </c>
      <c r="O113" s="106">
        <f>SUMIFS('caseload data'!Q:Q,'caseload data'!$D:$D,"PSO",'caseload data'!$C:$C,'cluster overview'!$B$96,'caseload data'!$B:$B,"custody")</f>
        <v>0</v>
      </c>
      <c r="P113" s="106">
        <f>SUMIFS('caseload data'!R:R,'caseload data'!$D:$D,"PSO",'caseload data'!$C:$C,'cluster overview'!$B$96,'caseload data'!$B:$B,"custody")</f>
        <v>0</v>
      </c>
      <c r="Q113" s="106">
        <f>SUMIFS('caseload data'!S:S,'caseload data'!$D:$D,"PSO",'caseload data'!$C:$C,'cluster overview'!$B$96,'caseload data'!$B:$B,"custody")</f>
        <v>0</v>
      </c>
      <c r="R113" s="106">
        <f>SUMIFS('caseload data'!T:T,'caseload data'!$D:$D,"PSO",'caseload data'!$C:$C,'cluster overview'!$B$96,'caseload data'!$B:$B,"custody")</f>
        <v>0</v>
      </c>
      <c r="U113" s="106" t="s">
        <v>185</v>
      </c>
      <c r="V113" s="98" t="str">
        <f>IFERROR(C$113/SUM(C$112:C$115),"")</f>
        <v/>
      </c>
      <c r="W113" s="98" t="str">
        <f t="shared" ref="W113:AK113" si="17">IFERROR(D$113/SUM(D$112:D$115),"")</f>
        <v/>
      </c>
      <c r="X113" s="98" t="str">
        <f t="shared" si="17"/>
        <v/>
      </c>
      <c r="Y113" s="98" t="str">
        <f t="shared" si="17"/>
        <v/>
      </c>
      <c r="Z113" s="98" t="str">
        <f t="shared" si="17"/>
        <v/>
      </c>
      <c r="AA113" s="98" t="str">
        <f t="shared" si="17"/>
        <v/>
      </c>
      <c r="AB113" s="98" t="str">
        <f t="shared" si="17"/>
        <v/>
      </c>
      <c r="AC113" s="98" t="str">
        <f t="shared" si="17"/>
        <v/>
      </c>
      <c r="AD113" s="98" t="str">
        <f t="shared" si="17"/>
        <v/>
      </c>
      <c r="AE113" s="98" t="str">
        <f t="shared" si="17"/>
        <v/>
      </c>
      <c r="AF113" s="98" t="str">
        <f t="shared" si="17"/>
        <v/>
      </c>
      <c r="AG113" s="98" t="str">
        <f t="shared" si="17"/>
        <v/>
      </c>
      <c r="AH113" s="98" t="str">
        <f t="shared" si="17"/>
        <v/>
      </c>
      <c r="AI113" s="98" t="str">
        <f t="shared" si="17"/>
        <v/>
      </c>
      <c r="AJ113" s="98" t="str">
        <f t="shared" si="17"/>
        <v/>
      </c>
      <c r="AK113" s="98" t="str">
        <f t="shared" si="17"/>
        <v/>
      </c>
    </row>
    <row r="114" spans="2:37" ht="14" customHeight="1" x14ac:dyDescent="0.15">
      <c r="B114" s="106" t="s">
        <v>186</v>
      </c>
      <c r="C114" s="106">
        <f>SUMIFS('caseload data'!E:E,'caseload data'!$D:$D,"TPO",'caseload data'!$C:$C,'cluster overview'!$B$96,'caseload data'!$B:$B,"custody")</f>
        <v>0</v>
      </c>
      <c r="D114" s="106">
        <f>SUMIFS('caseload data'!F:F,'caseload data'!$D:$D,"TPO",'caseload data'!$C:$C,'cluster overview'!$B$96,'caseload data'!$B:$B,"custody")</f>
        <v>0</v>
      </c>
      <c r="E114" s="106">
        <f>SUMIFS('caseload data'!G:G,'caseload data'!$D:$D,"TPO",'caseload data'!$C:$C,'cluster overview'!$B$96,'caseload data'!$B:$B,"custody")</f>
        <v>0</v>
      </c>
      <c r="F114" s="106">
        <f>SUMIFS('caseload data'!H:H,'caseload data'!$D:$D,"TPO",'caseload data'!$C:$C,'cluster overview'!$B$96,'caseload data'!$B:$B,"custody")</f>
        <v>0</v>
      </c>
      <c r="G114" s="106">
        <f>SUMIFS('caseload data'!I:I,'caseload data'!$D:$D,"TPO",'caseload data'!$C:$C,'cluster overview'!$B$96,'caseload data'!$B:$B,"custody")</f>
        <v>0</v>
      </c>
      <c r="H114" s="106">
        <f>SUMIFS('caseload data'!J:J,'caseload data'!$D:$D,"TPO",'caseload data'!$C:$C,'cluster overview'!$B$96,'caseload data'!$B:$B,"custody")</f>
        <v>0</v>
      </c>
      <c r="I114" s="106">
        <f>SUMIFS('caseload data'!K:K,'caseload data'!$D:$D,"TPO",'caseload data'!$C:$C,'cluster overview'!$B$96,'caseload data'!$B:$B,"custody")</f>
        <v>0</v>
      </c>
      <c r="J114" s="106">
        <f>SUMIFS('caseload data'!L:L,'caseload data'!$D:$D,"TPO",'caseload data'!$C:$C,'cluster overview'!$B$96,'caseload data'!$B:$B,"custody")</f>
        <v>0</v>
      </c>
      <c r="K114" s="106">
        <f>SUMIFS('caseload data'!M:M,'caseload data'!$D:$D,"TPO",'caseload data'!$C:$C,'cluster overview'!$B$96,'caseload data'!$B:$B,"custody")</f>
        <v>0</v>
      </c>
      <c r="L114" s="106">
        <f>SUMIFS('caseload data'!N:N,'caseload data'!$D:$D,"TPO",'caseload data'!$C:$C,'cluster overview'!$B$96,'caseload data'!$B:$B,"custody")</f>
        <v>0</v>
      </c>
      <c r="M114" s="106">
        <f>SUMIFS('caseload data'!O:O,'caseload data'!$D:$D,"TPO",'caseload data'!$C:$C,'cluster overview'!$B$96,'caseload data'!$B:$B,"custody")</f>
        <v>0</v>
      </c>
      <c r="N114" s="106">
        <f>SUMIFS('caseload data'!P:P,'caseload data'!$D:$D,"TPO",'caseload data'!$C:$C,'cluster overview'!$B$96,'caseload data'!$B:$B,"custody")</f>
        <v>0</v>
      </c>
      <c r="O114" s="106">
        <f>SUMIFS('caseload data'!Q:Q,'caseload data'!$D:$D,"TPO",'caseload data'!$C:$C,'cluster overview'!$B$96,'caseload data'!$B:$B,"custody")</f>
        <v>0</v>
      </c>
      <c r="P114" s="106">
        <f>SUMIFS('caseload data'!R:R,'caseload data'!$D:$D,"TPO",'caseload data'!$C:$C,'cluster overview'!$B$96,'caseload data'!$B:$B,"custody")</f>
        <v>0</v>
      </c>
      <c r="Q114" s="106">
        <f>SUMIFS('caseload data'!S:S,'caseload data'!$D:$D,"TPO",'caseload data'!$C:$C,'cluster overview'!$B$96,'caseload data'!$B:$B,"custody")</f>
        <v>0</v>
      </c>
      <c r="R114" s="106">
        <f>SUMIFS('caseload data'!T:T,'caseload data'!$D:$D,"TPO",'caseload data'!$C:$C,'cluster overview'!$B$96,'caseload data'!$B:$B,"custody")</f>
        <v>0</v>
      </c>
      <c r="U114" s="106" t="s">
        <v>186</v>
      </c>
      <c r="V114" s="98" t="str">
        <f>IFERROR(C$114/SUM(C$112:C$115),"")</f>
        <v/>
      </c>
      <c r="W114" s="98" t="str">
        <f t="shared" ref="W114:AK114" si="18">IFERROR(D$114/SUM(D$112:D$115),"")</f>
        <v/>
      </c>
      <c r="X114" s="98" t="str">
        <f t="shared" si="18"/>
        <v/>
      </c>
      <c r="Y114" s="98" t="str">
        <f t="shared" si="18"/>
        <v/>
      </c>
      <c r="Z114" s="98" t="str">
        <f t="shared" si="18"/>
        <v/>
      </c>
      <c r="AA114" s="98" t="str">
        <f t="shared" si="18"/>
        <v/>
      </c>
      <c r="AB114" s="98" t="str">
        <f t="shared" si="18"/>
        <v/>
      </c>
      <c r="AC114" s="98" t="str">
        <f t="shared" si="18"/>
        <v/>
      </c>
      <c r="AD114" s="98" t="str">
        <f t="shared" si="18"/>
        <v/>
      </c>
      <c r="AE114" s="98" t="str">
        <f t="shared" si="18"/>
        <v/>
      </c>
      <c r="AF114" s="98" t="str">
        <f t="shared" si="18"/>
        <v/>
      </c>
      <c r="AG114" s="98" t="str">
        <f t="shared" si="18"/>
        <v/>
      </c>
      <c r="AH114" s="98" t="str">
        <f t="shared" si="18"/>
        <v/>
      </c>
      <c r="AI114" s="98" t="str">
        <f t="shared" si="18"/>
        <v/>
      </c>
      <c r="AJ114" s="98" t="str">
        <f t="shared" si="18"/>
        <v/>
      </c>
      <c r="AK114" s="98" t="str">
        <f t="shared" si="18"/>
        <v/>
      </c>
    </row>
    <row r="115" spans="2:37" ht="14" customHeight="1" x14ac:dyDescent="0.15">
      <c r="B115" s="106" t="s">
        <v>187</v>
      </c>
      <c r="C115" s="106">
        <f>SUMIFS('caseload data'!E:E,'caseload data'!$D:$D,"SPO",'caseload data'!$C:$C,'cluster overview'!$B$96,'caseload data'!$B:$B,"custody")</f>
        <v>0</v>
      </c>
      <c r="D115" s="106">
        <f>SUMIFS('caseload data'!F:F,'caseload data'!$D:$D,"SPO",'caseload data'!$C:$C,'cluster overview'!$B$96,'caseload data'!$B:$B,"custody")</f>
        <v>0</v>
      </c>
      <c r="E115" s="106">
        <f>SUMIFS('caseload data'!G:G,'caseload data'!$D:$D,"SPO",'caseload data'!$C:$C,'cluster overview'!$B$96,'caseload data'!$B:$B,"custody")</f>
        <v>0</v>
      </c>
      <c r="F115" s="106">
        <f>SUMIFS('caseload data'!H:H,'caseload data'!$D:$D,"SPO",'caseload data'!$C:$C,'cluster overview'!$B$96,'caseload data'!$B:$B,"custody")</f>
        <v>0</v>
      </c>
      <c r="G115" s="106">
        <f>SUMIFS('caseload data'!I:I,'caseload data'!$D:$D,"SPO",'caseload data'!$C:$C,'cluster overview'!$B$96,'caseload data'!$B:$B,"custody")</f>
        <v>0</v>
      </c>
      <c r="H115" s="106">
        <f>SUMIFS('caseload data'!J:J,'caseload data'!$D:$D,"SPO",'caseload data'!$C:$C,'cluster overview'!$B$96,'caseload data'!$B:$B,"custody")</f>
        <v>0</v>
      </c>
      <c r="I115" s="106">
        <f>SUMIFS('caseload data'!K:K,'caseload data'!$D:$D,"SPO",'caseload data'!$C:$C,'cluster overview'!$B$96,'caseload data'!$B:$B,"custody")</f>
        <v>0</v>
      </c>
      <c r="J115" s="106">
        <f>SUMIFS('caseload data'!L:L,'caseload data'!$D:$D,"SPO",'caseload data'!$C:$C,'cluster overview'!$B$96,'caseload data'!$B:$B,"custody")</f>
        <v>0</v>
      </c>
      <c r="K115" s="106">
        <f>SUMIFS('caseload data'!M:M,'caseload data'!$D:$D,"SPO",'caseload data'!$C:$C,'cluster overview'!$B$96,'caseload data'!$B:$B,"custody")</f>
        <v>0</v>
      </c>
      <c r="L115" s="106">
        <f>SUMIFS('caseload data'!N:N,'caseload data'!$D:$D,"SPO",'caseload data'!$C:$C,'cluster overview'!$B$96,'caseload data'!$B:$B,"custody")</f>
        <v>0</v>
      </c>
      <c r="M115" s="106">
        <f>SUMIFS('caseload data'!O:O,'caseload data'!$D:$D,"SPO",'caseload data'!$C:$C,'cluster overview'!$B$96,'caseload data'!$B:$B,"custody")</f>
        <v>0</v>
      </c>
      <c r="N115" s="106">
        <f>SUMIFS('caseload data'!P:P,'caseload data'!$D:$D,"SPO",'caseload data'!$C:$C,'cluster overview'!$B$96,'caseload data'!$B:$B,"custody")</f>
        <v>0</v>
      </c>
      <c r="O115" s="106">
        <f>SUMIFS('caseload data'!Q:Q,'caseload data'!$D:$D,"SPO",'caseload data'!$C:$C,'cluster overview'!$B$96,'caseload data'!$B:$B,"custody")</f>
        <v>0</v>
      </c>
      <c r="P115" s="106">
        <f>SUMIFS('caseload data'!R:R,'caseload data'!$D:$D,"SPO",'caseload data'!$C:$C,'cluster overview'!$B$96,'caseload data'!$B:$B,"custody")</f>
        <v>0</v>
      </c>
      <c r="Q115" s="106">
        <f>SUMIFS('caseload data'!S:S,'caseload data'!$D:$D,"SPO",'caseload data'!$C:$C,'cluster overview'!$B$96,'caseload data'!$B:$B,"custody")</f>
        <v>0</v>
      </c>
      <c r="R115" s="106">
        <f>SUMIFS('caseload data'!T:T,'caseload data'!$D:$D,"SPO",'caseload data'!$C:$C,'cluster overview'!$B$96,'caseload data'!$B:$B,"custody")</f>
        <v>0</v>
      </c>
      <c r="U115" s="106" t="s">
        <v>187</v>
      </c>
      <c r="V115" s="98" t="str">
        <f>IFERROR(C$115/SUM(C$112:C$115),"")</f>
        <v/>
      </c>
      <c r="W115" s="98" t="str">
        <f t="shared" ref="W115:AK115" si="19">IFERROR(D$115/SUM(D$112:D$115),"")</f>
        <v/>
      </c>
      <c r="X115" s="98" t="str">
        <f t="shared" si="19"/>
        <v/>
      </c>
      <c r="Y115" s="98" t="str">
        <f t="shared" si="19"/>
        <v/>
      </c>
      <c r="Z115" s="98" t="str">
        <f t="shared" si="19"/>
        <v/>
      </c>
      <c r="AA115" s="98" t="str">
        <f t="shared" si="19"/>
        <v/>
      </c>
      <c r="AB115" s="98" t="str">
        <f t="shared" si="19"/>
        <v/>
      </c>
      <c r="AC115" s="98" t="str">
        <f t="shared" si="19"/>
        <v/>
      </c>
      <c r="AD115" s="98" t="str">
        <f t="shared" si="19"/>
        <v/>
      </c>
      <c r="AE115" s="98" t="str">
        <f t="shared" si="19"/>
        <v/>
      </c>
      <c r="AF115" s="98" t="str">
        <f t="shared" si="19"/>
        <v/>
      </c>
      <c r="AG115" s="98" t="str">
        <f t="shared" si="19"/>
        <v/>
      </c>
      <c r="AH115" s="98" t="str">
        <f t="shared" si="19"/>
        <v/>
      </c>
      <c r="AI115" s="98" t="str">
        <f t="shared" si="19"/>
        <v/>
      </c>
      <c r="AJ115" s="98" t="str">
        <f t="shared" si="19"/>
        <v/>
      </c>
      <c r="AK115" s="98" t="str">
        <f t="shared" si="19"/>
        <v/>
      </c>
    </row>
    <row r="116" spans="2:37" ht="14" customHeight="1" x14ac:dyDescent="0.15">
      <c r="B116" s="30"/>
      <c r="C116" s="30"/>
      <c r="D116" s="30"/>
      <c r="E116" s="30"/>
      <c r="F116" s="30"/>
      <c r="G116" s="30"/>
      <c r="H116" s="30"/>
      <c r="I116" s="30"/>
      <c r="J116" s="30"/>
      <c r="U116" s="30"/>
      <c r="V116" s="30"/>
      <c r="W116" s="30"/>
      <c r="X116" s="30"/>
      <c r="Y116" s="30"/>
      <c r="Z116" s="30"/>
      <c r="AA116" s="30"/>
      <c r="AB116" s="30"/>
      <c r="AC116" s="30"/>
    </row>
    <row r="117" spans="2:37" ht="16" x14ac:dyDescent="0.2">
      <c r="B117" s="147" t="str">
        <f>B6</f>
        <v>Cardiff and Vale - N03</v>
      </c>
      <c r="C117" s="312" t="s">
        <v>329</v>
      </c>
      <c r="D117" s="313"/>
      <c r="E117" s="313"/>
      <c r="F117" s="313"/>
      <c r="G117" s="313"/>
      <c r="H117" s="313"/>
      <c r="I117" s="313"/>
      <c r="J117" s="313"/>
      <c r="K117" s="313"/>
      <c r="L117" s="313"/>
      <c r="M117" s="313"/>
      <c r="N117" s="313"/>
      <c r="O117" s="313"/>
      <c r="P117" s="313"/>
      <c r="Q117" s="313"/>
      <c r="R117" s="313"/>
      <c r="U117" s="147" t="str">
        <f>B6</f>
        <v>Cardiff and Vale - N03</v>
      </c>
      <c r="V117" s="312" t="s">
        <v>513</v>
      </c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3"/>
      <c r="AH117" s="313"/>
      <c r="AI117" s="313"/>
      <c r="AJ117" s="313"/>
      <c r="AK117" s="313"/>
    </row>
    <row r="118" spans="2:37" ht="14" customHeight="1" x14ac:dyDescent="0.15">
      <c r="B118" s="127" t="s">
        <v>324</v>
      </c>
      <c r="C118" s="58" t="s">
        <v>504</v>
      </c>
      <c r="D118" s="58" t="s">
        <v>503</v>
      </c>
      <c r="E118" s="58" t="s">
        <v>502</v>
      </c>
      <c r="F118" s="58" t="s">
        <v>501</v>
      </c>
      <c r="G118" s="58" t="s">
        <v>510</v>
      </c>
      <c r="H118" s="58" t="s">
        <v>176</v>
      </c>
      <c r="I118" s="58" t="s">
        <v>177</v>
      </c>
      <c r="J118" s="58" t="s">
        <v>505</v>
      </c>
      <c r="K118" s="58" t="s">
        <v>507</v>
      </c>
      <c r="L118" s="58" t="s">
        <v>178</v>
      </c>
      <c r="M118" s="58" t="s">
        <v>179</v>
      </c>
      <c r="N118" s="58" t="s">
        <v>506</v>
      </c>
      <c r="O118" s="58" t="s">
        <v>508</v>
      </c>
      <c r="P118" s="58" t="s">
        <v>180</v>
      </c>
      <c r="Q118" s="58" t="s">
        <v>181</v>
      </c>
      <c r="R118" s="58" t="s">
        <v>509</v>
      </c>
      <c r="U118" s="75" t="s">
        <v>324</v>
      </c>
      <c r="V118" s="58" t="s">
        <v>504</v>
      </c>
      <c r="W118" s="58" t="s">
        <v>503</v>
      </c>
      <c r="X118" s="58" t="s">
        <v>502</v>
      </c>
      <c r="Y118" s="58" t="s">
        <v>501</v>
      </c>
      <c r="Z118" s="58" t="s">
        <v>510</v>
      </c>
      <c r="AA118" s="58" t="s">
        <v>176</v>
      </c>
      <c r="AB118" s="58" t="s">
        <v>177</v>
      </c>
      <c r="AC118" s="58" t="s">
        <v>505</v>
      </c>
      <c r="AD118" s="58" t="s">
        <v>507</v>
      </c>
      <c r="AE118" s="58" t="s">
        <v>178</v>
      </c>
      <c r="AF118" s="58" t="s">
        <v>179</v>
      </c>
      <c r="AG118" s="58" t="s">
        <v>506</v>
      </c>
      <c r="AH118" s="58" t="s">
        <v>508</v>
      </c>
      <c r="AI118" s="58" t="s">
        <v>180</v>
      </c>
      <c r="AJ118" s="58" t="s">
        <v>181</v>
      </c>
      <c r="AK118" s="58" t="s">
        <v>509</v>
      </c>
    </row>
    <row r="119" spans="2:37" ht="14" customHeight="1" x14ac:dyDescent="0.15">
      <c r="B119" s="106" t="s">
        <v>184</v>
      </c>
      <c r="C119" s="106">
        <f>SUMIFS('caseload data'!E:E,'caseload data'!$D:$D,"PO",'caseload data'!$C:$C,'cluster overview'!$B$103)</f>
        <v>0</v>
      </c>
      <c r="D119" s="106">
        <f>SUMIFS('caseload data'!F:F,'caseload data'!$D:$D,"PO",'caseload data'!$C:$C,'cluster overview'!$B$103)</f>
        <v>0</v>
      </c>
      <c r="E119" s="106">
        <f>SUMIFS('caseload data'!G:G,'caseload data'!$D:$D,"PO",'caseload data'!$C:$C,'cluster overview'!$B$103)</f>
        <v>0</v>
      </c>
      <c r="F119" s="106">
        <f>SUMIFS('caseload data'!H:H,'caseload data'!$D:$D,"PO",'caseload data'!$C:$C,'cluster overview'!$B$103)</f>
        <v>0</v>
      </c>
      <c r="G119" s="106">
        <f>SUMIFS('caseload data'!I:I,'caseload data'!$D:$D,"PO",'caseload data'!$C:$C,'cluster overview'!$B$103)</f>
        <v>0</v>
      </c>
      <c r="H119" s="106">
        <f>SUMIFS('caseload data'!J:J,'caseload data'!$D:$D,"PO",'caseload data'!$C:$C,'cluster overview'!$B$103)</f>
        <v>0</v>
      </c>
      <c r="I119" s="106">
        <f>SUMIFS('caseload data'!K:K,'caseload data'!$D:$D,"PO",'caseload data'!$C:$C,'cluster overview'!$B$103)</f>
        <v>0</v>
      </c>
      <c r="J119" s="106">
        <f>SUMIFS('caseload data'!L:L,'caseload data'!$D:$D,"PO",'caseload data'!$C:$C,'cluster overview'!$B$103)</f>
        <v>0</v>
      </c>
      <c r="K119" s="106">
        <f>SUMIFS('caseload data'!M:M,'caseload data'!$D:$D,"PO",'caseload data'!$C:$C,'cluster overview'!$B$103)</f>
        <v>0</v>
      </c>
      <c r="L119" s="106">
        <f>SUMIFS('caseload data'!N:N,'caseload data'!$D:$D,"PO",'caseload data'!$C:$C,'cluster overview'!$B$103)</f>
        <v>0</v>
      </c>
      <c r="M119" s="106">
        <f>SUMIFS('caseload data'!O:O,'caseload data'!$D:$D,"PO",'caseload data'!$C:$C,'cluster overview'!$B$103)</f>
        <v>0</v>
      </c>
      <c r="N119" s="106">
        <f>SUMIFS('caseload data'!P:P,'caseload data'!$D:$D,"PO",'caseload data'!$C:$C,'cluster overview'!$B$103)</f>
        <v>0</v>
      </c>
      <c r="O119" s="106">
        <f>SUMIFS('caseload data'!Q:Q,'caseload data'!$D:$D,"PO",'caseload data'!$C:$C,'cluster overview'!$B$103)</f>
        <v>0</v>
      </c>
      <c r="P119" s="106">
        <f>SUMIFS('caseload data'!R:R,'caseload data'!$D:$D,"PO",'caseload data'!$C:$C,'cluster overview'!$B$103)</f>
        <v>0</v>
      </c>
      <c r="Q119" s="106">
        <f>SUMIFS('caseload data'!S:S,'caseload data'!$D:$D,"PO",'caseload data'!$C:$C,'cluster overview'!$B$103)</f>
        <v>0</v>
      </c>
      <c r="R119" s="106">
        <f>SUMIFS('caseload data'!T:T,'caseload data'!$D:$D,"PO",'caseload data'!$C:$C,'cluster overview'!$B$103)</f>
        <v>0</v>
      </c>
      <c r="U119" s="106" t="s">
        <v>184</v>
      </c>
      <c r="V119" s="98" t="str">
        <f>IFERROR(C$119/SUM(C$119:C$122),"")</f>
        <v/>
      </c>
      <c r="W119" s="98" t="str">
        <f t="shared" ref="W119:AK119" si="20">IFERROR(D$119/SUM(D$119:D$122),"")</f>
        <v/>
      </c>
      <c r="X119" s="98" t="str">
        <f t="shared" si="20"/>
        <v/>
      </c>
      <c r="Y119" s="98" t="str">
        <f t="shared" si="20"/>
        <v/>
      </c>
      <c r="Z119" s="98" t="str">
        <f t="shared" si="20"/>
        <v/>
      </c>
      <c r="AA119" s="98" t="str">
        <f t="shared" si="20"/>
        <v/>
      </c>
      <c r="AB119" s="98" t="str">
        <f t="shared" si="20"/>
        <v/>
      </c>
      <c r="AC119" s="98" t="str">
        <f t="shared" si="20"/>
        <v/>
      </c>
      <c r="AD119" s="98" t="str">
        <f t="shared" si="20"/>
        <v/>
      </c>
      <c r="AE119" s="98" t="str">
        <f t="shared" si="20"/>
        <v/>
      </c>
      <c r="AF119" s="98" t="str">
        <f t="shared" si="20"/>
        <v/>
      </c>
      <c r="AG119" s="98" t="str">
        <f t="shared" si="20"/>
        <v/>
      </c>
      <c r="AH119" s="98" t="str">
        <f t="shared" si="20"/>
        <v/>
      </c>
      <c r="AI119" s="98" t="str">
        <f t="shared" si="20"/>
        <v/>
      </c>
      <c r="AJ119" s="98" t="str">
        <f t="shared" si="20"/>
        <v/>
      </c>
      <c r="AK119" s="98" t="str">
        <f t="shared" si="20"/>
        <v/>
      </c>
    </row>
    <row r="120" spans="2:37" ht="14" customHeight="1" x14ac:dyDescent="0.15">
      <c r="B120" s="106" t="s">
        <v>185</v>
      </c>
      <c r="C120" s="106">
        <f>SUMIFS('caseload data'!E:E,'caseload data'!$D:$D,"PSO",'caseload data'!$C:$C,'cluster overview'!$B$103)</f>
        <v>0</v>
      </c>
      <c r="D120" s="106">
        <f>SUMIFS('caseload data'!F:F,'caseload data'!$D:$D,"PSO",'caseload data'!$C:$C,'cluster overview'!$B$103)</f>
        <v>0</v>
      </c>
      <c r="E120" s="106">
        <f>SUMIFS('caseload data'!G:G,'caseload data'!$D:$D,"PSO",'caseload data'!$C:$C,'cluster overview'!$B$103)</f>
        <v>0</v>
      </c>
      <c r="F120" s="106">
        <f>SUMIFS('caseload data'!H:H,'caseload data'!$D:$D,"PSO",'caseload data'!$C:$C,'cluster overview'!$B$103)</f>
        <v>0</v>
      </c>
      <c r="G120" s="106">
        <f>SUMIFS('caseload data'!I:I,'caseload data'!$D:$D,"PSO",'caseload data'!$C:$C,'cluster overview'!$B$103)</f>
        <v>0</v>
      </c>
      <c r="H120" s="106">
        <f>SUMIFS('caseload data'!J:J,'caseload data'!$D:$D,"PSO",'caseload data'!$C:$C,'cluster overview'!$B$103)</f>
        <v>0</v>
      </c>
      <c r="I120" s="106">
        <f>SUMIFS('caseload data'!K:K,'caseload data'!$D:$D,"PSO",'caseload data'!$C:$C,'cluster overview'!$B$103)</f>
        <v>0</v>
      </c>
      <c r="J120" s="106">
        <f>SUMIFS('caseload data'!L:L,'caseload data'!$D:$D,"PSO",'caseload data'!$C:$C,'cluster overview'!$B$103)</f>
        <v>0</v>
      </c>
      <c r="K120" s="106">
        <f>SUMIFS('caseload data'!M:M,'caseload data'!$D:$D,"PSO",'caseload data'!$C:$C,'cluster overview'!$B$103)</f>
        <v>0</v>
      </c>
      <c r="L120" s="106">
        <f>SUMIFS('caseload data'!N:N,'caseload data'!$D:$D,"PSO",'caseload data'!$C:$C,'cluster overview'!$B$103)</f>
        <v>0</v>
      </c>
      <c r="M120" s="106">
        <f>SUMIFS('caseload data'!O:O,'caseload data'!$D:$D,"PSO",'caseload data'!$C:$C,'cluster overview'!$B$103)</f>
        <v>0</v>
      </c>
      <c r="N120" s="106">
        <f>SUMIFS('caseload data'!P:P,'caseload data'!$D:$D,"PSO",'caseload data'!$C:$C,'cluster overview'!$B$103)</f>
        <v>0</v>
      </c>
      <c r="O120" s="106">
        <f>SUMIFS('caseload data'!Q:Q,'caseload data'!$D:$D,"PSO",'caseload data'!$C:$C,'cluster overview'!$B$103)</f>
        <v>0</v>
      </c>
      <c r="P120" s="106">
        <f>SUMIFS('caseload data'!R:R,'caseload data'!$D:$D,"PSO",'caseload data'!$C:$C,'cluster overview'!$B$103)</f>
        <v>0</v>
      </c>
      <c r="Q120" s="106">
        <f>SUMIFS('caseload data'!S:S,'caseload data'!$D:$D,"PSO",'caseload data'!$C:$C,'cluster overview'!$B$103)</f>
        <v>0</v>
      </c>
      <c r="R120" s="106">
        <f>SUMIFS('caseload data'!T:T,'caseload data'!$D:$D,"PSO",'caseload data'!$C:$C,'cluster overview'!$B$103)</f>
        <v>0</v>
      </c>
      <c r="U120" s="106" t="s">
        <v>185</v>
      </c>
      <c r="V120" s="98" t="str">
        <f>IFERROR(C$120/SUM(C$119:C$122),"")</f>
        <v/>
      </c>
      <c r="W120" s="98" t="str">
        <f t="shared" ref="W120:AK120" si="21">IFERROR(D$120/SUM(D$119:D$122),"")</f>
        <v/>
      </c>
      <c r="X120" s="98" t="str">
        <f t="shared" si="21"/>
        <v/>
      </c>
      <c r="Y120" s="98" t="str">
        <f t="shared" si="21"/>
        <v/>
      </c>
      <c r="Z120" s="98" t="str">
        <f t="shared" si="21"/>
        <v/>
      </c>
      <c r="AA120" s="98" t="str">
        <f t="shared" si="21"/>
        <v/>
      </c>
      <c r="AB120" s="98" t="str">
        <f t="shared" si="21"/>
        <v/>
      </c>
      <c r="AC120" s="98" t="str">
        <f t="shared" si="21"/>
        <v/>
      </c>
      <c r="AD120" s="98" t="str">
        <f t="shared" si="21"/>
        <v/>
      </c>
      <c r="AE120" s="98" t="str">
        <f t="shared" si="21"/>
        <v/>
      </c>
      <c r="AF120" s="98" t="str">
        <f t="shared" si="21"/>
        <v/>
      </c>
      <c r="AG120" s="98" t="str">
        <f t="shared" si="21"/>
        <v/>
      </c>
      <c r="AH120" s="98" t="str">
        <f t="shared" si="21"/>
        <v/>
      </c>
      <c r="AI120" s="98" t="str">
        <f t="shared" si="21"/>
        <v/>
      </c>
      <c r="AJ120" s="98" t="str">
        <f t="shared" si="21"/>
        <v/>
      </c>
      <c r="AK120" s="98" t="str">
        <f t="shared" si="21"/>
        <v/>
      </c>
    </row>
    <row r="121" spans="2:37" ht="14" customHeight="1" x14ac:dyDescent="0.15">
      <c r="B121" s="106" t="s">
        <v>186</v>
      </c>
      <c r="C121" s="106">
        <f>SUMIFS('caseload data'!E:E,'caseload data'!$D:$D,"TPO",'caseload data'!$C:$C,'cluster overview'!$B$103)</f>
        <v>0</v>
      </c>
      <c r="D121" s="106">
        <f>SUMIFS('caseload data'!F:F,'caseload data'!$D:$D,"TPO",'caseload data'!$C:$C,'cluster overview'!$B$103)</f>
        <v>0</v>
      </c>
      <c r="E121" s="106">
        <f>SUMIFS('caseload data'!G:G,'caseload data'!$D:$D,"TPO",'caseload data'!$C:$C,'cluster overview'!$B$103)</f>
        <v>0</v>
      </c>
      <c r="F121" s="106">
        <f>SUMIFS('caseload data'!H:H,'caseload data'!$D:$D,"TPO",'caseload data'!$C:$C,'cluster overview'!$B$103)</f>
        <v>0</v>
      </c>
      <c r="G121" s="106">
        <f>SUMIFS('caseload data'!I:I,'caseload data'!$D:$D,"TPO",'caseload data'!$C:$C,'cluster overview'!$B$103)</f>
        <v>0</v>
      </c>
      <c r="H121" s="106">
        <f>SUMIFS('caseload data'!J:J,'caseload data'!$D:$D,"TPO",'caseload data'!$C:$C,'cluster overview'!$B$103)</f>
        <v>0</v>
      </c>
      <c r="I121" s="106">
        <f>SUMIFS('caseload data'!K:K,'caseload data'!$D:$D,"TPO",'caseload data'!$C:$C,'cluster overview'!$B$103)</f>
        <v>0</v>
      </c>
      <c r="J121" s="106">
        <f>SUMIFS('caseload data'!L:L,'caseload data'!$D:$D,"TPO",'caseload data'!$C:$C,'cluster overview'!$B$103)</f>
        <v>0</v>
      </c>
      <c r="K121" s="106">
        <f>SUMIFS('caseload data'!M:M,'caseload data'!$D:$D,"TPO",'caseload data'!$C:$C,'cluster overview'!$B$103)</f>
        <v>0</v>
      </c>
      <c r="L121" s="106">
        <f>SUMIFS('caseload data'!N:N,'caseload data'!$D:$D,"TPO",'caseload data'!$C:$C,'cluster overview'!$B$103)</f>
        <v>0</v>
      </c>
      <c r="M121" s="106">
        <f>SUMIFS('caseload data'!O:O,'caseload data'!$D:$D,"TPO",'caseload data'!$C:$C,'cluster overview'!$B$103)</f>
        <v>0</v>
      </c>
      <c r="N121" s="106">
        <f>SUMIFS('caseload data'!P:P,'caseload data'!$D:$D,"TPO",'caseload data'!$C:$C,'cluster overview'!$B$103)</f>
        <v>0</v>
      </c>
      <c r="O121" s="106">
        <f>SUMIFS('caseload data'!Q:Q,'caseload data'!$D:$D,"TPO",'caseload data'!$C:$C,'cluster overview'!$B$103)</f>
        <v>0</v>
      </c>
      <c r="P121" s="106">
        <f>SUMIFS('caseload data'!R:R,'caseload data'!$D:$D,"TPO",'caseload data'!$C:$C,'cluster overview'!$B$103)</f>
        <v>0</v>
      </c>
      <c r="Q121" s="106">
        <f>SUMIFS('caseload data'!S:S,'caseload data'!$D:$D,"TPO",'caseload data'!$C:$C,'cluster overview'!$B$103)</f>
        <v>0</v>
      </c>
      <c r="R121" s="106">
        <f>SUMIFS('caseload data'!T:T,'caseload data'!$D:$D,"TPO",'caseload data'!$C:$C,'cluster overview'!$B$103)</f>
        <v>0</v>
      </c>
      <c r="U121" s="106" t="s">
        <v>186</v>
      </c>
      <c r="V121" s="98" t="str">
        <f>IFERROR(C$121/SUM(C$119:C$122),"")</f>
        <v/>
      </c>
      <c r="W121" s="98" t="str">
        <f t="shared" ref="W121:AK121" si="22">IFERROR(D$121/SUM(D$119:D$122),"")</f>
        <v/>
      </c>
      <c r="X121" s="98" t="str">
        <f t="shared" si="22"/>
        <v/>
      </c>
      <c r="Y121" s="98" t="str">
        <f t="shared" si="22"/>
        <v/>
      </c>
      <c r="Z121" s="98" t="str">
        <f t="shared" si="22"/>
        <v/>
      </c>
      <c r="AA121" s="98" t="str">
        <f t="shared" si="22"/>
        <v/>
      </c>
      <c r="AB121" s="98" t="str">
        <f t="shared" si="22"/>
        <v/>
      </c>
      <c r="AC121" s="98" t="str">
        <f t="shared" si="22"/>
        <v/>
      </c>
      <c r="AD121" s="98" t="str">
        <f t="shared" si="22"/>
        <v/>
      </c>
      <c r="AE121" s="98" t="str">
        <f t="shared" si="22"/>
        <v/>
      </c>
      <c r="AF121" s="98" t="str">
        <f t="shared" si="22"/>
        <v/>
      </c>
      <c r="AG121" s="98" t="str">
        <f t="shared" si="22"/>
        <v/>
      </c>
      <c r="AH121" s="98" t="str">
        <f t="shared" si="22"/>
        <v/>
      </c>
      <c r="AI121" s="98" t="str">
        <f t="shared" si="22"/>
        <v/>
      </c>
      <c r="AJ121" s="98" t="str">
        <f t="shared" si="22"/>
        <v/>
      </c>
      <c r="AK121" s="98" t="str">
        <f t="shared" si="22"/>
        <v/>
      </c>
    </row>
    <row r="122" spans="2:37" ht="14" customHeight="1" x14ac:dyDescent="0.15">
      <c r="B122" s="106" t="s">
        <v>187</v>
      </c>
      <c r="C122" s="106">
        <f>SUMIFS('caseload data'!E:E,'caseload data'!$D:$D,"SPO",'caseload data'!$C:$C,'cluster overview'!$B$103)</f>
        <v>0</v>
      </c>
      <c r="D122" s="106">
        <f>SUMIFS('caseload data'!F:F,'caseload data'!$D:$D,"SPO",'caseload data'!$C:$C,'cluster overview'!$B$103)</f>
        <v>0</v>
      </c>
      <c r="E122" s="106">
        <f>SUMIFS('caseload data'!G:G,'caseload data'!$D:$D,"SPO",'caseload data'!$C:$C,'cluster overview'!$B$103)</f>
        <v>0</v>
      </c>
      <c r="F122" s="106">
        <f>SUMIFS('caseload data'!H:H,'caseload data'!$D:$D,"SPO",'caseload data'!$C:$C,'cluster overview'!$B$103)</f>
        <v>0</v>
      </c>
      <c r="G122" s="106">
        <f>SUMIFS('caseload data'!I:I,'caseload data'!$D:$D,"SPO",'caseload data'!$C:$C,'cluster overview'!$B$103)</f>
        <v>0</v>
      </c>
      <c r="H122" s="106">
        <f>SUMIFS('caseload data'!J:J,'caseload data'!$D:$D,"SPO",'caseload data'!$C:$C,'cluster overview'!$B$103)</f>
        <v>0</v>
      </c>
      <c r="I122" s="106">
        <f>SUMIFS('caseload data'!K:K,'caseload data'!$D:$D,"SPO",'caseload data'!$C:$C,'cluster overview'!$B$103)</f>
        <v>0</v>
      </c>
      <c r="J122" s="106">
        <f>SUMIFS('caseload data'!L:L,'caseload data'!$D:$D,"SPO",'caseload data'!$C:$C,'cluster overview'!$B$103)</f>
        <v>0</v>
      </c>
      <c r="K122" s="106">
        <f>SUMIFS('caseload data'!M:M,'caseload data'!$D:$D,"SPO",'caseload data'!$C:$C,'cluster overview'!$B$103)</f>
        <v>0</v>
      </c>
      <c r="L122" s="106">
        <f>SUMIFS('caseload data'!N:N,'caseload data'!$D:$D,"SPO",'caseload data'!$C:$C,'cluster overview'!$B$103)</f>
        <v>0</v>
      </c>
      <c r="M122" s="106">
        <f>SUMIFS('caseload data'!O:O,'caseload data'!$D:$D,"SPO",'caseload data'!$C:$C,'cluster overview'!$B$103)</f>
        <v>0</v>
      </c>
      <c r="N122" s="106">
        <f>SUMIFS('caseload data'!P:P,'caseload data'!$D:$D,"SPO",'caseload data'!$C:$C,'cluster overview'!$B$103)</f>
        <v>0</v>
      </c>
      <c r="O122" s="106">
        <f>SUMIFS('caseload data'!Q:Q,'caseload data'!$D:$D,"SPO",'caseload data'!$C:$C,'cluster overview'!$B$103)</f>
        <v>0</v>
      </c>
      <c r="P122" s="106">
        <f>SUMIFS('caseload data'!R:R,'caseload data'!$D:$D,"SPO",'caseload data'!$C:$C,'cluster overview'!$B$103)</f>
        <v>0</v>
      </c>
      <c r="Q122" s="106">
        <f>SUMIFS('caseload data'!S:S,'caseload data'!$D:$D,"SPO",'caseload data'!$C:$C,'cluster overview'!$B$103)</f>
        <v>0</v>
      </c>
      <c r="R122" s="106">
        <f>SUMIFS('caseload data'!T:T,'caseload data'!$D:$D,"SPO",'caseload data'!$C:$C,'cluster overview'!$B$103)</f>
        <v>0</v>
      </c>
      <c r="U122" s="106" t="s">
        <v>187</v>
      </c>
      <c r="V122" s="98" t="str">
        <f>IFERROR(C$122/SUM(C$119:C$122),"")</f>
        <v/>
      </c>
      <c r="W122" s="98" t="str">
        <f t="shared" ref="W122:AK122" si="23">IFERROR(D$122/SUM(D$119:D$122),"")</f>
        <v/>
      </c>
      <c r="X122" s="98" t="str">
        <f t="shared" si="23"/>
        <v/>
      </c>
      <c r="Y122" s="98" t="str">
        <f t="shared" si="23"/>
        <v/>
      </c>
      <c r="Z122" s="98" t="str">
        <f t="shared" si="23"/>
        <v/>
      </c>
      <c r="AA122" s="98" t="str">
        <f t="shared" si="23"/>
        <v/>
      </c>
      <c r="AB122" s="98" t="str">
        <f t="shared" si="23"/>
        <v/>
      </c>
      <c r="AC122" s="98" t="str">
        <f t="shared" si="23"/>
        <v/>
      </c>
      <c r="AD122" s="98" t="str">
        <f t="shared" si="23"/>
        <v/>
      </c>
      <c r="AE122" s="98" t="str">
        <f t="shared" si="23"/>
        <v/>
      </c>
      <c r="AF122" s="98" t="str">
        <f t="shared" si="23"/>
        <v/>
      </c>
      <c r="AG122" s="98" t="str">
        <f t="shared" si="23"/>
        <v/>
      </c>
      <c r="AH122" s="98" t="str">
        <f t="shared" si="23"/>
        <v/>
      </c>
      <c r="AI122" s="98" t="str">
        <f t="shared" si="23"/>
        <v/>
      </c>
      <c r="AJ122" s="98" t="str">
        <f t="shared" si="23"/>
        <v/>
      </c>
      <c r="AK122" s="98" t="str">
        <f t="shared" si="23"/>
        <v/>
      </c>
    </row>
    <row r="123" spans="2:37" x14ac:dyDescent="0.15">
      <c r="U123" s="30"/>
      <c r="V123" s="30"/>
      <c r="W123" s="30"/>
      <c r="X123" s="30"/>
      <c r="Y123" s="30"/>
      <c r="Z123" s="30"/>
      <c r="AA123" s="30"/>
      <c r="AB123" s="30"/>
      <c r="AC123" s="30"/>
    </row>
    <row r="124" spans="2:37" x14ac:dyDescent="0.15">
      <c r="U124" s="30"/>
      <c r="V124" s="30"/>
      <c r="W124" s="30"/>
      <c r="X124" s="30"/>
      <c r="Y124" s="30"/>
      <c r="Z124" s="30"/>
      <c r="AA124" s="30"/>
      <c r="AB124" s="30"/>
      <c r="AC124" s="30"/>
    </row>
  </sheetData>
  <mergeCells count="25">
    <mergeCell ref="F46:F50"/>
    <mergeCell ref="G46:G50"/>
    <mergeCell ref="F34:F36"/>
    <mergeCell ref="G34:G36"/>
    <mergeCell ref="B32:D32"/>
    <mergeCell ref="F32:G32"/>
    <mergeCell ref="F37:F39"/>
    <mergeCell ref="G37:G39"/>
    <mergeCell ref="F41:F45"/>
    <mergeCell ref="G41:G45"/>
    <mergeCell ref="B26:K26"/>
    <mergeCell ref="B8:F8"/>
    <mergeCell ref="A1:S1"/>
    <mergeCell ref="A2:S2"/>
    <mergeCell ref="B19:H19"/>
    <mergeCell ref="C117:R117"/>
    <mergeCell ref="V96:AK96"/>
    <mergeCell ref="V103:AK103"/>
    <mergeCell ref="V110:AK110"/>
    <mergeCell ref="V117:AK117"/>
    <mergeCell ref="C80:S80"/>
    <mergeCell ref="C87:R87"/>
    <mergeCell ref="C96:R96"/>
    <mergeCell ref="C103:R103"/>
    <mergeCell ref="C110:R110"/>
  </mergeCells>
  <phoneticPr fontId="86" type="noConversion"/>
  <conditionalFormatting sqref="C11:E11 C10:F10">
    <cfRule type="cellIs" dxfId="5757" priority="201" operator="lessThan">
      <formula>0.9</formula>
    </cfRule>
    <cfRule type="cellIs" dxfId="5756" priority="202" operator="greaterThanOrEqual">
      <formula>1.1</formula>
    </cfRule>
  </conditionalFormatting>
  <conditionalFormatting sqref="F11">
    <cfRule type="cellIs" dxfId="5755" priority="197" operator="lessThan">
      <formula>0.9</formula>
    </cfRule>
    <cfRule type="cellIs" dxfId="5754" priority="198" operator="greaterThanOrEqual">
      <formula>1.1</formula>
    </cfRule>
  </conditionalFormatting>
  <conditionalFormatting sqref="C99:C100">
    <cfRule type="cellIs" dxfId="5753" priority="191" operator="equal">
      <formula>0</formula>
    </cfRule>
    <cfRule type="cellIs" dxfId="5752" priority="192" operator="greaterThan">
      <formula>0</formula>
    </cfRule>
  </conditionalFormatting>
  <conditionalFormatting sqref="D99:D100">
    <cfRule type="cellIs" dxfId="5751" priority="189" operator="equal">
      <formula>0</formula>
    </cfRule>
    <cfRule type="cellIs" dxfId="5750" priority="190" operator="greaterThan">
      <formula>0</formula>
    </cfRule>
  </conditionalFormatting>
  <conditionalFormatting sqref="E99:E100">
    <cfRule type="cellIs" dxfId="5749" priority="187" operator="equal">
      <formula>0</formula>
    </cfRule>
    <cfRule type="cellIs" dxfId="5748" priority="188" operator="greaterThan">
      <formula>0</formula>
    </cfRule>
  </conditionalFormatting>
  <conditionalFormatting sqref="F99:F100">
    <cfRule type="cellIs" dxfId="5747" priority="185" operator="equal">
      <formula>0</formula>
    </cfRule>
    <cfRule type="cellIs" dxfId="5746" priority="186" operator="greaterThan">
      <formula>0</formula>
    </cfRule>
  </conditionalFormatting>
  <conditionalFormatting sqref="G99:G100">
    <cfRule type="cellIs" dxfId="5745" priority="183" operator="equal">
      <formula>0</formula>
    </cfRule>
    <cfRule type="cellIs" dxfId="5744" priority="184" operator="greaterThan">
      <formula>0</formula>
    </cfRule>
  </conditionalFormatting>
  <conditionalFormatting sqref="H99:H100">
    <cfRule type="cellIs" dxfId="5743" priority="181" operator="equal">
      <formula>0</formula>
    </cfRule>
    <cfRule type="cellIs" dxfId="5742" priority="182" operator="greaterThan">
      <formula>0</formula>
    </cfRule>
  </conditionalFormatting>
  <conditionalFormatting sqref="I99:I100">
    <cfRule type="cellIs" dxfId="5741" priority="179" operator="equal">
      <formula>0</formula>
    </cfRule>
    <cfRule type="cellIs" dxfId="5740" priority="180" operator="greaterThan">
      <formula>0</formula>
    </cfRule>
  </conditionalFormatting>
  <conditionalFormatting sqref="J99:J100">
    <cfRule type="cellIs" dxfId="5739" priority="177" operator="equal">
      <formula>0</formula>
    </cfRule>
    <cfRule type="cellIs" dxfId="5738" priority="178" operator="greaterThan">
      <formula>0</formula>
    </cfRule>
  </conditionalFormatting>
  <conditionalFormatting sqref="O98">
    <cfRule type="cellIs" dxfId="5737" priority="175" operator="equal">
      <formula>0</formula>
    </cfRule>
    <cfRule type="cellIs" dxfId="5736" priority="176" operator="greaterThan">
      <formula>0</formula>
    </cfRule>
  </conditionalFormatting>
  <conditionalFormatting sqref="P98">
    <cfRule type="cellIs" dxfId="5735" priority="173" operator="equal">
      <formula>0</formula>
    </cfRule>
    <cfRule type="cellIs" dxfId="5734" priority="174" operator="greaterThan">
      <formula>0</formula>
    </cfRule>
  </conditionalFormatting>
  <conditionalFormatting sqref="Q98">
    <cfRule type="cellIs" dxfId="5733" priority="171" operator="equal">
      <formula>0</formula>
    </cfRule>
    <cfRule type="cellIs" dxfId="5732" priority="172" operator="greaterThan">
      <formula>0</formula>
    </cfRule>
  </conditionalFormatting>
  <conditionalFormatting sqref="R98">
    <cfRule type="cellIs" dxfId="5731" priority="169" operator="equal">
      <formula>0</formula>
    </cfRule>
    <cfRule type="cellIs" dxfId="5730" priority="170" operator="greaterThan">
      <formula>0</formula>
    </cfRule>
  </conditionalFormatting>
  <conditionalFormatting sqref="C106:C107">
    <cfRule type="cellIs" dxfId="5729" priority="167" operator="equal">
      <formula>0</formula>
    </cfRule>
    <cfRule type="cellIs" dxfId="5728" priority="168" operator="greaterThan">
      <formula>0</formula>
    </cfRule>
  </conditionalFormatting>
  <conditionalFormatting sqref="D106:D107">
    <cfRule type="cellIs" dxfId="5727" priority="165" operator="equal">
      <formula>0</formula>
    </cfRule>
    <cfRule type="cellIs" dxfId="5726" priority="166" operator="greaterThan">
      <formula>0</formula>
    </cfRule>
  </conditionalFormatting>
  <conditionalFormatting sqref="E106:E107">
    <cfRule type="cellIs" dxfId="5725" priority="163" operator="equal">
      <formula>0</formula>
    </cfRule>
    <cfRule type="cellIs" dxfId="5724" priority="164" operator="greaterThan">
      <formula>0</formula>
    </cfRule>
  </conditionalFormatting>
  <conditionalFormatting sqref="F106:F107">
    <cfRule type="cellIs" dxfId="5723" priority="161" operator="equal">
      <formula>0</formula>
    </cfRule>
    <cfRule type="cellIs" dxfId="5722" priority="162" operator="greaterThan">
      <formula>0</formula>
    </cfRule>
  </conditionalFormatting>
  <conditionalFormatting sqref="G106:G107">
    <cfRule type="cellIs" dxfId="5721" priority="159" operator="equal">
      <formula>0</formula>
    </cfRule>
    <cfRule type="cellIs" dxfId="5720" priority="160" operator="greaterThan">
      <formula>0</formula>
    </cfRule>
  </conditionalFormatting>
  <conditionalFormatting sqref="H106:H107">
    <cfRule type="cellIs" dxfId="5719" priority="157" operator="equal">
      <formula>0</formula>
    </cfRule>
    <cfRule type="cellIs" dxfId="5718" priority="158" operator="greaterThan">
      <formula>0</formula>
    </cfRule>
  </conditionalFormatting>
  <conditionalFormatting sqref="I106:I107">
    <cfRule type="cellIs" dxfId="5717" priority="155" operator="equal">
      <formula>0</formula>
    </cfRule>
    <cfRule type="cellIs" dxfId="5716" priority="156" operator="greaterThan">
      <formula>0</formula>
    </cfRule>
  </conditionalFormatting>
  <conditionalFormatting sqref="J106:J107">
    <cfRule type="cellIs" dxfId="5715" priority="153" operator="equal">
      <formula>0</formula>
    </cfRule>
    <cfRule type="cellIs" dxfId="5714" priority="154" operator="greaterThan">
      <formula>0</formula>
    </cfRule>
  </conditionalFormatting>
  <conditionalFormatting sqref="O105">
    <cfRule type="cellIs" dxfId="5713" priority="151" operator="equal">
      <formula>0</formula>
    </cfRule>
    <cfRule type="cellIs" dxfId="5712" priority="152" operator="greaterThan">
      <formula>0</formula>
    </cfRule>
  </conditionalFormatting>
  <conditionalFormatting sqref="P105">
    <cfRule type="cellIs" dxfId="5711" priority="149" operator="equal">
      <formula>0</formula>
    </cfRule>
    <cfRule type="cellIs" dxfId="5710" priority="150" operator="greaterThan">
      <formula>0</formula>
    </cfRule>
  </conditionalFormatting>
  <conditionalFormatting sqref="Q105">
    <cfRule type="cellIs" dxfId="5709" priority="147" operator="equal">
      <formula>0</formula>
    </cfRule>
    <cfRule type="cellIs" dxfId="5708" priority="148" operator="greaterThan">
      <formula>0</formula>
    </cfRule>
  </conditionalFormatting>
  <conditionalFormatting sqref="R105">
    <cfRule type="cellIs" dxfId="5707" priority="145" operator="equal">
      <formula>0</formula>
    </cfRule>
    <cfRule type="cellIs" dxfId="5706" priority="146" operator="greaterThan">
      <formula>0</formula>
    </cfRule>
  </conditionalFormatting>
  <conditionalFormatting sqref="C113:C114">
    <cfRule type="cellIs" dxfId="5705" priority="143" operator="equal">
      <formula>0</formula>
    </cfRule>
    <cfRule type="cellIs" dxfId="5704" priority="144" operator="greaterThan">
      <formula>0</formula>
    </cfRule>
  </conditionalFormatting>
  <conditionalFormatting sqref="D113:D114">
    <cfRule type="cellIs" dxfId="5703" priority="141" operator="equal">
      <formula>0</formula>
    </cfRule>
    <cfRule type="cellIs" dxfId="5702" priority="142" operator="greaterThan">
      <formula>0</formula>
    </cfRule>
  </conditionalFormatting>
  <conditionalFormatting sqref="E113:E114">
    <cfRule type="cellIs" dxfId="5701" priority="139" operator="equal">
      <formula>0</formula>
    </cfRule>
    <cfRule type="cellIs" dxfId="5700" priority="140" operator="greaterThan">
      <formula>0</formula>
    </cfRule>
  </conditionalFormatting>
  <conditionalFormatting sqref="F113:F114">
    <cfRule type="cellIs" dxfId="5699" priority="137" operator="equal">
      <formula>0</formula>
    </cfRule>
    <cfRule type="cellIs" dxfId="5698" priority="138" operator="greaterThan">
      <formula>0</formula>
    </cfRule>
  </conditionalFormatting>
  <conditionalFormatting sqref="G113:G114">
    <cfRule type="cellIs" dxfId="5697" priority="135" operator="equal">
      <formula>0</formula>
    </cfRule>
    <cfRule type="cellIs" dxfId="5696" priority="136" operator="greaterThan">
      <formula>0</formula>
    </cfRule>
  </conditionalFormatting>
  <conditionalFormatting sqref="H113:H114">
    <cfRule type="cellIs" dxfId="5695" priority="133" operator="equal">
      <formula>0</formula>
    </cfRule>
    <cfRule type="cellIs" dxfId="5694" priority="134" operator="greaterThan">
      <formula>0</formula>
    </cfRule>
  </conditionalFormatting>
  <conditionalFormatting sqref="I113:I114">
    <cfRule type="cellIs" dxfId="5693" priority="131" operator="equal">
      <formula>0</formula>
    </cfRule>
    <cfRule type="cellIs" dxfId="5692" priority="132" operator="greaterThan">
      <formula>0</formula>
    </cfRule>
  </conditionalFormatting>
  <conditionalFormatting sqref="J113:J114">
    <cfRule type="cellIs" dxfId="5691" priority="129" operator="equal">
      <formula>0</formula>
    </cfRule>
    <cfRule type="cellIs" dxfId="5690" priority="130" operator="greaterThan">
      <formula>0</formula>
    </cfRule>
  </conditionalFormatting>
  <conditionalFormatting sqref="O112">
    <cfRule type="cellIs" dxfId="5689" priority="127" operator="equal">
      <formula>0</formula>
    </cfRule>
    <cfRule type="cellIs" dxfId="5688" priority="128" operator="greaterThan">
      <formula>0</formula>
    </cfRule>
  </conditionalFormatting>
  <conditionalFormatting sqref="P112">
    <cfRule type="cellIs" dxfId="5687" priority="125" operator="equal">
      <formula>0</formula>
    </cfRule>
    <cfRule type="cellIs" dxfId="5686" priority="126" operator="greaterThan">
      <formula>0</formula>
    </cfRule>
  </conditionalFormatting>
  <conditionalFormatting sqref="Q112">
    <cfRule type="cellIs" dxfId="5685" priority="123" operator="equal">
      <formula>0</formula>
    </cfRule>
    <cfRule type="cellIs" dxfId="5684" priority="124" operator="greaterThan">
      <formula>0</formula>
    </cfRule>
  </conditionalFormatting>
  <conditionalFormatting sqref="R112">
    <cfRule type="cellIs" dxfId="5683" priority="121" operator="equal">
      <formula>0</formula>
    </cfRule>
    <cfRule type="cellIs" dxfId="5682" priority="122" operator="greaterThan">
      <formula>0</formula>
    </cfRule>
  </conditionalFormatting>
  <conditionalFormatting sqref="C120:C121">
    <cfRule type="cellIs" dxfId="5681" priority="119" operator="equal">
      <formula>0</formula>
    </cfRule>
    <cfRule type="cellIs" dxfId="5680" priority="120" operator="greaterThan">
      <formula>0</formula>
    </cfRule>
  </conditionalFormatting>
  <conditionalFormatting sqref="D120:D121">
    <cfRule type="cellIs" dxfId="5679" priority="117" operator="equal">
      <formula>0</formula>
    </cfRule>
    <cfRule type="cellIs" dxfId="5678" priority="118" operator="greaterThan">
      <formula>0</formula>
    </cfRule>
  </conditionalFormatting>
  <conditionalFormatting sqref="E120:E121">
    <cfRule type="cellIs" dxfId="5677" priority="115" operator="equal">
      <formula>0</formula>
    </cfRule>
    <cfRule type="cellIs" dxfId="5676" priority="116" operator="greaterThan">
      <formula>0</formula>
    </cfRule>
  </conditionalFormatting>
  <conditionalFormatting sqref="F120:F121">
    <cfRule type="cellIs" dxfId="5675" priority="113" operator="equal">
      <formula>0</formula>
    </cfRule>
    <cfRule type="cellIs" dxfId="5674" priority="114" operator="greaterThan">
      <formula>0</formula>
    </cfRule>
  </conditionalFormatting>
  <conditionalFormatting sqref="G120:G121">
    <cfRule type="cellIs" dxfId="5673" priority="111" operator="equal">
      <formula>0</formula>
    </cfRule>
    <cfRule type="cellIs" dxfId="5672" priority="112" operator="greaterThan">
      <formula>0</formula>
    </cfRule>
  </conditionalFormatting>
  <conditionalFormatting sqref="H120:H121">
    <cfRule type="cellIs" dxfId="5671" priority="109" operator="equal">
      <formula>0</formula>
    </cfRule>
    <cfRule type="cellIs" dxfId="5670" priority="110" operator="greaterThan">
      <formula>0</formula>
    </cfRule>
  </conditionalFormatting>
  <conditionalFormatting sqref="I120:I121">
    <cfRule type="cellIs" dxfId="5669" priority="107" operator="equal">
      <formula>0</formula>
    </cfRule>
    <cfRule type="cellIs" dxfId="5668" priority="108" operator="greaterThan">
      <formula>0</formula>
    </cfRule>
  </conditionalFormatting>
  <conditionalFormatting sqref="J120:J121">
    <cfRule type="cellIs" dxfId="5667" priority="105" operator="equal">
      <formula>0</formula>
    </cfRule>
    <cfRule type="cellIs" dxfId="5666" priority="106" operator="greaterThan">
      <formula>0</formula>
    </cfRule>
  </conditionalFormatting>
  <conditionalFormatting sqref="O119">
    <cfRule type="cellIs" dxfId="5665" priority="103" operator="equal">
      <formula>0</formula>
    </cfRule>
    <cfRule type="cellIs" dxfId="5664" priority="104" operator="greaterThan">
      <formula>0</formula>
    </cfRule>
  </conditionalFormatting>
  <conditionalFormatting sqref="P119">
    <cfRule type="cellIs" dxfId="5663" priority="101" operator="equal">
      <formula>0</formula>
    </cfRule>
    <cfRule type="cellIs" dxfId="5662" priority="102" operator="greaterThan">
      <formula>0</formula>
    </cfRule>
  </conditionalFormatting>
  <conditionalFormatting sqref="Q119">
    <cfRule type="cellIs" dxfId="5661" priority="99" operator="equal">
      <formula>0</formula>
    </cfRule>
    <cfRule type="cellIs" dxfId="5660" priority="100" operator="greaterThan">
      <formula>0</formula>
    </cfRule>
  </conditionalFormatting>
  <conditionalFormatting sqref="R119">
    <cfRule type="cellIs" dxfId="5659" priority="97" operator="equal">
      <formula>0</formula>
    </cfRule>
    <cfRule type="cellIs" dxfId="5658" priority="98" operator="greaterThan">
      <formula>0</formula>
    </cfRule>
  </conditionalFormatting>
  <conditionalFormatting sqref="V99:V100">
    <cfRule type="cellIs" dxfId="5657" priority="95" operator="equal">
      <formula>0</formula>
    </cfRule>
    <cfRule type="cellIs" dxfId="5656" priority="96" operator="greaterThan">
      <formula>0</formula>
    </cfRule>
  </conditionalFormatting>
  <conditionalFormatting sqref="W99:W100">
    <cfRule type="cellIs" dxfId="5655" priority="93" operator="equal">
      <formula>0</formula>
    </cfRule>
    <cfRule type="cellIs" dxfId="5654" priority="94" operator="greaterThan">
      <formula>0</formula>
    </cfRule>
  </conditionalFormatting>
  <conditionalFormatting sqref="X99:X100">
    <cfRule type="cellIs" dxfId="5653" priority="91" operator="equal">
      <formula>0</formula>
    </cfRule>
    <cfRule type="cellIs" dxfId="5652" priority="92" operator="greaterThan">
      <formula>0</formula>
    </cfRule>
  </conditionalFormatting>
  <conditionalFormatting sqref="Y99:Y100">
    <cfRule type="cellIs" dxfId="5651" priority="89" operator="equal">
      <formula>0</formula>
    </cfRule>
    <cfRule type="cellIs" dxfId="5650" priority="90" operator="greaterThan">
      <formula>0</formula>
    </cfRule>
  </conditionalFormatting>
  <conditionalFormatting sqref="Z99:Z100">
    <cfRule type="cellIs" dxfId="5649" priority="87" operator="equal">
      <formula>0</formula>
    </cfRule>
    <cfRule type="cellIs" dxfId="5648" priority="88" operator="greaterThan">
      <formula>0</formula>
    </cfRule>
  </conditionalFormatting>
  <conditionalFormatting sqref="AA99:AA100">
    <cfRule type="cellIs" dxfId="5647" priority="85" operator="equal">
      <formula>0</formula>
    </cfRule>
    <cfRule type="cellIs" dxfId="5646" priority="86" operator="greaterThan">
      <formula>0</formula>
    </cfRule>
  </conditionalFormatting>
  <conditionalFormatting sqref="AB99:AB100">
    <cfRule type="cellIs" dxfId="5645" priority="83" operator="equal">
      <formula>0</formula>
    </cfRule>
    <cfRule type="cellIs" dxfId="5644" priority="84" operator="greaterThan">
      <formula>0</formula>
    </cfRule>
  </conditionalFormatting>
  <conditionalFormatting sqref="AC99:AC100">
    <cfRule type="cellIs" dxfId="5643" priority="81" operator="equal">
      <formula>0</formula>
    </cfRule>
    <cfRule type="cellIs" dxfId="5642" priority="82" operator="greaterThan">
      <formula>0</formula>
    </cfRule>
  </conditionalFormatting>
  <conditionalFormatting sqref="AH98">
    <cfRule type="cellIs" dxfId="5641" priority="79" operator="equal">
      <formula>0</formula>
    </cfRule>
    <cfRule type="cellIs" dxfId="5640" priority="80" operator="greaterThan">
      <formula>0</formula>
    </cfRule>
  </conditionalFormatting>
  <conditionalFormatting sqref="AI98">
    <cfRule type="cellIs" dxfId="5639" priority="77" operator="equal">
      <formula>0</formula>
    </cfRule>
    <cfRule type="cellIs" dxfId="5638" priority="78" operator="greaterThan">
      <formula>0</formula>
    </cfRule>
  </conditionalFormatting>
  <conditionalFormatting sqref="AJ98">
    <cfRule type="cellIs" dxfId="5637" priority="75" operator="equal">
      <formula>0</formula>
    </cfRule>
    <cfRule type="cellIs" dxfId="5636" priority="76" operator="greaterThan">
      <formula>0</formula>
    </cfRule>
  </conditionalFormatting>
  <conditionalFormatting sqref="AK98">
    <cfRule type="cellIs" dxfId="5635" priority="73" operator="equal">
      <formula>0</formula>
    </cfRule>
    <cfRule type="cellIs" dxfId="5634" priority="74" operator="greaterThan">
      <formula>0</formula>
    </cfRule>
  </conditionalFormatting>
  <conditionalFormatting sqref="V106:V107">
    <cfRule type="cellIs" dxfId="5633" priority="71" operator="equal">
      <formula>0</formula>
    </cfRule>
    <cfRule type="cellIs" dxfId="5632" priority="72" operator="greaterThan">
      <formula>0</formula>
    </cfRule>
  </conditionalFormatting>
  <conditionalFormatting sqref="W106:W107">
    <cfRule type="cellIs" dxfId="5631" priority="69" operator="equal">
      <formula>0</formula>
    </cfRule>
    <cfRule type="cellIs" dxfId="5630" priority="70" operator="greaterThan">
      <formula>0</formula>
    </cfRule>
  </conditionalFormatting>
  <conditionalFormatting sqref="X106:X107">
    <cfRule type="cellIs" dxfId="5629" priority="67" operator="equal">
      <formula>0</formula>
    </cfRule>
    <cfRule type="cellIs" dxfId="5628" priority="68" operator="greaterThan">
      <formula>0</formula>
    </cfRule>
  </conditionalFormatting>
  <conditionalFormatting sqref="Y106:Y107">
    <cfRule type="cellIs" dxfId="5627" priority="65" operator="equal">
      <formula>0</formula>
    </cfRule>
    <cfRule type="cellIs" dxfId="5626" priority="66" operator="greaterThan">
      <formula>0</formula>
    </cfRule>
  </conditionalFormatting>
  <conditionalFormatting sqref="Z106:Z107">
    <cfRule type="cellIs" dxfId="5625" priority="63" operator="equal">
      <formula>0</formula>
    </cfRule>
    <cfRule type="cellIs" dxfId="5624" priority="64" operator="greaterThan">
      <formula>0</formula>
    </cfRule>
  </conditionalFormatting>
  <conditionalFormatting sqref="AA106:AA107">
    <cfRule type="cellIs" dxfId="5623" priority="61" operator="equal">
      <formula>0</formula>
    </cfRule>
    <cfRule type="cellIs" dxfId="5622" priority="62" operator="greaterThan">
      <formula>0</formula>
    </cfRule>
  </conditionalFormatting>
  <conditionalFormatting sqref="AB106:AB107">
    <cfRule type="cellIs" dxfId="5621" priority="59" operator="equal">
      <formula>0</formula>
    </cfRule>
    <cfRule type="cellIs" dxfId="5620" priority="60" operator="greaterThan">
      <formula>0</formula>
    </cfRule>
  </conditionalFormatting>
  <conditionalFormatting sqref="AC106:AC107">
    <cfRule type="cellIs" dxfId="5619" priority="57" operator="equal">
      <formula>0</formula>
    </cfRule>
    <cfRule type="cellIs" dxfId="5618" priority="58" operator="greaterThan">
      <formula>0</formula>
    </cfRule>
  </conditionalFormatting>
  <conditionalFormatting sqref="AH105">
    <cfRule type="cellIs" dxfId="5617" priority="55" operator="equal">
      <formula>0</formula>
    </cfRule>
    <cfRule type="cellIs" dxfId="5616" priority="56" operator="greaterThan">
      <formula>0</formula>
    </cfRule>
  </conditionalFormatting>
  <conditionalFormatting sqref="AI105">
    <cfRule type="cellIs" dxfId="5615" priority="53" operator="equal">
      <formula>0</formula>
    </cfRule>
    <cfRule type="cellIs" dxfId="5614" priority="54" operator="greaterThan">
      <formula>0</formula>
    </cfRule>
  </conditionalFormatting>
  <conditionalFormatting sqref="AJ105">
    <cfRule type="cellIs" dxfId="5613" priority="51" operator="equal">
      <formula>0</formula>
    </cfRule>
    <cfRule type="cellIs" dxfId="5612" priority="52" operator="greaterThan">
      <formula>0</formula>
    </cfRule>
  </conditionalFormatting>
  <conditionalFormatting sqref="AK105">
    <cfRule type="cellIs" dxfId="5611" priority="49" operator="equal">
      <formula>0</formula>
    </cfRule>
    <cfRule type="cellIs" dxfId="5610" priority="50" operator="greaterThan">
      <formula>0</formula>
    </cfRule>
  </conditionalFormatting>
  <conditionalFormatting sqref="V113:V114">
    <cfRule type="cellIs" dxfId="5609" priority="47" operator="equal">
      <formula>0</formula>
    </cfRule>
    <cfRule type="cellIs" dxfId="5608" priority="48" operator="greaterThan">
      <formula>0</formula>
    </cfRule>
  </conditionalFormatting>
  <conditionalFormatting sqref="W113:W114">
    <cfRule type="cellIs" dxfId="5607" priority="45" operator="equal">
      <formula>0</formula>
    </cfRule>
    <cfRule type="cellIs" dxfId="5606" priority="46" operator="greaterThan">
      <formula>0</formula>
    </cfRule>
  </conditionalFormatting>
  <conditionalFormatting sqref="X113:X114">
    <cfRule type="cellIs" dxfId="5605" priority="43" operator="equal">
      <formula>0</formula>
    </cfRule>
    <cfRule type="cellIs" dxfId="5604" priority="44" operator="greaterThan">
      <formula>0</formula>
    </cfRule>
  </conditionalFormatting>
  <conditionalFormatting sqref="Y113:Y114">
    <cfRule type="cellIs" dxfId="5603" priority="41" operator="equal">
      <formula>0</formula>
    </cfRule>
    <cfRule type="cellIs" dxfId="5602" priority="42" operator="greaterThan">
      <formula>0</formula>
    </cfRule>
  </conditionalFormatting>
  <conditionalFormatting sqref="Z113:Z114">
    <cfRule type="cellIs" dxfId="5601" priority="39" operator="equal">
      <formula>0</formula>
    </cfRule>
    <cfRule type="cellIs" dxfId="5600" priority="40" operator="greaterThan">
      <formula>0</formula>
    </cfRule>
  </conditionalFormatting>
  <conditionalFormatting sqref="AA113:AA114">
    <cfRule type="cellIs" dxfId="5599" priority="37" operator="equal">
      <formula>0</formula>
    </cfRule>
    <cfRule type="cellIs" dxfId="5598" priority="38" operator="greaterThan">
      <formula>0</formula>
    </cfRule>
  </conditionalFormatting>
  <conditionalFormatting sqref="AB113:AB114">
    <cfRule type="cellIs" dxfId="5597" priority="35" operator="equal">
      <formula>0</formula>
    </cfRule>
    <cfRule type="cellIs" dxfId="5596" priority="36" operator="greaterThan">
      <formula>0</formula>
    </cfRule>
  </conditionalFormatting>
  <conditionalFormatting sqref="AC113:AC114">
    <cfRule type="cellIs" dxfId="5595" priority="33" operator="equal">
      <formula>0</formula>
    </cfRule>
    <cfRule type="cellIs" dxfId="5594" priority="34" operator="greaterThan">
      <formula>0</formula>
    </cfRule>
  </conditionalFormatting>
  <conditionalFormatting sqref="AH112">
    <cfRule type="cellIs" dxfId="5593" priority="31" operator="equal">
      <formula>0</formula>
    </cfRule>
    <cfRule type="cellIs" dxfId="5592" priority="32" operator="greaterThan">
      <formula>0</formula>
    </cfRule>
  </conditionalFormatting>
  <conditionalFormatting sqref="AI112">
    <cfRule type="cellIs" dxfId="5591" priority="29" operator="equal">
      <formula>0</formula>
    </cfRule>
    <cfRule type="cellIs" dxfId="5590" priority="30" operator="greaterThan">
      <formula>0</formula>
    </cfRule>
  </conditionalFormatting>
  <conditionalFormatting sqref="AJ112">
    <cfRule type="cellIs" dxfId="5589" priority="27" operator="equal">
      <formula>0</formula>
    </cfRule>
    <cfRule type="cellIs" dxfId="5588" priority="28" operator="greaterThan">
      <formula>0</formula>
    </cfRule>
  </conditionalFormatting>
  <conditionalFormatting sqref="AK112">
    <cfRule type="cellIs" dxfId="5587" priority="25" operator="equal">
      <formula>0</formula>
    </cfRule>
    <cfRule type="cellIs" dxfId="5586" priority="26" operator="greaterThan">
      <formula>0</formula>
    </cfRule>
  </conditionalFormatting>
  <conditionalFormatting sqref="V120:V121">
    <cfRule type="cellIs" dxfId="5585" priority="23" operator="equal">
      <formula>0</formula>
    </cfRule>
    <cfRule type="cellIs" dxfId="5584" priority="24" operator="greaterThan">
      <formula>0</formula>
    </cfRule>
  </conditionalFormatting>
  <conditionalFormatting sqref="W120:W121">
    <cfRule type="cellIs" dxfId="5583" priority="21" operator="equal">
      <formula>0</formula>
    </cfRule>
    <cfRule type="cellIs" dxfId="5582" priority="22" operator="greaterThan">
      <formula>0</formula>
    </cfRule>
  </conditionalFormatting>
  <conditionalFormatting sqref="X120:X121">
    <cfRule type="cellIs" dxfId="5581" priority="19" operator="equal">
      <formula>0</formula>
    </cfRule>
    <cfRule type="cellIs" dxfId="5580" priority="20" operator="greaterThan">
      <formula>0</formula>
    </cfRule>
  </conditionalFormatting>
  <conditionalFormatting sqref="Y120:Y121">
    <cfRule type="cellIs" dxfId="5579" priority="17" operator="equal">
      <formula>0</formula>
    </cfRule>
    <cfRule type="cellIs" dxfId="5578" priority="18" operator="greaterThan">
      <formula>0</formula>
    </cfRule>
  </conditionalFormatting>
  <conditionalFormatting sqref="Z120:Z121">
    <cfRule type="cellIs" dxfId="5577" priority="15" operator="equal">
      <formula>0</formula>
    </cfRule>
    <cfRule type="cellIs" dxfId="5576" priority="16" operator="greaterThan">
      <formula>0</formula>
    </cfRule>
  </conditionalFormatting>
  <conditionalFormatting sqref="AA120:AA121">
    <cfRule type="cellIs" dxfId="5575" priority="13" operator="equal">
      <formula>0</formula>
    </cfRule>
    <cfRule type="cellIs" dxfId="5574" priority="14" operator="greaterThan">
      <formula>0</formula>
    </cfRule>
  </conditionalFormatting>
  <conditionalFormatting sqref="AB120:AB121">
    <cfRule type="cellIs" dxfId="5573" priority="11" operator="equal">
      <formula>0</formula>
    </cfRule>
    <cfRule type="cellIs" dxfId="5572" priority="12" operator="greaterThan">
      <formula>0</formula>
    </cfRule>
  </conditionalFormatting>
  <conditionalFormatting sqref="AC120:AC121">
    <cfRule type="cellIs" dxfId="5571" priority="9" operator="equal">
      <formula>0</formula>
    </cfRule>
    <cfRule type="cellIs" dxfId="5570" priority="10" operator="greaterThan">
      <formula>0</formula>
    </cfRule>
  </conditionalFormatting>
  <conditionalFormatting sqref="AH119">
    <cfRule type="cellIs" dxfId="5569" priority="7" operator="equal">
      <formula>0</formula>
    </cfRule>
    <cfRule type="cellIs" dxfId="5568" priority="8" operator="greaterThan">
      <formula>0</formula>
    </cfRule>
  </conditionalFormatting>
  <conditionalFormatting sqref="AI119">
    <cfRule type="cellIs" dxfId="5567" priority="5" operator="equal">
      <formula>0</formula>
    </cfRule>
    <cfRule type="cellIs" dxfId="5566" priority="6" operator="greaterThan">
      <formula>0</formula>
    </cfRule>
  </conditionalFormatting>
  <conditionalFormatting sqref="AJ119">
    <cfRule type="cellIs" dxfId="5565" priority="3" operator="equal">
      <formula>0</formula>
    </cfRule>
    <cfRule type="cellIs" dxfId="5564" priority="4" operator="greaterThan">
      <formula>0</formula>
    </cfRule>
  </conditionalFormatting>
  <conditionalFormatting sqref="AK119">
    <cfRule type="cellIs" dxfId="5563" priority="1" operator="equal">
      <formula>0</formula>
    </cfRule>
    <cfRule type="cellIs" dxfId="5562" priority="2" operator="greaterThan">
      <formula>0</formula>
    </cfRule>
  </conditionalFormatting>
  <dataValidations count="2">
    <dataValidation type="list" allowBlank="1" showInputMessage="1" showErrorMessage="1" sqref="B6" xr:uid="{00000000-0002-0000-0800-000001000000}">
      <formula1>OFFSET(Anchor_Cell,1,MATCH($B$5,Team_Regions,0)-1,COUNTA(OFFSET(Anchor_Cell,1,MATCH(B5,Regions,0)-1,100)),1)</formula1>
    </dataValidation>
    <dataValidation type="list" allowBlank="1" showInputMessage="1" showErrorMessage="1" sqref="B5" xr:uid="{853D782F-5BD6-4D79-A2B6-88C6986BDB1F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S79"/>
  <sheetViews>
    <sheetView showGridLines="0" zoomScale="83" zoomScaleNormal="83" workbookViewId="0">
      <selection sqref="A1:S1"/>
    </sheetView>
  </sheetViews>
  <sheetFormatPr baseColWidth="10" defaultColWidth="9.1640625" defaultRowHeight="14" x14ac:dyDescent="0.15"/>
  <cols>
    <col min="1" max="1" width="9.1640625" style="30"/>
    <col min="2" max="2" width="39.5" style="30" customWidth="1"/>
    <col min="3" max="3" width="19.1640625" style="30" customWidth="1"/>
    <col min="4" max="4" width="20.5" style="30" bestFit="1" customWidth="1"/>
    <col min="5" max="5" width="14.83203125" style="30" customWidth="1"/>
    <col min="6" max="6" width="17.1640625" style="30" customWidth="1"/>
    <col min="7" max="7" width="18.5" style="30" customWidth="1"/>
    <col min="8" max="8" width="19.1640625" style="30" customWidth="1"/>
    <col min="9" max="9" width="17.5" style="30" customWidth="1"/>
    <col min="10" max="10" width="20.5" style="30" customWidth="1"/>
    <col min="11" max="11" width="26.5" style="30" bestFit="1" customWidth="1"/>
    <col min="12" max="12" width="16.83203125" style="30" customWidth="1"/>
    <col min="13" max="13" width="17.83203125" style="30" bestFit="1" customWidth="1"/>
    <col min="14" max="14" width="8.5" style="30" bestFit="1" customWidth="1"/>
    <col min="15" max="16" width="9.1640625" style="30"/>
    <col min="17" max="17" width="10" style="30" bestFit="1" customWidth="1"/>
    <col min="18" max="16384" width="9.1640625" style="30"/>
  </cols>
  <sheetData>
    <row r="1" spans="1:19" ht="43.5" customHeight="1" x14ac:dyDescent="0.15">
      <c r="A1" s="289" t="s">
        <v>346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</row>
    <row r="2" spans="1:19" ht="37.5" customHeight="1" x14ac:dyDescent="0.15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</row>
    <row r="4" spans="1:19" ht="57" customHeight="1" x14ac:dyDescent="0.15">
      <c r="B4" s="56" t="s">
        <v>472</v>
      </c>
    </row>
    <row r="5" spans="1:19" ht="24" customHeight="1" x14ac:dyDescent="0.15">
      <c r="B5" s="78" t="s">
        <v>1132</v>
      </c>
      <c r="D5" s="30" t="s">
        <v>347</v>
      </c>
      <c r="F5" s="61"/>
    </row>
    <row r="6" spans="1:19" ht="24" customHeight="1" x14ac:dyDescent="0.15">
      <c r="B6" s="79" t="s">
        <v>1178</v>
      </c>
    </row>
    <row r="8" spans="1:19" ht="23" x14ac:dyDescent="0.15">
      <c r="B8" s="310" t="s">
        <v>258</v>
      </c>
      <c r="C8" s="311"/>
      <c r="D8" s="311"/>
      <c r="E8" s="311"/>
      <c r="F8" s="314"/>
    </row>
    <row r="9" spans="1:19" ht="56" x14ac:dyDescent="0.15">
      <c r="B9" s="93"/>
      <c r="C9" s="269" t="s">
        <v>259</v>
      </c>
      <c r="D9" s="94" t="s">
        <v>260</v>
      </c>
      <c r="E9" s="94" t="s">
        <v>261</v>
      </c>
      <c r="F9" s="94" t="s">
        <v>262</v>
      </c>
      <c r="G9" s="95"/>
      <c r="H9" s="269" t="s">
        <v>331</v>
      </c>
      <c r="I9" s="269" t="s">
        <v>264</v>
      </c>
      <c r="J9" s="95"/>
      <c r="K9" s="269" t="s">
        <v>265</v>
      </c>
      <c r="L9" s="269" t="s">
        <v>266</v>
      </c>
      <c r="M9" s="95"/>
    </row>
    <row r="10" spans="1:19" x14ac:dyDescent="0.15">
      <c r="B10" s="96" t="str">
        <f>B6</f>
        <v>Bucks Male 2 - N59</v>
      </c>
      <c r="C10" s="144" t="str">
        <f>IFERROR(SUM((SUMIFS('capacity data'!$G:$G,'capacity data'!$E:$E,"PO",'capacity data'!$C:$C,B6))-SUMIFS('capacity data'!$H:$H,'capacity data'!$E:$E,"PO",'capacity data'!$C:$C,B6))/SUMIFS('capacity data'!$G:$G,'capacity data'!$E:$E,"PO",'capacity data'!$C:$C,B6),"")</f>
        <v/>
      </c>
      <c r="D10" s="98" t="str">
        <f>IFERROR(SUM((SUMIFS('capacity data'!$G:$G,'capacity data'!$E:$E,"PSO",'capacity data'!$C:$C,B6))-SUMIFS('capacity data'!$H:$H,'capacity data'!$E:$E,"PSO",'capacity data'!$C:$C,B6))/SUMIFS('capacity data'!$G:$G,'capacity data'!$E:$E,"PSO",'capacity data'!$C:$C,B6),"")</f>
        <v/>
      </c>
      <c r="E10" s="98" t="str">
        <f>IFERROR(SUM((SUMIFS('capacity data'!$G:$G,'capacity data'!$E:$E,"TPO",'capacity data'!$C:$C,B6))-SUMIFS('capacity data'!$H:$H,'capacity data'!$E:$E,"TPO",'capacity data'!$C:$C,B6))/SUMIFS('capacity data'!$G:$G,'capacity data'!$E:$E,"TPO",'capacity data'!$C:$C,B6),"")</f>
        <v/>
      </c>
      <c r="F10" s="98" t="str">
        <f>IFERROR(SUM((SUMIFS('capacity data'!G:G,'capacity data'!C:C,'team overview'!B6))-SUMIFS('capacity data'!H:H,'capacity data'!C:C,'team overview'!B6))/SUMIFS('capacity data'!G:G,'capacity data'!C:C,'team overview'!B6),"")</f>
        <v/>
      </c>
      <c r="G10" s="95"/>
      <c r="H10" s="97" t="e">
        <f>SUMIFS('capacity data'!$L:$L,'capacity data'!$C:$C,$B$6,'capacity data'!$E:$E,"PSO")/SUM((SUMIFS('capacity data'!$G:$G,'capacity data'!$E:$E,"PSO",'capacity data'!$C:$C,$B$6))-SUMIFS('capacity data'!$H:$H,'capacity data'!$E:$E,"PSO",'capacity data'!$C:$C,$B$6))</f>
        <v>#DIV/0!</v>
      </c>
      <c r="I10" s="261" t="e">
        <f>SUMIFS('capacity data'!$L:$L,'capacity data'!$C:$C,$B$6,'capacity data'!$E:$E,"PSO")/SUMIFS('capacity data'!$G:$G,'capacity data'!$E:$E,"PSO",'capacity data'!$C:$C,$B$6)</f>
        <v>#DIV/0!</v>
      </c>
      <c r="J10" s="95"/>
      <c r="K10" s="97" t="e">
        <f>SUMIFS('capacity data'!$L:$L,'capacity data'!$C:$C,$B$6,'capacity data'!$E:$E,"TPO")/SUM((SUMIFS('capacity data'!$G:$G,'capacity data'!$E:$E,"TPO",'capacity data'!$C:$C,$B$6))-SUMIFS('capacity data'!$H:$H,'capacity data'!$E:$E,"TPO",'capacity data'!$C:$C,$B$6))</f>
        <v>#DIV/0!</v>
      </c>
      <c r="L10" s="261" t="e">
        <f>SUMIFS('capacity data'!$L:$L,'capacity data'!$C:$C,$B$6,'capacity data'!$E:$E,"TPO")/SUMIFS('capacity data'!$G:$G,'capacity data'!$E:$E,"TPO",'capacity data'!$C:$C,$B$6)</f>
        <v>#DIV/0!</v>
      </c>
      <c r="M10" s="95"/>
    </row>
    <row r="11" spans="1:19" x14ac:dyDescent="0.15">
      <c r="B11" s="139" t="s">
        <v>267</v>
      </c>
      <c r="C11" s="140" t="e">
        <f>SUM((SUMIF('capacity data'!E:E,"PO",'capacity data'!G:G))-SUMIF('capacity data'!E:E,"PO",'capacity data'!H:H))/SUMIF('capacity data'!E:E,"PO",'capacity data'!G:G)</f>
        <v>#DIV/0!</v>
      </c>
      <c r="D11" s="140" t="e">
        <f>SUM((SUMIF('capacity data'!E:E,"PSO",'capacity data'!G:G))-SUMIF('capacity data'!E:E,"PSO",'capacity data'!H:H))/SUMIF('capacity data'!E:E,"PSO",'capacity data'!G:G)</f>
        <v>#DIV/0!</v>
      </c>
      <c r="E11" s="140" t="e">
        <f>SUM((SUMIF('capacity data'!E:E,"PSO",'capacity data'!G:G))-SUMIF('capacity data'!E:E,"PSO",'capacity data'!H:H))/SUMIF('capacity data'!E:E,"PSO",'capacity data'!G:G)</f>
        <v>#DIV/0!</v>
      </c>
      <c r="F11" s="113" t="e">
        <f>SUM((SUM('capacity data'!G:G)-SUM('capacity data'!H:H))/SUM('capacity data'!G:G))</f>
        <v>#DIV/0!</v>
      </c>
      <c r="G11" s="95"/>
      <c r="H11" s="150" t="e">
        <f>SUMIF('capacity data'!$E:$E,"PSO",'capacity data'!$L:$L)/SUM(SUMIF('capacity data'!$E:$E,"PSO",'capacity data'!$G:$G)-SUMIF('capacity data'!$E:$E,"PSO",'capacity data'!$H:$H))</f>
        <v>#DIV/0!</v>
      </c>
      <c r="I11" s="151" t="e">
        <f>SUMIF('capacity data'!$E:$E,"PSO",'capacity data'!$L:$L)/SUMIF('capacity data'!$E:$E,"PSO",'capacity data'!$G:$G)</f>
        <v>#DIV/0!</v>
      </c>
      <c r="J11" s="95"/>
      <c r="K11" s="150" t="e">
        <f>SUMIF('capacity data'!$E:$E,"TPO",'capacity data'!$L:$L)/SUM(SUMIF('capacity data'!$E:$E,"TPO",'capacity data'!$G:$G)-SUMIF('capacity data'!$E:$E,"TPO",'capacity data'!$H:$H))</f>
        <v>#DIV/0!</v>
      </c>
      <c r="L11" s="151" t="e">
        <f>SUMIF('capacity data'!$E:$E,"TPO",'capacity data'!$L:$L)/SUMIF('capacity data'!$E:$E,"TPO",'capacity data'!$G:$G)</f>
        <v>#DIV/0!</v>
      </c>
      <c r="M11" s="95"/>
    </row>
    <row r="12" spans="1:19" x14ac:dyDescent="0.15">
      <c r="B12" s="152" t="s">
        <v>268</v>
      </c>
      <c r="C12" s="153" t="e">
        <f>+C10-C11</f>
        <v>#VALUE!</v>
      </c>
      <c r="D12" s="136" t="str">
        <f>IFERROR(+D10-D11,"N/A")</f>
        <v>N/A</v>
      </c>
      <c r="E12" s="136" t="str">
        <f>IFERROR(+E10-E11,"N/A")</f>
        <v>N/A</v>
      </c>
      <c r="F12" s="136" t="e">
        <f>+F10-F11</f>
        <v>#VALUE!</v>
      </c>
      <c r="G12" s="95"/>
      <c r="H12" s="132" t="e">
        <f>+H10-H11</f>
        <v>#DIV/0!</v>
      </c>
      <c r="I12" s="154" t="e">
        <f>+I10-I11</f>
        <v>#DIV/0!</v>
      </c>
      <c r="J12" s="95"/>
      <c r="K12" s="132" t="e">
        <f>+K10-K11</f>
        <v>#DIV/0!</v>
      </c>
      <c r="L12" s="154" t="e">
        <f>+L10-L11</f>
        <v>#DIV/0!</v>
      </c>
      <c r="M12" s="95"/>
    </row>
    <row r="13" spans="1:19" x14ac:dyDescent="0.15"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</row>
    <row r="14" spans="1:19" ht="63.75" customHeight="1" x14ac:dyDescent="0.15">
      <c r="B14" s="100"/>
      <c r="C14" s="101" t="s">
        <v>270</v>
      </c>
      <c r="D14" s="101" t="s">
        <v>271</v>
      </c>
      <c r="E14" s="101" t="s">
        <v>272</v>
      </c>
      <c r="F14" s="101" t="s">
        <v>273</v>
      </c>
      <c r="G14" s="101" t="s">
        <v>274</v>
      </c>
      <c r="H14" s="101" t="s">
        <v>275</v>
      </c>
      <c r="I14" s="101" t="s">
        <v>276</v>
      </c>
      <c r="J14" s="102" t="s">
        <v>277</v>
      </c>
      <c r="K14" s="101" t="s">
        <v>278</v>
      </c>
      <c r="L14" s="101" t="s">
        <v>279</v>
      </c>
      <c r="M14" s="101" t="s">
        <v>280</v>
      </c>
    </row>
    <row r="15" spans="1:19" ht="20.25" customHeight="1" x14ac:dyDescent="0.15">
      <c r="B15" s="103" t="str">
        <f>B6</f>
        <v>Bucks Male 2 - N59</v>
      </c>
      <c r="C15" s="263">
        <f>COUNTIFS('capacity data'!C:C,'team overview'!B6,'capacity data'!E:E,"PO")</f>
        <v>0</v>
      </c>
      <c r="D15" s="263">
        <f>COUNTIFS('capacity data'!C:C,B6,'capacity data'!E:E,"PO",'capacity data'!F:F,"&gt;110%")</f>
        <v>0</v>
      </c>
      <c r="E15" s="104" t="e">
        <f>D15/C15</f>
        <v>#DIV/0!</v>
      </c>
      <c r="F15" s="263">
        <f>COUNTIFS('capacity data'!C:C,'team overview'!B6,'capacity data'!E:E,"PSO")</f>
        <v>0</v>
      </c>
      <c r="G15" s="263">
        <f>COUNTIFS('capacity data'!C:C,B6,'capacity data'!E:E,"PSO",'capacity data'!F:F,"&gt;110%")</f>
        <v>0</v>
      </c>
      <c r="H15" s="105" t="str">
        <f>IFERROR(G15/F15,"N/A")</f>
        <v>N/A</v>
      </c>
      <c r="I15" s="263">
        <f>COUNTIFS('capacity data'!C:C,B6,'capacity data'!E:E,"PSO",'capacity data'!F:F,"&lt;910%")</f>
        <v>0</v>
      </c>
      <c r="J15" s="105" t="str">
        <f>IFERROR(I15/F15,"")</f>
        <v/>
      </c>
      <c r="K15" s="263">
        <f>COUNTIFS('capacity data'!C:C,'team overview'!B6,'capacity data'!E:E,"TPO")</f>
        <v>0</v>
      </c>
      <c r="L15" s="263">
        <f>COUNTIFS('capacity data'!C:C,B6,'capacity data'!E:E,"TPO",'capacity data'!F:F,"&gt;110%")</f>
        <v>0</v>
      </c>
      <c r="M15" s="98" t="str">
        <f>IFERROR(L15/K15,"N/A")</f>
        <v>N/A</v>
      </c>
    </row>
    <row r="16" spans="1:19" x14ac:dyDescent="0.15">
      <c r="B16" s="139" t="s">
        <v>281</v>
      </c>
      <c r="C16" s="111">
        <f>COUNTIF('capacity data'!E:E,"PO")</f>
        <v>0</v>
      </c>
      <c r="D16" s="111">
        <f>COUNTIFS('capacity data'!E:E,"PO",'capacity data'!F:F,"&gt;110%")</f>
        <v>0</v>
      </c>
      <c r="E16" s="140" t="e">
        <f>D16/C16</f>
        <v>#DIV/0!</v>
      </c>
      <c r="F16" s="111">
        <f>COUNTIF('capacity data'!E:E,"PSO")</f>
        <v>0</v>
      </c>
      <c r="G16" s="111">
        <f>COUNTIFS('capacity data'!E:E,"PSO",'capacity data'!F:F,"&gt;110%")</f>
        <v>0</v>
      </c>
      <c r="H16" s="140" t="e">
        <f>G16/F16</f>
        <v>#DIV/0!</v>
      </c>
      <c r="I16" s="111">
        <f>COUNTIFS('capacity data'!E:E,"PSO",'capacity data'!F:F,"&lt;90%")</f>
        <v>0</v>
      </c>
      <c r="J16" s="140" t="e">
        <f>I16/F16</f>
        <v>#DIV/0!</v>
      </c>
      <c r="K16" s="111">
        <f>COUNTIF('capacity data'!E:E,"TPO")</f>
        <v>0</v>
      </c>
      <c r="L16" s="111">
        <f>COUNTIFS('capacity data'!E:E,"TPO",'capacity data'!F:F,"&gt;110%")</f>
        <v>0</v>
      </c>
      <c r="M16" s="140" t="e">
        <f>L16/K16</f>
        <v>#DIV/0!</v>
      </c>
    </row>
    <row r="17" spans="2:13" x14ac:dyDescent="0.15">
      <c r="B17" s="138" t="s">
        <v>268</v>
      </c>
      <c r="C17" s="133" t="s">
        <v>282</v>
      </c>
      <c r="D17" s="133" t="s">
        <v>282</v>
      </c>
      <c r="E17" s="134" t="e">
        <f>+E15-E16</f>
        <v>#DIV/0!</v>
      </c>
      <c r="F17" s="133" t="s">
        <v>282</v>
      </c>
      <c r="G17" s="133" t="s">
        <v>282</v>
      </c>
      <c r="H17" s="134" t="str">
        <f>IFERROR(+H15-H16,"N/A")</f>
        <v>N/A</v>
      </c>
      <c r="I17" s="133" t="s">
        <v>282</v>
      </c>
      <c r="J17" s="134" t="str">
        <f>IFERROR(+J15-J16,"N/A")</f>
        <v>N/A</v>
      </c>
      <c r="K17" s="133" t="s">
        <v>282</v>
      </c>
      <c r="L17" s="133" t="s">
        <v>282</v>
      </c>
      <c r="M17" s="134" t="str">
        <f>IFERROR(+M15-M16,"N/A")</f>
        <v>N/A</v>
      </c>
    </row>
    <row r="19" spans="2:13" ht="23" x14ac:dyDescent="0.25">
      <c r="B19" s="306" t="s">
        <v>283</v>
      </c>
      <c r="C19" s="307"/>
      <c r="D19" s="307"/>
      <c r="E19" s="307"/>
      <c r="F19" s="307"/>
      <c r="G19" s="308"/>
      <c r="H19" s="309"/>
    </row>
    <row r="20" spans="2:13" ht="66" customHeight="1" x14ac:dyDescent="0.15">
      <c r="B20" s="107"/>
      <c r="C20" s="94" t="s">
        <v>284</v>
      </c>
      <c r="D20" s="94" t="s">
        <v>332</v>
      </c>
      <c r="E20" s="94" t="s">
        <v>333</v>
      </c>
      <c r="F20" s="94" t="s">
        <v>287</v>
      </c>
      <c r="G20" s="269" t="s">
        <v>334</v>
      </c>
      <c r="H20" s="269" t="s">
        <v>335</v>
      </c>
    </row>
    <row r="21" spans="2:13" x14ac:dyDescent="0.15">
      <c r="B21" s="93" t="str">
        <f>B6</f>
        <v>Bucks Male 2 - N59</v>
      </c>
      <c r="C21" s="106">
        <f>SUMIFS('capacity data'!K:K,'capacity data'!C:C,'team overview'!B6,'capacity data'!E:E,"SPO")</f>
        <v>0</v>
      </c>
      <c r="D21" s="106">
        <f>SUMIFS('capacity data'!K:K,'capacity data'!C:C,'team overview'!B6,'capacity data'!E:E,"DMY")</f>
        <v>0</v>
      </c>
      <c r="E21" s="106">
        <f>SUM(C21:D21)</f>
        <v>0</v>
      </c>
      <c r="F21" s="108">
        <f>SUMIF('capacity data'!C:C,'team overview'!B6,'capacity data'!K:K)</f>
        <v>0</v>
      </c>
      <c r="G21" s="97" t="e">
        <f>E21/F21</f>
        <v>#DIV/0!</v>
      </c>
      <c r="H21" s="109">
        <f>SUMIF('caseload data'!C:C,'team overview'!#REF!,'caseload data'!U:U)</f>
        <v>0</v>
      </c>
    </row>
    <row r="22" spans="2:13" x14ac:dyDescent="0.15">
      <c r="B22" s="110" t="s">
        <v>281</v>
      </c>
      <c r="C22" s="111">
        <f>SUMIF('capacity data'!E:E,"SPO",'capacity data'!K:K)</f>
        <v>0</v>
      </c>
      <c r="D22" s="111">
        <f>SUMIF('capacity data'!E:E,"DMY",'capacity data'!K:K)</f>
        <v>0</v>
      </c>
      <c r="E22" s="111">
        <f>SUM(C22:D22)</f>
        <v>0</v>
      </c>
      <c r="F22" s="112">
        <f>SUM('capacity data'!K:K)</f>
        <v>0</v>
      </c>
      <c r="G22" s="113" t="e">
        <f>E22/F22</f>
        <v>#DIV/0!</v>
      </c>
      <c r="H22" s="111">
        <f>SUM('caseload data'!U:U)</f>
        <v>0</v>
      </c>
    </row>
    <row r="23" spans="2:13" x14ac:dyDescent="0.15">
      <c r="B23" s="149" t="s">
        <v>268</v>
      </c>
      <c r="C23" s="133" t="s">
        <v>282</v>
      </c>
      <c r="D23" s="133" t="s">
        <v>282</v>
      </c>
      <c r="E23" s="133" t="s">
        <v>282</v>
      </c>
      <c r="F23" s="137" t="s">
        <v>282</v>
      </c>
      <c r="G23" s="137" t="e">
        <f>+G21-G22</f>
        <v>#DIV/0!</v>
      </c>
      <c r="H23" s="133" t="s">
        <v>282</v>
      </c>
    </row>
    <row r="26" spans="2:13" ht="25" x14ac:dyDescent="0.25">
      <c r="B26" s="328" t="s">
        <v>290</v>
      </c>
      <c r="C26" s="328"/>
      <c r="D26" s="328"/>
      <c r="E26" s="328"/>
      <c r="F26" s="328"/>
      <c r="G26" s="328"/>
      <c r="H26" s="328"/>
      <c r="I26" s="328"/>
      <c r="J26" s="328"/>
      <c r="K26" s="328"/>
    </row>
    <row r="27" spans="2:13" ht="83.25" customHeight="1" x14ac:dyDescent="0.15">
      <c r="B27" s="115"/>
      <c r="C27" s="269" t="s">
        <v>291</v>
      </c>
      <c r="D27" s="269" t="s">
        <v>292</v>
      </c>
      <c r="E27" s="269" t="s">
        <v>293</v>
      </c>
      <c r="F27" s="269" t="s">
        <v>294</v>
      </c>
      <c r="G27" s="269" t="s">
        <v>295</v>
      </c>
      <c r="H27" s="269" t="s">
        <v>296</v>
      </c>
      <c r="I27" s="269" t="s">
        <v>297</v>
      </c>
      <c r="J27" s="269" t="s">
        <v>298</v>
      </c>
      <c r="K27" s="269" t="s">
        <v>299</v>
      </c>
    </row>
    <row r="28" spans="2:13" x14ac:dyDescent="0.15">
      <c r="B28" s="93" t="str">
        <f>B6</f>
        <v>Bucks Male 2 - N59</v>
      </c>
      <c r="C28" s="116">
        <f>SUMIFS('capacity data'!I:I,'capacity data'!C:C,'team overview'!B6,'capacity data'!E:E,"PO")</f>
        <v>0</v>
      </c>
      <c r="D28" s="117">
        <f>SUMIFS('capacity data'!J:J,'capacity data'!C:C,'team overview'!B6,'capacity data'!E:E,"PO")</f>
        <v>0</v>
      </c>
      <c r="E28" s="118" t="e">
        <f>D28/C28</f>
        <v>#DIV/0!</v>
      </c>
      <c r="F28" s="117">
        <f>SUMIFS('capacity data'!I:I,'capacity data'!C:C,'team overview'!B6,'capacity data'!E:E,"PSO")</f>
        <v>0</v>
      </c>
      <c r="G28" s="117">
        <f>SUMIFS('capacity data'!J:J,'capacity data'!C:C,'team overview'!B6,'capacity data'!E:E,"PSO")</f>
        <v>0</v>
      </c>
      <c r="H28" s="118" t="str">
        <f>IFERROR(G28/F28,"N/A")</f>
        <v>N/A</v>
      </c>
      <c r="I28" s="117">
        <f>SUMIFS('capacity data'!I:I,'capacity data'!C:C,'team overview'!B6,'capacity data'!E:E,"TPO")</f>
        <v>0</v>
      </c>
      <c r="J28" s="119">
        <f>SUMIFS('capacity data'!J:J,'capacity data'!C:C,'team overview'!B6,'capacity data'!E:E,"TPO")</f>
        <v>0</v>
      </c>
      <c r="K28" s="118" t="str">
        <f>IFERROR(J28/I28,"N/A")</f>
        <v>N/A</v>
      </c>
    </row>
    <row r="29" spans="2:13" x14ac:dyDescent="0.15">
      <c r="B29" s="139" t="s">
        <v>300</v>
      </c>
      <c r="C29" s="141">
        <f>SUMIF('capacity data'!E:E,"PO",'capacity data'!I:I)</f>
        <v>0</v>
      </c>
      <c r="D29" s="141">
        <f>SUMIF('capacity data'!E:E,"PO",'capacity data'!J:J)</f>
        <v>0</v>
      </c>
      <c r="E29" s="142" t="e">
        <f>D29/C29</f>
        <v>#DIV/0!</v>
      </c>
      <c r="F29" s="141">
        <f>SUMIF('capacity data'!E:E,"PSO",'capacity data'!I:I)</f>
        <v>0</v>
      </c>
      <c r="G29" s="141">
        <f>SUMIF('capacity data'!E:E,"PSO",'capacity data'!J:J)</f>
        <v>0</v>
      </c>
      <c r="H29" s="142" t="e">
        <f>G29/F29</f>
        <v>#DIV/0!</v>
      </c>
      <c r="I29" s="141">
        <f>SUMIF('capacity data'!E:E,"TPO",'capacity data'!I:I)</f>
        <v>0</v>
      </c>
      <c r="J29" s="141">
        <f>SUMIF('capacity data'!E:E,"TPO",'capacity data'!J:J)</f>
        <v>0</v>
      </c>
      <c r="K29" s="142" t="e">
        <f>J29/I29</f>
        <v>#DIV/0!</v>
      </c>
    </row>
    <row r="30" spans="2:13" x14ac:dyDescent="0.15">
      <c r="B30" s="138" t="s">
        <v>268</v>
      </c>
      <c r="C30" s="133" t="s">
        <v>282</v>
      </c>
      <c r="D30" s="133" t="s">
        <v>282</v>
      </c>
      <c r="E30" s="132" t="e">
        <f>+E28-E29</f>
        <v>#DIV/0!</v>
      </c>
      <c r="F30" s="133" t="s">
        <v>282</v>
      </c>
      <c r="G30" s="133" t="s">
        <v>282</v>
      </c>
      <c r="H30" s="132" t="str">
        <f>IFERROR(+H28-H29,"N/A")</f>
        <v>N/A</v>
      </c>
      <c r="I30" s="133" t="s">
        <v>282</v>
      </c>
      <c r="J30" s="133" t="s">
        <v>282</v>
      </c>
      <c r="K30" s="132" t="str">
        <f>IFERROR(+K28-K29,"N/A")</f>
        <v>N/A</v>
      </c>
    </row>
    <row r="32" spans="2:13" ht="37.5" customHeight="1" x14ac:dyDescent="0.2">
      <c r="B32" s="303" t="s">
        <v>348</v>
      </c>
      <c r="C32" s="304"/>
      <c r="D32" s="304"/>
      <c r="E32" s="92"/>
      <c r="F32" s="305" t="s">
        <v>349</v>
      </c>
      <c r="G32" s="305"/>
    </row>
    <row r="33" spans="2:7" ht="60.75" customHeight="1" x14ac:dyDescent="0.15">
      <c r="B33" s="107" t="s">
        <v>303</v>
      </c>
      <c r="C33" s="269" t="s">
        <v>304</v>
      </c>
      <c r="D33" s="269" t="s">
        <v>305</v>
      </c>
      <c r="E33" s="95"/>
      <c r="F33" s="265" t="s">
        <v>350</v>
      </c>
      <c r="G33" s="264">
        <f>COUNTIFS('reductions data'!C:C,'team overview'!B6,'reductions data'!K:K,"ACTIVE")</f>
        <v>0</v>
      </c>
    </row>
    <row r="34" spans="2:7" x14ac:dyDescent="0.15">
      <c r="B34" s="145" t="s">
        <v>240</v>
      </c>
      <c r="C34" s="120">
        <f>COUNTIFS('reductions data'!C:C,'team overview'!$B$6,'reductions data'!G:G,'team overview'!B34)</f>
        <v>0</v>
      </c>
      <c r="D34" s="121">
        <f>SUMIFS('reductions data'!H:H,'reductions data'!$C:$C,'team overview'!$B$6,'reductions data'!G:G,'team overview'!B34)</f>
        <v>0</v>
      </c>
      <c r="E34" s="95"/>
      <c r="F34" s="323" t="s">
        <v>351</v>
      </c>
      <c r="G34" s="324">
        <f>SUMIF('reductions data'!C:C,'team overview'!B6,'reductions data'!H:H)</f>
        <v>0</v>
      </c>
    </row>
    <row r="35" spans="2:7" x14ac:dyDescent="0.15">
      <c r="B35" s="146" t="s">
        <v>235</v>
      </c>
      <c r="C35" s="122">
        <f>COUNTIFS('reductions data'!C:C,'team overview'!$B$6,'reductions data'!G:G,'team overview'!B35)</f>
        <v>0</v>
      </c>
      <c r="D35" s="121">
        <f>SUMIFS('reductions data'!H:H,'reductions data'!$C:$C,'team overview'!$B$6,'reductions data'!G:G,'team overview'!B35)</f>
        <v>0</v>
      </c>
      <c r="E35" s="95"/>
      <c r="F35" s="295"/>
      <c r="G35" s="295"/>
    </row>
    <row r="36" spans="2:7" x14ac:dyDescent="0.15">
      <c r="B36" s="146" t="s">
        <v>226</v>
      </c>
      <c r="C36" s="122">
        <f>COUNTIFS('reductions data'!C:C,'team overview'!$B$6,'reductions data'!G:G,'team overview'!B36)</f>
        <v>0</v>
      </c>
      <c r="D36" s="121">
        <f>SUMIFS('reductions data'!H:H,'reductions data'!$C:$C,'team overview'!$B$6,'reductions data'!G:G,'team overview'!B36)</f>
        <v>0</v>
      </c>
      <c r="E36" s="123"/>
      <c r="F36" s="295"/>
      <c r="G36" s="295"/>
    </row>
    <row r="37" spans="2:7" x14ac:dyDescent="0.15">
      <c r="B37" s="146" t="s">
        <v>220</v>
      </c>
      <c r="C37" s="122">
        <f>COUNTIFS('reductions data'!C:C,'team overview'!$B$6,'reductions data'!G:G,'team overview'!B37)</f>
        <v>0</v>
      </c>
      <c r="D37" s="121">
        <f>SUMIFS('reductions data'!H:H,'reductions data'!$C:$C,'team overview'!$B$6,'reductions data'!G:G,'team overview'!B37)</f>
        <v>0</v>
      </c>
      <c r="E37" s="123"/>
      <c r="F37" s="325" t="s">
        <v>352</v>
      </c>
      <c r="G37" s="324">
        <f>SUMIF('capacity data'!C:C,'team overview'!B6,'capacity data'!I:I)</f>
        <v>0</v>
      </c>
    </row>
    <row r="38" spans="2:7" x14ac:dyDescent="0.15">
      <c r="B38" s="146" t="s">
        <v>241</v>
      </c>
      <c r="C38" s="122">
        <f>COUNTIFS('reductions data'!C:C,'team overview'!$B$6,'reductions data'!G:G,'team overview'!B38)</f>
        <v>0</v>
      </c>
      <c r="D38" s="121">
        <f>SUMIFS('reductions data'!H:H,'reductions data'!$C:$C,'team overview'!$B$6,'reductions data'!G:G,'team overview'!B38)</f>
        <v>0</v>
      </c>
      <c r="E38" s="123"/>
      <c r="F38" s="295"/>
      <c r="G38" s="295"/>
    </row>
    <row r="39" spans="2:7" x14ac:dyDescent="0.15">
      <c r="B39" s="146" t="s">
        <v>242</v>
      </c>
      <c r="C39" s="122">
        <f>COUNTIFS('reductions data'!C:C,'team overview'!$B$6,'reductions data'!G:G,'team overview'!B39)</f>
        <v>0</v>
      </c>
      <c r="D39" s="121">
        <f>SUMIFS('reductions data'!H:H,'reductions data'!$C:$C,'team overview'!$B$6,'reductions data'!G:G,'team overview'!B39)</f>
        <v>0</v>
      </c>
      <c r="E39" s="123"/>
      <c r="F39" s="295"/>
      <c r="G39" s="295"/>
    </row>
    <row r="40" spans="2:7" x14ac:dyDescent="0.15">
      <c r="B40" s="146" t="s">
        <v>500</v>
      </c>
      <c r="C40" s="122">
        <f>COUNTIFS('reductions data'!C:C,'team overview'!$B$6,'reductions data'!G:G,'team overview'!B40)</f>
        <v>0</v>
      </c>
      <c r="D40" s="121">
        <f>SUMIFS('reductions data'!H:H,'reductions data'!$C:$C,'team overview'!$B$6,'reductions data'!G:G,'team overview'!B40)</f>
        <v>0</v>
      </c>
      <c r="E40" s="123"/>
      <c r="F40" s="275"/>
      <c r="G40" s="275"/>
    </row>
    <row r="41" spans="2:7" ht="15.75" customHeight="1" x14ac:dyDescent="0.15">
      <c r="B41" s="146" t="s">
        <v>243</v>
      </c>
      <c r="C41" s="122">
        <f>COUNTIFS('reductions data'!C:C,'team overview'!$B$6,'reductions data'!G:G,'team overview'!B41)</f>
        <v>0</v>
      </c>
      <c r="D41" s="121">
        <f>SUMIFS('reductions data'!H:H,'reductions data'!$C:$C,'team overview'!$B$6,'reductions data'!G:G,'team overview'!B41)</f>
        <v>0</v>
      </c>
      <c r="E41" s="123"/>
      <c r="F41" s="326" t="s">
        <v>353</v>
      </c>
      <c r="G41" s="327" t="e">
        <f>G34/G37</f>
        <v>#DIV/0!</v>
      </c>
    </row>
    <row r="42" spans="2:7" x14ac:dyDescent="0.15">
      <c r="B42" s="146" t="s">
        <v>223</v>
      </c>
      <c r="C42" s="122">
        <f>COUNTIFS('reductions data'!C:C,'team overview'!$B$6,'reductions data'!G:G,'team overview'!B42)</f>
        <v>0</v>
      </c>
      <c r="D42" s="121">
        <f>SUMIFS('reductions data'!H:H,'reductions data'!$C:$C,'team overview'!$B$6,'reductions data'!G:G,'team overview'!B42)</f>
        <v>0</v>
      </c>
      <c r="E42" s="123"/>
      <c r="F42" s="318"/>
      <c r="G42" s="321"/>
    </row>
    <row r="43" spans="2:7" x14ac:dyDescent="0.15">
      <c r="B43" s="146" t="s">
        <v>230</v>
      </c>
      <c r="C43" s="122">
        <f>COUNTIFS('reductions data'!C:C,'team overview'!$B$6,'reductions data'!G:G,'team overview'!B43)</f>
        <v>0</v>
      </c>
      <c r="D43" s="121">
        <f>SUMIFS('reductions data'!H:H,'reductions data'!$C:$C,'team overview'!$B$6,'reductions data'!G:G,'team overview'!B43)</f>
        <v>0</v>
      </c>
      <c r="E43" s="123"/>
      <c r="F43" s="318"/>
      <c r="G43" s="321"/>
    </row>
    <row r="44" spans="2:7" x14ac:dyDescent="0.15">
      <c r="B44" s="146" t="s">
        <v>497</v>
      </c>
      <c r="C44" s="122">
        <f>COUNTIFS('reductions data'!C:C,'team overview'!$B$6,'reductions data'!G:G,'team overview'!B44)</f>
        <v>0</v>
      </c>
      <c r="D44" s="121">
        <f>SUMIFS('reductions data'!H:H,'reductions data'!$C:$C,'team overview'!$B$6,'reductions data'!G:G,'team overview'!B44)</f>
        <v>0</v>
      </c>
      <c r="E44" s="123"/>
      <c r="F44" s="318"/>
      <c r="G44" s="321"/>
    </row>
    <row r="45" spans="2:7" x14ac:dyDescent="0.15">
      <c r="B45" s="146" t="s">
        <v>232</v>
      </c>
      <c r="C45" s="122">
        <f>COUNTIFS('reductions data'!C:C,'team overview'!$B$6,'reductions data'!G:G,'team overview'!B45)</f>
        <v>0</v>
      </c>
      <c r="D45" s="121">
        <f>SUMIFS('reductions data'!H:H,'reductions data'!$C:$C,'team overview'!$B$6,'reductions data'!G:G,'team overview'!B45)</f>
        <v>0</v>
      </c>
      <c r="E45" s="123"/>
      <c r="F45" s="319"/>
      <c r="G45" s="322"/>
    </row>
    <row r="46" spans="2:7" ht="15.75" customHeight="1" x14ac:dyDescent="0.15">
      <c r="B46" s="146" t="s">
        <v>214</v>
      </c>
      <c r="C46" s="122">
        <f>COUNTIFS('reductions data'!C:C,'team overview'!$B$6,'reductions data'!G:G,'team overview'!B46)</f>
        <v>0</v>
      </c>
      <c r="D46" s="121">
        <f>SUMIFS('reductions data'!H:H,'reductions data'!$C:$C,'team overview'!$B$6,'reductions data'!G:G,'team overview'!B46)</f>
        <v>0</v>
      </c>
      <c r="E46" s="123"/>
      <c r="F46" s="317" t="s">
        <v>310</v>
      </c>
      <c r="G46" s="320" t="e">
        <f>+G41-'div &amp; regional reduction hours'!N28</f>
        <v>#DIV/0!</v>
      </c>
    </row>
    <row r="47" spans="2:7" x14ac:dyDescent="0.15">
      <c r="B47" s="146" t="s">
        <v>215</v>
      </c>
      <c r="C47" s="122">
        <f>COUNTIFS('reductions data'!C:C,'team overview'!$B$6,'reductions data'!G:G,'team overview'!B47)</f>
        <v>0</v>
      </c>
      <c r="D47" s="121">
        <f>SUMIFS('reductions data'!H:H,'reductions data'!$C:$C,'team overview'!$B$6,'reductions data'!G:G,'team overview'!B47)</f>
        <v>0</v>
      </c>
      <c r="E47" s="123"/>
      <c r="F47" s="318"/>
      <c r="G47" s="321"/>
    </row>
    <row r="48" spans="2:7" x14ac:dyDescent="0.15">
      <c r="B48" s="146" t="s">
        <v>244</v>
      </c>
      <c r="C48" s="122">
        <f>COUNTIFS('reductions data'!C:C,'team overview'!$B$6,'reductions data'!G:G,'team overview'!B48)</f>
        <v>0</v>
      </c>
      <c r="D48" s="121">
        <f>SUMIFS('reductions data'!H:H,'reductions data'!$C:$C,'team overview'!$B$6,'reductions data'!G:G,'team overview'!B48)</f>
        <v>0</v>
      </c>
      <c r="E48" s="123"/>
      <c r="F48" s="318"/>
      <c r="G48" s="321"/>
    </row>
    <row r="49" spans="2:7" x14ac:dyDescent="0.15">
      <c r="B49" s="146" t="s">
        <v>311</v>
      </c>
      <c r="C49" s="122">
        <f>COUNTIFS('reductions data'!C:C,'team overview'!$B$6,'reductions data'!G:G,'team overview'!B49)</f>
        <v>0</v>
      </c>
      <c r="D49" s="121">
        <f>SUMIFS('reductions data'!H:H,'reductions data'!$C:$C,'team overview'!$B$6,'reductions data'!G:G,'team overview'!B49)</f>
        <v>0</v>
      </c>
      <c r="E49" s="123"/>
      <c r="F49" s="318"/>
      <c r="G49" s="321"/>
    </row>
    <row r="50" spans="2:7" x14ac:dyDescent="0.15">
      <c r="B50" s="146" t="s">
        <v>246</v>
      </c>
      <c r="C50" s="122">
        <f>COUNTIFS('reductions data'!C:C,'team overview'!$B$6,'reductions data'!G:G,'team overview'!B50)</f>
        <v>0</v>
      </c>
      <c r="D50" s="121">
        <f>SUMIFS('reductions data'!H:H,'reductions data'!$C:$C,'team overview'!$B$6,'reductions data'!G:G,'team overview'!B50)</f>
        <v>0</v>
      </c>
      <c r="E50" s="123"/>
      <c r="F50" s="319"/>
      <c r="G50" s="322"/>
    </row>
    <row r="51" spans="2:7" x14ac:dyDescent="0.15">
      <c r="B51" s="146" t="s">
        <v>247</v>
      </c>
      <c r="C51" s="122">
        <f>COUNTIFS('reductions data'!C:C,'team overview'!$B$6,'reductions data'!G:G,'team overview'!B51)</f>
        <v>0</v>
      </c>
      <c r="D51" s="121">
        <f>SUMIFS('reductions data'!H:H,'reductions data'!$C:$C,'team overview'!$B$6,'reductions data'!G:G,'team overview'!B51)</f>
        <v>0</v>
      </c>
      <c r="E51" s="123"/>
      <c r="F51" s="123"/>
      <c r="G51" s="95"/>
    </row>
    <row r="52" spans="2:7" x14ac:dyDescent="0.15">
      <c r="B52" s="146" t="s">
        <v>228</v>
      </c>
      <c r="C52" s="122">
        <f>COUNTIFS('reductions data'!C:C,'team overview'!$B$6,'reductions data'!G:G,'team overview'!B52)</f>
        <v>0</v>
      </c>
      <c r="D52" s="121">
        <f>SUMIFS('reductions data'!H:H,'reductions data'!$C:$C,'team overview'!$B$6,'reductions data'!G:G,'team overview'!B52)</f>
        <v>0</v>
      </c>
      <c r="E52" s="123"/>
      <c r="F52" s="123"/>
      <c r="G52" s="95"/>
    </row>
    <row r="53" spans="2:7" x14ac:dyDescent="0.15">
      <c r="B53" s="146" t="s">
        <v>248</v>
      </c>
      <c r="C53" s="122">
        <f>COUNTIFS('reductions data'!C:C,'team overview'!$B$6,'reductions data'!G:G,'team overview'!B53)</f>
        <v>0</v>
      </c>
      <c r="D53" s="121">
        <f>SUMIFS('reductions data'!H:H,'reductions data'!$C:$C,'team overview'!$B$6,'reductions data'!G:G,'team overview'!B53)</f>
        <v>0</v>
      </c>
      <c r="E53" s="123"/>
      <c r="F53" s="123"/>
      <c r="G53" s="95"/>
    </row>
    <row r="54" spans="2:7" x14ac:dyDescent="0.15">
      <c r="B54" s="146" t="s">
        <v>217</v>
      </c>
      <c r="C54" s="122">
        <f>COUNTIFS('reductions data'!C:C,'team overview'!$B$6,'reductions data'!G:G,'team overview'!B54)</f>
        <v>0</v>
      </c>
      <c r="D54" s="121">
        <f>SUMIFS('reductions data'!H:H,'reductions data'!$C:$C,'team overview'!$B$6,'reductions data'!G:G,'team overview'!B54)</f>
        <v>0</v>
      </c>
      <c r="E54" s="123"/>
      <c r="F54" s="123"/>
      <c r="G54" s="95"/>
    </row>
    <row r="55" spans="2:7" x14ac:dyDescent="0.15">
      <c r="B55" s="146" t="s">
        <v>249</v>
      </c>
      <c r="C55" s="122">
        <f>COUNTIFS('reductions data'!C:C,'team overview'!$B$6,'reductions data'!G:G,'team overview'!B55)</f>
        <v>0</v>
      </c>
      <c r="D55" s="121">
        <f>SUMIFS('reductions data'!H:H,'reductions data'!$C:$C,'team overview'!$B$6,'reductions data'!G:G,'team overview'!B55)</f>
        <v>0</v>
      </c>
      <c r="E55" s="123"/>
      <c r="F55" s="123"/>
      <c r="G55" s="95"/>
    </row>
    <row r="56" spans="2:7" x14ac:dyDescent="0.15">
      <c r="B56" s="146" t="s">
        <v>250</v>
      </c>
      <c r="C56" s="122">
        <f>COUNTIFS('reductions data'!C:C,'team overview'!$B$6,'reductions data'!G:G,'team overview'!B56)</f>
        <v>0</v>
      </c>
      <c r="D56" s="121">
        <f>SUMIFS('reductions data'!H:H,'reductions data'!$C:$C,'team overview'!$B$6,'reductions data'!G:G,'team overview'!B56)</f>
        <v>0</v>
      </c>
      <c r="E56" s="123"/>
      <c r="F56" s="123"/>
      <c r="G56" s="95"/>
    </row>
    <row r="57" spans="2:7" x14ac:dyDescent="0.15">
      <c r="B57" s="146" t="s">
        <v>233</v>
      </c>
      <c r="C57" s="122">
        <f>COUNTIFS('reductions data'!C:C,'team overview'!$B$6,'reductions data'!G:G,'team overview'!B57)</f>
        <v>0</v>
      </c>
      <c r="D57" s="121">
        <f>SUMIFS('reductions data'!H:H,'reductions data'!$C:$C,'team overview'!$B$6,'reductions data'!G:G,'team overview'!B57)</f>
        <v>0</v>
      </c>
      <c r="E57" s="123"/>
      <c r="F57" s="123"/>
      <c r="G57" s="95"/>
    </row>
    <row r="58" spans="2:7" x14ac:dyDescent="0.15">
      <c r="B58" s="239" t="s">
        <v>312</v>
      </c>
      <c r="C58" s="122">
        <f>COUNTIFS('reductions data'!C:C,'team overview'!$B$6,'reductions data'!G:G,'team overview'!B58)</f>
        <v>0</v>
      </c>
      <c r="D58" s="121">
        <f>SUMIFS('reductions data'!H:H,'reductions data'!$C:$C,'team overview'!$B$6,'reductions data'!G:G,'team overview'!B58)</f>
        <v>0</v>
      </c>
      <c r="E58" s="123"/>
      <c r="F58" s="123"/>
      <c r="G58" s="95"/>
    </row>
    <row r="59" spans="2:7" x14ac:dyDescent="0.15">
      <c r="B59" s="146" t="s">
        <v>234</v>
      </c>
      <c r="C59" s="122">
        <f>COUNTIFS('reductions data'!C:C,'team overview'!$B$6,'reductions data'!G:G,'team overview'!B59)</f>
        <v>0</v>
      </c>
      <c r="D59" s="121">
        <f>SUMIFS('reductions data'!H:H,'reductions data'!$C:$C,'team overview'!$B$6,'reductions data'!G:G,'team overview'!B59)</f>
        <v>0</v>
      </c>
      <c r="E59" s="123"/>
      <c r="F59" s="123"/>
      <c r="G59" s="95"/>
    </row>
    <row r="60" spans="2:7" x14ac:dyDescent="0.15">
      <c r="B60" s="146" t="s">
        <v>218</v>
      </c>
      <c r="C60" s="122">
        <f>COUNTIFS('reductions data'!C:C,'team overview'!$B$6,'reductions data'!G:G,'team overview'!B60)</f>
        <v>0</v>
      </c>
      <c r="D60" s="121">
        <f>SUMIFS('reductions data'!H:H,'reductions data'!$C:$C,'team overview'!$B$6,'reductions data'!G:G,'team overview'!B60)</f>
        <v>0</v>
      </c>
      <c r="E60" s="123"/>
      <c r="F60" s="123"/>
      <c r="G60" s="95"/>
    </row>
    <row r="61" spans="2:7" x14ac:dyDescent="0.15">
      <c r="B61" s="146" t="s">
        <v>222</v>
      </c>
      <c r="C61" s="122">
        <f>COUNTIFS('reductions data'!C:C,'team overview'!$B$6,'reductions data'!G:G,'team overview'!B61)</f>
        <v>0</v>
      </c>
      <c r="D61" s="121">
        <f>SUMIFS('reductions data'!H:H,'reductions data'!$C:$C,'team overview'!$B$6,'reductions data'!G:G,'team overview'!B61)</f>
        <v>0</v>
      </c>
      <c r="E61" s="123"/>
      <c r="F61" s="123"/>
      <c r="G61" s="95"/>
    </row>
    <row r="62" spans="2:7" x14ac:dyDescent="0.15">
      <c r="B62" s="146" t="s">
        <v>221</v>
      </c>
      <c r="C62" s="122">
        <f>COUNTIFS('reductions data'!C:C,'team overview'!$B$6,'reductions data'!G:G,'team overview'!B62)</f>
        <v>0</v>
      </c>
      <c r="D62" s="121">
        <f>SUMIFS('reductions data'!H:H,'reductions data'!$C:$C,'team overview'!$B$6,'reductions data'!G:G,'team overview'!B62)</f>
        <v>0</v>
      </c>
      <c r="E62" s="123"/>
      <c r="F62" s="123"/>
      <c r="G62" s="95"/>
    </row>
    <row r="63" spans="2:7" x14ac:dyDescent="0.15">
      <c r="B63" s="146" t="s">
        <v>219</v>
      </c>
      <c r="C63" s="122">
        <f>COUNTIFS('reductions data'!C:C,'team overview'!$B$6,'reductions data'!G:G,'team overview'!B63)</f>
        <v>0</v>
      </c>
      <c r="D63" s="121">
        <f>SUMIFS('reductions data'!H:H,'reductions data'!$C:$C,'team overview'!$B$6,'reductions data'!G:G,'team overview'!B63)</f>
        <v>0</v>
      </c>
      <c r="E63" s="123"/>
      <c r="F63" s="123"/>
      <c r="G63" s="95"/>
    </row>
    <row r="64" spans="2:7" x14ac:dyDescent="0.15">
      <c r="B64" s="146" t="s">
        <v>224</v>
      </c>
      <c r="C64" s="122">
        <f>COUNTIFS('reductions data'!C:C,'team overview'!$B$6,'reductions data'!G:G,'team overview'!B64)</f>
        <v>0</v>
      </c>
      <c r="D64" s="121">
        <f>SUMIFS('reductions data'!H:H,'reductions data'!$C:$C,'team overview'!$B$6,'reductions data'!G:G,'team overview'!B64)</f>
        <v>0</v>
      </c>
      <c r="E64" s="123"/>
      <c r="F64" s="123"/>
      <c r="G64" s="95"/>
    </row>
    <row r="65" spans="2:19" x14ac:dyDescent="0.15">
      <c r="B65" s="146" t="s">
        <v>213</v>
      </c>
      <c r="C65" s="122">
        <f>COUNTIFS('reductions data'!C:C,'team overview'!$B$6,'reductions data'!G:G,'team overview'!B65)</f>
        <v>0</v>
      </c>
      <c r="D65" s="121">
        <f>SUMIFS('reductions data'!H:H,'reductions data'!$C:$C,'team overview'!$B$6,'reductions data'!G:G,'team overview'!B65)</f>
        <v>0</v>
      </c>
      <c r="E65" s="123"/>
      <c r="F65" s="123"/>
      <c r="G65" s="95"/>
    </row>
    <row r="66" spans="2:19" x14ac:dyDescent="0.15">
      <c r="B66" s="146" t="s">
        <v>227</v>
      </c>
      <c r="C66" s="122">
        <f>COUNTIFS('reductions data'!C:C,'team overview'!$B$6,'reductions data'!G:G,'team overview'!B66)</f>
        <v>0</v>
      </c>
      <c r="D66" s="121">
        <f>SUMIFS('reductions data'!H:H,'reductions data'!$C:$C,'team overview'!$B$6,'reductions data'!G:G,'team overview'!B66)</f>
        <v>0</v>
      </c>
      <c r="E66" s="123"/>
      <c r="F66" s="123"/>
      <c r="G66" s="95"/>
    </row>
    <row r="67" spans="2:19" x14ac:dyDescent="0.15">
      <c r="B67" s="146" t="s">
        <v>496</v>
      </c>
      <c r="C67" s="122">
        <f>COUNTIFS('reductions data'!C:C,'team overview'!$B$6,'reductions data'!G:G,'team overview'!B67)</f>
        <v>0</v>
      </c>
      <c r="D67" s="121">
        <f>SUMIFS('reductions data'!H:H,'reductions data'!$C:$C,'team overview'!$B$6,'reductions data'!G:G,'team overview'!B67)</f>
        <v>0</v>
      </c>
      <c r="E67" s="123"/>
      <c r="F67" s="123"/>
      <c r="G67" s="95"/>
    </row>
    <row r="68" spans="2:19" x14ac:dyDescent="0.15">
      <c r="B68" s="146" t="s">
        <v>498</v>
      </c>
      <c r="C68" s="122">
        <f>COUNTIFS('reductions data'!C:C,'team overview'!$B$6,'reductions data'!G:G,'team overview'!B68)</f>
        <v>0</v>
      </c>
      <c r="D68" s="121">
        <f>SUMIFS('reductions data'!H:H,'reductions data'!$C:$C,'team overview'!$B$6,'reductions data'!G:G,'team overview'!B68)</f>
        <v>0</v>
      </c>
      <c r="E68" s="123"/>
      <c r="F68" s="123"/>
      <c r="G68" s="95"/>
    </row>
    <row r="69" spans="2:19" x14ac:dyDescent="0.15">
      <c r="B69" s="146" t="s">
        <v>499</v>
      </c>
      <c r="C69" s="122">
        <f>COUNTIFS('reductions data'!C:C,'team overview'!$B$6,'reductions data'!G:G,'team overview'!B69)</f>
        <v>0</v>
      </c>
      <c r="D69" s="121">
        <f>SUMIFS('reductions data'!H:H,'reductions data'!$C:$C,'team overview'!$B$6,'reductions data'!G:G,'team overview'!B69)</f>
        <v>0</v>
      </c>
      <c r="E69" s="123"/>
      <c r="F69" s="123"/>
      <c r="G69" s="95"/>
    </row>
    <row r="70" spans="2:19" x14ac:dyDescent="0.15">
      <c r="B70" s="146" t="s">
        <v>253</v>
      </c>
      <c r="C70" s="122">
        <f>COUNTIFS('reductions data'!C:C,'team overview'!$B$6,'reductions data'!G:G,'team overview'!B70)</f>
        <v>0</v>
      </c>
      <c r="D70" s="121">
        <f>SUMIFS('reductions data'!H:H,'reductions data'!$C:$C,'team overview'!$B$6,'reductions data'!G:G,'team overview'!B70)</f>
        <v>0</v>
      </c>
      <c r="E70" s="123"/>
      <c r="F70" s="123"/>
      <c r="G70" s="95"/>
    </row>
    <row r="71" spans="2:19" x14ac:dyDescent="0.15">
      <c r="B71" s="146" t="s">
        <v>225</v>
      </c>
      <c r="C71" s="122">
        <f>COUNTIFS('reductions data'!C:C,'team overview'!$B$6,'reductions data'!G:G,'team overview'!B71)</f>
        <v>0</v>
      </c>
      <c r="D71" s="121">
        <f>SUMIFS('reductions data'!H:H,'reductions data'!$C:$C,'team overview'!$B$6,'reductions data'!G:G,'team overview'!B71)</f>
        <v>0</v>
      </c>
      <c r="E71" s="123"/>
      <c r="F71" s="123"/>
      <c r="G71" s="95"/>
    </row>
    <row r="72" spans="2:19" x14ac:dyDescent="0.15">
      <c r="B72" s="146" t="s">
        <v>254</v>
      </c>
      <c r="C72" s="122">
        <f>COUNTIFS('reductions data'!C:C,'team overview'!$B$6,'reductions data'!G:G,'team overview'!B72)</f>
        <v>0</v>
      </c>
      <c r="D72" s="121">
        <f>SUMIFS('reductions data'!H:H,'reductions data'!$C:$C,'team overview'!$B$6,'reductions data'!G:G,'team overview'!B72)</f>
        <v>0</v>
      </c>
      <c r="E72" s="123"/>
      <c r="F72" s="123"/>
      <c r="G72" s="95"/>
    </row>
    <row r="73" spans="2:19" x14ac:dyDescent="0.15">
      <c r="B73" s="146" t="s">
        <v>216</v>
      </c>
      <c r="C73" s="122">
        <f>COUNTIFS('reductions data'!C:C,'team overview'!$B$6,'reductions data'!G:G,'team overview'!B73)</f>
        <v>0</v>
      </c>
      <c r="D73" s="121">
        <f>SUMIFS('reductions data'!H:H,'reductions data'!$C:$C,'team overview'!$B$6,'reductions data'!G:G,'team overview'!B73)</f>
        <v>0</v>
      </c>
      <c r="E73" s="123"/>
      <c r="F73" s="123"/>
      <c r="G73" s="95"/>
    </row>
    <row r="74" spans="2:19" x14ac:dyDescent="0.15">
      <c r="B74" s="146" t="s">
        <v>231</v>
      </c>
      <c r="C74" s="122">
        <f>COUNTIFS('reductions data'!C:C,'team overview'!$B$6,'reductions data'!G:G,'team overview'!B74)</f>
        <v>0</v>
      </c>
      <c r="D74" s="121">
        <f>SUMIFS('reductions data'!H:H,'reductions data'!$C:$C,'team overview'!$B$6,'reductions data'!G:G,'team overview'!B74)</f>
        <v>0</v>
      </c>
      <c r="E74" s="123"/>
      <c r="F74" s="123"/>
      <c r="G74" s="95"/>
    </row>
    <row r="75" spans="2:19" x14ac:dyDescent="0.15">
      <c r="B75" s="146" t="s">
        <v>1020</v>
      </c>
      <c r="C75" s="122">
        <f>COUNTIFS('reductions data'!C:C,'team overview'!$B$6,'reductions data'!G:G,'team overview'!B75)</f>
        <v>0</v>
      </c>
      <c r="D75" s="121">
        <f>SUMIFS('reductions data'!H:H,'reductions data'!$C:$C,'team overview'!$B$6,'reductions data'!G:G,'team overview'!B75)</f>
        <v>0</v>
      </c>
      <c r="E75" s="123"/>
      <c r="F75" s="123"/>
      <c r="G75" s="95"/>
    </row>
    <row r="76" spans="2:19" x14ac:dyDescent="0.15">
      <c r="B76" s="123"/>
      <c r="C76" s="123"/>
      <c r="D76" s="123"/>
      <c r="E76" s="123"/>
      <c r="F76" s="123"/>
      <c r="G76" s="95"/>
    </row>
    <row r="77" spans="2:19" x14ac:dyDescent="0.15">
      <c r="B77" s="123"/>
      <c r="C77" s="123"/>
      <c r="D77" s="123"/>
      <c r="E77" s="123"/>
      <c r="F77" s="123"/>
      <c r="G77" s="95"/>
      <c r="S77" s="62"/>
    </row>
    <row r="78" spans="2:19" x14ac:dyDescent="0.15">
      <c r="B78" s="123"/>
      <c r="C78" s="123"/>
      <c r="D78" s="123"/>
      <c r="E78" s="123"/>
      <c r="F78" s="123"/>
      <c r="G78" s="95"/>
    </row>
    <row r="79" spans="2:19" ht="16" x14ac:dyDescent="0.2">
      <c r="B79" s="86"/>
      <c r="C79" s="84"/>
      <c r="D79" s="85"/>
      <c r="E79" s="4"/>
      <c r="F79" s="4"/>
    </row>
  </sheetData>
  <mergeCells count="15">
    <mergeCell ref="B32:D32"/>
    <mergeCell ref="F32:G32"/>
    <mergeCell ref="A1:S1"/>
    <mergeCell ref="A2:S2"/>
    <mergeCell ref="B8:F8"/>
    <mergeCell ref="B19:H19"/>
    <mergeCell ref="B26:K26"/>
    <mergeCell ref="F46:F50"/>
    <mergeCell ref="G46:G50"/>
    <mergeCell ref="F34:F36"/>
    <mergeCell ref="G34:G36"/>
    <mergeCell ref="F37:F39"/>
    <mergeCell ref="G37:G39"/>
    <mergeCell ref="F41:F45"/>
    <mergeCell ref="G41:G45"/>
  </mergeCells>
  <conditionalFormatting sqref="C11:E11 C10:F10">
    <cfRule type="cellIs" dxfId="5561" priority="3" operator="lessThan">
      <formula>0.9</formula>
    </cfRule>
    <cfRule type="cellIs" dxfId="5560" priority="4" operator="greaterThanOrEqual">
      <formula>1.1</formula>
    </cfRule>
  </conditionalFormatting>
  <conditionalFormatting sqref="F11">
    <cfRule type="cellIs" dxfId="5559" priority="1" operator="lessThan">
      <formula>0.9</formula>
    </cfRule>
    <cfRule type="cellIs" dxfId="5558" priority="2" operator="greaterThanOrEqual">
      <formula>1.1</formula>
    </cfRule>
  </conditionalFormatting>
  <dataValidations count="2">
    <dataValidation type="list" allowBlank="1" showInputMessage="1" showErrorMessage="1" sqref="B5" xr:uid="{4B8F142B-4063-4AD5-B318-91BFFDFF1B8F}">
      <formula1>Regions</formula1>
    </dataValidation>
    <dataValidation type="list" allowBlank="1" showInputMessage="1" showErrorMessage="1" sqref="B6" xr:uid="{00000000-0002-0000-0900-000001000000}">
      <formula1>OFFSET(Second_Anchor,1,MATCH($B$5,Team_Regions,0)-1,COUNTA(OFFSET(Second_Anchor,1,MATCH(B5,Team_Regions,0)-1,100)),1)</formula1>
    </dataValidation>
  </dataValidation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Q298"/>
  <sheetViews>
    <sheetView showGridLines="0" topLeftCell="A261" zoomScale="70" zoomScaleNormal="70" workbookViewId="0">
      <selection activeCell="A273" sqref="A273:XFD276"/>
    </sheetView>
  </sheetViews>
  <sheetFormatPr baseColWidth="10" defaultColWidth="8.83203125" defaultRowHeight="14" x14ac:dyDescent="0.15"/>
  <cols>
    <col min="2" max="2" width="40.83203125" bestFit="1" customWidth="1"/>
    <col min="3" max="3" width="35" bestFit="1" customWidth="1"/>
    <col min="5" max="13" width="8.83203125" style="30"/>
    <col min="14" max="15" width="10" bestFit="1" customWidth="1"/>
    <col min="16" max="16" width="10.5" customWidth="1"/>
    <col min="17" max="17" width="10" bestFit="1" customWidth="1"/>
    <col min="18" max="18" width="10.1640625" bestFit="1" customWidth="1"/>
    <col min="19" max="19" width="10.83203125" bestFit="1" customWidth="1"/>
    <col min="20" max="20" width="11.5" bestFit="1" customWidth="1"/>
    <col min="23" max="23" width="40.83203125" bestFit="1" customWidth="1"/>
    <col min="24" max="24" width="20.1640625" customWidth="1"/>
    <col min="25" max="25" width="11.5" bestFit="1" customWidth="1"/>
    <col min="26" max="26" width="12.1640625" bestFit="1" customWidth="1"/>
    <col min="27" max="27" width="11.5" bestFit="1" customWidth="1"/>
    <col min="28" max="29" width="12.1640625" bestFit="1" customWidth="1"/>
    <col min="30" max="31" width="11.5" bestFit="1" customWidth="1"/>
  </cols>
  <sheetData>
    <row r="1" spans="1:41" s="30" customFormat="1" ht="70.5" customHeight="1" x14ac:dyDescent="0.15">
      <c r="A1" s="346" t="s">
        <v>1475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7"/>
      <c r="U1" s="347"/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30" t="s">
        <v>1019</v>
      </c>
    </row>
    <row r="2" spans="1:41" s="30" customFormat="1" ht="51" customHeight="1" x14ac:dyDescent="0.15">
      <c r="A2" s="348"/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  <c r="AK2" s="348"/>
      <c r="AL2" s="348"/>
      <c r="AM2" s="348"/>
      <c r="AN2" s="348"/>
    </row>
    <row r="4" spans="1:41" x14ac:dyDescent="0.15">
      <c r="A4" s="30"/>
      <c r="B4" s="30"/>
      <c r="C4" s="30"/>
      <c r="D4" s="30"/>
      <c r="N4" s="30"/>
      <c r="O4" s="30"/>
      <c r="P4" s="30"/>
      <c r="Q4" s="30"/>
      <c r="R4" s="30"/>
      <c r="S4" s="30"/>
      <c r="T4" s="30"/>
      <c r="U4" s="30"/>
      <c r="V4" s="30"/>
      <c r="AG4" s="30"/>
      <c r="AH4" s="30"/>
      <c r="AI4" s="30"/>
      <c r="AJ4" s="30"/>
      <c r="AK4" s="30"/>
      <c r="AL4" s="30"/>
      <c r="AM4" s="30"/>
      <c r="AN4" s="30"/>
    </row>
    <row r="5" spans="1:41" s="30" customFormat="1" x14ac:dyDescent="0.15">
      <c r="W5"/>
      <c r="X5"/>
      <c r="Y5"/>
      <c r="Z5"/>
      <c r="AA5"/>
      <c r="AB5"/>
      <c r="AC5"/>
      <c r="AD5"/>
      <c r="AE5"/>
      <c r="AF5"/>
    </row>
    <row r="6" spans="1:41" s="30" customFormat="1" x14ac:dyDescent="0.15">
      <c r="W6"/>
      <c r="X6"/>
      <c r="Y6"/>
      <c r="Z6"/>
      <c r="AA6"/>
      <c r="AB6"/>
      <c r="AC6"/>
      <c r="AD6"/>
      <c r="AE6"/>
      <c r="AF6"/>
    </row>
    <row r="7" spans="1:41" s="30" customFormat="1" ht="51" customHeight="1" x14ac:dyDescent="0.15">
      <c r="W7"/>
      <c r="X7"/>
      <c r="Y7"/>
      <c r="Z7"/>
      <c r="AA7"/>
      <c r="AB7"/>
      <c r="AC7"/>
      <c r="AD7"/>
      <c r="AE7"/>
      <c r="AF7"/>
    </row>
    <row r="8" spans="1:41" s="30" customFormat="1" ht="15" thickBot="1" x14ac:dyDescent="0.2">
      <c r="W8"/>
      <c r="X8"/>
      <c r="Y8"/>
      <c r="Z8"/>
      <c r="AA8"/>
      <c r="AB8"/>
      <c r="AC8"/>
      <c r="AD8"/>
      <c r="AE8"/>
    </row>
    <row r="9" spans="1:41" ht="17" thickBot="1" x14ac:dyDescent="0.25">
      <c r="A9" s="30"/>
      <c r="B9" s="2"/>
      <c r="C9" s="31"/>
      <c r="D9" s="340" t="s">
        <v>355</v>
      </c>
      <c r="E9" s="341"/>
      <c r="F9" s="341"/>
      <c r="G9" s="341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341"/>
      <c r="S9" s="341"/>
      <c r="T9" s="342"/>
      <c r="U9" s="30"/>
      <c r="V9" s="30"/>
      <c r="W9" s="2"/>
      <c r="X9" s="31"/>
      <c r="Y9" s="352" t="s">
        <v>356</v>
      </c>
      <c r="Z9" s="353"/>
      <c r="AA9" s="353"/>
      <c r="AB9" s="353"/>
      <c r="AC9" s="353"/>
      <c r="AD9" s="353"/>
      <c r="AE9" s="353"/>
      <c r="AF9" s="353"/>
      <c r="AG9" s="353"/>
      <c r="AH9" s="353"/>
      <c r="AI9" s="353"/>
      <c r="AJ9" s="353"/>
      <c r="AK9" s="353"/>
      <c r="AL9" s="353"/>
      <c r="AM9" s="353"/>
      <c r="AN9" s="353"/>
    </row>
    <row r="10" spans="1:41" x14ac:dyDescent="0.15">
      <c r="A10" s="30"/>
      <c r="B10" s="157" t="s">
        <v>447</v>
      </c>
      <c r="C10" s="158" t="s">
        <v>354</v>
      </c>
      <c r="D10" s="58" t="s">
        <v>504</v>
      </c>
      <c r="E10" s="58" t="s">
        <v>503</v>
      </c>
      <c r="F10" s="58" t="s">
        <v>502</v>
      </c>
      <c r="G10" s="58" t="s">
        <v>501</v>
      </c>
      <c r="H10" s="58" t="s">
        <v>510</v>
      </c>
      <c r="I10" s="58" t="s">
        <v>176</v>
      </c>
      <c r="J10" s="58" t="s">
        <v>177</v>
      </c>
      <c r="K10" s="58" t="s">
        <v>505</v>
      </c>
      <c r="L10" s="58" t="s">
        <v>507</v>
      </c>
      <c r="M10" s="58" t="s">
        <v>178</v>
      </c>
      <c r="N10" s="58" t="s">
        <v>179</v>
      </c>
      <c r="O10" s="58" t="s">
        <v>506</v>
      </c>
      <c r="P10" s="58" t="s">
        <v>508</v>
      </c>
      <c r="Q10" s="58" t="s">
        <v>180</v>
      </c>
      <c r="R10" s="58" t="s">
        <v>181</v>
      </c>
      <c r="S10" s="58" t="s">
        <v>509</v>
      </c>
      <c r="T10" s="158" t="s">
        <v>183</v>
      </c>
      <c r="U10" s="95"/>
      <c r="V10" s="95"/>
      <c r="W10" s="157" t="s">
        <v>447</v>
      </c>
      <c r="X10" s="159" t="s">
        <v>354</v>
      </c>
      <c r="Y10" s="58" t="s">
        <v>504</v>
      </c>
      <c r="Z10" s="58" t="s">
        <v>503</v>
      </c>
      <c r="AA10" s="58" t="s">
        <v>502</v>
      </c>
      <c r="AB10" s="58" t="s">
        <v>501</v>
      </c>
      <c r="AC10" s="58" t="s">
        <v>510</v>
      </c>
      <c r="AD10" s="58" t="s">
        <v>176</v>
      </c>
      <c r="AE10" s="58" t="s">
        <v>177</v>
      </c>
      <c r="AF10" s="58" t="s">
        <v>505</v>
      </c>
      <c r="AG10" s="58" t="s">
        <v>507</v>
      </c>
      <c r="AH10" s="58" t="s">
        <v>178</v>
      </c>
      <c r="AI10" s="58" t="s">
        <v>179</v>
      </c>
      <c r="AJ10" s="58" t="s">
        <v>506</v>
      </c>
      <c r="AK10" s="58" t="s">
        <v>508</v>
      </c>
      <c r="AL10" s="58" t="s">
        <v>180</v>
      </c>
      <c r="AM10" s="58" t="s">
        <v>181</v>
      </c>
      <c r="AN10" s="58" t="s">
        <v>509</v>
      </c>
    </row>
    <row r="11" spans="1:41" s="30" customFormat="1" x14ac:dyDescent="0.15">
      <c r="B11" s="333" t="s">
        <v>4</v>
      </c>
      <c r="C11" s="161" t="s">
        <v>184</v>
      </c>
      <c r="D11" s="204">
        <f>SUMIFS('caseload data'!E:E,'caseload data'!$D:$D,"PO",'caseload data'!$A:$A,EMR)</f>
        <v>0</v>
      </c>
      <c r="E11" s="204">
        <f>SUMIFS('caseload data'!F:F,'caseload data'!$D:$D,"PO",'caseload data'!$A:$A,EMR)</f>
        <v>0</v>
      </c>
      <c r="F11" s="204">
        <f>SUMIFS('caseload data'!G:G,'caseload data'!$D:$D,"PO",'caseload data'!$A:$A,EMR)</f>
        <v>0</v>
      </c>
      <c r="G11" s="204">
        <f>SUMIFS('caseload data'!H:H,'caseload data'!$D:$D,"PO",'caseload data'!$A:$A,EMR)</f>
        <v>0</v>
      </c>
      <c r="H11" s="204">
        <f>SUMIFS('caseload data'!I:I,'caseload data'!$D:$D,"PO",'caseload data'!$A:$A,EMR)</f>
        <v>0</v>
      </c>
      <c r="I11" s="204">
        <f>SUMIFS('caseload data'!J:J,'caseload data'!$D:$D,"PO",'caseload data'!$A:$A,EMR)</f>
        <v>0</v>
      </c>
      <c r="J11" s="204">
        <f>SUMIFS('caseload data'!K:K,'caseload data'!$D:$D,"PO",'caseload data'!$A:$A,EMR)</f>
        <v>0</v>
      </c>
      <c r="K11" s="204">
        <f>SUMIFS('caseload data'!L:L,'caseload data'!$D:$D,"PO",'caseload data'!$A:$A,EMR)</f>
        <v>0</v>
      </c>
      <c r="L11" s="204">
        <f>SUMIFS('caseload data'!M:M,'caseload data'!$D:$D,"PO",'caseload data'!$A:$A,EMR)</f>
        <v>0</v>
      </c>
      <c r="M11" s="204">
        <f>SUMIFS('caseload data'!N:N,'caseload data'!$D:$D,"PO",'caseload data'!$A:$A,EMR)</f>
        <v>0</v>
      </c>
      <c r="N11" s="204">
        <f>SUMIFS('caseload data'!O:O,'caseload data'!$D:$D,"PO",'caseload data'!$A:$A,EMR)</f>
        <v>0</v>
      </c>
      <c r="O11" s="204">
        <f>SUMIFS('caseload data'!P:P,'caseload data'!$D:$D,"PO",'caseload data'!$A:$A,EMR)</f>
        <v>0</v>
      </c>
      <c r="P11" s="204">
        <f>SUMIFS('caseload data'!Q:Q,'caseload data'!$D:$D,"PO",'caseload data'!$A:$A,EMR)</f>
        <v>0</v>
      </c>
      <c r="Q11" s="204">
        <f>SUMIFS('caseload data'!R:R,'caseload data'!$D:$D,"PO",'caseload data'!$A:$A,EMR)</f>
        <v>0</v>
      </c>
      <c r="R11" s="204">
        <f>SUMIFS('caseload data'!S:S,'caseload data'!$D:$D,"PO",'caseload data'!$A:$A,EMR)</f>
        <v>0</v>
      </c>
      <c r="S11" s="204">
        <f>SUMIFS('caseload data'!T:T,'caseload data'!$D:$D,"PO",'caseload data'!$A:$A,EMR)</f>
        <v>0</v>
      </c>
      <c r="T11" s="126">
        <f>SUMIFS('caseload data'!V:V,'caseload data'!$D:$D,"PO",'caseload data'!$A:$A,'national caseload'!B11:B13)</f>
        <v>0</v>
      </c>
      <c r="U11" s="95"/>
      <c r="V11" s="95"/>
      <c r="W11" s="333" t="s">
        <v>4</v>
      </c>
      <c r="X11" s="161" t="s">
        <v>184</v>
      </c>
      <c r="Y11" s="209" t="e">
        <f t="shared" ref="Y11:AN14" si="0">SUM(D11)/SUM(D$11:D$14)</f>
        <v>#DIV/0!</v>
      </c>
      <c r="Z11" s="209" t="e">
        <f t="shared" si="0"/>
        <v>#DIV/0!</v>
      </c>
      <c r="AA11" s="209" t="e">
        <f t="shared" si="0"/>
        <v>#DIV/0!</v>
      </c>
      <c r="AB11" s="209" t="e">
        <f t="shared" si="0"/>
        <v>#DIV/0!</v>
      </c>
      <c r="AC11" s="209" t="e">
        <f t="shared" si="0"/>
        <v>#DIV/0!</v>
      </c>
      <c r="AD11" s="209" t="e">
        <f t="shared" si="0"/>
        <v>#DIV/0!</v>
      </c>
      <c r="AE11" s="209" t="e">
        <f t="shared" si="0"/>
        <v>#DIV/0!</v>
      </c>
      <c r="AF11" s="209" t="e">
        <f t="shared" si="0"/>
        <v>#DIV/0!</v>
      </c>
      <c r="AG11" s="209" t="e">
        <f t="shared" si="0"/>
        <v>#DIV/0!</v>
      </c>
      <c r="AH11" s="209" t="e">
        <f t="shared" si="0"/>
        <v>#DIV/0!</v>
      </c>
      <c r="AI11" s="209" t="e">
        <f t="shared" si="0"/>
        <v>#DIV/0!</v>
      </c>
      <c r="AJ11" s="209" t="e">
        <f t="shared" si="0"/>
        <v>#DIV/0!</v>
      </c>
      <c r="AK11" s="209" t="e">
        <f t="shared" si="0"/>
        <v>#DIV/0!</v>
      </c>
      <c r="AL11" s="209" t="e">
        <f t="shared" si="0"/>
        <v>#DIV/0!</v>
      </c>
      <c r="AM11" s="209" t="e">
        <f t="shared" si="0"/>
        <v>#DIV/0!</v>
      </c>
      <c r="AN11" s="209" t="e">
        <f t="shared" si="0"/>
        <v>#DIV/0!</v>
      </c>
    </row>
    <row r="12" spans="1:41" s="30" customFormat="1" x14ac:dyDescent="0.15">
      <c r="B12" s="334"/>
      <c r="C12" s="162" t="s">
        <v>185</v>
      </c>
      <c r="D12" s="204">
        <f>SUMIFS('caseload data'!E:E,'caseload data'!$D:$D,"PSO",'caseload data'!$A:$A,"NPS East Midlands Region")</f>
        <v>0</v>
      </c>
      <c r="E12" s="204">
        <f>SUMIFS('caseload data'!F:F,'caseload data'!$D:$D,"PSO",'caseload data'!$A:$A,"NPS East Midlands Region")</f>
        <v>0</v>
      </c>
      <c r="F12" s="204">
        <f>SUMIFS('caseload data'!G:G,'caseload data'!$D:$D,"PSO",'caseload data'!$A:$A,"NPS East Midlands Region")</f>
        <v>0</v>
      </c>
      <c r="G12" s="204">
        <f>SUMIFS('caseload data'!H:H,'caseload data'!$D:$D,"PSO",'caseload data'!$A:$A,"NPS East Midlands Region")</f>
        <v>0</v>
      </c>
      <c r="H12" s="204">
        <f>SUMIFS('caseload data'!I:I,'caseload data'!$D:$D,"PSO",'caseload data'!$A:$A,"NPS East Midlands Region")</f>
        <v>0</v>
      </c>
      <c r="I12" s="204">
        <f>SUMIFS('caseload data'!J:J,'caseload data'!$D:$D,"PSO",'caseload data'!$A:$A,"NPS East Midlands Region")</f>
        <v>0</v>
      </c>
      <c r="J12" s="204">
        <f>SUMIFS('caseload data'!K:K,'caseload data'!$D:$D,"PSO",'caseload data'!$A:$A,"NPS East Midlands Region")</f>
        <v>0</v>
      </c>
      <c r="K12" s="204">
        <f>SUMIFS('caseload data'!L:L,'caseload data'!$D:$D,"PSO",'caseload data'!$A:$A,"NPS East Midlands Region")</f>
        <v>0</v>
      </c>
      <c r="L12" s="204">
        <f>SUMIFS('caseload data'!M:M,'caseload data'!$D:$D,"PSO",'caseload data'!$A:$A,"NPS East Midlands Region")</f>
        <v>0</v>
      </c>
      <c r="M12" s="204">
        <f>SUMIFS('caseload data'!N:N,'caseload data'!$D:$D,"PSO",'caseload data'!$A:$A,"NPS East Midlands Region")</f>
        <v>0</v>
      </c>
      <c r="N12" s="204">
        <f>SUMIFS('caseload data'!O:O,'caseload data'!$D:$D,"PSO",'caseload data'!$A:$A,"NPS East Midlands Region")</f>
        <v>0</v>
      </c>
      <c r="O12" s="204">
        <f>SUMIFS('caseload data'!P:P,'caseload data'!$D:$D,"PSO",'caseload data'!$A:$A,"NPS East Midlands Region")</f>
        <v>0</v>
      </c>
      <c r="P12" s="204">
        <f>SUMIFS('caseload data'!Q:Q,'caseload data'!$D:$D,"PSO",'caseload data'!$A:$A,"NPS East Midlands Region")</f>
        <v>0</v>
      </c>
      <c r="Q12" s="204">
        <f>SUMIFS('caseload data'!R:R,'caseload data'!$D:$D,"PSO",'caseload data'!$A:$A,"NPS East Midlands Region")</f>
        <v>0</v>
      </c>
      <c r="R12" s="204">
        <f>SUMIFS('caseload data'!S:S,'caseload data'!$D:$D,"PSO",'caseload data'!$A:$A,"NPS East Midlands Region")</f>
        <v>0</v>
      </c>
      <c r="S12" s="204">
        <f>SUMIFS('caseload data'!T:T,'caseload data'!$D:$D,"PSO",'caseload data'!$A:$A,"NPS East Midlands Region")</f>
        <v>0</v>
      </c>
      <c r="T12" s="126">
        <f>SUMIFS('caseload data'!V:V,'caseload data'!$D:$D,"PSO",'caseload data'!$A:$A,"NPS East Midlands Region")</f>
        <v>0</v>
      </c>
      <c r="U12" s="95"/>
      <c r="V12" s="95"/>
      <c r="W12" s="334"/>
      <c r="X12" s="162" t="s">
        <v>185</v>
      </c>
      <c r="Y12" s="209" t="e">
        <f t="shared" si="0"/>
        <v>#DIV/0!</v>
      </c>
      <c r="Z12" s="209" t="e">
        <f t="shared" si="0"/>
        <v>#DIV/0!</v>
      </c>
      <c r="AA12" s="209" t="e">
        <f t="shared" si="0"/>
        <v>#DIV/0!</v>
      </c>
      <c r="AB12" s="209" t="e">
        <f t="shared" si="0"/>
        <v>#DIV/0!</v>
      </c>
      <c r="AC12" s="209" t="e">
        <f t="shared" si="0"/>
        <v>#DIV/0!</v>
      </c>
      <c r="AD12" s="209" t="e">
        <f t="shared" si="0"/>
        <v>#DIV/0!</v>
      </c>
      <c r="AE12" s="209" t="e">
        <f t="shared" si="0"/>
        <v>#DIV/0!</v>
      </c>
      <c r="AF12" s="209" t="e">
        <f t="shared" si="0"/>
        <v>#DIV/0!</v>
      </c>
      <c r="AG12" s="209" t="e">
        <f t="shared" si="0"/>
        <v>#DIV/0!</v>
      </c>
      <c r="AH12" s="209" t="e">
        <f t="shared" si="0"/>
        <v>#DIV/0!</v>
      </c>
      <c r="AI12" s="209" t="e">
        <f t="shared" si="0"/>
        <v>#DIV/0!</v>
      </c>
      <c r="AJ12" s="209" t="e">
        <f t="shared" si="0"/>
        <v>#DIV/0!</v>
      </c>
      <c r="AK12" s="209" t="e">
        <f t="shared" si="0"/>
        <v>#DIV/0!</v>
      </c>
      <c r="AL12" s="209" t="e">
        <f t="shared" si="0"/>
        <v>#DIV/0!</v>
      </c>
      <c r="AM12" s="209" t="e">
        <f t="shared" si="0"/>
        <v>#DIV/0!</v>
      </c>
      <c r="AN12" s="209" t="e">
        <f t="shared" si="0"/>
        <v>#DIV/0!</v>
      </c>
    </row>
    <row r="13" spans="1:41" s="30" customFormat="1" x14ac:dyDescent="0.15">
      <c r="B13" s="334"/>
      <c r="C13" s="162" t="s">
        <v>186</v>
      </c>
      <c r="D13" s="204">
        <f>SUMIFS('caseload data'!E:E,'caseload data'!$D:$D,"TPO",'caseload data'!$A:$A,"NPS East Midlands Region")</f>
        <v>0</v>
      </c>
      <c r="E13" s="204">
        <f>SUMIFS('caseload data'!F:F,'caseload data'!$D:$D,"TPO",'caseload data'!$A:$A,"NPS East Midlands Region")</f>
        <v>0</v>
      </c>
      <c r="F13" s="204">
        <f>SUMIFS('caseload data'!G:G,'caseload data'!$D:$D,"TPO",'caseload data'!$A:$A,"NPS East Midlands Region")</f>
        <v>0</v>
      </c>
      <c r="G13" s="204">
        <f>SUMIFS('caseload data'!H:H,'caseload data'!$D:$D,"TPO",'caseload data'!$A:$A,"NPS East Midlands Region")</f>
        <v>0</v>
      </c>
      <c r="H13" s="204">
        <f>SUMIFS('caseload data'!I:I,'caseload data'!$D:$D,"TPO",'caseload data'!$A:$A,"NPS East Midlands Region")</f>
        <v>0</v>
      </c>
      <c r="I13" s="204">
        <f>SUMIFS('caseload data'!J:J,'caseload data'!$D:$D,"TPO",'caseload data'!$A:$A,"NPS East Midlands Region")</f>
        <v>0</v>
      </c>
      <c r="J13" s="204">
        <f>SUMIFS('caseload data'!K:K,'caseload data'!$D:$D,"TPO",'caseload data'!$A:$A,"NPS East Midlands Region")</f>
        <v>0</v>
      </c>
      <c r="K13" s="204">
        <f>SUMIFS('caseload data'!L:L,'caseload data'!$D:$D,"TPO",'caseload data'!$A:$A,"NPS East Midlands Region")</f>
        <v>0</v>
      </c>
      <c r="L13" s="204">
        <f>SUMIFS('caseload data'!M:M,'caseload data'!$D:$D,"TPO",'caseload data'!$A:$A,"NPS East Midlands Region")</f>
        <v>0</v>
      </c>
      <c r="M13" s="204">
        <f>SUMIFS('caseload data'!N:N,'caseload data'!$D:$D,"TPO",'caseload data'!$A:$A,"NPS East Midlands Region")</f>
        <v>0</v>
      </c>
      <c r="N13" s="204">
        <f>SUMIFS('caseload data'!O:O,'caseload data'!$D:$D,"TPO",'caseload data'!$A:$A,"NPS East Midlands Region")</f>
        <v>0</v>
      </c>
      <c r="O13" s="204">
        <f>SUMIFS('caseload data'!P:P,'caseload data'!$D:$D,"TPO",'caseload data'!$A:$A,"NPS East Midlands Region")</f>
        <v>0</v>
      </c>
      <c r="P13" s="204">
        <f>SUMIFS('caseload data'!Q:Q,'caseload data'!$D:$D,"TPO",'caseload data'!$A:$A,"NPS East Midlands Region")</f>
        <v>0</v>
      </c>
      <c r="Q13" s="204">
        <f>SUMIFS('caseload data'!R:R,'caseload data'!$D:$D,"TPO",'caseload data'!$A:$A,"NPS East Midlands Region")</f>
        <v>0</v>
      </c>
      <c r="R13" s="204">
        <f>SUMIFS('caseload data'!S:S,'caseload data'!$D:$D,"TPO",'caseload data'!$A:$A,"NPS East Midlands Region")</f>
        <v>0</v>
      </c>
      <c r="S13" s="204">
        <f>SUMIFS('caseload data'!T:T,'caseload data'!$D:$D,"TPO",'caseload data'!$A:$A,"NPS East Midlands Region")</f>
        <v>0</v>
      </c>
      <c r="T13" s="126">
        <f>SUMIFS('caseload data'!V:V,'caseload data'!$D:$D,"TPO",'caseload data'!$A:$A,"NPS East Midlands Region")</f>
        <v>0</v>
      </c>
      <c r="U13" s="95"/>
      <c r="V13" s="95"/>
      <c r="W13" s="334"/>
      <c r="X13" s="162" t="s">
        <v>186</v>
      </c>
      <c r="Y13" s="209" t="e">
        <f t="shared" si="0"/>
        <v>#DIV/0!</v>
      </c>
      <c r="Z13" s="209" t="e">
        <f t="shared" si="0"/>
        <v>#DIV/0!</v>
      </c>
      <c r="AA13" s="209" t="e">
        <f t="shared" si="0"/>
        <v>#DIV/0!</v>
      </c>
      <c r="AB13" s="209" t="e">
        <f t="shared" si="0"/>
        <v>#DIV/0!</v>
      </c>
      <c r="AC13" s="209" t="e">
        <f t="shared" si="0"/>
        <v>#DIV/0!</v>
      </c>
      <c r="AD13" s="209" t="e">
        <f t="shared" si="0"/>
        <v>#DIV/0!</v>
      </c>
      <c r="AE13" s="209" t="e">
        <f t="shared" si="0"/>
        <v>#DIV/0!</v>
      </c>
      <c r="AF13" s="209" t="e">
        <f t="shared" si="0"/>
        <v>#DIV/0!</v>
      </c>
      <c r="AG13" s="209" t="e">
        <f t="shared" si="0"/>
        <v>#DIV/0!</v>
      </c>
      <c r="AH13" s="209" t="e">
        <f t="shared" si="0"/>
        <v>#DIV/0!</v>
      </c>
      <c r="AI13" s="209" t="e">
        <f t="shared" si="0"/>
        <v>#DIV/0!</v>
      </c>
      <c r="AJ13" s="209" t="e">
        <f t="shared" si="0"/>
        <v>#DIV/0!</v>
      </c>
      <c r="AK13" s="209" t="e">
        <f t="shared" si="0"/>
        <v>#DIV/0!</v>
      </c>
      <c r="AL13" s="209" t="e">
        <f t="shared" si="0"/>
        <v>#DIV/0!</v>
      </c>
      <c r="AM13" s="209" t="e">
        <f t="shared" si="0"/>
        <v>#DIV/0!</v>
      </c>
      <c r="AN13" s="209" t="e">
        <f t="shared" si="0"/>
        <v>#DIV/0!</v>
      </c>
    </row>
    <row r="14" spans="1:41" s="30" customFormat="1" x14ac:dyDescent="0.15">
      <c r="B14" s="335"/>
      <c r="C14" s="163" t="s">
        <v>187</v>
      </c>
      <c r="D14" s="204">
        <f>SUMIFS('caseload data'!E:E,'caseload data'!$D:$D,"SPO",'caseload data'!$A:$A,"NPS East Midlands Region")</f>
        <v>0</v>
      </c>
      <c r="E14" s="204">
        <f>SUMIFS('caseload data'!F:F,'caseload data'!$D:$D,"SPO",'caseload data'!$A:$A,"NPS East Midlands Region")</f>
        <v>0</v>
      </c>
      <c r="F14" s="204">
        <f>SUMIFS('caseload data'!G:G,'caseload data'!$D:$D,"SPO",'caseload data'!$A:$A,"NPS East Midlands Region")</f>
        <v>0</v>
      </c>
      <c r="G14" s="204">
        <f>SUMIFS('caseload data'!H:H,'caseload data'!$D:$D,"SPO",'caseload data'!$A:$A,"NPS East Midlands Region")</f>
        <v>0</v>
      </c>
      <c r="H14" s="204">
        <f>SUMIFS('caseload data'!I:I,'caseload data'!$D:$D,"SPO",'caseload data'!$A:$A,"NPS East Midlands Region")</f>
        <v>0</v>
      </c>
      <c r="I14" s="204">
        <f>SUMIFS('caseload data'!J:J,'caseload data'!$D:$D,"SPO",'caseload data'!$A:$A,"NPS East Midlands Region")</f>
        <v>0</v>
      </c>
      <c r="J14" s="204">
        <f>SUMIFS('caseload data'!K:K,'caseload data'!$D:$D,"SPO",'caseload data'!$A:$A,"NPS East Midlands Region")</f>
        <v>0</v>
      </c>
      <c r="K14" s="204">
        <f>SUMIFS('caseload data'!L:L,'caseload data'!$D:$D,"SPO",'caseload data'!$A:$A,"NPS East Midlands Region")</f>
        <v>0</v>
      </c>
      <c r="L14" s="204">
        <f>SUMIFS('caseload data'!M:M,'caseload data'!$D:$D,"SPO",'caseload data'!$A:$A,"NPS East Midlands Region")</f>
        <v>0</v>
      </c>
      <c r="M14" s="204">
        <f>SUMIFS('caseload data'!N:N,'caseload data'!$D:$D,"SPO",'caseload data'!$A:$A,"NPS East Midlands Region")</f>
        <v>0</v>
      </c>
      <c r="N14" s="204">
        <f>SUMIFS('caseload data'!O:O,'caseload data'!$D:$D,"SPO",'caseload data'!$A:$A,"NPS East Midlands Region")</f>
        <v>0</v>
      </c>
      <c r="O14" s="204">
        <f>SUMIFS('caseload data'!P:P,'caseload data'!$D:$D,"SPO",'caseload data'!$A:$A,"NPS East Midlands Region")</f>
        <v>0</v>
      </c>
      <c r="P14" s="204">
        <f>SUMIFS('caseload data'!Q:Q,'caseload data'!$D:$D,"SPO",'caseload data'!$A:$A,"NPS East Midlands Region")</f>
        <v>0</v>
      </c>
      <c r="Q14" s="204">
        <f>SUMIFS('caseload data'!R:R,'caseload data'!$D:$D,"SPO",'caseload data'!$A:$A,"NPS East Midlands Region")</f>
        <v>0</v>
      </c>
      <c r="R14" s="204">
        <f>SUMIFS('caseload data'!S:S,'caseload data'!$D:$D,"SPO",'caseload data'!$A:$A,"NPS East Midlands Region")</f>
        <v>0</v>
      </c>
      <c r="S14" s="204">
        <f>SUMIFS('caseload data'!T:T,'caseload data'!$D:$D,"SPO",'caseload data'!$A:$A,"NPS East Midlands Region")</f>
        <v>0</v>
      </c>
      <c r="T14" s="126">
        <f>SUMIFS('caseload data'!V:V,'caseload data'!$D:$D,"SPO",'caseload data'!$A:$A,"NPS East Midlands Region")</f>
        <v>0</v>
      </c>
      <c r="U14" s="95"/>
      <c r="V14" s="95"/>
      <c r="W14" s="335"/>
      <c r="X14" s="163" t="s">
        <v>187</v>
      </c>
      <c r="Y14" s="209" t="e">
        <f t="shared" si="0"/>
        <v>#DIV/0!</v>
      </c>
      <c r="Z14" s="209" t="e">
        <f t="shared" si="0"/>
        <v>#DIV/0!</v>
      </c>
      <c r="AA14" s="209" t="e">
        <f t="shared" si="0"/>
        <v>#DIV/0!</v>
      </c>
      <c r="AB14" s="209" t="e">
        <f t="shared" si="0"/>
        <v>#DIV/0!</v>
      </c>
      <c r="AC14" s="209" t="e">
        <f t="shared" si="0"/>
        <v>#DIV/0!</v>
      </c>
      <c r="AD14" s="209" t="e">
        <f t="shared" si="0"/>
        <v>#DIV/0!</v>
      </c>
      <c r="AE14" s="209" t="e">
        <f t="shared" si="0"/>
        <v>#DIV/0!</v>
      </c>
      <c r="AF14" s="209" t="e">
        <f t="shared" si="0"/>
        <v>#DIV/0!</v>
      </c>
      <c r="AG14" s="209" t="e">
        <f t="shared" si="0"/>
        <v>#DIV/0!</v>
      </c>
      <c r="AH14" s="209" t="e">
        <f t="shared" si="0"/>
        <v>#DIV/0!</v>
      </c>
      <c r="AI14" s="209" t="e">
        <f t="shared" si="0"/>
        <v>#DIV/0!</v>
      </c>
      <c r="AJ14" s="209" t="e">
        <f t="shared" si="0"/>
        <v>#DIV/0!</v>
      </c>
      <c r="AK14" s="209" t="e">
        <f t="shared" si="0"/>
        <v>#DIV/0!</v>
      </c>
      <c r="AL14" s="209" t="e">
        <f t="shared" si="0"/>
        <v>#DIV/0!</v>
      </c>
      <c r="AM14" s="209" t="e">
        <f t="shared" si="0"/>
        <v>#DIV/0!</v>
      </c>
      <c r="AN14" s="209" t="e">
        <f t="shared" si="0"/>
        <v>#DIV/0!</v>
      </c>
    </row>
    <row r="15" spans="1:41" x14ac:dyDescent="0.15">
      <c r="A15" s="30"/>
      <c r="B15" s="333" t="s">
        <v>1014</v>
      </c>
      <c r="C15" s="161" t="s">
        <v>184</v>
      </c>
      <c r="D15" s="204">
        <f>SUMIFS('caseload data'!E:E,'caseload data'!$D:$D,"PO",'caseload data'!$A:$A,EoE)</f>
        <v>0</v>
      </c>
      <c r="E15" s="204">
        <f>SUMIFS('caseload data'!F:F,'caseload data'!$D:$D,"PO",'caseload data'!$A:$A,EoE)</f>
        <v>0</v>
      </c>
      <c r="F15" s="204">
        <f>SUMIFS('caseload data'!G:G,'caseload data'!$D:$D,"PO",'caseload data'!$A:$A,EoE)</f>
        <v>0</v>
      </c>
      <c r="G15" s="204">
        <f>SUMIFS('caseload data'!H:H,'caseload data'!$D:$D,"PO",'caseload data'!$A:$A,EoE)</f>
        <v>0</v>
      </c>
      <c r="H15" s="204">
        <f>SUMIFS('caseload data'!I:I,'caseload data'!$D:$D,"PO",'caseload data'!$A:$A,EoE)</f>
        <v>0</v>
      </c>
      <c r="I15" s="204">
        <f>SUMIFS('caseload data'!J:J,'caseload data'!$D:$D,"PO",'caseload data'!$A:$A,EoE)</f>
        <v>0</v>
      </c>
      <c r="J15" s="204">
        <f>SUMIFS('caseload data'!K:K,'caseload data'!$D:$D,"PO",'caseload data'!$A:$A,EoE)</f>
        <v>0</v>
      </c>
      <c r="K15" s="204">
        <f>SUMIFS('caseload data'!L:L,'caseload data'!$D:$D,"PO",'caseload data'!$A:$A,EoE)</f>
        <v>0</v>
      </c>
      <c r="L15" s="204">
        <f>SUMIFS('caseload data'!M:M,'caseload data'!$D:$D,"PO",'caseload data'!$A:$A,EoE)</f>
        <v>0</v>
      </c>
      <c r="M15" s="204">
        <f>SUMIFS('caseload data'!N:N,'caseload data'!$D:$D,"PO",'caseload data'!$A:$A,EoE)</f>
        <v>0</v>
      </c>
      <c r="N15" s="204">
        <f>SUMIFS('caseload data'!O:O,'caseload data'!$D:$D,"PO",'caseload data'!$A:$A,EoE)</f>
        <v>0</v>
      </c>
      <c r="O15" s="204">
        <f>SUMIFS('caseload data'!P:P,'caseload data'!$D:$D,"PO",'caseload data'!$A:$A,EoE)</f>
        <v>0</v>
      </c>
      <c r="P15" s="204">
        <f>SUMIFS('caseload data'!Q:Q,'caseload data'!$D:$D,"PO",'caseload data'!$A:$A,EoE)</f>
        <v>0</v>
      </c>
      <c r="Q15" s="204">
        <f>SUMIFS('caseload data'!R:R,'caseload data'!$D:$D,"PO",'caseload data'!$A:$A,EoE)</f>
        <v>0</v>
      </c>
      <c r="R15" s="204">
        <f>SUMIFS('caseload data'!S:S,'caseload data'!$D:$D,"PO",'caseload data'!$A:$A,EoE)</f>
        <v>0</v>
      </c>
      <c r="S15" s="204">
        <f>SUMIFS('caseload data'!T:T,'caseload data'!$D:$D,"PO",'caseload data'!$A:$A,EoE)</f>
        <v>0</v>
      </c>
      <c r="T15" s="126">
        <f>SUMIFS('caseload data'!V:V,'caseload data'!$D:$D,"PO",'caseload data'!$A:$A,EoE)</f>
        <v>0</v>
      </c>
      <c r="U15" s="95"/>
      <c r="V15" s="95"/>
      <c r="W15" s="333" t="s">
        <v>1014</v>
      </c>
      <c r="X15" s="161" t="s">
        <v>184</v>
      </c>
      <c r="Y15" s="209" t="e">
        <f>SUM(D15)/SUM(D$15:D$18)</f>
        <v>#DIV/0!</v>
      </c>
      <c r="Z15" s="209" t="e">
        <f t="shared" ref="Z15:AN18" si="1">SUM(E15)/SUM(E$15:E$18)</f>
        <v>#DIV/0!</v>
      </c>
      <c r="AA15" s="209" t="e">
        <f t="shared" si="1"/>
        <v>#DIV/0!</v>
      </c>
      <c r="AB15" s="209" t="e">
        <f t="shared" si="1"/>
        <v>#DIV/0!</v>
      </c>
      <c r="AC15" s="209" t="e">
        <f t="shared" si="1"/>
        <v>#DIV/0!</v>
      </c>
      <c r="AD15" s="209" t="e">
        <f t="shared" si="1"/>
        <v>#DIV/0!</v>
      </c>
      <c r="AE15" s="209" t="e">
        <f t="shared" si="1"/>
        <v>#DIV/0!</v>
      </c>
      <c r="AF15" s="209" t="e">
        <f t="shared" si="1"/>
        <v>#DIV/0!</v>
      </c>
      <c r="AG15" s="209" t="e">
        <f t="shared" si="1"/>
        <v>#DIV/0!</v>
      </c>
      <c r="AH15" s="209" t="e">
        <f t="shared" si="1"/>
        <v>#DIV/0!</v>
      </c>
      <c r="AI15" s="209" t="e">
        <f t="shared" si="1"/>
        <v>#DIV/0!</v>
      </c>
      <c r="AJ15" s="209" t="e">
        <f t="shared" si="1"/>
        <v>#DIV/0!</v>
      </c>
      <c r="AK15" s="209" t="e">
        <f t="shared" si="1"/>
        <v>#DIV/0!</v>
      </c>
      <c r="AL15" s="209" t="e">
        <f t="shared" si="1"/>
        <v>#DIV/0!</v>
      </c>
      <c r="AM15" s="209" t="e">
        <f t="shared" si="1"/>
        <v>#DIV/0!</v>
      </c>
      <c r="AN15" s="209" t="e">
        <f t="shared" si="1"/>
        <v>#DIV/0!</v>
      </c>
    </row>
    <row r="16" spans="1:41" s="30" customFormat="1" x14ac:dyDescent="0.15">
      <c r="B16" s="334"/>
      <c r="C16" s="162" t="s">
        <v>185</v>
      </c>
      <c r="D16" s="204">
        <f>SUMIFS('caseload data'!E:E,'caseload data'!$D:$D,"PSO",'caseload data'!$A:$A,"East of England")</f>
        <v>0</v>
      </c>
      <c r="E16" s="204">
        <f>SUMIFS('caseload data'!F:F,'caseload data'!$D:$D,"PSO",'caseload data'!$A:$A,"East of England")</f>
        <v>0</v>
      </c>
      <c r="F16" s="204">
        <f>SUMIFS('caseload data'!G:G,'caseload data'!$D:$D,"PSO",'caseload data'!$A:$A,"East of England")</f>
        <v>0</v>
      </c>
      <c r="G16" s="204">
        <f>SUMIFS('caseload data'!H:H,'caseload data'!$D:$D,"PSO",'caseload data'!$A:$A,"East of England")</f>
        <v>0</v>
      </c>
      <c r="H16" s="204">
        <f>SUMIFS('caseload data'!I:I,'caseload data'!$D:$D,"PSO",'caseload data'!$A:$A,"East of England")</f>
        <v>0</v>
      </c>
      <c r="I16" s="204">
        <f>SUMIFS('caseload data'!J:J,'caseload data'!$D:$D,"PSO",'caseload data'!$A:$A,"East of England")</f>
        <v>0</v>
      </c>
      <c r="J16" s="204">
        <f>SUMIFS('caseload data'!K:K,'caseload data'!$D:$D,"PSO",'caseload data'!$A:$A,"East of England")</f>
        <v>0</v>
      </c>
      <c r="K16" s="204">
        <f>SUMIFS('caseload data'!L:L,'caseload data'!$D:$D,"PSO",'caseload data'!$A:$A,"East of England")</f>
        <v>0</v>
      </c>
      <c r="L16" s="204">
        <f>SUMIFS('caseload data'!M:M,'caseload data'!$D:$D,"PSO",'caseload data'!$A:$A,"East of England")</f>
        <v>0</v>
      </c>
      <c r="M16" s="204">
        <f>SUMIFS('caseload data'!N:N,'caseload data'!$D:$D,"PSO",'caseload data'!$A:$A,"East of England")</f>
        <v>0</v>
      </c>
      <c r="N16" s="204">
        <f>SUMIFS('caseload data'!O:O,'caseload data'!$D:$D,"PSO",'caseload data'!$A:$A,"East of England")</f>
        <v>0</v>
      </c>
      <c r="O16" s="204">
        <f>SUMIFS('caseload data'!P:P,'caseload data'!$D:$D,"PSO",'caseload data'!$A:$A,"East of England")</f>
        <v>0</v>
      </c>
      <c r="P16" s="204">
        <f>SUMIFS('caseload data'!Q:Q,'caseload data'!$D:$D,"PSO",'caseload data'!$A:$A,"East of England")</f>
        <v>0</v>
      </c>
      <c r="Q16" s="204">
        <f>SUMIFS('caseload data'!R:R,'caseload data'!$D:$D,"PSO",'caseload data'!$A:$A,"East of England")</f>
        <v>0</v>
      </c>
      <c r="R16" s="204">
        <f>SUMIFS('caseload data'!S:S,'caseload data'!$D:$D,"PSO",'caseload data'!$A:$A,"East of England")</f>
        <v>0</v>
      </c>
      <c r="S16" s="204">
        <f>SUMIFS('caseload data'!T:T,'caseload data'!$D:$D,"PSO",'caseload data'!$A:$A,"East of England")</f>
        <v>0</v>
      </c>
      <c r="T16" s="126">
        <f>SUMIFS('caseload data'!V:V,'caseload data'!$D:$D,"PSO",'caseload data'!$A:$A,"East of England")</f>
        <v>0</v>
      </c>
      <c r="U16" s="95"/>
      <c r="V16" s="95"/>
      <c r="W16" s="334"/>
      <c r="X16" s="162" t="s">
        <v>185</v>
      </c>
      <c r="Y16" s="209" t="e">
        <f>SUM(D16)/SUM(D$15:D$18)</f>
        <v>#DIV/0!</v>
      </c>
      <c r="Z16" s="209" t="e">
        <f t="shared" si="1"/>
        <v>#DIV/0!</v>
      </c>
      <c r="AA16" s="209" t="e">
        <f t="shared" si="1"/>
        <v>#DIV/0!</v>
      </c>
      <c r="AB16" s="209" t="e">
        <f t="shared" si="1"/>
        <v>#DIV/0!</v>
      </c>
      <c r="AC16" s="209" t="e">
        <f t="shared" si="1"/>
        <v>#DIV/0!</v>
      </c>
      <c r="AD16" s="209" t="e">
        <f t="shared" si="1"/>
        <v>#DIV/0!</v>
      </c>
      <c r="AE16" s="209" t="e">
        <f t="shared" si="1"/>
        <v>#DIV/0!</v>
      </c>
      <c r="AF16" s="209" t="e">
        <f t="shared" si="1"/>
        <v>#DIV/0!</v>
      </c>
      <c r="AG16" s="209" t="e">
        <f t="shared" si="1"/>
        <v>#DIV/0!</v>
      </c>
      <c r="AH16" s="209" t="e">
        <f t="shared" si="1"/>
        <v>#DIV/0!</v>
      </c>
      <c r="AI16" s="209" t="e">
        <f t="shared" si="1"/>
        <v>#DIV/0!</v>
      </c>
      <c r="AJ16" s="209" t="e">
        <f t="shared" si="1"/>
        <v>#DIV/0!</v>
      </c>
      <c r="AK16" s="209" t="e">
        <f t="shared" si="1"/>
        <v>#DIV/0!</v>
      </c>
      <c r="AL16" s="209" t="e">
        <f t="shared" si="1"/>
        <v>#DIV/0!</v>
      </c>
      <c r="AM16" s="209" t="e">
        <f t="shared" si="1"/>
        <v>#DIV/0!</v>
      </c>
      <c r="AN16" s="209" t="e">
        <f t="shared" si="1"/>
        <v>#DIV/0!</v>
      </c>
    </row>
    <row r="17" spans="2:40" x14ac:dyDescent="0.15">
      <c r="B17" s="334"/>
      <c r="C17" s="162" t="s">
        <v>186</v>
      </c>
      <c r="D17" s="204">
        <f>SUMIFS('caseload data'!E:E,'caseload data'!$D:$D,"TPO",'caseload data'!$A:$A,"East of England")</f>
        <v>0</v>
      </c>
      <c r="E17" s="204">
        <f>SUMIFS('caseload data'!F:F,'caseload data'!$D:$D,"TPO",'caseload data'!$A:$A,"East of England")</f>
        <v>0</v>
      </c>
      <c r="F17" s="204">
        <f>SUMIFS('caseload data'!G:G,'caseload data'!$D:$D,"TPO",'caseload data'!$A:$A,"East of England")</f>
        <v>0</v>
      </c>
      <c r="G17" s="204">
        <f>SUMIFS('caseload data'!H:H,'caseload data'!$D:$D,"TPO",'caseload data'!$A:$A,"East of England")</f>
        <v>0</v>
      </c>
      <c r="H17" s="204">
        <f>SUMIFS('caseload data'!I:I,'caseload data'!$D:$D,"TPO",'caseload data'!$A:$A,"East of England")</f>
        <v>0</v>
      </c>
      <c r="I17" s="204">
        <f>SUMIFS('caseload data'!J:J,'caseload data'!$D:$D,"TPO",'caseload data'!$A:$A,"East of England")</f>
        <v>0</v>
      </c>
      <c r="J17" s="204">
        <f>SUMIFS('caseload data'!K:K,'caseload data'!$D:$D,"TPO",'caseload data'!$A:$A,"East of England")</f>
        <v>0</v>
      </c>
      <c r="K17" s="204">
        <f>SUMIFS('caseload data'!L:L,'caseload data'!$D:$D,"TPO",'caseload data'!$A:$A,"East of England")</f>
        <v>0</v>
      </c>
      <c r="L17" s="204">
        <f>SUMIFS('caseload data'!M:M,'caseload data'!$D:$D,"TPO",'caseload data'!$A:$A,"East of England")</f>
        <v>0</v>
      </c>
      <c r="M17" s="204">
        <f>SUMIFS('caseload data'!N:N,'caseload data'!$D:$D,"TPO",'caseload data'!$A:$A,"East of England")</f>
        <v>0</v>
      </c>
      <c r="N17" s="204">
        <f>SUMIFS('caseload data'!O:O,'caseload data'!$D:$D,"TPO",'caseload data'!$A:$A,"East of England")</f>
        <v>0</v>
      </c>
      <c r="O17" s="204">
        <f>SUMIFS('caseload data'!P:P,'caseload data'!$D:$D,"TPO",'caseload data'!$A:$A,"East of England")</f>
        <v>0</v>
      </c>
      <c r="P17" s="204">
        <f>SUMIFS('caseload data'!Q:Q,'caseload data'!$D:$D,"TPO",'caseload data'!$A:$A,"East of England")</f>
        <v>0</v>
      </c>
      <c r="Q17" s="204">
        <f>SUMIFS('caseload data'!R:R,'caseload data'!$D:$D,"TPO",'caseload data'!$A:$A,"East of England")</f>
        <v>0</v>
      </c>
      <c r="R17" s="204">
        <f>SUMIFS('caseload data'!S:S,'caseload data'!$D:$D,"TPO",'caseload data'!$A:$A,"East of England")</f>
        <v>0</v>
      </c>
      <c r="S17" s="204">
        <f>SUMIFS('caseload data'!T:T,'caseload data'!$D:$D,"TPO",'caseload data'!$A:$A,"East of England")</f>
        <v>0</v>
      </c>
      <c r="T17" s="126">
        <f>SUMIFS('caseload data'!V:V,'caseload data'!$D:$D,"TPO",'caseload data'!$A:$A,"East of England")</f>
        <v>0</v>
      </c>
      <c r="U17" s="95"/>
      <c r="V17" s="95"/>
      <c r="W17" s="334"/>
      <c r="X17" s="162" t="s">
        <v>186</v>
      </c>
      <c r="Y17" s="209" t="e">
        <f>SUM(D17)/SUM(D$15:D$18)</f>
        <v>#DIV/0!</v>
      </c>
      <c r="Z17" s="209" t="e">
        <f t="shared" si="1"/>
        <v>#DIV/0!</v>
      </c>
      <c r="AA17" s="209" t="e">
        <f t="shared" si="1"/>
        <v>#DIV/0!</v>
      </c>
      <c r="AB17" s="209" t="e">
        <f t="shared" si="1"/>
        <v>#DIV/0!</v>
      </c>
      <c r="AC17" s="209" t="e">
        <f t="shared" si="1"/>
        <v>#DIV/0!</v>
      </c>
      <c r="AD17" s="209" t="e">
        <f t="shared" si="1"/>
        <v>#DIV/0!</v>
      </c>
      <c r="AE17" s="209" t="e">
        <f t="shared" si="1"/>
        <v>#DIV/0!</v>
      </c>
      <c r="AF17" s="209" t="e">
        <f t="shared" si="1"/>
        <v>#DIV/0!</v>
      </c>
      <c r="AG17" s="209" t="e">
        <f t="shared" si="1"/>
        <v>#DIV/0!</v>
      </c>
      <c r="AH17" s="209" t="e">
        <f t="shared" si="1"/>
        <v>#DIV/0!</v>
      </c>
      <c r="AI17" s="209" t="e">
        <f t="shared" si="1"/>
        <v>#DIV/0!</v>
      </c>
      <c r="AJ17" s="209" t="e">
        <f t="shared" si="1"/>
        <v>#DIV/0!</v>
      </c>
      <c r="AK17" s="209" t="e">
        <f t="shared" si="1"/>
        <v>#DIV/0!</v>
      </c>
      <c r="AL17" s="209" t="e">
        <f t="shared" si="1"/>
        <v>#DIV/0!</v>
      </c>
      <c r="AM17" s="209" t="e">
        <f t="shared" si="1"/>
        <v>#DIV/0!</v>
      </c>
      <c r="AN17" s="209" t="e">
        <f t="shared" si="1"/>
        <v>#DIV/0!</v>
      </c>
    </row>
    <row r="18" spans="2:40" s="30" customFormat="1" x14ac:dyDescent="0.15">
      <c r="B18" s="335"/>
      <c r="C18" s="163" t="s">
        <v>187</v>
      </c>
      <c r="D18" s="204">
        <f>SUMIFS('caseload data'!E:E,'caseload data'!$D:$D,"SPO",'caseload data'!$A:$A,"East of England")</f>
        <v>0</v>
      </c>
      <c r="E18" s="204">
        <f>SUMIFS('caseload data'!F:F,'caseload data'!$D:$D,"SPO",'caseload data'!$A:$A,"East of England")</f>
        <v>0</v>
      </c>
      <c r="F18" s="204">
        <f>SUMIFS('caseload data'!G:G,'caseload data'!$D:$D,"SPO",'caseload data'!$A:$A,"East of England")</f>
        <v>0</v>
      </c>
      <c r="G18" s="204">
        <f>SUMIFS('caseload data'!H:H,'caseload data'!$D:$D,"SPO",'caseload data'!$A:$A,"East of England")</f>
        <v>0</v>
      </c>
      <c r="H18" s="204">
        <f>SUMIFS('caseload data'!I:I,'caseload data'!$D:$D,"SPO",'caseload data'!$A:$A,"East of England")</f>
        <v>0</v>
      </c>
      <c r="I18" s="204">
        <f>SUMIFS('caseload data'!J:J,'caseload data'!$D:$D,"SPO",'caseload data'!$A:$A,"East of England")</f>
        <v>0</v>
      </c>
      <c r="J18" s="204">
        <f>SUMIFS('caseload data'!K:K,'caseload data'!$D:$D,"SPO",'caseload data'!$A:$A,"East of England")</f>
        <v>0</v>
      </c>
      <c r="K18" s="204">
        <f>SUMIFS('caseload data'!L:L,'caseload data'!$D:$D,"SPO",'caseload data'!$A:$A,"East of England")</f>
        <v>0</v>
      </c>
      <c r="L18" s="204">
        <f>SUMIFS('caseload data'!M:M,'caseload data'!$D:$D,"SPO",'caseload data'!$A:$A,"East of England")</f>
        <v>0</v>
      </c>
      <c r="M18" s="204">
        <f>SUMIFS('caseload data'!N:N,'caseload data'!$D:$D,"SPO",'caseload data'!$A:$A,"East of England")</f>
        <v>0</v>
      </c>
      <c r="N18" s="204">
        <f>SUMIFS('caseload data'!O:O,'caseload data'!$D:$D,"SPO",'caseload data'!$A:$A,"East of England")</f>
        <v>0</v>
      </c>
      <c r="O18" s="204">
        <f>SUMIFS('caseload data'!P:P,'caseload data'!$D:$D,"SPO",'caseload data'!$A:$A,"East of England")</f>
        <v>0</v>
      </c>
      <c r="P18" s="204">
        <f>SUMIFS('caseload data'!Q:Q,'caseload data'!$D:$D,"SPO",'caseload data'!$A:$A,"East of England")</f>
        <v>0</v>
      </c>
      <c r="Q18" s="204">
        <f>SUMIFS('caseload data'!R:R,'caseload data'!$D:$D,"SPO",'caseload data'!$A:$A,"East of England")</f>
        <v>0</v>
      </c>
      <c r="R18" s="204">
        <f>SUMIFS('caseload data'!S:S,'caseload data'!$D:$D,"SPO",'caseload data'!$A:$A,"East of England")</f>
        <v>0</v>
      </c>
      <c r="S18" s="204">
        <f>SUMIFS('caseload data'!T:T,'caseload data'!$D:$D,"SPO",'caseload data'!$A:$A,"East of England")</f>
        <v>0</v>
      </c>
      <c r="T18" s="126">
        <f>SUMIFS('caseload data'!V:V,'caseload data'!$D:$D,"SPO",'caseload data'!$A:$A,"East of England")</f>
        <v>0</v>
      </c>
      <c r="U18" s="95"/>
      <c r="V18" s="95"/>
      <c r="W18" s="335"/>
      <c r="X18" s="163" t="s">
        <v>187</v>
      </c>
      <c r="Y18" s="209" t="e">
        <f>SUM(D18)/SUM(D$15:D$18)</f>
        <v>#DIV/0!</v>
      </c>
      <c r="Z18" s="209" t="e">
        <f t="shared" si="1"/>
        <v>#DIV/0!</v>
      </c>
      <c r="AA18" s="209" t="e">
        <f t="shared" si="1"/>
        <v>#DIV/0!</v>
      </c>
      <c r="AB18" s="209" t="e">
        <f t="shared" si="1"/>
        <v>#DIV/0!</v>
      </c>
      <c r="AC18" s="209" t="e">
        <f t="shared" si="1"/>
        <v>#DIV/0!</v>
      </c>
      <c r="AD18" s="209" t="e">
        <f t="shared" si="1"/>
        <v>#DIV/0!</v>
      </c>
      <c r="AE18" s="209" t="e">
        <f t="shared" si="1"/>
        <v>#DIV/0!</v>
      </c>
      <c r="AF18" s="209" t="e">
        <f t="shared" si="1"/>
        <v>#DIV/0!</v>
      </c>
      <c r="AG18" s="209" t="e">
        <f t="shared" si="1"/>
        <v>#DIV/0!</v>
      </c>
      <c r="AH18" s="209" t="e">
        <f t="shared" si="1"/>
        <v>#DIV/0!</v>
      </c>
      <c r="AI18" s="209" t="e">
        <f t="shared" si="1"/>
        <v>#DIV/0!</v>
      </c>
      <c r="AJ18" s="209" t="e">
        <f t="shared" si="1"/>
        <v>#DIV/0!</v>
      </c>
      <c r="AK18" s="209" t="e">
        <f t="shared" si="1"/>
        <v>#DIV/0!</v>
      </c>
      <c r="AL18" s="209" t="e">
        <f t="shared" si="1"/>
        <v>#DIV/0!</v>
      </c>
      <c r="AM18" s="209" t="e">
        <f t="shared" si="1"/>
        <v>#DIV/0!</v>
      </c>
      <c r="AN18" s="209" t="e">
        <f t="shared" si="1"/>
        <v>#DIV/0!</v>
      </c>
    </row>
    <row r="19" spans="2:40" s="30" customFormat="1" x14ac:dyDescent="0.15">
      <c r="B19" s="333" t="s">
        <v>5</v>
      </c>
      <c r="C19" s="161" t="s">
        <v>184</v>
      </c>
      <c r="D19" s="204">
        <f>SUMIFS('caseload data'!E:E,'caseload data'!$D:$D,"PO",'caseload data'!$A:$A,'national caseload'!$B$19:$B$21)</f>
        <v>0</v>
      </c>
      <c r="E19" s="204">
        <f>SUMIFS('caseload data'!F:F,'caseload data'!$D:$D,"PO",'caseload data'!$A:$A,'national caseload'!$B$19:$B$21)</f>
        <v>0</v>
      </c>
      <c r="F19" s="204">
        <f>SUMIFS('caseload data'!G:G,'caseload data'!$D:$D,"PO",'caseload data'!$A:$A,'national caseload'!$B$19:$B$21)</f>
        <v>0</v>
      </c>
      <c r="G19" s="204">
        <f>SUMIFS('caseload data'!H:H,'caseload data'!$D:$D,"PO",'caseload data'!$A:$A,'national caseload'!$B$19:$B$21)</f>
        <v>0</v>
      </c>
      <c r="H19" s="204">
        <f>SUMIFS('caseload data'!I:I,'caseload data'!$D:$D,"PO",'caseload data'!$A:$A,'national caseload'!$B$19:$B$21)</f>
        <v>0</v>
      </c>
      <c r="I19" s="204">
        <f>SUMIFS('caseload data'!J:J,'caseload data'!$D:$D,"PO",'caseload data'!$A:$A,'national caseload'!$B$19:$B$21)</f>
        <v>0</v>
      </c>
      <c r="J19" s="204">
        <f>SUMIFS('caseload data'!K:K,'caseload data'!$D:$D,"PO",'caseload data'!$A:$A,'national caseload'!$B$19:$B$21)</f>
        <v>0</v>
      </c>
      <c r="K19" s="204">
        <f>SUMIFS('caseload data'!L:L,'caseload data'!$D:$D,"PO",'caseload data'!$A:$A,'national caseload'!$B$19:$B$21)</f>
        <v>0</v>
      </c>
      <c r="L19" s="204">
        <f>SUMIFS('caseload data'!M:M,'caseload data'!$D:$D,"PO",'caseload data'!$A:$A,'national caseload'!$B$19:$B$21)</f>
        <v>0</v>
      </c>
      <c r="M19" s="204">
        <f>SUMIFS('caseload data'!N:N,'caseload data'!$D:$D,"PO",'caseload data'!$A:$A,'national caseload'!$B$19:$B$21)</f>
        <v>0</v>
      </c>
      <c r="N19" s="204">
        <f>SUMIFS('caseload data'!O:O,'caseload data'!$D:$D,"PO",'caseload data'!$A:$A,'national caseload'!$B$19:$B$21)</f>
        <v>0</v>
      </c>
      <c r="O19" s="204">
        <f>SUMIFS('caseload data'!P:P,'caseload data'!$D:$D,"PO",'caseload data'!$A:$A,'national caseload'!$B$19:$B$21)</f>
        <v>0</v>
      </c>
      <c r="P19" s="204">
        <f>SUMIFS('caseload data'!Q:Q,'caseload data'!$D:$D,"PO",'caseload data'!$A:$A,'national caseload'!$B$19:$B$21)</f>
        <v>0</v>
      </c>
      <c r="Q19" s="204">
        <f>SUMIFS('caseload data'!R:R,'caseload data'!$D:$D,"PO",'caseload data'!$A:$A,'national caseload'!$B$19:$B$21)</f>
        <v>0</v>
      </c>
      <c r="R19" s="204">
        <f>SUMIFS('caseload data'!S:S,'caseload data'!$D:$D,"PO",'caseload data'!$A:$A,'national caseload'!$B$19:$B$21)</f>
        <v>0</v>
      </c>
      <c r="S19" s="204">
        <f>SUMIFS('caseload data'!T:T,'caseload data'!$D:$D,"PO",'caseload data'!$A:$A,'national caseload'!$B$19:$B$21)</f>
        <v>0</v>
      </c>
      <c r="T19" s="126">
        <f>SUMIFS('caseload data'!V:V,'caseload data'!$D:$D,"PO",'caseload data'!$A:$A,'national caseload'!B19:B21)</f>
        <v>0</v>
      </c>
      <c r="U19" s="95"/>
      <c r="V19" s="95"/>
      <c r="W19" s="333" t="s">
        <v>5</v>
      </c>
      <c r="X19" s="161" t="s">
        <v>184</v>
      </c>
      <c r="Y19" s="209" t="e">
        <f>SUM(D19)/SUM(D$19:D$22)</f>
        <v>#DIV/0!</v>
      </c>
      <c r="Z19" s="209" t="e">
        <f t="shared" ref="Z19:AN22" si="2">SUM(E19)/SUM(E$19:E$22)</f>
        <v>#DIV/0!</v>
      </c>
      <c r="AA19" s="209" t="e">
        <f t="shared" si="2"/>
        <v>#DIV/0!</v>
      </c>
      <c r="AB19" s="209" t="e">
        <f t="shared" si="2"/>
        <v>#DIV/0!</v>
      </c>
      <c r="AC19" s="209" t="e">
        <f t="shared" si="2"/>
        <v>#DIV/0!</v>
      </c>
      <c r="AD19" s="209" t="e">
        <f t="shared" si="2"/>
        <v>#DIV/0!</v>
      </c>
      <c r="AE19" s="209" t="e">
        <f t="shared" si="2"/>
        <v>#DIV/0!</v>
      </c>
      <c r="AF19" s="209" t="e">
        <f t="shared" si="2"/>
        <v>#DIV/0!</v>
      </c>
      <c r="AG19" s="209" t="e">
        <f t="shared" si="2"/>
        <v>#DIV/0!</v>
      </c>
      <c r="AH19" s="209" t="e">
        <f t="shared" si="2"/>
        <v>#DIV/0!</v>
      </c>
      <c r="AI19" s="209" t="e">
        <f t="shared" si="2"/>
        <v>#DIV/0!</v>
      </c>
      <c r="AJ19" s="209" t="e">
        <f t="shared" si="2"/>
        <v>#DIV/0!</v>
      </c>
      <c r="AK19" s="209" t="e">
        <f t="shared" si="2"/>
        <v>#DIV/0!</v>
      </c>
      <c r="AL19" s="209" t="e">
        <f t="shared" si="2"/>
        <v>#DIV/0!</v>
      </c>
      <c r="AM19" s="209" t="e">
        <f t="shared" si="2"/>
        <v>#DIV/0!</v>
      </c>
      <c r="AN19" s="209" t="e">
        <f t="shared" si="2"/>
        <v>#DIV/0!</v>
      </c>
    </row>
    <row r="20" spans="2:40" s="30" customFormat="1" x14ac:dyDescent="0.15">
      <c r="B20" s="334"/>
      <c r="C20" s="162" t="s">
        <v>185</v>
      </c>
      <c r="D20" s="204">
        <f>SUMIFS('caseload data'!E:E,'caseload data'!$D:$D,"PSO",'caseload data'!$A:$A,"NPS Greater Manchester")</f>
        <v>0</v>
      </c>
      <c r="E20" s="204">
        <f>SUMIFS('caseload data'!F:F,'caseload data'!$D:$D,"PSO",'caseload data'!$A:$A,"NPS Greater Manchester")</f>
        <v>0</v>
      </c>
      <c r="F20" s="204">
        <f>SUMIFS('caseload data'!G:G,'caseload data'!$D:$D,"PSO",'caseload data'!$A:$A,"NPS Greater Manchester")</f>
        <v>0</v>
      </c>
      <c r="G20" s="204">
        <f>SUMIFS('caseload data'!H:H,'caseload data'!$D:$D,"PSO",'caseload data'!$A:$A,"NPS Greater Manchester")</f>
        <v>0</v>
      </c>
      <c r="H20" s="204">
        <f>SUMIFS('caseload data'!I:I,'caseload data'!$D:$D,"PSO",'caseload data'!$A:$A,"NPS Greater Manchester")</f>
        <v>0</v>
      </c>
      <c r="I20" s="204">
        <f>SUMIFS('caseload data'!J:J,'caseload data'!$D:$D,"PSO",'caseload data'!$A:$A,"NPS Greater Manchester")</f>
        <v>0</v>
      </c>
      <c r="J20" s="204">
        <f>SUMIFS('caseload data'!K:K,'caseload data'!$D:$D,"PSO",'caseload data'!$A:$A,"NPS Greater Manchester")</f>
        <v>0</v>
      </c>
      <c r="K20" s="204">
        <f>SUMIFS('caseload data'!L:L,'caseload data'!$D:$D,"PSO",'caseload data'!$A:$A,"NPS Greater Manchester")</f>
        <v>0</v>
      </c>
      <c r="L20" s="204">
        <f>SUMIFS('caseload data'!M:M,'caseload data'!$D:$D,"PSO",'caseload data'!$A:$A,"NPS Greater Manchester")</f>
        <v>0</v>
      </c>
      <c r="M20" s="204">
        <f>SUMIFS('caseload data'!N:N,'caseload data'!$D:$D,"PSO",'caseload data'!$A:$A,"NPS Greater Manchester")</f>
        <v>0</v>
      </c>
      <c r="N20" s="204">
        <f>SUMIFS('caseload data'!O:O,'caseload data'!$D:$D,"PSO",'caseload data'!$A:$A,"NPS Greater Manchester")</f>
        <v>0</v>
      </c>
      <c r="O20" s="204">
        <f>SUMIFS('caseload data'!P:P,'caseload data'!$D:$D,"PSO",'caseload data'!$A:$A,"NPS Greater Manchester")</f>
        <v>0</v>
      </c>
      <c r="P20" s="204">
        <f>SUMIFS('caseload data'!Q:Q,'caseload data'!$D:$D,"PSO",'caseload data'!$A:$A,"NPS Greater Manchester")</f>
        <v>0</v>
      </c>
      <c r="Q20" s="204">
        <f>SUMIFS('caseload data'!R:R,'caseload data'!$D:$D,"PSO",'caseload data'!$A:$A,"NPS Greater Manchester")</f>
        <v>0</v>
      </c>
      <c r="R20" s="204">
        <f>SUMIFS('caseload data'!S:S,'caseload data'!$D:$D,"PSO",'caseload data'!$A:$A,"NPS Greater Manchester")</f>
        <v>0</v>
      </c>
      <c r="S20" s="204">
        <f>SUMIFS('caseload data'!T:T,'caseload data'!$D:$D,"PSO",'caseload data'!$A:$A,"NPS Greater Manchester")</f>
        <v>0</v>
      </c>
      <c r="T20" s="126">
        <f>SUMIFS('caseload data'!V:V,'caseload data'!$D:$D,"PSO",'caseload data'!$A:$A,"NPS Greater Manchester")</f>
        <v>0</v>
      </c>
      <c r="U20" s="95"/>
      <c r="V20" s="95"/>
      <c r="W20" s="334"/>
      <c r="X20" s="162" t="s">
        <v>185</v>
      </c>
      <c r="Y20" s="209" t="e">
        <f>SUM(D20)/SUM(D$19:D$22)</f>
        <v>#DIV/0!</v>
      </c>
      <c r="Z20" s="209" t="e">
        <f t="shared" si="2"/>
        <v>#DIV/0!</v>
      </c>
      <c r="AA20" s="209" t="e">
        <f t="shared" si="2"/>
        <v>#DIV/0!</v>
      </c>
      <c r="AB20" s="209" t="e">
        <f t="shared" si="2"/>
        <v>#DIV/0!</v>
      </c>
      <c r="AC20" s="209" t="e">
        <f t="shared" si="2"/>
        <v>#DIV/0!</v>
      </c>
      <c r="AD20" s="209" t="e">
        <f t="shared" si="2"/>
        <v>#DIV/0!</v>
      </c>
      <c r="AE20" s="209" t="e">
        <f t="shared" si="2"/>
        <v>#DIV/0!</v>
      </c>
      <c r="AF20" s="209" t="e">
        <f t="shared" si="2"/>
        <v>#DIV/0!</v>
      </c>
      <c r="AG20" s="209" t="e">
        <f t="shared" si="2"/>
        <v>#DIV/0!</v>
      </c>
      <c r="AH20" s="209" t="e">
        <f t="shared" si="2"/>
        <v>#DIV/0!</v>
      </c>
      <c r="AI20" s="209" t="e">
        <f t="shared" si="2"/>
        <v>#DIV/0!</v>
      </c>
      <c r="AJ20" s="209" t="e">
        <f t="shared" si="2"/>
        <v>#DIV/0!</v>
      </c>
      <c r="AK20" s="209" t="e">
        <f t="shared" si="2"/>
        <v>#DIV/0!</v>
      </c>
      <c r="AL20" s="209" t="e">
        <f t="shared" si="2"/>
        <v>#DIV/0!</v>
      </c>
      <c r="AM20" s="209" t="e">
        <f t="shared" si="2"/>
        <v>#DIV/0!</v>
      </c>
      <c r="AN20" s="209" t="e">
        <f t="shared" si="2"/>
        <v>#DIV/0!</v>
      </c>
    </row>
    <row r="21" spans="2:40" s="30" customFormat="1" x14ac:dyDescent="0.15">
      <c r="B21" s="334"/>
      <c r="C21" s="162" t="s">
        <v>186</v>
      </c>
      <c r="D21" s="204">
        <f>SUMIFS('caseload data'!E:E,'caseload data'!$D:$D,"TPO",'caseload data'!$A:$A,"NPS Greater Manchester")</f>
        <v>0</v>
      </c>
      <c r="E21" s="204">
        <f>SUMIFS('caseload data'!F:F,'caseload data'!$D:$D,"TPO",'caseload data'!$A:$A,"NPS Greater Manchester")</f>
        <v>0</v>
      </c>
      <c r="F21" s="204">
        <f>SUMIFS('caseload data'!G:G,'caseload data'!$D:$D,"TPO",'caseload data'!$A:$A,"NPS Greater Manchester")</f>
        <v>0</v>
      </c>
      <c r="G21" s="204">
        <f>SUMIFS('caseload data'!H:H,'caseload data'!$D:$D,"TPO",'caseload data'!$A:$A,"NPS Greater Manchester")</f>
        <v>0</v>
      </c>
      <c r="H21" s="204">
        <f>SUMIFS('caseload data'!I:I,'caseload data'!$D:$D,"TPO",'caseload data'!$A:$A,"NPS Greater Manchester")</f>
        <v>0</v>
      </c>
      <c r="I21" s="204">
        <f>SUMIFS('caseload data'!J:J,'caseload data'!$D:$D,"TPO",'caseload data'!$A:$A,"NPS Greater Manchester")</f>
        <v>0</v>
      </c>
      <c r="J21" s="204">
        <f>SUMIFS('caseload data'!K:K,'caseload data'!$D:$D,"TPO",'caseload data'!$A:$A,"NPS Greater Manchester")</f>
        <v>0</v>
      </c>
      <c r="K21" s="204">
        <f>SUMIFS('caseload data'!L:L,'caseload data'!$D:$D,"TPO",'caseload data'!$A:$A,"NPS Greater Manchester")</f>
        <v>0</v>
      </c>
      <c r="L21" s="204">
        <f>SUMIFS('caseload data'!M:M,'caseload data'!$D:$D,"TPO",'caseload data'!$A:$A,"NPS Greater Manchester")</f>
        <v>0</v>
      </c>
      <c r="M21" s="204">
        <f>SUMIFS('caseload data'!N:N,'caseload data'!$D:$D,"TPO",'caseload data'!$A:$A,"NPS Greater Manchester")</f>
        <v>0</v>
      </c>
      <c r="N21" s="204">
        <f>SUMIFS('caseload data'!O:O,'caseload data'!$D:$D,"TPO",'caseload data'!$A:$A,"NPS Greater Manchester")</f>
        <v>0</v>
      </c>
      <c r="O21" s="204">
        <f>SUMIFS('caseload data'!P:P,'caseload data'!$D:$D,"TPO",'caseload data'!$A:$A,"NPS Greater Manchester")</f>
        <v>0</v>
      </c>
      <c r="P21" s="204">
        <f>SUMIFS('caseload data'!Q:Q,'caseload data'!$D:$D,"TPO",'caseload data'!$A:$A,"NPS Greater Manchester")</f>
        <v>0</v>
      </c>
      <c r="Q21" s="204">
        <f>SUMIFS('caseload data'!R:R,'caseload data'!$D:$D,"TPO",'caseload data'!$A:$A,"NPS Greater Manchester")</f>
        <v>0</v>
      </c>
      <c r="R21" s="204">
        <f>SUMIFS('caseload data'!S:S,'caseload data'!$D:$D,"TPO",'caseload data'!$A:$A,"NPS Greater Manchester")</f>
        <v>0</v>
      </c>
      <c r="S21" s="204">
        <f>SUMIFS('caseload data'!T:T,'caseload data'!$D:$D,"TPO",'caseload data'!$A:$A,"NPS Greater Manchester")</f>
        <v>0</v>
      </c>
      <c r="T21" s="126">
        <f>SUMIFS('caseload data'!V:V,'caseload data'!$D:$D,"TPO",'caseload data'!$A:$A,"NPS Greater Manchester")</f>
        <v>0</v>
      </c>
      <c r="U21" s="95"/>
      <c r="V21" s="95"/>
      <c r="W21" s="334"/>
      <c r="X21" s="162" t="s">
        <v>186</v>
      </c>
      <c r="Y21" s="209" t="e">
        <f>SUM(D21)/SUM(D$19:D$22)</f>
        <v>#DIV/0!</v>
      </c>
      <c r="Z21" s="209" t="e">
        <f t="shared" si="2"/>
        <v>#DIV/0!</v>
      </c>
      <c r="AA21" s="209" t="e">
        <f t="shared" si="2"/>
        <v>#DIV/0!</v>
      </c>
      <c r="AB21" s="209" t="e">
        <f t="shared" si="2"/>
        <v>#DIV/0!</v>
      </c>
      <c r="AC21" s="209" t="e">
        <f t="shared" si="2"/>
        <v>#DIV/0!</v>
      </c>
      <c r="AD21" s="209" t="e">
        <f t="shared" si="2"/>
        <v>#DIV/0!</v>
      </c>
      <c r="AE21" s="209" t="e">
        <f t="shared" si="2"/>
        <v>#DIV/0!</v>
      </c>
      <c r="AF21" s="209" t="e">
        <f t="shared" si="2"/>
        <v>#DIV/0!</v>
      </c>
      <c r="AG21" s="209" t="e">
        <f t="shared" si="2"/>
        <v>#DIV/0!</v>
      </c>
      <c r="AH21" s="209" t="e">
        <f t="shared" si="2"/>
        <v>#DIV/0!</v>
      </c>
      <c r="AI21" s="209" t="e">
        <f t="shared" si="2"/>
        <v>#DIV/0!</v>
      </c>
      <c r="AJ21" s="209" t="e">
        <f t="shared" si="2"/>
        <v>#DIV/0!</v>
      </c>
      <c r="AK21" s="209" t="e">
        <f t="shared" si="2"/>
        <v>#DIV/0!</v>
      </c>
      <c r="AL21" s="209" t="e">
        <f t="shared" si="2"/>
        <v>#DIV/0!</v>
      </c>
      <c r="AM21" s="209" t="e">
        <f t="shared" si="2"/>
        <v>#DIV/0!</v>
      </c>
      <c r="AN21" s="209" t="e">
        <f t="shared" si="2"/>
        <v>#DIV/0!</v>
      </c>
    </row>
    <row r="22" spans="2:40" s="30" customFormat="1" x14ac:dyDescent="0.15">
      <c r="B22" s="335"/>
      <c r="C22" s="163" t="s">
        <v>187</v>
      </c>
      <c r="D22" s="204">
        <f>SUMIFS('caseload data'!E:E,'caseload data'!$D:$D,"SPO",'caseload data'!$A:$A,"NPS Greater Manchester")</f>
        <v>0</v>
      </c>
      <c r="E22" s="204">
        <f>SUMIFS('caseload data'!F:F,'caseload data'!$D:$D,"SPO",'caseload data'!$A:$A,"NPS Greater Manchester")</f>
        <v>0</v>
      </c>
      <c r="F22" s="204">
        <f>SUMIFS('caseload data'!G:G,'caseload data'!$D:$D,"SPO",'caseload data'!$A:$A,"NPS Greater Manchester")</f>
        <v>0</v>
      </c>
      <c r="G22" s="204">
        <f>SUMIFS('caseload data'!H:H,'caseload data'!$D:$D,"SPO",'caseload data'!$A:$A,"NPS Greater Manchester")</f>
        <v>0</v>
      </c>
      <c r="H22" s="204">
        <f>SUMIFS('caseload data'!I:I,'caseload data'!$D:$D,"SPO",'caseload data'!$A:$A,"NPS Greater Manchester")</f>
        <v>0</v>
      </c>
      <c r="I22" s="204">
        <f>SUMIFS('caseload data'!J:J,'caseload data'!$D:$D,"SPO",'caseload data'!$A:$A,"NPS Greater Manchester")</f>
        <v>0</v>
      </c>
      <c r="J22" s="204">
        <f>SUMIFS('caseload data'!K:K,'caseload data'!$D:$D,"SPO",'caseload data'!$A:$A,"NPS Greater Manchester")</f>
        <v>0</v>
      </c>
      <c r="K22" s="204">
        <f>SUMIFS('caseload data'!L:L,'caseload data'!$D:$D,"SPO",'caseload data'!$A:$A,"NPS Greater Manchester")</f>
        <v>0</v>
      </c>
      <c r="L22" s="204">
        <f>SUMIFS('caseload data'!M:M,'caseload data'!$D:$D,"SPO",'caseload data'!$A:$A,"NPS Greater Manchester")</f>
        <v>0</v>
      </c>
      <c r="M22" s="204">
        <f>SUMIFS('caseload data'!N:N,'caseload data'!$D:$D,"SPO",'caseload data'!$A:$A,"NPS Greater Manchester")</f>
        <v>0</v>
      </c>
      <c r="N22" s="204">
        <f>SUMIFS('caseload data'!O:O,'caseload data'!$D:$D,"SPO",'caseload data'!$A:$A,"NPS Greater Manchester")</f>
        <v>0</v>
      </c>
      <c r="O22" s="204">
        <f>SUMIFS('caseload data'!P:P,'caseload data'!$D:$D,"SPO",'caseload data'!$A:$A,"NPS Greater Manchester")</f>
        <v>0</v>
      </c>
      <c r="P22" s="204">
        <f>SUMIFS('caseload data'!Q:Q,'caseload data'!$D:$D,"SPO",'caseload data'!$A:$A,"NPS Greater Manchester")</f>
        <v>0</v>
      </c>
      <c r="Q22" s="204">
        <f>SUMIFS('caseload data'!R:R,'caseload data'!$D:$D,"SPO",'caseload data'!$A:$A,"NPS Greater Manchester")</f>
        <v>0</v>
      </c>
      <c r="R22" s="204">
        <f>SUMIFS('caseload data'!S:S,'caseload data'!$D:$D,"SPO",'caseload data'!$A:$A,"NPS Greater Manchester")</f>
        <v>0</v>
      </c>
      <c r="S22" s="204">
        <f>SUMIFS('caseload data'!T:T,'caseload data'!$D:$D,"SPO",'caseload data'!$A:$A,"NPS Greater Manchester")</f>
        <v>0</v>
      </c>
      <c r="T22" s="126">
        <f>SUMIFS('caseload data'!V:V,'caseload data'!$D:$D,"SPO",'caseload data'!$A:$A,"NPS Greater Manchester")</f>
        <v>0</v>
      </c>
      <c r="U22" s="95"/>
      <c r="V22" s="95"/>
      <c r="W22" s="335"/>
      <c r="X22" s="163" t="s">
        <v>187</v>
      </c>
      <c r="Y22" s="209" t="e">
        <f>SUM(D22)/SUM(D$19:D$22)</f>
        <v>#DIV/0!</v>
      </c>
      <c r="Z22" s="209" t="e">
        <f t="shared" si="2"/>
        <v>#DIV/0!</v>
      </c>
      <c r="AA22" s="209" t="e">
        <f t="shared" si="2"/>
        <v>#DIV/0!</v>
      </c>
      <c r="AB22" s="209" t="e">
        <f t="shared" si="2"/>
        <v>#DIV/0!</v>
      </c>
      <c r="AC22" s="209" t="e">
        <f t="shared" si="2"/>
        <v>#DIV/0!</v>
      </c>
      <c r="AD22" s="209" t="e">
        <f t="shared" si="2"/>
        <v>#DIV/0!</v>
      </c>
      <c r="AE22" s="209" t="e">
        <f t="shared" si="2"/>
        <v>#DIV/0!</v>
      </c>
      <c r="AF22" s="209" t="e">
        <f t="shared" si="2"/>
        <v>#DIV/0!</v>
      </c>
      <c r="AG22" s="209" t="e">
        <f t="shared" si="2"/>
        <v>#DIV/0!</v>
      </c>
      <c r="AH22" s="209" t="e">
        <f t="shared" si="2"/>
        <v>#DIV/0!</v>
      </c>
      <c r="AI22" s="209" t="e">
        <f t="shared" si="2"/>
        <v>#DIV/0!</v>
      </c>
      <c r="AJ22" s="209" t="e">
        <f t="shared" si="2"/>
        <v>#DIV/0!</v>
      </c>
      <c r="AK22" s="209" t="e">
        <f t="shared" si="2"/>
        <v>#DIV/0!</v>
      </c>
      <c r="AL22" s="209" t="e">
        <f t="shared" si="2"/>
        <v>#DIV/0!</v>
      </c>
      <c r="AM22" s="209" t="e">
        <f t="shared" si="2"/>
        <v>#DIV/0!</v>
      </c>
      <c r="AN22" s="209" t="e">
        <f t="shared" si="2"/>
        <v>#DIV/0!</v>
      </c>
    </row>
    <row r="23" spans="2:40" s="30" customFormat="1" x14ac:dyDescent="0.15">
      <c r="B23" s="333" t="s">
        <v>6</v>
      </c>
      <c r="C23" s="161" t="s">
        <v>184</v>
      </c>
      <c r="D23" s="204">
        <f>SUMIFS('caseload data'!E:E,'caseload data'!$D:$D,"PO",'caseload data'!$A:$A,'national caseload'!$B$23:$B$25)</f>
        <v>0</v>
      </c>
      <c r="E23" s="204">
        <f>SUMIFS('caseload data'!F:F,'caseload data'!$D:$D,"PO",'caseload data'!$A:$A,'national caseload'!$B$23:$B$25)</f>
        <v>0</v>
      </c>
      <c r="F23" s="204">
        <f>SUMIFS('caseload data'!G:G,'caseload data'!$D:$D,"PO",'caseload data'!$A:$A,'national caseload'!$B$23:$B$25)</f>
        <v>0</v>
      </c>
      <c r="G23" s="204">
        <f>SUMIFS('caseload data'!H:H,'caseload data'!$D:$D,"PO",'caseload data'!$A:$A,'national caseload'!$B$23:$B$25)</f>
        <v>0</v>
      </c>
      <c r="H23" s="204">
        <f>SUMIFS('caseload data'!I:I,'caseload data'!$D:$D,"PO",'caseload data'!$A:$A,'national caseload'!$B$23:$B$25)</f>
        <v>0</v>
      </c>
      <c r="I23" s="204">
        <f>SUMIFS('caseload data'!J:J,'caseload data'!$D:$D,"PO",'caseload data'!$A:$A,'national caseload'!$B$23:$B$25)</f>
        <v>0</v>
      </c>
      <c r="J23" s="204">
        <f>SUMIFS('caseload data'!K:K,'caseload data'!$D:$D,"PO",'caseload data'!$A:$A,'national caseload'!$B$23:$B$25)</f>
        <v>0</v>
      </c>
      <c r="K23" s="204">
        <f>SUMIFS('caseload data'!L:L,'caseload data'!$D:$D,"PO",'caseload data'!$A:$A,'national caseload'!$B$23:$B$25)</f>
        <v>0</v>
      </c>
      <c r="L23" s="204">
        <f>SUMIFS('caseload data'!M:M,'caseload data'!$D:$D,"PO",'caseload data'!$A:$A,'national caseload'!$B$23:$B$25)</f>
        <v>0</v>
      </c>
      <c r="M23" s="204">
        <f>SUMIFS('caseload data'!N:N,'caseload data'!$D:$D,"PO",'caseload data'!$A:$A,'national caseload'!$B$23:$B$25)</f>
        <v>0</v>
      </c>
      <c r="N23" s="204">
        <f>SUMIFS('caseload data'!O:O,'caseload data'!$D:$D,"PO",'caseload data'!$A:$A,'national caseload'!$B$23:$B$25)</f>
        <v>0</v>
      </c>
      <c r="O23" s="204">
        <f>SUMIFS('caseload data'!P:P,'caseload data'!$D:$D,"PO",'caseload data'!$A:$A,'national caseload'!$B$23:$B$25)</f>
        <v>0</v>
      </c>
      <c r="P23" s="204">
        <f>SUMIFS('caseload data'!Q:Q,'caseload data'!$D:$D,"PO",'caseload data'!$A:$A,'national caseload'!$B$23:$B$25)</f>
        <v>0</v>
      </c>
      <c r="Q23" s="204">
        <f>SUMIFS('caseload data'!R:R,'caseload data'!$D:$D,"PO",'caseload data'!$A:$A,'national caseload'!$B$23:$B$25)</f>
        <v>0</v>
      </c>
      <c r="R23" s="204">
        <f>SUMIFS('caseload data'!S:S,'caseload data'!$D:$D,"PO",'caseload data'!$A:$A,'national caseload'!$B$23:$B$25)</f>
        <v>0</v>
      </c>
      <c r="S23" s="204">
        <f>SUMIFS('caseload data'!T:T,'caseload data'!$D:$D,"PO",'caseload data'!$A:$A,'national caseload'!$B$23:$B$25)</f>
        <v>0</v>
      </c>
      <c r="T23" s="126">
        <f>SUMIFS('caseload data'!V:V,'caseload data'!$D:$D,"PO",'caseload data'!$A:$A,'national caseload'!B23:B25)</f>
        <v>0</v>
      </c>
      <c r="U23" s="95"/>
      <c r="V23" s="95"/>
      <c r="W23" s="333" t="s">
        <v>6</v>
      </c>
      <c r="X23" s="161" t="s">
        <v>184</v>
      </c>
      <c r="Y23" s="209" t="e">
        <f>SUM(D23)/SUM(D$23:D$26)</f>
        <v>#DIV/0!</v>
      </c>
      <c r="Z23" s="209" t="e">
        <f t="shared" ref="Z23:AN26" si="3">SUM(E23)/SUM(E$23:E$26)</f>
        <v>#DIV/0!</v>
      </c>
      <c r="AA23" s="209" t="e">
        <f t="shared" si="3"/>
        <v>#DIV/0!</v>
      </c>
      <c r="AB23" s="209" t="e">
        <f t="shared" si="3"/>
        <v>#DIV/0!</v>
      </c>
      <c r="AC23" s="209" t="e">
        <f t="shared" si="3"/>
        <v>#DIV/0!</v>
      </c>
      <c r="AD23" s="209" t="e">
        <f t="shared" si="3"/>
        <v>#DIV/0!</v>
      </c>
      <c r="AE23" s="209" t="e">
        <f t="shared" si="3"/>
        <v>#DIV/0!</v>
      </c>
      <c r="AF23" s="209" t="e">
        <f t="shared" si="3"/>
        <v>#DIV/0!</v>
      </c>
      <c r="AG23" s="209" t="e">
        <f t="shared" si="3"/>
        <v>#DIV/0!</v>
      </c>
      <c r="AH23" s="209" t="e">
        <f t="shared" si="3"/>
        <v>#DIV/0!</v>
      </c>
      <c r="AI23" s="209" t="e">
        <f t="shared" si="3"/>
        <v>#DIV/0!</v>
      </c>
      <c r="AJ23" s="209" t="e">
        <f t="shared" si="3"/>
        <v>#DIV/0!</v>
      </c>
      <c r="AK23" s="209" t="e">
        <f t="shared" si="3"/>
        <v>#DIV/0!</v>
      </c>
      <c r="AL23" s="209" t="e">
        <f t="shared" si="3"/>
        <v>#DIV/0!</v>
      </c>
      <c r="AM23" s="209" t="e">
        <f t="shared" si="3"/>
        <v>#DIV/0!</v>
      </c>
      <c r="AN23" s="209" t="e">
        <f t="shared" si="3"/>
        <v>#DIV/0!</v>
      </c>
    </row>
    <row r="24" spans="2:40" s="30" customFormat="1" x14ac:dyDescent="0.15">
      <c r="B24" s="334"/>
      <c r="C24" s="162" t="s">
        <v>185</v>
      </c>
      <c r="D24" s="204">
        <f>SUMIFS('caseload data'!E:E,'caseload data'!$D:$D,"PSO",'caseload data'!$A:$A,"NPS Kent Surrey Sussex Region")</f>
        <v>0</v>
      </c>
      <c r="E24" s="204">
        <f>SUMIFS('caseload data'!F:F,'caseload data'!$D:$D,"PSO",'caseload data'!$A:$A,"NPS Kent Surrey Sussex Region")</f>
        <v>0</v>
      </c>
      <c r="F24" s="204">
        <f>SUMIFS('caseload data'!G:G,'caseload data'!$D:$D,"PSO",'caseload data'!$A:$A,"NPS Kent Surrey Sussex Region")</f>
        <v>0</v>
      </c>
      <c r="G24" s="204">
        <f>SUMIFS('caseload data'!H:H,'caseload data'!$D:$D,"PSO",'caseload data'!$A:$A,"NPS Kent Surrey Sussex Region")</f>
        <v>0</v>
      </c>
      <c r="H24" s="204">
        <f>SUMIFS('caseload data'!I:I,'caseload data'!$D:$D,"PSO",'caseload data'!$A:$A,"NPS Kent Surrey Sussex Region")</f>
        <v>0</v>
      </c>
      <c r="I24" s="204">
        <f>SUMIFS('caseload data'!J:J,'caseload data'!$D:$D,"PSO",'caseload data'!$A:$A,"NPS Kent Surrey Sussex Region")</f>
        <v>0</v>
      </c>
      <c r="J24" s="204">
        <f>SUMIFS('caseload data'!K:K,'caseload data'!$D:$D,"PSO",'caseload data'!$A:$A,"NPS Kent Surrey Sussex Region")</f>
        <v>0</v>
      </c>
      <c r="K24" s="204">
        <f>SUMIFS('caseload data'!L:L,'caseload data'!$D:$D,"PSO",'caseload data'!$A:$A,"NPS Kent Surrey Sussex Region")</f>
        <v>0</v>
      </c>
      <c r="L24" s="204">
        <f>SUMIFS('caseload data'!M:M,'caseload data'!$D:$D,"PSO",'caseload data'!$A:$A,"NPS Kent Surrey Sussex Region")</f>
        <v>0</v>
      </c>
      <c r="M24" s="204">
        <f>SUMIFS('caseload data'!N:N,'caseload data'!$D:$D,"PSO",'caseload data'!$A:$A,"NPS Kent Surrey Sussex Region")</f>
        <v>0</v>
      </c>
      <c r="N24" s="204">
        <f>SUMIFS('caseload data'!O:O,'caseload data'!$D:$D,"PSO",'caseload data'!$A:$A,"NPS Kent Surrey Sussex Region")</f>
        <v>0</v>
      </c>
      <c r="O24" s="204">
        <f>SUMIFS('caseload data'!P:P,'caseload data'!$D:$D,"PSO",'caseload data'!$A:$A,"NPS Kent Surrey Sussex Region")</f>
        <v>0</v>
      </c>
      <c r="P24" s="204">
        <f>SUMIFS('caseload data'!Q:Q,'caseload data'!$D:$D,"PSO",'caseload data'!$A:$A,"NPS Kent Surrey Sussex Region")</f>
        <v>0</v>
      </c>
      <c r="Q24" s="204">
        <f>SUMIFS('caseload data'!R:R,'caseload data'!$D:$D,"PSO",'caseload data'!$A:$A,"NPS Kent Surrey Sussex Region")</f>
        <v>0</v>
      </c>
      <c r="R24" s="204">
        <f>SUMIFS('caseload data'!S:S,'caseload data'!$D:$D,"PSO",'caseload data'!$A:$A,"NPS Kent Surrey Sussex Region")</f>
        <v>0</v>
      </c>
      <c r="S24" s="204">
        <f>SUMIFS('caseload data'!T:T,'caseload data'!$D:$D,"PSO",'caseload data'!$A:$A,"NPS Kent Surrey Sussex Region")</f>
        <v>0</v>
      </c>
      <c r="T24" s="126">
        <f>SUMIFS('caseload data'!V:V,'caseload data'!$D:$D,"PSO",'caseload data'!$A:$A,"NPS Kent Surrey Sussex Region")</f>
        <v>0</v>
      </c>
      <c r="U24" s="95"/>
      <c r="V24" s="95"/>
      <c r="W24" s="334"/>
      <c r="X24" s="162" t="s">
        <v>185</v>
      </c>
      <c r="Y24" s="209" t="e">
        <f>SUM(D24)/SUM(D$23:D$26)</f>
        <v>#DIV/0!</v>
      </c>
      <c r="Z24" s="209" t="e">
        <f t="shared" si="3"/>
        <v>#DIV/0!</v>
      </c>
      <c r="AA24" s="209" t="e">
        <f t="shared" si="3"/>
        <v>#DIV/0!</v>
      </c>
      <c r="AB24" s="209" t="e">
        <f t="shared" si="3"/>
        <v>#DIV/0!</v>
      </c>
      <c r="AC24" s="209" t="e">
        <f t="shared" si="3"/>
        <v>#DIV/0!</v>
      </c>
      <c r="AD24" s="209" t="e">
        <f t="shared" si="3"/>
        <v>#DIV/0!</v>
      </c>
      <c r="AE24" s="209" t="e">
        <f t="shared" si="3"/>
        <v>#DIV/0!</v>
      </c>
      <c r="AF24" s="209" t="e">
        <f t="shared" si="3"/>
        <v>#DIV/0!</v>
      </c>
      <c r="AG24" s="209" t="e">
        <f t="shared" si="3"/>
        <v>#DIV/0!</v>
      </c>
      <c r="AH24" s="209" t="e">
        <f t="shared" si="3"/>
        <v>#DIV/0!</v>
      </c>
      <c r="AI24" s="209" t="e">
        <f t="shared" si="3"/>
        <v>#DIV/0!</v>
      </c>
      <c r="AJ24" s="209" t="e">
        <f t="shared" si="3"/>
        <v>#DIV/0!</v>
      </c>
      <c r="AK24" s="209" t="e">
        <f t="shared" si="3"/>
        <v>#DIV/0!</v>
      </c>
      <c r="AL24" s="209" t="e">
        <f t="shared" si="3"/>
        <v>#DIV/0!</v>
      </c>
      <c r="AM24" s="209" t="e">
        <f t="shared" si="3"/>
        <v>#DIV/0!</v>
      </c>
      <c r="AN24" s="209" t="e">
        <f t="shared" si="3"/>
        <v>#DIV/0!</v>
      </c>
    </row>
    <row r="25" spans="2:40" s="30" customFormat="1" x14ac:dyDescent="0.15">
      <c r="B25" s="334"/>
      <c r="C25" s="162" t="s">
        <v>186</v>
      </c>
      <c r="D25" s="204">
        <f>SUMIFS('caseload data'!E:E,'caseload data'!$D:$D,"TPO",'caseload data'!$A:$A,"NPS Kent Surrey Sussex Region")</f>
        <v>0</v>
      </c>
      <c r="E25" s="204">
        <f>SUMIFS('caseload data'!F:F,'caseload data'!$D:$D,"TPO",'caseload data'!$A:$A,"NPS Kent Surrey Sussex Region")</f>
        <v>0</v>
      </c>
      <c r="F25" s="204">
        <f>SUMIFS('caseload data'!G:G,'caseload data'!$D:$D,"TPO",'caseload data'!$A:$A,"NPS Kent Surrey Sussex Region")</f>
        <v>0</v>
      </c>
      <c r="G25" s="204">
        <f>SUMIFS('caseload data'!H:H,'caseload data'!$D:$D,"TPO",'caseload data'!$A:$A,"NPS Kent Surrey Sussex Region")</f>
        <v>0</v>
      </c>
      <c r="H25" s="204">
        <f>SUMIFS('caseload data'!I:I,'caseload data'!$D:$D,"TPO",'caseload data'!$A:$A,"NPS Kent Surrey Sussex Region")</f>
        <v>0</v>
      </c>
      <c r="I25" s="204">
        <f>SUMIFS('caseload data'!J:J,'caseload data'!$D:$D,"TPO",'caseload data'!$A:$A,"NPS Kent Surrey Sussex Region")</f>
        <v>0</v>
      </c>
      <c r="J25" s="204">
        <f>SUMIFS('caseload data'!K:K,'caseload data'!$D:$D,"TPO",'caseload data'!$A:$A,"NPS Kent Surrey Sussex Region")</f>
        <v>0</v>
      </c>
      <c r="K25" s="204">
        <f>SUMIFS('caseload data'!L:L,'caseload data'!$D:$D,"TPO",'caseload data'!$A:$A,"NPS Kent Surrey Sussex Region")</f>
        <v>0</v>
      </c>
      <c r="L25" s="204">
        <f>SUMIFS('caseload data'!M:M,'caseload data'!$D:$D,"TPO",'caseload data'!$A:$A,"NPS Kent Surrey Sussex Region")</f>
        <v>0</v>
      </c>
      <c r="M25" s="204">
        <f>SUMIFS('caseload data'!N:N,'caseload data'!$D:$D,"TPO",'caseload data'!$A:$A,"NPS Kent Surrey Sussex Region")</f>
        <v>0</v>
      </c>
      <c r="N25" s="204">
        <f>SUMIFS('caseload data'!O:O,'caseload data'!$D:$D,"TPO",'caseload data'!$A:$A,"NPS Kent Surrey Sussex Region")</f>
        <v>0</v>
      </c>
      <c r="O25" s="204">
        <f>SUMIFS('caseload data'!P:P,'caseload data'!$D:$D,"TPO",'caseload data'!$A:$A,"NPS Kent Surrey Sussex Region")</f>
        <v>0</v>
      </c>
      <c r="P25" s="204">
        <f>SUMIFS('caseload data'!Q:Q,'caseload data'!$D:$D,"TPO",'caseload data'!$A:$A,"NPS Kent Surrey Sussex Region")</f>
        <v>0</v>
      </c>
      <c r="Q25" s="204">
        <f>SUMIFS('caseload data'!R:R,'caseload data'!$D:$D,"TPO",'caseload data'!$A:$A,"NPS Kent Surrey Sussex Region")</f>
        <v>0</v>
      </c>
      <c r="R25" s="204">
        <f>SUMIFS('caseload data'!S:S,'caseload data'!$D:$D,"TPO",'caseload data'!$A:$A,"NPS Kent Surrey Sussex Region")</f>
        <v>0</v>
      </c>
      <c r="S25" s="204">
        <f>SUMIFS('caseload data'!T:T,'caseload data'!$D:$D,"TPO",'caseload data'!$A:$A,"NPS Kent Surrey Sussex Region")</f>
        <v>0</v>
      </c>
      <c r="T25" s="126">
        <f>SUMIFS('caseload data'!V:V,'caseload data'!$D:$D,"TPO",'caseload data'!$A:$A,"NPS Kent Surrey Sussex Region")</f>
        <v>0</v>
      </c>
      <c r="U25" s="95"/>
      <c r="V25" s="95"/>
      <c r="W25" s="334"/>
      <c r="X25" s="162" t="s">
        <v>186</v>
      </c>
      <c r="Y25" s="209" t="e">
        <f>SUM(D25)/SUM(D$23:D$26)</f>
        <v>#DIV/0!</v>
      </c>
      <c r="Z25" s="209" t="e">
        <f t="shared" si="3"/>
        <v>#DIV/0!</v>
      </c>
      <c r="AA25" s="209" t="e">
        <f t="shared" si="3"/>
        <v>#DIV/0!</v>
      </c>
      <c r="AB25" s="209" t="e">
        <f t="shared" si="3"/>
        <v>#DIV/0!</v>
      </c>
      <c r="AC25" s="209" t="e">
        <f t="shared" si="3"/>
        <v>#DIV/0!</v>
      </c>
      <c r="AD25" s="209" t="e">
        <f t="shared" si="3"/>
        <v>#DIV/0!</v>
      </c>
      <c r="AE25" s="209" t="e">
        <f t="shared" si="3"/>
        <v>#DIV/0!</v>
      </c>
      <c r="AF25" s="209" t="e">
        <f t="shared" si="3"/>
        <v>#DIV/0!</v>
      </c>
      <c r="AG25" s="209" t="e">
        <f t="shared" si="3"/>
        <v>#DIV/0!</v>
      </c>
      <c r="AH25" s="209" t="e">
        <f t="shared" si="3"/>
        <v>#DIV/0!</v>
      </c>
      <c r="AI25" s="209" t="e">
        <f t="shared" si="3"/>
        <v>#DIV/0!</v>
      </c>
      <c r="AJ25" s="209" t="e">
        <f t="shared" si="3"/>
        <v>#DIV/0!</v>
      </c>
      <c r="AK25" s="209" t="e">
        <f t="shared" si="3"/>
        <v>#DIV/0!</v>
      </c>
      <c r="AL25" s="209" t="e">
        <f t="shared" si="3"/>
        <v>#DIV/0!</v>
      </c>
      <c r="AM25" s="209" t="e">
        <f t="shared" si="3"/>
        <v>#DIV/0!</v>
      </c>
      <c r="AN25" s="209" t="e">
        <f t="shared" si="3"/>
        <v>#DIV/0!</v>
      </c>
    </row>
    <row r="26" spans="2:40" s="30" customFormat="1" x14ac:dyDescent="0.15">
      <c r="B26" s="335"/>
      <c r="C26" s="163" t="s">
        <v>187</v>
      </c>
      <c r="D26" s="204">
        <f>SUMIFS('caseload data'!E:E,'caseload data'!$D:$D,"SPO",'caseload data'!$A:$A,"NPS Kent Surrey Sussex Region")</f>
        <v>0</v>
      </c>
      <c r="E26" s="204">
        <f>SUMIFS('caseload data'!F:F,'caseload data'!$D:$D,"SPO",'caseload data'!$A:$A,"NPS Kent Surrey Sussex Region")</f>
        <v>0</v>
      </c>
      <c r="F26" s="204">
        <f>SUMIFS('caseload data'!G:G,'caseload data'!$D:$D,"SPO",'caseload data'!$A:$A,"NPS Kent Surrey Sussex Region")</f>
        <v>0</v>
      </c>
      <c r="G26" s="204">
        <f>SUMIFS('caseload data'!H:H,'caseload data'!$D:$D,"SPO",'caseload data'!$A:$A,"NPS Kent Surrey Sussex Region")</f>
        <v>0</v>
      </c>
      <c r="H26" s="204">
        <f>SUMIFS('caseload data'!I:I,'caseload data'!$D:$D,"SPO",'caseload data'!$A:$A,"NPS Kent Surrey Sussex Region")</f>
        <v>0</v>
      </c>
      <c r="I26" s="204">
        <f>SUMIFS('caseload data'!J:J,'caseload data'!$D:$D,"SPO",'caseload data'!$A:$A,"NPS Kent Surrey Sussex Region")</f>
        <v>0</v>
      </c>
      <c r="J26" s="204">
        <f>SUMIFS('caseload data'!K:K,'caseload data'!$D:$D,"SPO",'caseload data'!$A:$A,"NPS Kent Surrey Sussex Region")</f>
        <v>0</v>
      </c>
      <c r="K26" s="204">
        <f>SUMIFS('caseload data'!L:L,'caseload data'!$D:$D,"SPO",'caseload data'!$A:$A,"NPS Kent Surrey Sussex Region")</f>
        <v>0</v>
      </c>
      <c r="L26" s="204">
        <f>SUMIFS('caseload data'!M:M,'caseload data'!$D:$D,"SPO",'caseload data'!$A:$A,"NPS Kent Surrey Sussex Region")</f>
        <v>0</v>
      </c>
      <c r="M26" s="204">
        <f>SUMIFS('caseload data'!N:N,'caseload data'!$D:$D,"SPO",'caseload data'!$A:$A,"NPS Kent Surrey Sussex Region")</f>
        <v>0</v>
      </c>
      <c r="N26" s="204">
        <f>SUMIFS('caseload data'!O:O,'caseload data'!$D:$D,"SPO",'caseload data'!$A:$A,"NPS Kent Surrey Sussex Region")</f>
        <v>0</v>
      </c>
      <c r="O26" s="204">
        <f>SUMIFS('caseload data'!P:P,'caseload data'!$D:$D,"SPO",'caseload data'!$A:$A,"NPS Kent Surrey Sussex Region")</f>
        <v>0</v>
      </c>
      <c r="P26" s="204">
        <f>SUMIFS('caseload data'!Q:Q,'caseload data'!$D:$D,"SPO",'caseload data'!$A:$A,"NPS Kent Surrey Sussex Region")</f>
        <v>0</v>
      </c>
      <c r="Q26" s="204">
        <f>SUMIFS('caseload data'!R:R,'caseload data'!$D:$D,"SPO",'caseload data'!$A:$A,"NPS Kent Surrey Sussex Region")</f>
        <v>0</v>
      </c>
      <c r="R26" s="204">
        <f>SUMIFS('caseload data'!S:S,'caseload data'!$D:$D,"SPO",'caseload data'!$A:$A,"NPS Kent Surrey Sussex Region")</f>
        <v>0</v>
      </c>
      <c r="S26" s="204">
        <f>SUMIFS('caseload data'!T:T,'caseload data'!$D:$D,"SPO",'caseload data'!$A:$A,"NPS Kent Surrey Sussex Region")</f>
        <v>0</v>
      </c>
      <c r="T26" s="126">
        <f>SUMIFS('caseload data'!V:V,'caseload data'!$D:$D,"SPO",'caseload data'!$A:$A,"NPS Kent Surrey Sussex Region")</f>
        <v>0</v>
      </c>
      <c r="U26" s="95"/>
      <c r="V26" s="95"/>
      <c r="W26" s="335"/>
      <c r="X26" s="163" t="s">
        <v>187</v>
      </c>
      <c r="Y26" s="209" t="e">
        <f>SUM(D26)/SUM(D$23:D$26)</f>
        <v>#DIV/0!</v>
      </c>
      <c r="Z26" s="209" t="e">
        <f t="shared" si="3"/>
        <v>#DIV/0!</v>
      </c>
      <c r="AA26" s="209" t="e">
        <f t="shared" si="3"/>
        <v>#DIV/0!</v>
      </c>
      <c r="AB26" s="209" t="e">
        <f t="shared" si="3"/>
        <v>#DIV/0!</v>
      </c>
      <c r="AC26" s="209" t="e">
        <f t="shared" si="3"/>
        <v>#DIV/0!</v>
      </c>
      <c r="AD26" s="209" t="e">
        <f t="shared" si="3"/>
        <v>#DIV/0!</v>
      </c>
      <c r="AE26" s="209" t="e">
        <f t="shared" si="3"/>
        <v>#DIV/0!</v>
      </c>
      <c r="AF26" s="209" t="e">
        <f t="shared" si="3"/>
        <v>#DIV/0!</v>
      </c>
      <c r="AG26" s="209" t="e">
        <f t="shared" si="3"/>
        <v>#DIV/0!</v>
      </c>
      <c r="AH26" s="209" t="e">
        <f t="shared" si="3"/>
        <v>#DIV/0!</v>
      </c>
      <c r="AI26" s="209" t="e">
        <f t="shared" si="3"/>
        <v>#DIV/0!</v>
      </c>
      <c r="AJ26" s="209" t="e">
        <f t="shared" si="3"/>
        <v>#DIV/0!</v>
      </c>
      <c r="AK26" s="209" t="e">
        <f t="shared" si="3"/>
        <v>#DIV/0!</v>
      </c>
      <c r="AL26" s="209" t="e">
        <f t="shared" si="3"/>
        <v>#DIV/0!</v>
      </c>
      <c r="AM26" s="209" t="e">
        <f t="shared" si="3"/>
        <v>#DIV/0!</v>
      </c>
      <c r="AN26" s="209" t="e">
        <f t="shared" si="3"/>
        <v>#DIV/0!</v>
      </c>
    </row>
    <row r="27" spans="2:40" s="30" customFormat="1" x14ac:dyDescent="0.15">
      <c r="B27" s="333" t="s">
        <v>376</v>
      </c>
      <c r="C27" s="161" t="s">
        <v>184</v>
      </c>
      <c r="D27" s="204">
        <f>SUMIFS('caseload data'!E:E,'caseload data'!$D:$D,"PO",'caseload data'!$A:$A,'national caseload'!$B$27:$B$29)</f>
        <v>0</v>
      </c>
      <c r="E27" s="204">
        <f>SUMIFS('caseload data'!F:F,'caseload data'!$D:$D,"PO",'caseload data'!$A:$A,'national caseload'!$B$27:$B$29)</f>
        <v>0</v>
      </c>
      <c r="F27" s="204">
        <f>SUMIFS('caseload data'!G:G,'caseload data'!$D:$D,"PO",'caseload data'!$A:$A,'national caseload'!$B$27:$B$29)</f>
        <v>0</v>
      </c>
      <c r="G27" s="204">
        <f>SUMIFS('caseload data'!H:H,'caseload data'!$D:$D,"PO",'caseload data'!$A:$A,'national caseload'!$B$27:$B$29)</f>
        <v>0</v>
      </c>
      <c r="H27" s="204">
        <f>SUMIFS('caseload data'!I:I,'caseload data'!$D:$D,"PO",'caseload data'!$A:$A,'national caseload'!$B$27:$B$29)</f>
        <v>0</v>
      </c>
      <c r="I27" s="204">
        <f>SUMIFS('caseload data'!J:J,'caseload data'!$D:$D,"PO",'caseload data'!$A:$A,'national caseload'!$B$27:$B$29)</f>
        <v>0</v>
      </c>
      <c r="J27" s="204">
        <f>SUMIFS('caseload data'!K:K,'caseload data'!$D:$D,"PO",'caseload data'!$A:$A,'national caseload'!$B$27:$B$29)</f>
        <v>0</v>
      </c>
      <c r="K27" s="204">
        <f>SUMIFS('caseload data'!L:L,'caseload data'!$D:$D,"PO",'caseload data'!$A:$A,'national caseload'!$B$27:$B$29)</f>
        <v>0</v>
      </c>
      <c r="L27" s="204">
        <f>SUMIFS('caseload data'!M:M,'caseload data'!$D:$D,"PO",'caseload data'!$A:$A,'national caseload'!$B$27:$B$29)</f>
        <v>0</v>
      </c>
      <c r="M27" s="204">
        <f>SUMIFS('caseload data'!N:N,'caseload data'!$D:$D,"PO",'caseload data'!$A:$A,'national caseload'!$B$27:$B$29)</f>
        <v>0</v>
      </c>
      <c r="N27" s="204">
        <f>SUMIFS('caseload data'!O:O,'caseload data'!$D:$D,"PO",'caseload data'!$A:$A,'national caseload'!$B$27:$B$29)</f>
        <v>0</v>
      </c>
      <c r="O27" s="204">
        <f>SUMIFS('caseload data'!P:P,'caseload data'!$D:$D,"PO",'caseload data'!$A:$A,'national caseload'!$B$27:$B$29)</f>
        <v>0</v>
      </c>
      <c r="P27" s="204">
        <f>SUMIFS('caseload data'!Q:Q,'caseload data'!$D:$D,"PO",'caseload data'!$A:$A,'national caseload'!$B$27:$B$29)</f>
        <v>0</v>
      </c>
      <c r="Q27" s="204">
        <f>SUMIFS('caseload data'!R:R,'caseload data'!$D:$D,"PO",'caseload data'!$A:$A,'national caseload'!$B$27:$B$29)</f>
        <v>0</v>
      </c>
      <c r="R27" s="204">
        <f>SUMIFS('caseload data'!S:S,'caseload data'!$D:$D,"PO",'caseload data'!$A:$A,'national caseload'!$B$27:$B$29)</f>
        <v>0</v>
      </c>
      <c r="S27" s="204">
        <f>SUMIFS('caseload data'!T:T,'caseload data'!$D:$D,"PO",'caseload data'!$A:$A,'national caseload'!$B$27:$B$29)</f>
        <v>0</v>
      </c>
      <c r="T27" s="126">
        <f>SUMIFS('caseload data'!V:V,'caseload data'!$D:$D,"PO",'caseload data'!$A:$A,'national caseload'!B27:B29)</f>
        <v>0</v>
      </c>
      <c r="U27" s="95"/>
      <c r="V27" s="95"/>
      <c r="W27" s="333" t="s">
        <v>376</v>
      </c>
      <c r="X27" s="161" t="s">
        <v>184</v>
      </c>
      <c r="Y27" s="209" t="e">
        <f>SUM(D27)/SUM(D$27:D$30)</f>
        <v>#DIV/0!</v>
      </c>
      <c r="Z27" s="209" t="e">
        <f t="shared" ref="Z27:AN30" si="4">SUM(E27)/SUM(E$27:E$30)</f>
        <v>#DIV/0!</v>
      </c>
      <c r="AA27" s="209" t="e">
        <f t="shared" si="4"/>
        <v>#DIV/0!</v>
      </c>
      <c r="AB27" s="209" t="e">
        <f t="shared" si="4"/>
        <v>#DIV/0!</v>
      </c>
      <c r="AC27" s="209" t="e">
        <f t="shared" si="4"/>
        <v>#DIV/0!</v>
      </c>
      <c r="AD27" s="209" t="e">
        <f t="shared" si="4"/>
        <v>#DIV/0!</v>
      </c>
      <c r="AE27" s="209" t="e">
        <f t="shared" si="4"/>
        <v>#DIV/0!</v>
      </c>
      <c r="AF27" s="209" t="e">
        <f t="shared" si="4"/>
        <v>#DIV/0!</v>
      </c>
      <c r="AG27" s="209" t="e">
        <f t="shared" si="4"/>
        <v>#DIV/0!</v>
      </c>
      <c r="AH27" s="209" t="e">
        <f t="shared" si="4"/>
        <v>#DIV/0!</v>
      </c>
      <c r="AI27" s="209" t="e">
        <f t="shared" si="4"/>
        <v>#DIV/0!</v>
      </c>
      <c r="AJ27" s="209" t="e">
        <f t="shared" si="4"/>
        <v>#DIV/0!</v>
      </c>
      <c r="AK27" s="209" t="e">
        <f t="shared" si="4"/>
        <v>#DIV/0!</v>
      </c>
      <c r="AL27" s="209" t="e">
        <f t="shared" si="4"/>
        <v>#DIV/0!</v>
      </c>
      <c r="AM27" s="209" t="e">
        <f t="shared" si="4"/>
        <v>#DIV/0!</v>
      </c>
      <c r="AN27" s="209" t="e">
        <f t="shared" si="4"/>
        <v>#DIV/0!</v>
      </c>
    </row>
    <row r="28" spans="2:40" s="30" customFormat="1" x14ac:dyDescent="0.15">
      <c r="B28" s="334"/>
      <c r="C28" s="162" t="s">
        <v>185</v>
      </c>
      <c r="D28" s="204">
        <f>SUMIFS('caseload data'!E:E,'caseload data'!$D:$D,"PSO",'caseload data'!$A:$A,"London")</f>
        <v>0</v>
      </c>
      <c r="E28" s="204">
        <f>SUMIFS('caseload data'!F:F,'caseload data'!$D:$D,"PSO",'caseload data'!$A:$A,"London")</f>
        <v>0</v>
      </c>
      <c r="F28" s="204">
        <f>SUMIFS('caseload data'!G:G,'caseload data'!$D:$D,"PSO",'caseload data'!$A:$A,"London")</f>
        <v>0</v>
      </c>
      <c r="G28" s="204">
        <f>SUMIFS('caseload data'!H:H,'caseload data'!$D:$D,"PSO",'caseload data'!$A:$A,"London")</f>
        <v>0</v>
      </c>
      <c r="H28" s="204">
        <f>SUMIFS('caseload data'!I:I,'caseload data'!$D:$D,"PSO",'caseload data'!$A:$A,"London")</f>
        <v>0</v>
      </c>
      <c r="I28" s="204">
        <f>SUMIFS('caseload data'!J:J,'caseload data'!$D:$D,"PSO",'caseload data'!$A:$A,"London")</f>
        <v>0</v>
      </c>
      <c r="J28" s="204">
        <f>SUMIFS('caseload data'!K:K,'caseload data'!$D:$D,"PSO",'caseload data'!$A:$A,"London")</f>
        <v>0</v>
      </c>
      <c r="K28" s="204">
        <f>SUMIFS('caseload data'!L:L,'caseload data'!$D:$D,"PSO",'caseload data'!$A:$A,"London")</f>
        <v>0</v>
      </c>
      <c r="L28" s="204">
        <f>SUMIFS('caseload data'!M:M,'caseload data'!$D:$D,"PSO",'caseload data'!$A:$A,"London")</f>
        <v>0</v>
      </c>
      <c r="M28" s="204">
        <f>SUMIFS('caseload data'!N:N,'caseload data'!$D:$D,"PSO",'caseload data'!$A:$A,"London")</f>
        <v>0</v>
      </c>
      <c r="N28" s="204">
        <f>SUMIFS('caseload data'!O:O,'caseload data'!$D:$D,"PSO",'caseload data'!$A:$A,"London")</f>
        <v>0</v>
      </c>
      <c r="O28" s="204">
        <f>SUMIFS('caseload data'!P:P,'caseload data'!$D:$D,"PSO",'caseload data'!$A:$A,"London")</f>
        <v>0</v>
      </c>
      <c r="P28" s="204">
        <f>SUMIFS('caseload data'!Q:Q,'caseload data'!$D:$D,"PSO",'caseload data'!$A:$A,"London")</f>
        <v>0</v>
      </c>
      <c r="Q28" s="204">
        <f>SUMIFS('caseload data'!R:R,'caseload data'!$D:$D,"PSO",'caseload data'!$A:$A,"London")</f>
        <v>0</v>
      </c>
      <c r="R28" s="204">
        <f>SUMIFS('caseload data'!S:S,'caseload data'!$D:$D,"PSO",'caseload data'!$A:$A,"London")</f>
        <v>0</v>
      </c>
      <c r="S28" s="204">
        <f>SUMIFS('caseload data'!T:T,'caseload data'!$D:$D,"PSO",'caseload data'!$A:$A,"London")</f>
        <v>0</v>
      </c>
      <c r="T28" s="126">
        <f>SUMIFS('caseload data'!V:V,'caseload data'!$D:$D,"PSO",'caseload data'!$A:$A,"London")</f>
        <v>0</v>
      </c>
      <c r="U28" s="95"/>
      <c r="V28" s="95"/>
      <c r="W28" s="334"/>
      <c r="X28" s="162" t="s">
        <v>185</v>
      </c>
      <c r="Y28" s="209" t="e">
        <f>SUM(D28)/SUM(D$27:D$30)</f>
        <v>#DIV/0!</v>
      </c>
      <c r="Z28" s="209" t="e">
        <f t="shared" si="4"/>
        <v>#DIV/0!</v>
      </c>
      <c r="AA28" s="209" t="e">
        <f t="shared" si="4"/>
        <v>#DIV/0!</v>
      </c>
      <c r="AB28" s="209" t="e">
        <f t="shared" si="4"/>
        <v>#DIV/0!</v>
      </c>
      <c r="AC28" s="209" t="e">
        <f t="shared" si="4"/>
        <v>#DIV/0!</v>
      </c>
      <c r="AD28" s="209" t="e">
        <f t="shared" si="4"/>
        <v>#DIV/0!</v>
      </c>
      <c r="AE28" s="209" t="e">
        <f t="shared" si="4"/>
        <v>#DIV/0!</v>
      </c>
      <c r="AF28" s="209" t="e">
        <f t="shared" si="4"/>
        <v>#DIV/0!</v>
      </c>
      <c r="AG28" s="209" t="e">
        <f t="shared" si="4"/>
        <v>#DIV/0!</v>
      </c>
      <c r="AH28" s="209" t="e">
        <f t="shared" si="4"/>
        <v>#DIV/0!</v>
      </c>
      <c r="AI28" s="209" t="e">
        <f t="shared" si="4"/>
        <v>#DIV/0!</v>
      </c>
      <c r="AJ28" s="209" t="e">
        <f t="shared" si="4"/>
        <v>#DIV/0!</v>
      </c>
      <c r="AK28" s="209" t="e">
        <f t="shared" si="4"/>
        <v>#DIV/0!</v>
      </c>
      <c r="AL28" s="209" t="e">
        <f t="shared" si="4"/>
        <v>#DIV/0!</v>
      </c>
      <c r="AM28" s="209" t="e">
        <f t="shared" si="4"/>
        <v>#DIV/0!</v>
      </c>
      <c r="AN28" s="209" t="e">
        <f t="shared" si="4"/>
        <v>#DIV/0!</v>
      </c>
    </row>
    <row r="29" spans="2:40" s="30" customFormat="1" x14ac:dyDescent="0.15">
      <c r="B29" s="334"/>
      <c r="C29" s="162" t="s">
        <v>186</v>
      </c>
      <c r="D29" s="204">
        <f>SUMIFS('caseload data'!E:E,'caseload data'!$D:$D,"TPO",'caseload data'!$A:$A,"London")</f>
        <v>0</v>
      </c>
      <c r="E29" s="204">
        <f>SUMIFS('caseload data'!F:F,'caseload data'!$D:$D,"TPO",'caseload data'!$A:$A,"London")</f>
        <v>0</v>
      </c>
      <c r="F29" s="204">
        <f>SUMIFS('caseload data'!G:G,'caseload data'!$D:$D,"TPO",'caseload data'!$A:$A,"London")</f>
        <v>0</v>
      </c>
      <c r="G29" s="204">
        <f>SUMIFS('caseload data'!H:H,'caseload data'!$D:$D,"TPO",'caseload data'!$A:$A,"London")</f>
        <v>0</v>
      </c>
      <c r="H29" s="204">
        <f>SUMIFS('caseload data'!I:I,'caseload data'!$D:$D,"TPO",'caseload data'!$A:$A,"London")</f>
        <v>0</v>
      </c>
      <c r="I29" s="204">
        <f>SUMIFS('caseload data'!J:J,'caseload data'!$D:$D,"TPO",'caseload data'!$A:$A,"London")</f>
        <v>0</v>
      </c>
      <c r="J29" s="204">
        <f>SUMIFS('caseload data'!K:K,'caseload data'!$D:$D,"TPO",'caseload data'!$A:$A,"London")</f>
        <v>0</v>
      </c>
      <c r="K29" s="204">
        <f>SUMIFS('caseload data'!L:L,'caseload data'!$D:$D,"TPO",'caseload data'!$A:$A,"London")</f>
        <v>0</v>
      </c>
      <c r="L29" s="204">
        <f>SUMIFS('caseload data'!M:M,'caseload data'!$D:$D,"TPO",'caseload data'!$A:$A,"London")</f>
        <v>0</v>
      </c>
      <c r="M29" s="204">
        <f>SUMIFS('caseload data'!N:N,'caseload data'!$D:$D,"TPO",'caseload data'!$A:$A,"London")</f>
        <v>0</v>
      </c>
      <c r="N29" s="204">
        <f>SUMIFS('caseload data'!O:O,'caseload data'!$D:$D,"TPO",'caseload data'!$A:$A,"London")</f>
        <v>0</v>
      </c>
      <c r="O29" s="204">
        <f>SUMIFS('caseload data'!P:P,'caseload data'!$D:$D,"TPO",'caseload data'!$A:$A,"London")</f>
        <v>0</v>
      </c>
      <c r="P29" s="204">
        <f>SUMIFS('caseload data'!Q:Q,'caseload data'!$D:$D,"TPO",'caseload data'!$A:$A,"London")</f>
        <v>0</v>
      </c>
      <c r="Q29" s="204">
        <f>SUMIFS('caseload data'!R:R,'caseload data'!$D:$D,"TPO",'caseload data'!$A:$A,"London")</f>
        <v>0</v>
      </c>
      <c r="R29" s="204">
        <f>SUMIFS('caseload data'!S:S,'caseload data'!$D:$D,"TPO",'caseload data'!$A:$A,"London")</f>
        <v>0</v>
      </c>
      <c r="S29" s="204">
        <f>SUMIFS('caseload data'!T:T,'caseload data'!$D:$D,"TPO",'caseload data'!$A:$A,"London")</f>
        <v>0</v>
      </c>
      <c r="T29" s="126">
        <f>SUMIFS('caseload data'!V:V,'caseload data'!$D:$D,"TPO",'caseload data'!$A:$A,"London")</f>
        <v>0</v>
      </c>
      <c r="U29" s="95"/>
      <c r="V29" s="95"/>
      <c r="W29" s="334"/>
      <c r="X29" s="162" t="s">
        <v>186</v>
      </c>
      <c r="Y29" s="209" t="e">
        <f>SUM(D29)/SUM(D$27:D$30)</f>
        <v>#DIV/0!</v>
      </c>
      <c r="Z29" s="209" t="e">
        <f t="shared" si="4"/>
        <v>#DIV/0!</v>
      </c>
      <c r="AA29" s="209" t="e">
        <f t="shared" si="4"/>
        <v>#DIV/0!</v>
      </c>
      <c r="AB29" s="209" t="e">
        <f t="shared" si="4"/>
        <v>#DIV/0!</v>
      </c>
      <c r="AC29" s="209" t="e">
        <f t="shared" si="4"/>
        <v>#DIV/0!</v>
      </c>
      <c r="AD29" s="209" t="e">
        <f t="shared" si="4"/>
        <v>#DIV/0!</v>
      </c>
      <c r="AE29" s="209" t="e">
        <f t="shared" si="4"/>
        <v>#DIV/0!</v>
      </c>
      <c r="AF29" s="209" t="e">
        <f t="shared" si="4"/>
        <v>#DIV/0!</v>
      </c>
      <c r="AG29" s="209" t="e">
        <f t="shared" si="4"/>
        <v>#DIV/0!</v>
      </c>
      <c r="AH29" s="209" t="e">
        <f t="shared" si="4"/>
        <v>#DIV/0!</v>
      </c>
      <c r="AI29" s="209" t="e">
        <f t="shared" si="4"/>
        <v>#DIV/0!</v>
      </c>
      <c r="AJ29" s="209" t="e">
        <f t="shared" si="4"/>
        <v>#DIV/0!</v>
      </c>
      <c r="AK29" s="209" t="e">
        <f t="shared" si="4"/>
        <v>#DIV/0!</v>
      </c>
      <c r="AL29" s="209" t="e">
        <f t="shared" si="4"/>
        <v>#DIV/0!</v>
      </c>
      <c r="AM29" s="209" t="e">
        <f t="shared" si="4"/>
        <v>#DIV/0!</v>
      </c>
      <c r="AN29" s="209" t="e">
        <f t="shared" si="4"/>
        <v>#DIV/0!</v>
      </c>
    </row>
    <row r="30" spans="2:40" s="30" customFormat="1" x14ac:dyDescent="0.15">
      <c r="B30" s="335"/>
      <c r="C30" s="163" t="s">
        <v>187</v>
      </c>
      <c r="D30" s="204">
        <f>SUMIFS('caseload data'!E:E,'caseload data'!$D:$D,"SPO",'caseload data'!$A:$A,"London")</f>
        <v>0</v>
      </c>
      <c r="E30" s="204">
        <f>SUMIFS('caseload data'!F:F,'caseload data'!$D:$D,"SPO",'caseload data'!$A:$A,"London")</f>
        <v>0</v>
      </c>
      <c r="F30" s="204">
        <f>SUMIFS('caseload data'!G:G,'caseload data'!$D:$D,"SPO",'caseload data'!$A:$A,"London")</f>
        <v>0</v>
      </c>
      <c r="G30" s="204">
        <f>SUMIFS('caseload data'!H:H,'caseload data'!$D:$D,"SPO",'caseload data'!$A:$A,"London")</f>
        <v>0</v>
      </c>
      <c r="H30" s="204">
        <f>SUMIFS('caseload data'!I:I,'caseload data'!$D:$D,"SPO",'caseload data'!$A:$A,"London")</f>
        <v>0</v>
      </c>
      <c r="I30" s="204">
        <f>SUMIFS('caseload data'!J:J,'caseload data'!$D:$D,"SPO",'caseload data'!$A:$A,"London")</f>
        <v>0</v>
      </c>
      <c r="J30" s="204">
        <f>SUMIFS('caseload data'!K:K,'caseload data'!$D:$D,"SPO",'caseload data'!$A:$A,"London")</f>
        <v>0</v>
      </c>
      <c r="K30" s="204">
        <f>SUMIFS('caseload data'!L:L,'caseload data'!$D:$D,"SPO",'caseload data'!$A:$A,"London")</f>
        <v>0</v>
      </c>
      <c r="L30" s="204">
        <f>SUMIFS('caseload data'!M:M,'caseload data'!$D:$D,"SPO",'caseload data'!$A:$A,"London")</f>
        <v>0</v>
      </c>
      <c r="M30" s="204">
        <f>SUMIFS('caseload data'!N:N,'caseload data'!$D:$D,"SPO",'caseload data'!$A:$A,"London")</f>
        <v>0</v>
      </c>
      <c r="N30" s="204">
        <f>SUMIFS('caseload data'!O:O,'caseload data'!$D:$D,"SPO",'caseload data'!$A:$A,"London")</f>
        <v>0</v>
      </c>
      <c r="O30" s="204">
        <f>SUMIFS('caseload data'!P:P,'caseload data'!$D:$D,"SPO",'caseload data'!$A:$A,"London")</f>
        <v>0</v>
      </c>
      <c r="P30" s="204">
        <f>SUMIFS('caseload data'!Q:Q,'caseload data'!$D:$D,"SPO",'caseload data'!$A:$A,"London")</f>
        <v>0</v>
      </c>
      <c r="Q30" s="204">
        <f>SUMIFS('caseload data'!R:R,'caseload data'!$D:$D,"SPO",'caseload data'!$A:$A,"London")</f>
        <v>0</v>
      </c>
      <c r="R30" s="204">
        <f>SUMIFS('caseload data'!S:S,'caseload data'!$D:$D,"SPO",'caseload data'!$A:$A,"London")</f>
        <v>0</v>
      </c>
      <c r="S30" s="204">
        <f>SUMIFS('caseload data'!T:T,'caseload data'!$D:$D,"SPO",'caseload data'!$A:$A,"London")</f>
        <v>0</v>
      </c>
      <c r="T30" s="126">
        <f>SUMIFS('caseload data'!V:V,'caseload data'!$D:$D,"SPO",'caseload data'!$A:$A,"London")</f>
        <v>0</v>
      </c>
      <c r="U30" s="95"/>
      <c r="V30" s="95"/>
      <c r="W30" s="335"/>
      <c r="X30" s="163" t="s">
        <v>187</v>
      </c>
      <c r="Y30" s="209" t="e">
        <f>SUM(D30)/SUM(D$27:D$30)</f>
        <v>#DIV/0!</v>
      </c>
      <c r="Z30" s="209" t="e">
        <f t="shared" si="4"/>
        <v>#DIV/0!</v>
      </c>
      <c r="AA30" s="209" t="e">
        <f t="shared" si="4"/>
        <v>#DIV/0!</v>
      </c>
      <c r="AB30" s="209" t="e">
        <f t="shared" si="4"/>
        <v>#DIV/0!</v>
      </c>
      <c r="AC30" s="209" t="e">
        <f t="shared" si="4"/>
        <v>#DIV/0!</v>
      </c>
      <c r="AD30" s="209" t="e">
        <f t="shared" si="4"/>
        <v>#DIV/0!</v>
      </c>
      <c r="AE30" s="209" t="e">
        <f t="shared" si="4"/>
        <v>#DIV/0!</v>
      </c>
      <c r="AF30" s="209" t="e">
        <f t="shared" si="4"/>
        <v>#DIV/0!</v>
      </c>
      <c r="AG30" s="209" t="e">
        <f t="shared" si="4"/>
        <v>#DIV/0!</v>
      </c>
      <c r="AH30" s="209" t="e">
        <f t="shared" si="4"/>
        <v>#DIV/0!</v>
      </c>
      <c r="AI30" s="209" t="e">
        <f t="shared" si="4"/>
        <v>#DIV/0!</v>
      </c>
      <c r="AJ30" s="209" t="e">
        <f t="shared" si="4"/>
        <v>#DIV/0!</v>
      </c>
      <c r="AK30" s="209" t="e">
        <f t="shared" si="4"/>
        <v>#DIV/0!</v>
      </c>
      <c r="AL30" s="209" t="e">
        <f t="shared" si="4"/>
        <v>#DIV/0!</v>
      </c>
      <c r="AM30" s="209" t="e">
        <f t="shared" si="4"/>
        <v>#DIV/0!</v>
      </c>
      <c r="AN30" s="209" t="e">
        <f t="shared" si="4"/>
        <v>#DIV/0!</v>
      </c>
    </row>
    <row r="31" spans="2:40" x14ac:dyDescent="0.15">
      <c r="B31" s="329" t="s">
        <v>1130</v>
      </c>
      <c r="C31" s="161" t="s">
        <v>184</v>
      </c>
      <c r="D31" s="204">
        <f>SUMIFS('caseload data'!E:E,'caseload data'!$D:$D,"PO",'caseload data'!$A:$A,$B$31)</f>
        <v>0</v>
      </c>
      <c r="E31" s="204">
        <f>SUMIFS('caseload data'!F:F,'caseload data'!$D:$D,"PO",'caseload data'!$A:$A,$B$31)</f>
        <v>0</v>
      </c>
      <c r="F31" s="204">
        <f>SUMIFS('caseload data'!G:G,'caseload data'!$D:$D,"PO",'caseload data'!$A:$A,$B$31)</f>
        <v>0</v>
      </c>
      <c r="G31" s="204">
        <f>SUMIFS('caseload data'!H:H,'caseload data'!$D:$D,"PO",'caseload data'!$A:$A,$B$31)</f>
        <v>0</v>
      </c>
      <c r="H31" s="204">
        <f>SUMIFS('caseload data'!I:I,'caseload data'!$D:$D,"PO",'caseload data'!$A:$A,$B$31)</f>
        <v>0</v>
      </c>
      <c r="I31" s="204">
        <f>SUMIFS('caseload data'!J:J,'caseload data'!$D:$D,"PO",'caseload data'!$A:$A,$B$31)</f>
        <v>0</v>
      </c>
      <c r="J31" s="204">
        <f>SUMIFS('caseload data'!K:K,'caseload data'!$D:$D,"PO",'caseload data'!$A:$A,$B$31)</f>
        <v>0</v>
      </c>
      <c r="K31" s="204">
        <f>SUMIFS('caseload data'!L:L,'caseload data'!$D:$D,"PO",'caseload data'!$A:$A,$B$31)</f>
        <v>0</v>
      </c>
      <c r="L31" s="204">
        <f>SUMIFS('caseload data'!M:M,'caseload data'!$D:$D,"PO",'caseload data'!$A:$A,$B$31)</f>
        <v>0</v>
      </c>
      <c r="M31" s="204">
        <f>SUMIFS('caseload data'!N:N,'caseload data'!$D:$D,"PO",'caseload data'!$A:$A,$B$31)</f>
        <v>0</v>
      </c>
      <c r="N31" s="204">
        <f>SUMIFS('caseload data'!O:O,'caseload data'!$D:$D,"PO",'caseload data'!$A:$A,$B$31)</f>
        <v>0</v>
      </c>
      <c r="O31" s="204">
        <f>SUMIFS('caseload data'!P:P,'caseload data'!$D:$D,"PO",'caseload data'!$A:$A,$B$31)</f>
        <v>0</v>
      </c>
      <c r="P31" s="204">
        <f>SUMIFS('caseload data'!Q:Q,'caseload data'!$D:$D,"PO",'caseload data'!$A:$A,$B$31)</f>
        <v>0</v>
      </c>
      <c r="Q31" s="204">
        <f>SUMIFS('caseload data'!R:R,'caseload data'!$D:$D,"PO",'caseload data'!$A:$A,$B$31)</f>
        <v>0</v>
      </c>
      <c r="R31" s="204">
        <f>SUMIFS('caseload data'!S:S,'caseload data'!$D:$D,"PO",'caseload data'!$A:$A,$B$31)</f>
        <v>0</v>
      </c>
      <c r="S31" s="204">
        <f>SUMIFS('caseload data'!T:T,'caseload data'!$D:$D,"PO",'caseload data'!$A:$A,$B$31)</f>
        <v>0</v>
      </c>
      <c r="T31" s="126">
        <f>SUMIFS('caseload data'!V:V,'caseload data'!$D:$D,"PO",'caseload data'!$A:$A,B31)</f>
        <v>0</v>
      </c>
      <c r="U31" s="95"/>
      <c r="V31" s="95"/>
      <c r="W31" s="329" t="s">
        <v>1130</v>
      </c>
      <c r="X31" s="161" t="s">
        <v>184</v>
      </c>
      <c r="Y31" s="209" t="e">
        <f>SUM(D31)/SUM(D$31:D$34)</f>
        <v>#DIV/0!</v>
      </c>
      <c r="Z31" s="209" t="e">
        <f t="shared" ref="Z31:AN34" si="5">SUM(E31)/SUM(E$31:E$34)</f>
        <v>#DIV/0!</v>
      </c>
      <c r="AA31" s="209" t="e">
        <f t="shared" si="5"/>
        <v>#DIV/0!</v>
      </c>
      <c r="AB31" s="209" t="e">
        <f t="shared" si="5"/>
        <v>#DIV/0!</v>
      </c>
      <c r="AC31" s="209" t="e">
        <f t="shared" si="5"/>
        <v>#DIV/0!</v>
      </c>
      <c r="AD31" s="209" t="e">
        <f t="shared" si="5"/>
        <v>#DIV/0!</v>
      </c>
      <c r="AE31" s="209" t="e">
        <f t="shared" si="5"/>
        <v>#DIV/0!</v>
      </c>
      <c r="AF31" s="209" t="e">
        <f t="shared" si="5"/>
        <v>#DIV/0!</v>
      </c>
      <c r="AG31" s="209" t="e">
        <f t="shared" si="5"/>
        <v>#DIV/0!</v>
      </c>
      <c r="AH31" s="209" t="e">
        <f t="shared" si="5"/>
        <v>#DIV/0!</v>
      </c>
      <c r="AI31" s="209" t="e">
        <f t="shared" si="5"/>
        <v>#DIV/0!</v>
      </c>
      <c r="AJ31" s="209" t="e">
        <f t="shared" si="5"/>
        <v>#DIV/0!</v>
      </c>
      <c r="AK31" s="209" t="e">
        <f t="shared" si="5"/>
        <v>#DIV/0!</v>
      </c>
      <c r="AL31" s="209" t="e">
        <f t="shared" si="5"/>
        <v>#DIV/0!</v>
      </c>
      <c r="AM31" s="209" t="e">
        <f t="shared" si="5"/>
        <v>#DIV/0!</v>
      </c>
      <c r="AN31" s="209" t="e">
        <f t="shared" si="5"/>
        <v>#DIV/0!</v>
      </c>
    </row>
    <row r="32" spans="2:40" s="30" customFormat="1" x14ac:dyDescent="0.15">
      <c r="B32" s="330"/>
      <c r="C32" s="162" t="s">
        <v>185</v>
      </c>
      <c r="D32" s="204">
        <f>SUMIFS('caseload data'!E:E,'caseload data'!$D:$D,"PSO",'caseload data'!$A:$A,"North East Region")</f>
        <v>0</v>
      </c>
      <c r="E32" s="204">
        <f>SUMIFS('caseload data'!F:F,'caseload data'!$D:$D,"PSO",'caseload data'!$A:$A,"North East Region")</f>
        <v>0</v>
      </c>
      <c r="F32" s="204">
        <f>SUMIFS('caseload data'!G:G,'caseload data'!$D:$D,"PSO",'caseload data'!$A:$A,"North East Region")</f>
        <v>0</v>
      </c>
      <c r="G32" s="204">
        <f>SUMIFS('caseload data'!H:H,'caseload data'!$D:$D,"PSO",'caseload data'!$A:$A,"North East Region")</f>
        <v>0</v>
      </c>
      <c r="H32" s="204">
        <f>SUMIFS('caseload data'!I:I,'caseload data'!$D:$D,"PSO",'caseload data'!$A:$A,"North East Region")</f>
        <v>0</v>
      </c>
      <c r="I32" s="204">
        <f>SUMIFS('caseload data'!J:J,'caseload data'!$D:$D,"PSO",'caseload data'!$A:$A,"North East Region")</f>
        <v>0</v>
      </c>
      <c r="J32" s="204">
        <f>SUMIFS('caseload data'!K:K,'caseload data'!$D:$D,"PSO",'caseload data'!$A:$A,"North East Region")</f>
        <v>0</v>
      </c>
      <c r="K32" s="204">
        <f>SUMIFS('caseload data'!L:L,'caseload data'!$D:$D,"PSO",'caseload data'!$A:$A,"North East Region")</f>
        <v>0</v>
      </c>
      <c r="L32" s="204">
        <f>SUMIFS('caseload data'!M:M,'caseload data'!$D:$D,"PSO",'caseload data'!$A:$A,"North East Region")</f>
        <v>0</v>
      </c>
      <c r="M32" s="204">
        <f>SUMIFS('caseload data'!N:N,'caseload data'!$D:$D,"PSO",'caseload data'!$A:$A,"North East Region")</f>
        <v>0</v>
      </c>
      <c r="N32" s="204">
        <f>SUMIFS('caseload data'!O:O,'caseload data'!$D:$D,"PSO",'caseload data'!$A:$A,"North East Region")</f>
        <v>0</v>
      </c>
      <c r="O32" s="204">
        <f>SUMIFS('caseload data'!P:P,'caseload data'!$D:$D,"PSO",'caseload data'!$A:$A,"North East Region")</f>
        <v>0</v>
      </c>
      <c r="P32" s="204">
        <f>SUMIFS('caseload data'!Q:Q,'caseload data'!$D:$D,"PSO",'caseload data'!$A:$A,"North East Region")</f>
        <v>0</v>
      </c>
      <c r="Q32" s="204">
        <f>SUMIFS('caseload data'!R:R,'caseload data'!$D:$D,"PSO",'caseload data'!$A:$A,"North East Region")</f>
        <v>0</v>
      </c>
      <c r="R32" s="204">
        <f>SUMIFS('caseload data'!S:S,'caseload data'!$D:$D,"PSO",'caseload data'!$A:$A,"North East Region")</f>
        <v>0</v>
      </c>
      <c r="S32" s="204">
        <f>SUMIFS('caseload data'!T:T,'caseload data'!$D:$D,"PSO",'caseload data'!$A:$A,"North East Region")</f>
        <v>0</v>
      </c>
      <c r="T32" s="126">
        <f>SUMIFS('caseload data'!V:V,'caseload data'!$D:$D,"PSO",'caseload data'!$A:$A,"North East Region")</f>
        <v>0</v>
      </c>
      <c r="U32" s="95"/>
      <c r="V32" s="95"/>
      <c r="W32" s="330"/>
      <c r="X32" s="162" t="s">
        <v>185</v>
      </c>
      <c r="Y32" s="209" t="e">
        <f>SUM(D32)/SUM(D$31:D$34)</f>
        <v>#DIV/0!</v>
      </c>
      <c r="Z32" s="209" t="e">
        <f t="shared" si="5"/>
        <v>#DIV/0!</v>
      </c>
      <c r="AA32" s="209" t="e">
        <f t="shared" si="5"/>
        <v>#DIV/0!</v>
      </c>
      <c r="AB32" s="209" t="e">
        <f t="shared" si="5"/>
        <v>#DIV/0!</v>
      </c>
      <c r="AC32" s="209" t="e">
        <f t="shared" si="5"/>
        <v>#DIV/0!</v>
      </c>
      <c r="AD32" s="209" t="e">
        <f t="shared" si="5"/>
        <v>#DIV/0!</v>
      </c>
      <c r="AE32" s="209" t="e">
        <f t="shared" si="5"/>
        <v>#DIV/0!</v>
      </c>
      <c r="AF32" s="209" t="e">
        <f t="shared" si="5"/>
        <v>#DIV/0!</v>
      </c>
      <c r="AG32" s="209" t="e">
        <f t="shared" si="5"/>
        <v>#DIV/0!</v>
      </c>
      <c r="AH32" s="209" t="e">
        <f t="shared" si="5"/>
        <v>#DIV/0!</v>
      </c>
      <c r="AI32" s="209" t="e">
        <f t="shared" si="5"/>
        <v>#DIV/0!</v>
      </c>
      <c r="AJ32" s="209" t="e">
        <f t="shared" si="5"/>
        <v>#DIV/0!</v>
      </c>
      <c r="AK32" s="209" t="e">
        <f t="shared" si="5"/>
        <v>#DIV/0!</v>
      </c>
      <c r="AL32" s="209" t="e">
        <f t="shared" si="5"/>
        <v>#DIV/0!</v>
      </c>
      <c r="AM32" s="209" t="e">
        <f t="shared" si="5"/>
        <v>#DIV/0!</v>
      </c>
      <c r="AN32" s="209" t="e">
        <f t="shared" si="5"/>
        <v>#DIV/0!</v>
      </c>
    </row>
    <row r="33" spans="2:40" x14ac:dyDescent="0.15">
      <c r="B33" s="330"/>
      <c r="C33" s="162" t="s">
        <v>186</v>
      </c>
      <c r="D33" s="204">
        <f>SUMIFS('caseload data'!E:E,'caseload data'!$D:$D,"TPO",'caseload data'!$A:$A,"North East Region")</f>
        <v>0</v>
      </c>
      <c r="E33" s="204">
        <f>SUMIFS('caseload data'!F:F,'caseload data'!$D:$D,"TPO",'caseload data'!$A:$A,"North East Region")</f>
        <v>0</v>
      </c>
      <c r="F33" s="204">
        <f>SUMIFS('caseload data'!G:G,'caseload data'!$D:$D,"TPO",'caseload data'!$A:$A,"North East Region")</f>
        <v>0</v>
      </c>
      <c r="G33" s="204">
        <f>SUMIFS('caseload data'!H:H,'caseload data'!$D:$D,"TPO",'caseload data'!$A:$A,"North East Region")</f>
        <v>0</v>
      </c>
      <c r="H33" s="204">
        <f>SUMIFS('caseload data'!I:I,'caseload data'!$D:$D,"TPO",'caseload data'!$A:$A,"North East Region")</f>
        <v>0</v>
      </c>
      <c r="I33" s="204">
        <f>SUMIFS('caseload data'!J:J,'caseload data'!$D:$D,"TPO",'caseload data'!$A:$A,"North East Region")</f>
        <v>0</v>
      </c>
      <c r="J33" s="204">
        <f>SUMIFS('caseload data'!K:K,'caseload data'!$D:$D,"TPO",'caseload data'!$A:$A,"North East Region")</f>
        <v>0</v>
      </c>
      <c r="K33" s="204">
        <f>SUMIFS('caseload data'!L:L,'caseload data'!$D:$D,"TPO",'caseload data'!$A:$A,"North East Region")</f>
        <v>0</v>
      </c>
      <c r="L33" s="204">
        <f>SUMIFS('caseload data'!M:M,'caseload data'!$D:$D,"TPO",'caseload data'!$A:$A,"North East Region")</f>
        <v>0</v>
      </c>
      <c r="M33" s="204">
        <f>SUMIFS('caseload data'!N:N,'caseload data'!$D:$D,"TPO",'caseload data'!$A:$A,"North East Region")</f>
        <v>0</v>
      </c>
      <c r="N33" s="204">
        <f>SUMIFS('caseload data'!O:O,'caseload data'!$D:$D,"TPO",'caseload data'!$A:$A,"North East Region")</f>
        <v>0</v>
      </c>
      <c r="O33" s="204">
        <f>SUMIFS('caseload data'!P:P,'caseload data'!$D:$D,"TPO",'caseload data'!$A:$A,"North East Region")</f>
        <v>0</v>
      </c>
      <c r="P33" s="204">
        <f>SUMIFS('caseload data'!Q:Q,'caseload data'!$D:$D,"TPO",'caseload data'!$A:$A,"North East Region")</f>
        <v>0</v>
      </c>
      <c r="Q33" s="204">
        <f>SUMIFS('caseload data'!R:R,'caseload data'!$D:$D,"TPO",'caseload data'!$A:$A,"North East Region")</f>
        <v>0</v>
      </c>
      <c r="R33" s="204">
        <f>SUMIFS('caseload data'!S:S,'caseload data'!$D:$D,"TPO",'caseload data'!$A:$A,"North East Region")</f>
        <v>0</v>
      </c>
      <c r="S33" s="204">
        <f>SUMIFS('caseload data'!T:T,'caseload data'!$D:$D,"TPO",'caseload data'!$A:$A,"North East Region")</f>
        <v>0</v>
      </c>
      <c r="T33" s="126">
        <f>SUMIFS('caseload data'!V:V,'caseload data'!$D:$D,"TPO",'caseload data'!$A:$A,"North East Region")</f>
        <v>0</v>
      </c>
      <c r="U33" s="95"/>
      <c r="V33" s="95"/>
      <c r="W33" s="330"/>
      <c r="X33" s="162" t="s">
        <v>186</v>
      </c>
      <c r="Y33" s="209" t="e">
        <f>SUM(D33)/SUM(D$31:D$34)</f>
        <v>#DIV/0!</v>
      </c>
      <c r="Z33" s="209" t="e">
        <f t="shared" si="5"/>
        <v>#DIV/0!</v>
      </c>
      <c r="AA33" s="209" t="e">
        <f t="shared" si="5"/>
        <v>#DIV/0!</v>
      </c>
      <c r="AB33" s="209" t="e">
        <f t="shared" si="5"/>
        <v>#DIV/0!</v>
      </c>
      <c r="AC33" s="209" t="e">
        <f t="shared" si="5"/>
        <v>#DIV/0!</v>
      </c>
      <c r="AD33" s="209" t="e">
        <f t="shared" si="5"/>
        <v>#DIV/0!</v>
      </c>
      <c r="AE33" s="209" t="e">
        <f t="shared" si="5"/>
        <v>#DIV/0!</v>
      </c>
      <c r="AF33" s="209" t="e">
        <f t="shared" si="5"/>
        <v>#DIV/0!</v>
      </c>
      <c r="AG33" s="209" t="e">
        <f t="shared" si="5"/>
        <v>#DIV/0!</v>
      </c>
      <c r="AH33" s="209" t="e">
        <f t="shared" si="5"/>
        <v>#DIV/0!</v>
      </c>
      <c r="AI33" s="209" t="e">
        <f t="shared" si="5"/>
        <v>#DIV/0!</v>
      </c>
      <c r="AJ33" s="209" t="e">
        <f t="shared" si="5"/>
        <v>#DIV/0!</v>
      </c>
      <c r="AK33" s="209" t="e">
        <f t="shared" si="5"/>
        <v>#DIV/0!</v>
      </c>
      <c r="AL33" s="209" t="e">
        <f t="shared" si="5"/>
        <v>#DIV/0!</v>
      </c>
      <c r="AM33" s="209" t="e">
        <f t="shared" si="5"/>
        <v>#DIV/0!</v>
      </c>
      <c r="AN33" s="209" t="e">
        <f t="shared" si="5"/>
        <v>#DIV/0!</v>
      </c>
    </row>
    <row r="34" spans="2:40" s="30" customFormat="1" x14ac:dyDescent="0.15">
      <c r="B34" s="332"/>
      <c r="C34" s="163" t="s">
        <v>187</v>
      </c>
      <c r="D34" s="204">
        <f>SUMIFS('caseload data'!E:E,'caseload data'!$D:$D,"SPO",'caseload data'!$A:$A,"North East Region")</f>
        <v>0</v>
      </c>
      <c r="E34" s="204">
        <f>SUMIFS('caseload data'!F:F,'caseload data'!$D:$D,"SPO",'caseload data'!$A:$A,"North East Region")</f>
        <v>0</v>
      </c>
      <c r="F34" s="204">
        <f>SUMIFS('caseload data'!G:G,'caseload data'!$D:$D,"SPO",'caseload data'!$A:$A,"North East Region")</f>
        <v>0</v>
      </c>
      <c r="G34" s="204">
        <f>SUMIFS('caseload data'!H:H,'caseload data'!$D:$D,"SPO",'caseload data'!$A:$A,"North East Region")</f>
        <v>0</v>
      </c>
      <c r="H34" s="204">
        <f>SUMIFS('caseload data'!I:I,'caseload data'!$D:$D,"SPO",'caseload data'!$A:$A,"North East Region")</f>
        <v>0</v>
      </c>
      <c r="I34" s="204">
        <f>SUMIFS('caseload data'!J:J,'caseload data'!$D:$D,"SPO",'caseload data'!$A:$A,"North East Region")</f>
        <v>0</v>
      </c>
      <c r="J34" s="204">
        <f>SUMIFS('caseload data'!K:K,'caseload data'!$D:$D,"SPO",'caseload data'!$A:$A,"North East Region")</f>
        <v>0</v>
      </c>
      <c r="K34" s="204">
        <f>SUMIFS('caseload data'!L:L,'caseload data'!$D:$D,"SPO",'caseload data'!$A:$A,"North East Region")</f>
        <v>0</v>
      </c>
      <c r="L34" s="204">
        <f>SUMIFS('caseload data'!M:M,'caseload data'!$D:$D,"SPO",'caseload data'!$A:$A,"North East Region")</f>
        <v>0</v>
      </c>
      <c r="M34" s="204">
        <f>SUMIFS('caseload data'!N:N,'caseload data'!$D:$D,"SPO",'caseload data'!$A:$A,"North East Region")</f>
        <v>0</v>
      </c>
      <c r="N34" s="204">
        <f>SUMIFS('caseload data'!O:O,'caseload data'!$D:$D,"SPO",'caseload data'!$A:$A,"North East Region")</f>
        <v>0</v>
      </c>
      <c r="O34" s="204">
        <f>SUMIFS('caseload data'!P:P,'caseload data'!$D:$D,"SPO",'caseload data'!$A:$A,"North East Region")</f>
        <v>0</v>
      </c>
      <c r="P34" s="204">
        <f>SUMIFS('caseload data'!Q:Q,'caseload data'!$D:$D,"SPO",'caseload data'!$A:$A,"North East Region")</f>
        <v>0</v>
      </c>
      <c r="Q34" s="204">
        <f>SUMIFS('caseload data'!R:R,'caseload data'!$D:$D,"SPO",'caseload data'!$A:$A,"North East Region")</f>
        <v>0</v>
      </c>
      <c r="R34" s="204">
        <f>SUMIFS('caseload data'!S:S,'caseload data'!$D:$D,"SPO",'caseload data'!$A:$A,"North East Region")</f>
        <v>0</v>
      </c>
      <c r="S34" s="204">
        <f>SUMIFS('caseload data'!T:T,'caseload data'!$D:$D,"SPO",'caseload data'!$A:$A,"North East Region")</f>
        <v>0</v>
      </c>
      <c r="T34" s="126">
        <f>SUMIFS('caseload data'!V:V,'caseload data'!$D:$D,"SPO",'caseload data'!$A:$A,"North East Region")</f>
        <v>0</v>
      </c>
      <c r="U34" s="95"/>
      <c r="V34" s="95"/>
      <c r="W34" s="332"/>
      <c r="X34" s="163" t="s">
        <v>187</v>
      </c>
      <c r="Y34" s="209" t="e">
        <f>SUM(D34)/SUM(D$31:D$34)</f>
        <v>#DIV/0!</v>
      </c>
      <c r="Z34" s="209" t="e">
        <f t="shared" si="5"/>
        <v>#DIV/0!</v>
      </c>
      <c r="AA34" s="209" t="e">
        <f t="shared" si="5"/>
        <v>#DIV/0!</v>
      </c>
      <c r="AB34" s="209" t="e">
        <f t="shared" si="5"/>
        <v>#DIV/0!</v>
      </c>
      <c r="AC34" s="209" t="e">
        <f t="shared" si="5"/>
        <v>#DIV/0!</v>
      </c>
      <c r="AD34" s="209" t="e">
        <f t="shared" si="5"/>
        <v>#DIV/0!</v>
      </c>
      <c r="AE34" s="209" t="e">
        <f t="shared" si="5"/>
        <v>#DIV/0!</v>
      </c>
      <c r="AF34" s="209" t="e">
        <f t="shared" si="5"/>
        <v>#DIV/0!</v>
      </c>
      <c r="AG34" s="209" t="e">
        <f t="shared" si="5"/>
        <v>#DIV/0!</v>
      </c>
      <c r="AH34" s="209" t="e">
        <f t="shared" si="5"/>
        <v>#DIV/0!</v>
      </c>
      <c r="AI34" s="209" t="e">
        <f t="shared" si="5"/>
        <v>#DIV/0!</v>
      </c>
      <c r="AJ34" s="209" t="e">
        <f t="shared" si="5"/>
        <v>#DIV/0!</v>
      </c>
      <c r="AK34" s="209" t="e">
        <f t="shared" si="5"/>
        <v>#DIV/0!</v>
      </c>
      <c r="AL34" s="209" t="e">
        <f t="shared" si="5"/>
        <v>#DIV/0!</v>
      </c>
      <c r="AM34" s="209" t="e">
        <f t="shared" si="5"/>
        <v>#DIV/0!</v>
      </c>
      <c r="AN34" s="209" t="e">
        <f t="shared" si="5"/>
        <v>#DIV/0!</v>
      </c>
    </row>
    <row r="35" spans="2:40" x14ac:dyDescent="0.15">
      <c r="B35" s="329" t="s">
        <v>7</v>
      </c>
      <c r="C35" s="161" t="s">
        <v>184</v>
      </c>
      <c r="D35" s="204">
        <f>SUMIFS('caseload data'!E:E,'caseload data'!$D:$D,"PO",'caseload data'!$A:$A,$B$35)</f>
        <v>0</v>
      </c>
      <c r="E35" s="204">
        <f>SUMIFS('caseload data'!F:F,'caseload data'!$D:$D,"PO",'caseload data'!$A:$A,$B$35)</f>
        <v>0</v>
      </c>
      <c r="F35" s="204">
        <f>SUMIFS('caseload data'!G:G,'caseload data'!$D:$D,"PO",'caseload data'!$A:$A,$B$35)</f>
        <v>0</v>
      </c>
      <c r="G35" s="204">
        <f>SUMIFS('caseload data'!H:H,'caseload data'!$D:$D,"PO",'caseload data'!$A:$A,$B$35)</f>
        <v>0</v>
      </c>
      <c r="H35" s="204">
        <f>SUMIFS('caseload data'!I:I,'caseload data'!$D:$D,"PO",'caseload data'!$A:$A,$B$35)</f>
        <v>0</v>
      </c>
      <c r="I35" s="204">
        <f>SUMIFS('caseload data'!J:J,'caseload data'!$D:$D,"PO",'caseload data'!$A:$A,$B$35)</f>
        <v>0</v>
      </c>
      <c r="J35" s="204">
        <f>SUMIFS('caseload data'!K:K,'caseload data'!$D:$D,"PO",'caseload data'!$A:$A,$B$35)</f>
        <v>0</v>
      </c>
      <c r="K35" s="204">
        <f>SUMIFS('caseload data'!L:L,'caseload data'!$D:$D,"PO",'caseload data'!$A:$A,$B$35)</f>
        <v>0</v>
      </c>
      <c r="L35" s="204">
        <f>SUMIFS('caseload data'!M:M,'caseload data'!$D:$D,"PO",'caseload data'!$A:$A,$B$35)</f>
        <v>0</v>
      </c>
      <c r="M35" s="204">
        <f>SUMIFS('caseload data'!N:N,'caseload data'!$D:$D,"PO",'caseload data'!$A:$A,$B$35)</f>
        <v>0</v>
      </c>
      <c r="N35" s="204">
        <f>SUMIFS('caseload data'!O:O,'caseload data'!$D:$D,"PO",'caseload data'!$A:$A,$B$35)</f>
        <v>0</v>
      </c>
      <c r="O35" s="204">
        <f>SUMIFS('caseload data'!P:P,'caseload data'!$D:$D,"PO",'caseload data'!$A:$A,$B$35)</f>
        <v>0</v>
      </c>
      <c r="P35" s="204">
        <f>SUMIFS('caseload data'!Q:Q,'caseload data'!$D:$D,"PO",'caseload data'!$A:$A,$B$35)</f>
        <v>0</v>
      </c>
      <c r="Q35" s="204">
        <f>SUMIFS('caseload data'!R:R,'caseload data'!$D:$D,"PO",'caseload data'!$A:$A,$B$35)</f>
        <v>0</v>
      </c>
      <c r="R35" s="204">
        <f>SUMIFS('caseload data'!S:S,'caseload data'!$D:$D,"PO",'caseload data'!$A:$A,$B$35)</f>
        <v>0</v>
      </c>
      <c r="S35" s="204">
        <f>SUMIFS('caseload data'!T:T,'caseload data'!$D:$D,"PO",'caseload data'!$A:$A,$B$35)</f>
        <v>0</v>
      </c>
      <c r="T35" s="126">
        <f>SUMIFS('caseload data'!V:V,'caseload data'!$D:$D,"PO",'caseload data'!$A:$A,B35)</f>
        <v>0</v>
      </c>
      <c r="U35" s="95"/>
      <c r="V35" s="95"/>
      <c r="W35" s="329" t="s">
        <v>7</v>
      </c>
      <c r="X35" s="161" t="s">
        <v>184</v>
      </c>
      <c r="Y35" s="209" t="e">
        <f>SUM(D35)/SUM(D$35:D$38)</f>
        <v>#DIV/0!</v>
      </c>
      <c r="Z35" s="209" t="e">
        <f t="shared" ref="Z35:AN38" si="6">SUM(E35)/SUM(E$35:E$38)</f>
        <v>#DIV/0!</v>
      </c>
      <c r="AA35" s="209" t="e">
        <f t="shared" si="6"/>
        <v>#DIV/0!</v>
      </c>
      <c r="AB35" s="209" t="e">
        <f t="shared" si="6"/>
        <v>#DIV/0!</v>
      </c>
      <c r="AC35" s="209" t="e">
        <f t="shared" si="6"/>
        <v>#DIV/0!</v>
      </c>
      <c r="AD35" s="209" t="e">
        <f t="shared" si="6"/>
        <v>#DIV/0!</v>
      </c>
      <c r="AE35" s="209" t="e">
        <f t="shared" si="6"/>
        <v>#DIV/0!</v>
      </c>
      <c r="AF35" s="209" t="e">
        <f t="shared" si="6"/>
        <v>#DIV/0!</v>
      </c>
      <c r="AG35" s="209" t="e">
        <f t="shared" si="6"/>
        <v>#DIV/0!</v>
      </c>
      <c r="AH35" s="209" t="e">
        <f t="shared" si="6"/>
        <v>#DIV/0!</v>
      </c>
      <c r="AI35" s="209" t="e">
        <f t="shared" si="6"/>
        <v>#DIV/0!</v>
      </c>
      <c r="AJ35" s="209" t="e">
        <f t="shared" si="6"/>
        <v>#DIV/0!</v>
      </c>
      <c r="AK35" s="209" t="e">
        <f t="shared" si="6"/>
        <v>#DIV/0!</v>
      </c>
      <c r="AL35" s="209" t="e">
        <f t="shared" si="6"/>
        <v>#DIV/0!</v>
      </c>
      <c r="AM35" s="209" t="e">
        <f t="shared" si="6"/>
        <v>#DIV/0!</v>
      </c>
      <c r="AN35" s="209" t="e">
        <f t="shared" si="6"/>
        <v>#DIV/0!</v>
      </c>
    </row>
    <row r="36" spans="2:40" s="30" customFormat="1" x14ac:dyDescent="0.15">
      <c r="B36" s="330"/>
      <c r="C36" s="162" t="s">
        <v>185</v>
      </c>
      <c r="D36" s="204">
        <f>SUMIFS('caseload data'!E:E,'caseload data'!$D:$D,"PSO",'caseload data'!$A:$A,"NPS North West Region")</f>
        <v>0</v>
      </c>
      <c r="E36" s="204">
        <f>SUMIFS('caseload data'!F:F,'caseload data'!$D:$D,"PSO",'caseload data'!$A:$A,"NPS North West Region")</f>
        <v>0</v>
      </c>
      <c r="F36" s="204">
        <f>SUMIFS('caseload data'!G:G,'caseload data'!$D:$D,"PSO",'caseload data'!$A:$A,"NPS North West Region")</f>
        <v>0</v>
      </c>
      <c r="G36" s="204">
        <f>SUMIFS('caseload data'!H:H,'caseload data'!$D:$D,"PSO",'caseload data'!$A:$A,"NPS North West Region")</f>
        <v>0</v>
      </c>
      <c r="H36" s="204">
        <f>SUMIFS('caseload data'!I:I,'caseload data'!$D:$D,"PSO",'caseload data'!$A:$A,"NPS North West Region")</f>
        <v>0</v>
      </c>
      <c r="I36" s="204">
        <f>SUMIFS('caseload data'!J:J,'caseload data'!$D:$D,"PSO",'caseload data'!$A:$A,"NPS North West Region")</f>
        <v>0</v>
      </c>
      <c r="J36" s="204">
        <f>SUMIFS('caseload data'!K:K,'caseload data'!$D:$D,"PSO",'caseload data'!$A:$A,"NPS North West Region")</f>
        <v>0</v>
      </c>
      <c r="K36" s="204">
        <f>SUMIFS('caseload data'!L:L,'caseload data'!$D:$D,"PSO",'caseload data'!$A:$A,"NPS North West Region")</f>
        <v>0</v>
      </c>
      <c r="L36" s="204">
        <f>SUMIFS('caseload data'!M:M,'caseload data'!$D:$D,"PSO",'caseload data'!$A:$A,"NPS North West Region")</f>
        <v>0</v>
      </c>
      <c r="M36" s="204">
        <f>SUMIFS('caseload data'!N:N,'caseload data'!$D:$D,"PSO",'caseload data'!$A:$A,"NPS North West Region")</f>
        <v>0</v>
      </c>
      <c r="N36" s="204">
        <f>SUMIFS('caseload data'!O:O,'caseload data'!$D:$D,"PSO",'caseload data'!$A:$A,"NPS North West Region")</f>
        <v>0</v>
      </c>
      <c r="O36" s="204">
        <f>SUMIFS('caseload data'!P:P,'caseload data'!$D:$D,"PSO",'caseload data'!$A:$A,"NPS North West Region")</f>
        <v>0</v>
      </c>
      <c r="P36" s="204">
        <f>SUMIFS('caseload data'!Q:Q,'caseload data'!$D:$D,"PSO",'caseload data'!$A:$A,"NPS North West Region")</f>
        <v>0</v>
      </c>
      <c r="Q36" s="204">
        <f>SUMIFS('caseload data'!R:R,'caseload data'!$D:$D,"PSO",'caseload data'!$A:$A,"NPS North West Region")</f>
        <v>0</v>
      </c>
      <c r="R36" s="204">
        <f>SUMIFS('caseload data'!S:S,'caseload data'!$D:$D,"PSO",'caseload data'!$A:$A,"NPS North West Region")</f>
        <v>0</v>
      </c>
      <c r="S36" s="204">
        <f>SUMIFS('caseload data'!T:T,'caseload data'!$D:$D,"PSO",'caseload data'!$A:$A,"NPS North West Region")</f>
        <v>0</v>
      </c>
      <c r="T36" s="126">
        <f>SUMIFS('caseload data'!V:V,'caseload data'!$D:$D,"PSO",'caseload data'!$A:$A,"NPS North West Region")</f>
        <v>0</v>
      </c>
      <c r="U36" s="95"/>
      <c r="V36" s="95"/>
      <c r="W36" s="330"/>
      <c r="X36" s="162" t="s">
        <v>185</v>
      </c>
      <c r="Y36" s="209" t="e">
        <f>SUM(D36)/SUM(D$35:D$38)</f>
        <v>#DIV/0!</v>
      </c>
      <c r="Z36" s="209" t="e">
        <f t="shared" si="6"/>
        <v>#DIV/0!</v>
      </c>
      <c r="AA36" s="209" t="e">
        <f t="shared" si="6"/>
        <v>#DIV/0!</v>
      </c>
      <c r="AB36" s="209" t="e">
        <f t="shared" si="6"/>
        <v>#DIV/0!</v>
      </c>
      <c r="AC36" s="209" t="e">
        <f t="shared" si="6"/>
        <v>#DIV/0!</v>
      </c>
      <c r="AD36" s="209" t="e">
        <f t="shared" si="6"/>
        <v>#DIV/0!</v>
      </c>
      <c r="AE36" s="209" t="e">
        <f t="shared" si="6"/>
        <v>#DIV/0!</v>
      </c>
      <c r="AF36" s="209" t="e">
        <f t="shared" si="6"/>
        <v>#DIV/0!</v>
      </c>
      <c r="AG36" s="209" t="e">
        <f t="shared" si="6"/>
        <v>#DIV/0!</v>
      </c>
      <c r="AH36" s="209" t="e">
        <f t="shared" si="6"/>
        <v>#DIV/0!</v>
      </c>
      <c r="AI36" s="209" t="e">
        <f t="shared" si="6"/>
        <v>#DIV/0!</v>
      </c>
      <c r="AJ36" s="209" t="e">
        <f t="shared" si="6"/>
        <v>#DIV/0!</v>
      </c>
      <c r="AK36" s="209" t="e">
        <f t="shared" si="6"/>
        <v>#DIV/0!</v>
      </c>
      <c r="AL36" s="209" t="e">
        <f t="shared" si="6"/>
        <v>#DIV/0!</v>
      </c>
      <c r="AM36" s="209" t="e">
        <f t="shared" si="6"/>
        <v>#DIV/0!</v>
      </c>
      <c r="AN36" s="209" t="e">
        <f t="shared" si="6"/>
        <v>#DIV/0!</v>
      </c>
    </row>
    <row r="37" spans="2:40" x14ac:dyDescent="0.15">
      <c r="B37" s="330"/>
      <c r="C37" s="162" t="s">
        <v>186</v>
      </c>
      <c r="D37" s="204">
        <f>SUMIFS('caseload data'!E:E,'caseload data'!$D:$D,"TPO",'caseload data'!$A:$A,"NPS North West Region")</f>
        <v>0</v>
      </c>
      <c r="E37" s="204">
        <f>SUMIFS('caseload data'!F:F,'caseload data'!$D:$D,"TPO",'caseload data'!$A:$A,"NPS North West Region")</f>
        <v>0</v>
      </c>
      <c r="F37" s="204">
        <f>SUMIFS('caseload data'!G:G,'caseload data'!$D:$D,"TPO",'caseload data'!$A:$A,"NPS North West Region")</f>
        <v>0</v>
      </c>
      <c r="G37" s="204">
        <f>SUMIFS('caseload data'!H:H,'caseload data'!$D:$D,"TPO",'caseload data'!$A:$A,"NPS North West Region")</f>
        <v>0</v>
      </c>
      <c r="H37" s="204">
        <f>SUMIFS('caseload data'!I:I,'caseload data'!$D:$D,"TPO",'caseload data'!$A:$A,"NPS North West Region")</f>
        <v>0</v>
      </c>
      <c r="I37" s="204">
        <f>SUMIFS('caseload data'!J:J,'caseload data'!$D:$D,"TPO",'caseload data'!$A:$A,"NPS North West Region")</f>
        <v>0</v>
      </c>
      <c r="J37" s="204">
        <f>SUMIFS('caseload data'!K:K,'caseload data'!$D:$D,"TPO",'caseload data'!$A:$A,"NPS North West Region")</f>
        <v>0</v>
      </c>
      <c r="K37" s="204">
        <f>SUMIFS('caseload data'!L:L,'caseload data'!$D:$D,"TPO",'caseload data'!$A:$A,"NPS North West Region")</f>
        <v>0</v>
      </c>
      <c r="L37" s="204">
        <f>SUMIFS('caseload data'!M:M,'caseload data'!$D:$D,"TPO",'caseload data'!$A:$A,"NPS North West Region")</f>
        <v>0</v>
      </c>
      <c r="M37" s="204">
        <f>SUMIFS('caseload data'!N:N,'caseload data'!$D:$D,"TPO",'caseload data'!$A:$A,"NPS North West Region")</f>
        <v>0</v>
      </c>
      <c r="N37" s="204">
        <f>SUMIFS('caseload data'!O:O,'caseload data'!$D:$D,"TPO",'caseload data'!$A:$A,"NPS North West Region")</f>
        <v>0</v>
      </c>
      <c r="O37" s="204">
        <f>SUMIFS('caseload data'!P:P,'caseload data'!$D:$D,"TPO",'caseload data'!$A:$A,"NPS North West Region")</f>
        <v>0</v>
      </c>
      <c r="P37" s="204">
        <f>SUMIFS('caseload data'!Q:Q,'caseload data'!$D:$D,"TPO",'caseload data'!$A:$A,"NPS North West Region")</f>
        <v>0</v>
      </c>
      <c r="Q37" s="204">
        <f>SUMIFS('caseload data'!R:R,'caseload data'!$D:$D,"TPO",'caseload data'!$A:$A,"NPS North West Region")</f>
        <v>0</v>
      </c>
      <c r="R37" s="204">
        <f>SUMIFS('caseload data'!S:S,'caseload data'!$D:$D,"TPO",'caseload data'!$A:$A,"NPS North West Region")</f>
        <v>0</v>
      </c>
      <c r="S37" s="204">
        <f>SUMIFS('caseload data'!T:T,'caseload data'!$D:$D,"TPO",'caseload data'!$A:$A,"NPS North West Region")</f>
        <v>0</v>
      </c>
      <c r="T37" s="126">
        <f>SUMIFS('caseload data'!V:V,'caseload data'!$D:$D,"TPO",'caseload data'!$A:$A,"NPS North West Region")</f>
        <v>0</v>
      </c>
      <c r="U37" s="95"/>
      <c r="V37" s="95"/>
      <c r="W37" s="330"/>
      <c r="X37" s="162" t="s">
        <v>186</v>
      </c>
      <c r="Y37" s="209" t="e">
        <f>SUM(D37)/SUM(D$35:D$38)</f>
        <v>#DIV/0!</v>
      </c>
      <c r="Z37" s="209" t="e">
        <f t="shared" si="6"/>
        <v>#DIV/0!</v>
      </c>
      <c r="AA37" s="209" t="e">
        <f t="shared" si="6"/>
        <v>#DIV/0!</v>
      </c>
      <c r="AB37" s="209" t="e">
        <f t="shared" si="6"/>
        <v>#DIV/0!</v>
      </c>
      <c r="AC37" s="209" t="e">
        <f t="shared" si="6"/>
        <v>#DIV/0!</v>
      </c>
      <c r="AD37" s="209" t="e">
        <f t="shared" si="6"/>
        <v>#DIV/0!</v>
      </c>
      <c r="AE37" s="209" t="e">
        <f t="shared" si="6"/>
        <v>#DIV/0!</v>
      </c>
      <c r="AF37" s="209" t="e">
        <f t="shared" si="6"/>
        <v>#DIV/0!</v>
      </c>
      <c r="AG37" s="209" t="e">
        <f t="shared" si="6"/>
        <v>#DIV/0!</v>
      </c>
      <c r="AH37" s="209" t="e">
        <f t="shared" si="6"/>
        <v>#DIV/0!</v>
      </c>
      <c r="AI37" s="209" t="e">
        <f t="shared" si="6"/>
        <v>#DIV/0!</v>
      </c>
      <c r="AJ37" s="209" t="e">
        <f t="shared" si="6"/>
        <v>#DIV/0!</v>
      </c>
      <c r="AK37" s="209" t="e">
        <f t="shared" si="6"/>
        <v>#DIV/0!</v>
      </c>
      <c r="AL37" s="209" t="e">
        <f t="shared" si="6"/>
        <v>#DIV/0!</v>
      </c>
      <c r="AM37" s="209" t="e">
        <f t="shared" si="6"/>
        <v>#DIV/0!</v>
      </c>
      <c r="AN37" s="209" t="e">
        <f t="shared" si="6"/>
        <v>#DIV/0!</v>
      </c>
    </row>
    <row r="38" spans="2:40" s="30" customFormat="1" x14ac:dyDescent="0.15">
      <c r="B38" s="332"/>
      <c r="C38" s="163" t="s">
        <v>187</v>
      </c>
      <c r="D38" s="204">
        <f>SUMIFS('caseload data'!E:E,'caseload data'!$D:$D,"SPO",'caseload data'!$A:$A,"NPS North West Region")</f>
        <v>0</v>
      </c>
      <c r="E38" s="204">
        <f>SUMIFS('caseload data'!F:F,'caseload data'!$D:$D,"SPO",'caseload data'!$A:$A,"NPS North West Region")</f>
        <v>0</v>
      </c>
      <c r="F38" s="204">
        <f>SUMIFS('caseload data'!G:G,'caseload data'!$D:$D,"SPO",'caseload data'!$A:$A,"NPS North West Region")</f>
        <v>0</v>
      </c>
      <c r="G38" s="204">
        <f>SUMIFS('caseload data'!H:H,'caseload data'!$D:$D,"SPO",'caseload data'!$A:$A,"NPS North West Region")</f>
        <v>0</v>
      </c>
      <c r="H38" s="204">
        <f>SUMIFS('caseload data'!I:I,'caseload data'!$D:$D,"SPO",'caseload data'!$A:$A,"NPS North West Region")</f>
        <v>0</v>
      </c>
      <c r="I38" s="204">
        <f>SUMIFS('caseload data'!J:J,'caseload data'!$D:$D,"SPO",'caseload data'!$A:$A,"NPS North West Region")</f>
        <v>0</v>
      </c>
      <c r="J38" s="204">
        <f>SUMIFS('caseload data'!K:K,'caseload data'!$D:$D,"SPO",'caseload data'!$A:$A,"NPS North West Region")</f>
        <v>0</v>
      </c>
      <c r="K38" s="204">
        <f>SUMIFS('caseload data'!L:L,'caseload data'!$D:$D,"SPO",'caseload data'!$A:$A,"NPS North West Region")</f>
        <v>0</v>
      </c>
      <c r="L38" s="204">
        <f>SUMIFS('caseload data'!M:M,'caseload data'!$D:$D,"SPO",'caseload data'!$A:$A,"NPS North West Region")</f>
        <v>0</v>
      </c>
      <c r="M38" s="204">
        <f>SUMIFS('caseload data'!N:N,'caseload data'!$D:$D,"SPO",'caseload data'!$A:$A,"NPS North West Region")</f>
        <v>0</v>
      </c>
      <c r="N38" s="204">
        <f>SUMIFS('caseload data'!O:O,'caseload data'!$D:$D,"SPO",'caseload data'!$A:$A,"NPS North West Region")</f>
        <v>0</v>
      </c>
      <c r="O38" s="204">
        <f>SUMIFS('caseload data'!P:P,'caseload data'!$D:$D,"SPO",'caseload data'!$A:$A,"NPS North West Region")</f>
        <v>0</v>
      </c>
      <c r="P38" s="204">
        <f>SUMIFS('caseload data'!Q:Q,'caseload data'!$D:$D,"SPO",'caseload data'!$A:$A,"NPS North West Region")</f>
        <v>0</v>
      </c>
      <c r="Q38" s="204">
        <f>SUMIFS('caseload data'!R:R,'caseload data'!$D:$D,"SPO",'caseload data'!$A:$A,"NPS North West Region")</f>
        <v>0</v>
      </c>
      <c r="R38" s="204">
        <f>SUMIFS('caseload data'!S:S,'caseload data'!$D:$D,"SPO",'caseload data'!$A:$A,"NPS North West Region")</f>
        <v>0</v>
      </c>
      <c r="S38" s="204">
        <f>SUMIFS('caseload data'!T:T,'caseload data'!$D:$D,"SPO",'caseload data'!$A:$A,"NPS North West Region")</f>
        <v>0</v>
      </c>
      <c r="T38" s="126">
        <f>SUMIFS('caseload data'!V:V,'caseload data'!$D:$D,"SPO",'caseload data'!$A:$A,"NPS North West Region")</f>
        <v>0</v>
      </c>
      <c r="U38" s="95"/>
      <c r="V38" s="95"/>
      <c r="W38" s="332"/>
      <c r="X38" s="163" t="s">
        <v>187</v>
      </c>
      <c r="Y38" s="209" t="e">
        <f>SUM(D38)/SUM(D$35:D$38)</f>
        <v>#DIV/0!</v>
      </c>
      <c r="Z38" s="209" t="e">
        <f t="shared" si="6"/>
        <v>#DIV/0!</v>
      </c>
      <c r="AA38" s="209" t="e">
        <f t="shared" si="6"/>
        <v>#DIV/0!</v>
      </c>
      <c r="AB38" s="209" t="e">
        <f t="shared" si="6"/>
        <v>#DIV/0!</v>
      </c>
      <c r="AC38" s="209" t="e">
        <f t="shared" si="6"/>
        <v>#DIV/0!</v>
      </c>
      <c r="AD38" s="209" t="e">
        <f t="shared" si="6"/>
        <v>#DIV/0!</v>
      </c>
      <c r="AE38" s="209" t="e">
        <f t="shared" si="6"/>
        <v>#DIV/0!</v>
      </c>
      <c r="AF38" s="209" t="e">
        <f t="shared" si="6"/>
        <v>#DIV/0!</v>
      </c>
      <c r="AG38" s="209" t="e">
        <f t="shared" si="6"/>
        <v>#DIV/0!</v>
      </c>
      <c r="AH38" s="209" t="e">
        <f t="shared" si="6"/>
        <v>#DIV/0!</v>
      </c>
      <c r="AI38" s="209" t="e">
        <f t="shared" si="6"/>
        <v>#DIV/0!</v>
      </c>
      <c r="AJ38" s="209" t="e">
        <f t="shared" si="6"/>
        <v>#DIV/0!</v>
      </c>
      <c r="AK38" s="209" t="e">
        <f t="shared" si="6"/>
        <v>#DIV/0!</v>
      </c>
      <c r="AL38" s="209" t="e">
        <f t="shared" si="6"/>
        <v>#DIV/0!</v>
      </c>
      <c r="AM38" s="209" t="e">
        <f t="shared" si="6"/>
        <v>#DIV/0!</v>
      </c>
      <c r="AN38" s="209" t="e">
        <f t="shared" si="6"/>
        <v>#DIV/0!</v>
      </c>
    </row>
    <row r="39" spans="2:40" s="30" customFormat="1" x14ac:dyDescent="0.15">
      <c r="B39" s="329" t="s">
        <v>1132</v>
      </c>
      <c r="C39" s="161" t="s">
        <v>184</v>
      </c>
      <c r="D39" s="204">
        <f>SUMIFS('caseload data'!E:E,'caseload data'!$D:$D,"PO",'caseload data'!$A:$A,$B$39)</f>
        <v>0</v>
      </c>
      <c r="E39" s="204">
        <f>SUMIFS('caseload data'!F:F,'caseload data'!$D:$D,"PO",'caseload data'!$A:$A,$B$39)</f>
        <v>0</v>
      </c>
      <c r="F39" s="204">
        <f>SUMIFS('caseload data'!G:G,'caseload data'!$D:$D,"PO",'caseload data'!$A:$A,$B$39)</f>
        <v>0</v>
      </c>
      <c r="G39" s="204">
        <f>SUMIFS('caseload data'!H:H,'caseload data'!$D:$D,"PO",'caseload data'!$A:$A,$B$39)</f>
        <v>0</v>
      </c>
      <c r="H39" s="204">
        <f>SUMIFS('caseload data'!I:I,'caseload data'!$D:$D,"PO",'caseload data'!$A:$A,$B$39)</f>
        <v>0</v>
      </c>
      <c r="I39" s="204">
        <f>SUMIFS('caseload data'!J:J,'caseload data'!$D:$D,"PO",'caseload data'!$A:$A,$B$39)</f>
        <v>0</v>
      </c>
      <c r="J39" s="204">
        <f>SUMIFS('caseload data'!K:K,'caseload data'!$D:$D,"PO",'caseload data'!$A:$A,$B$39)</f>
        <v>0</v>
      </c>
      <c r="K39" s="204">
        <f>SUMIFS('caseload data'!L:L,'caseload data'!$D:$D,"PO",'caseload data'!$A:$A,$B$39)</f>
        <v>0</v>
      </c>
      <c r="L39" s="204">
        <f>SUMIFS('caseload data'!M:M,'caseload data'!$D:$D,"PO",'caseload data'!$A:$A,$B$39)</f>
        <v>0</v>
      </c>
      <c r="M39" s="204">
        <f>SUMIFS('caseload data'!N:N,'caseload data'!$D:$D,"PO",'caseload data'!$A:$A,$B$39)</f>
        <v>0</v>
      </c>
      <c r="N39" s="204">
        <f>SUMIFS('caseload data'!O:O,'caseload data'!$D:$D,"PO",'caseload data'!$A:$A,$B$39)</f>
        <v>0</v>
      </c>
      <c r="O39" s="204">
        <f>SUMIFS('caseload data'!P:P,'caseload data'!$D:$D,"PO",'caseload data'!$A:$A,$B$39)</f>
        <v>0</v>
      </c>
      <c r="P39" s="204">
        <f>SUMIFS('caseload data'!Q:Q,'caseload data'!$D:$D,"PO",'caseload data'!$A:$A,$B$39)</f>
        <v>0</v>
      </c>
      <c r="Q39" s="204">
        <f>SUMIFS('caseload data'!R:R,'caseload data'!$D:$D,"PO",'caseload data'!$A:$A,$B$39)</f>
        <v>0</v>
      </c>
      <c r="R39" s="204">
        <f>SUMIFS('caseload data'!S:S,'caseload data'!$D:$D,"PO",'caseload data'!$A:$A,$B$39)</f>
        <v>0</v>
      </c>
      <c r="S39" s="204">
        <f>SUMIFS('caseload data'!T:T,'caseload data'!$D:$D,"PO",'caseload data'!$A:$A,$B$39)</f>
        <v>0</v>
      </c>
      <c r="T39" s="126">
        <f>SUMIFS('caseload data'!V:V,'caseload data'!$D:$D,"PO",'caseload data'!$A:$A,B39)</f>
        <v>0</v>
      </c>
      <c r="U39" s="95"/>
      <c r="V39" s="95"/>
      <c r="W39" s="329" t="s">
        <v>1132</v>
      </c>
      <c r="X39" s="161" t="s">
        <v>184</v>
      </c>
      <c r="Y39" s="209" t="e">
        <f>SUM(D39)/SUM(D$39:D$42)</f>
        <v>#DIV/0!</v>
      </c>
      <c r="Z39" s="209" t="e">
        <f t="shared" ref="Z39:AN42" si="7">SUM(E39)/SUM(E$39:E$42)</f>
        <v>#DIV/0!</v>
      </c>
      <c r="AA39" s="209" t="e">
        <f t="shared" si="7"/>
        <v>#DIV/0!</v>
      </c>
      <c r="AB39" s="209" t="e">
        <f t="shared" si="7"/>
        <v>#DIV/0!</v>
      </c>
      <c r="AC39" s="209" t="e">
        <f t="shared" si="7"/>
        <v>#DIV/0!</v>
      </c>
      <c r="AD39" s="209" t="e">
        <f t="shared" si="7"/>
        <v>#DIV/0!</v>
      </c>
      <c r="AE39" s="209" t="e">
        <f t="shared" si="7"/>
        <v>#DIV/0!</v>
      </c>
      <c r="AF39" s="209" t="e">
        <f t="shared" si="7"/>
        <v>#DIV/0!</v>
      </c>
      <c r="AG39" s="209" t="e">
        <f t="shared" si="7"/>
        <v>#DIV/0!</v>
      </c>
      <c r="AH39" s="209" t="e">
        <f t="shared" si="7"/>
        <v>#DIV/0!</v>
      </c>
      <c r="AI39" s="209" t="e">
        <f t="shared" si="7"/>
        <v>#DIV/0!</v>
      </c>
      <c r="AJ39" s="209" t="e">
        <f t="shared" si="7"/>
        <v>#DIV/0!</v>
      </c>
      <c r="AK39" s="209" t="e">
        <f t="shared" si="7"/>
        <v>#DIV/0!</v>
      </c>
      <c r="AL39" s="209" t="e">
        <f t="shared" si="7"/>
        <v>#DIV/0!</v>
      </c>
      <c r="AM39" s="209" t="e">
        <f t="shared" si="7"/>
        <v>#DIV/0!</v>
      </c>
      <c r="AN39" s="209" t="e">
        <f t="shared" si="7"/>
        <v>#DIV/0!</v>
      </c>
    </row>
    <row r="40" spans="2:40" s="30" customFormat="1" x14ac:dyDescent="0.15">
      <c r="B40" s="330"/>
      <c r="C40" s="162" t="s">
        <v>185</v>
      </c>
      <c r="D40" s="204">
        <f>SUMIFS('caseload data'!E:E,'caseload data'!$D:$D,"PSO",'caseload data'!$A:$A,"South Central")</f>
        <v>0</v>
      </c>
      <c r="E40" s="204">
        <f>SUMIFS('caseload data'!F:F,'caseload data'!$D:$D,"PSO",'caseload data'!$A:$A,"South Central")</f>
        <v>0</v>
      </c>
      <c r="F40" s="204">
        <f>SUMIFS('caseload data'!G:G,'caseload data'!$D:$D,"PSO",'caseload data'!$A:$A,"South Central")</f>
        <v>0</v>
      </c>
      <c r="G40" s="204">
        <f>SUMIFS('caseload data'!H:H,'caseload data'!$D:$D,"PSO",'caseload data'!$A:$A,"South Central")</f>
        <v>0</v>
      </c>
      <c r="H40" s="204">
        <f>SUMIFS('caseload data'!I:I,'caseload data'!$D:$D,"PSO",'caseload data'!$A:$A,"South Central")</f>
        <v>0</v>
      </c>
      <c r="I40" s="204">
        <f>SUMIFS('caseload data'!J:J,'caseload data'!$D:$D,"PSO",'caseload data'!$A:$A,"South Central")</f>
        <v>0</v>
      </c>
      <c r="J40" s="204">
        <f>SUMIFS('caseload data'!K:K,'caseload data'!$D:$D,"PSO",'caseload data'!$A:$A,"South Central")</f>
        <v>0</v>
      </c>
      <c r="K40" s="204">
        <f>SUMIFS('caseload data'!L:L,'caseload data'!$D:$D,"PSO",'caseload data'!$A:$A,"South Central")</f>
        <v>0</v>
      </c>
      <c r="L40" s="204">
        <f>SUMIFS('caseload data'!M:M,'caseload data'!$D:$D,"PSO",'caseload data'!$A:$A,"South Central")</f>
        <v>0</v>
      </c>
      <c r="M40" s="204">
        <f>SUMIFS('caseload data'!N:N,'caseload data'!$D:$D,"PSO",'caseload data'!$A:$A,"South Central")</f>
        <v>0</v>
      </c>
      <c r="N40" s="204">
        <f>SUMIFS('caseload data'!O:O,'caseload data'!$D:$D,"PSO",'caseload data'!$A:$A,"South Central")</f>
        <v>0</v>
      </c>
      <c r="O40" s="204">
        <f>SUMIFS('caseload data'!P:P,'caseload data'!$D:$D,"PSO",'caseload data'!$A:$A,"South Central")</f>
        <v>0</v>
      </c>
      <c r="P40" s="204">
        <f>SUMIFS('caseload data'!Q:Q,'caseload data'!$D:$D,"PSO",'caseload data'!$A:$A,"South Central")</f>
        <v>0</v>
      </c>
      <c r="Q40" s="204">
        <f>SUMIFS('caseload data'!R:R,'caseload data'!$D:$D,"PSO",'caseload data'!$A:$A,"South Central")</f>
        <v>0</v>
      </c>
      <c r="R40" s="204">
        <f>SUMIFS('caseload data'!S:S,'caseload data'!$D:$D,"PSO",'caseload data'!$A:$A,"South Central")</f>
        <v>0</v>
      </c>
      <c r="S40" s="204">
        <f>SUMIFS('caseload data'!T:T,'caseload data'!$D:$D,"PSO",'caseload data'!$A:$A,"South Central")</f>
        <v>0</v>
      </c>
      <c r="T40" s="126">
        <f>SUMIFS('caseload data'!V:V,'caseload data'!$D:$D,"PSO",'caseload data'!$A:$A,"South Central")</f>
        <v>0</v>
      </c>
      <c r="U40" s="95"/>
      <c r="V40" s="95"/>
      <c r="W40" s="330"/>
      <c r="X40" s="162" t="s">
        <v>185</v>
      </c>
      <c r="Y40" s="209" t="e">
        <f>SUM(D40)/SUM(D$39:D$42)</f>
        <v>#DIV/0!</v>
      </c>
      <c r="Z40" s="209" t="e">
        <f t="shared" si="7"/>
        <v>#DIV/0!</v>
      </c>
      <c r="AA40" s="209" t="e">
        <f t="shared" si="7"/>
        <v>#DIV/0!</v>
      </c>
      <c r="AB40" s="209" t="e">
        <f t="shared" si="7"/>
        <v>#DIV/0!</v>
      </c>
      <c r="AC40" s="209" t="e">
        <f t="shared" si="7"/>
        <v>#DIV/0!</v>
      </c>
      <c r="AD40" s="209" t="e">
        <f t="shared" si="7"/>
        <v>#DIV/0!</v>
      </c>
      <c r="AE40" s="209" t="e">
        <f t="shared" si="7"/>
        <v>#DIV/0!</v>
      </c>
      <c r="AF40" s="209" t="e">
        <f t="shared" si="7"/>
        <v>#DIV/0!</v>
      </c>
      <c r="AG40" s="209" t="e">
        <f t="shared" si="7"/>
        <v>#DIV/0!</v>
      </c>
      <c r="AH40" s="209" t="e">
        <f t="shared" si="7"/>
        <v>#DIV/0!</v>
      </c>
      <c r="AI40" s="209" t="e">
        <f t="shared" si="7"/>
        <v>#DIV/0!</v>
      </c>
      <c r="AJ40" s="209" t="e">
        <f t="shared" si="7"/>
        <v>#DIV/0!</v>
      </c>
      <c r="AK40" s="209" t="e">
        <f t="shared" si="7"/>
        <v>#DIV/0!</v>
      </c>
      <c r="AL40" s="209" t="e">
        <f t="shared" si="7"/>
        <v>#DIV/0!</v>
      </c>
      <c r="AM40" s="209" t="e">
        <f t="shared" si="7"/>
        <v>#DIV/0!</v>
      </c>
      <c r="AN40" s="209" t="e">
        <f t="shared" si="7"/>
        <v>#DIV/0!</v>
      </c>
    </row>
    <row r="41" spans="2:40" s="30" customFormat="1" x14ac:dyDescent="0.15">
      <c r="B41" s="330"/>
      <c r="C41" s="162" t="s">
        <v>186</v>
      </c>
      <c r="D41" s="204">
        <f>SUMIFS('caseload data'!E:E,'caseload data'!$D:$D,"TPO",'caseload data'!$A:$A,"South Central")</f>
        <v>0</v>
      </c>
      <c r="E41" s="204">
        <f>SUMIFS('caseload data'!F:F,'caseload data'!$D:$D,"TPO",'caseload data'!$A:$A,"South Central")</f>
        <v>0</v>
      </c>
      <c r="F41" s="204">
        <f>SUMIFS('caseload data'!G:G,'caseload data'!$D:$D,"TPO",'caseload data'!$A:$A,"South Central")</f>
        <v>0</v>
      </c>
      <c r="G41" s="204">
        <f>SUMIFS('caseload data'!H:H,'caseload data'!$D:$D,"TPO",'caseload data'!$A:$A,"South Central")</f>
        <v>0</v>
      </c>
      <c r="H41" s="204">
        <f>SUMIFS('caseload data'!I:I,'caseload data'!$D:$D,"TPO",'caseload data'!$A:$A,"South Central")</f>
        <v>0</v>
      </c>
      <c r="I41" s="204">
        <f>SUMIFS('caseload data'!J:J,'caseload data'!$D:$D,"TPO",'caseload data'!$A:$A,"South Central")</f>
        <v>0</v>
      </c>
      <c r="J41" s="204">
        <f>SUMIFS('caseload data'!K:K,'caseload data'!$D:$D,"TPO",'caseload data'!$A:$A,"South Central")</f>
        <v>0</v>
      </c>
      <c r="K41" s="204">
        <f>SUMIFS('caseload data'!L:L,'caseload data'!$D:$D,"TPO",'caseload data'!$A:$A,"South Central")</f>
        <v>0</v>
      </c>
      <c r="L41" s="204">
        <f>SUMIFS('caseload data'!M:M,'caseload data'!$D:$D,"TPO",'caseload data'!$A:$A,"South Central")</f>
        <v>0</v>
      </c>
      <c r="M41" s="204">
        <f>SUMIFS('caseload data'!N:N,'caseload data'!$D:$D,"TPO",'caseload data'!$A:$A,"South Central")</f>
        <v>0</v>
      </c>
      <c r="N41" s="204">
        <f>SUMIFS('caseload data'!O:O,'caseload data'!$D:$D,"TPO",'caseload data'!$A:$A,"South Central")</f>
        <v>0</v>
      </c>
      <c r="O41" s="204">
        <f>SUMIFS('caseload data'!P:P,'caseload data'!$D:$D,"TPO",'caseload data'!$A:$A,"South Central")</f>
        <v>0</v>
      </c>
      <c r="P41" s="204">
        <f>SUMIFS('caseload data'!Q:Q,'caseload data'!$D:$D,"TPO",'caseload data'!$A:$A,"South Central")</f>
        <v>0</v>
      </c>
      <c r="Q41" s="204">
        <f>SUMIFS('caseload data'!R:R,'caseload data'!$D:$D,"TPO",'caseload data'!$A:$A,"South Central")</f>
        <v>0</v>
      </c>
      <c r="R41" s="204">
        <f>SUMIFS('caseload data'!S:S,'caseload data'!$D:$D,"TPO",'caseload data'!$A:$A,"South Central")</f>
        <v>0</v>
      </c>
      <c r="S41" s="204">
        <f>SUMIFS('caseload data'!T:T,'caseload data'!$D:$D,"TPO",'caseload data'!$A:$A,"South Central")</f>
        <v>0</v>
      </c>
      <c r="T41" s="126">
        <f>SUMIFS('caseload data'!V:V,'caseload data'!$D:$D,"TPO",'caseload data'!$A:$A,"South Central")</f>
        <v>0</v>
      </c>
      <c r="U41" s="95"/>
      <c r="V41" s="95"/>
      <c r="W41" s="330"/>
      <c r="X41" s="162" t="s">
        <v>186</v>
      </c>
      <c r="Y41" s="209" t="e">
        <f>SUM(D41)/SUM(D$39:D$42)</f>
        <v>#DIV/0!</v>
      </c>
      <c r="Z41" s="209" t="e">
        <f t="shared" si="7"/>
        <v>#DIV/0!</v>
      </c>
      <c r="AA41" s="209" t="e">
        <f t="shared" si="7"/>
        <v>#DIV/0!</v>
      </c>
      <c r="AB41" s="209" t="e">
        <f t="shared" si="7"/>
        <v>#DIV/0!</v>
      </c>
      <c r="AC41" s="209" t="e">
        <f t="shared" si="7"/>
        <v>#DIV/0!</v>
      </c>
      <c r="AD41" s="209" t="e">
        <f t="shared" si="7"/>
        <v>#DIV/0!</v>
      </c>
      <c r="AE41" s="209" t="e">
        <f t="shared" si="7"/>
        <v>#DIV/0!</v>
      </c>
      <c r="AF41" s="209" t="e">
        <f t="shared" si="7"/>
        <v>#DIV/0!</v>
      </c>
      <c r="AG41" s="209" t="e">
        <f t="shared" si="7"/>
        <v>#DIV/0!</v>
      </c>
      <c r="AH41" s="209" t="e">
        <f t="shared" si="7"/>
        <v>#DIV/0!</v>
      </c>
      <c r="AI41" s="209" t="e">
        <f t="shared" si="7"/>
        <v>#DIV/0!</v>
      </c>
      <c r="AJ41" s="209" t="e">
        <f t="shared" si="7"/>
        <v>#DIV/0!</v>
      </c>
      <c r="AK41" s="209" t="e">
        <f t="shared" si="7"/>
        <v>#DIV/0!</v>
      </c>
      <c r="AL41" s="209" t="e">
        <f t="shared" si="7"/>
        <v>#DIV/0!</v>
      </c>
      <c r="AM41" s="209" t="e">
        <f t="shared" si="7"/>
        <v>#DIV/0!</v>
      </c>
      <c r="AN41" s="209" t="e">
        <f t="shared" si="7"/>
        <v>#DIV/0!</v>
      </c>
    </row>
    <row r="42" spans="2:40" s="30" customFormat="1" x14ac:dyDescent="0.15">
      <c r="B42" s="332"/>
      <c r="C42" s="163" t="s">
        <v>187</v>
      </c>
      <c r="D42" s="204">
        <f>SUMIFS('caseload data'!E:E,'caseload data'!$D:$D,"SPO",'caseload data'!$A:$A,"South Central")</f>
        <v>0</v>
      </c>
      <c r="E42" s="204">
        <f>SUMIFS('caseload data'!F:F,'caseload data'!$D:$D,"SPO",'caseload data'!$A:$A,"South Central")</f>
        <v>0</v>
      </c>
      <c r="F42" s="204">
        <f>SUMIFS('caseload data'!G:G,'caseload data'!$D:$D,"SPO",'caseload data'!$A:$A,"South Central")</f>
        <v>0</v>
      </c>
      <c r="G42" s="204">
        <f>SUMIFS('caseload data'!H:H,'caseload data'!$D:$D,"SPO",'caseload data'!$A:$A,"South Central")</f>
        <v>0</v>
      </c>
      <c r="H42" s="204">
        <f>SUMIFS('caseload data'!I:I,'caseload data'!$D:$D,"SPO",'caseload data'!$A:$A,"South Central")</f>
        <v>0</v>
      </c>
      <c r="I42" s="204">
        <f>SUMIFS('caseload data'!J:J,'caseload data'!$D:$D,"SPO",'caseload data'!$A:$A,"South Central")</f>
        <v>0</v>
      </c>
      <c r="J42" s="204">
        <f>SUMIFS('caseload data'!K:K,'caseload data'!$D:$D,"SPO",'caseload data'!$A:$A,"South Central")</f>
        <v>0</v>
      </c>
      <c r="K42" s="204">
        <f>SUMIFS('caseload data'!L:L,'caseload data'!$D:$D,"SPO",'caseload data'!$A:$A,"South Central")</f>
        <v>0</v>
      </c>
      <c r="L42" s="204">
        <f>SUMIFS('caseload data'!M:M,'caseload data'!$D:$D,"SPO",'caseload data'!$A:$A,"South Central")</f>
        <v>0</v>
      </c>
      <c r="M42" s="204">
        <f>SUMIFS('caseload data'!N:N,'caseload data'!$D:$D,"SPO",'caseload data'!$A:$A,"South Central")</f>
        <v>0</v>
      </c>
      <c r="N42" s="204">
        <f>SUMIFS('caseload data'!O:O,'caseload data'!$D:$D,"SPO",'caseload data'!$A:$A,"South Central")</f>
        <v>0</v>
      </c>
      <c r="O42" s="204">
        <f>SUMIFS('caseload data'!P:P,'caseload data'!$D:$D,"SPO",'caseload data'!$A:$A,"South Central")</f>
        <v>0</v>
      </c>
      <c r="P42" s="204">
        <f>SUMIFS('caseload data'!Q:Q,'caseload data'!$D:$D,"SPO",'caseload data'!$A:$A,"South Central")</f>
        <v>0</v>
      </c>
      <c r="Q42" s="204">
        <f>SUMIFS('caseload data'!R:R,'caseload data'!$D:$D,"SPO",'caseload data'!$A:$A,"South Central")</f>
        <v>0</v>
      </c>
      <c r="R42" s="204">
        <f>SUMIFS('caseload data'!S:S,'caseload data'!$D:$D,"SPO",'caseload data'!$A:$A,"South Central")</f>
        <v>0</v>
      </c>
      <c r="S42" s="204">
        <f>SUMIFS('caseload data'!T:T,'caseload data'!$D:$D,"SPO",'caseload data'!$A:$A,"South Central")</f>
        <v>0</v>
      </c>
      <c r="T42" s="126">
        <f>SUMIFS('caseload data'!V:V,'caseload data'!$D:$D,"SPO",'caseload data'!$A:$A,"South Central")</f>
        <v>0</v>
      </c>
      <c r="U42" s="95"/>
      <c r="V42" s="95"/>
      <c r="W42" s="332"/>
      <c r="X42" s="163" t="s">
        <v>187</v>
      </c>
      <c r="Y42" s="209" t="e">
        <f>SUM(D42)/SUM(D$39:D$42)</f>
        <v>#DIV/0!</v>
      </c>
      <c r="Z42" s="209" t="e">
        <f t="shared" si="7"/>
        <v>#DIV/0!</v>
      </c>
      <c r="AA42" s="209" t="e">
        <f t="shared" si="7"/>
        <v>#DIV/0!</v>
      </c>
      <c r="AB42" s="209" t="e">
        <f t="shared" si="7"/>
        <v>#DIV/0!</v>
      </c>
      <c r="AC42" s="209" t="e">
        <f t="shared" si="7"/>
        <v>#DIV/0!</v>
      </c>
      <c r="AD42" s="209" t="e">
        <f t="shared" si="7"/>
        <v>#DIV/0!</v>
      </c>
      <c r="AE42" s="209" t="e">
        <f t="shared" si="7"/>
        <v>#DIV/0!</v>
      </c>
      <c r="AF42" s="209" t="e">
        <f t="shared" si="7"/>
        <v>#DIV/0!</v>
      </c>
      <c r="AG42" s="209" t="e">
        <f t="shared" si="7"/>
        <v>#DIV/0!</v>
      </c>
      <c r="AH42" s="209" t="e">
        <f t="shared" si="7"/>
        <v>#DIV/0!</v>
      </c>
      <c r="AI42" s="209" t="e">
        <f t="shared" si="7"/>
        <v>#DIV/0!</v>
      </c>
      <c r="AJ42" s="209" t="e">
        <f t="shared" si="7"/>
        <v>#DIV/0!</v>
      </c>
      <c r="AK42" s="209" t="e">
        <f t="shared" si="7"/>
        <v>#DIV/0!</v>
      </c>
      <c r="AL42" s="209" t="e">
        <f t="shared" si="7"/>
        <v>#DIV/0!</v>
      </c>
      <c r="AM42" s="209" t="e">
        <f t="shared" si="7"/>
        <v>#DIV/0!</v>
      </c>
      <c r="AN42" s="209" t="e">
        <f t="shared" si="7"/>
        <v>#DIV/0!</v>
      </c>
    </row>
    <row r="43" spans="2:40" x14ac:dyDescent="0.15">
      <c r="B43" s="329" t="s">
        <v>1217</v>
      </c>
      <c r="C43" s="161" t="s">
        <v>184</v>
      </c>
      <c r="D43" s="204">
        <f>SUMIFS('caseload data'!E:E,'caseload data'!$D:$D,"PO",'caseload data'!$A:$A,$B$43)</f>
        <v>0</v>
      </c>
      <c r="E43" s="204">
        <f>SUMIFS('caseload data'!F:F,'caseload data'!$D:$D,"PO",'caseload data'!$A:$A,$B$43)</f>
        <v>0</v>
      </c>
      <c r="F43" s="204">
        <f>SUMIFS('caseload data'!G:G,'caseload data'!$D:$D,"PO",'caseload data'!$A:$A,$B$43)</f>
        <v>0</v>
      </c>
      <c r="G43" s="204">
        <f>SUMIFS('caseload data'!H:H,'caseload data'!$D:$D,"PO",'caseload data'!$A:$A,$B$43)</f>
        <v>0</v>
      </c>
      <c r="H43" s="204">
        <f>SUMIFS('caseload data'!I:I,'caseload data'!$D:$D,"PO",'caseload data'!$A:$A,$B$43)</f>
        <v>0</v>
      </c>
      <c r="I43" s="204">
        <f>SUMIFS('caseload data'!J:J,'caseload data'!$D:$D,"PO",'caseload data'!$A:$A,$B$43)</f>
        <v>0</v>
      </c>
      <c r="J43" s="204">
        <f>SUMIFS('caseload data'!K:K,'caseload data'!$D:$D,"PO",'caseload data'!$A:$A,$B$43)</f>
        <v>0</v>
      </c>
      <c r="K43" s="204">
        <f>SUMIFS('caseload data'!L:L,'caseload data'!$D:$D,"PO",'caseload data'!$A:$A,$B$43)</f>
        <v>0</v>
      </c>
      <c r="L43" s="204">
        <f>SUMIFS('caseload data'!M:M,'caseload data'!$D:$D,"PO",'caseload data'!$A:$A,$B$43)</f>
        <v>0</v>
      </c>
      <c r="M43" s="204">
        <f>SUMIFS('caseload data'!N:N,'caseload data'!$D:$D,"PO",'caseload data'!$A:$A,$B$43)</f>
        <v>0</v>
      </c>
      <c r="N43" s="204">
        <f>SUMIFS('caseload data'!O:O,'caseload data'!$D:$D,"PO",'caseload data'!$A:$A,$B$43)</f>
        <v>0</v>
      </c>
      <c r="O43" s="204">
        <f>SUMIFS('caseload data'!P:P,'caseload data'!$D:$D,"PO",'caseload data'!$A:$A,$B$43)</f>
        <v>0</v>
      </c>
      <c r="P43" s="204">
        <f>SUMIFS('caseload data'!Q:Q,'caseload data'!$D:$D,"PO",'caseload data'!$A:$A,$B$43)</f>
        <v>0</v>
      </c>
      <c r="Q43" s="204">
        <f>SUMIFS('caseload data'!R:R,'caseload data'!$D:$D,"PO",'caseload data'!$A:$A,$B$43)</f>
        <v>0</v>
      </c>
      <c r="R43" s="204">
        <f>SUMIFS('caseload data'!S:S,'caseload data'!$D:$D,"PO",'caseload data'!$A:$A,$B$43)</f>
        <v>0</v>
      </c>
      <c r="S43" s="204">
        <f>SUMIFS('caseload data'!T:T,'caseload data'!$D:$D,"PO",'caseload data'!$A:$A,$B$43)</f>
        <v>0</v>
      </c>
      <c r="T43" s="126">
        <f>SUMIFS('caseload data'!V:V,'caseload data'!$D:$D,"PO",'caseload data'!$A:$A,B43)</f>
        <v>0</v>
      </c>
      <c r="U43" s="95"/>
      <c r="V43" s="95"/>
      <c r="W43" s="329" t="s">
        <v>1217</v>
      </c>
      <c r="X43" s="161" t="s">
        <v>184</v>
      </c>
      <c r="Y43" s="209" t="e">
        <f>SUM(D43)/SUM(D$43:D$46)</f>
        <v>#DIV/0!</v>
      </c>
      <c r="Z43" s="209" t="e">
        <f t="shared" ref="Z43:AN46" si="8">SUM(E43)/SUM(E$43:E$46)</f>
        <v>#DIV/0!</v>
      </c>
      <c r="AA43" s="209" t="e">
        <f t="shared" si="8"/>
        <v>#DIV/0!</v>
      </c>
      <c r="AB43" s="209" t="e">
        <f t="shared" si="8"/>
        <v>#DIV/0!</v>
      </c>
      <c r="AC43" s="209" t="e">
        <f t="shared" si="8"/>
        <v>#DIV/0!</v>
      </c>
      <c r="AD43" s="209" t="e">
        <f t="shared" si="8"/>
        <v>#DIV/0!</v>
      </c>
      <c r="AE43" s="209" t="e">
        <f t="shared" si="8"/>
        <v>#DIV/0!</v>
      </c>
      <c r="AF43" s="209" t="e">
        <f t="shared" si="8"/>
        <v>#DIV/0!</v>
      </c>
      <c r="AG43" s="209" t="e">
        <f t="shared" si="8"/>
        <v>#DIV/0!</v>
      </c>
      <c r="AH43" s="209" t="e">
        <f t="shared" si="8"/>
        <v>#DIV/0!</v>
      </c>
      <c r="AI43" s="209" t="e">
        <f t="shared" si="8"/>
        <v>#DIV/0!</v>
      </c>
      <c r="AJ43" s="209" t="e">
        <f t="shared" si="8"/>
        <v>#DIV/0!</v>
      </c>
      <c r="AK43" s="209" t="e">
        <f t="shared" si="8"/>
        <v>#DIV/0!</v>
      </c>
      <c r="AL43" s="209" t="e">
        <f t="shared" si="8"/>
        <v>#DIV/0!</v>
      </c>
      <c r="AM43" s="209" t="e">
        <f t="shared" si="8"/>
        <v>#DIV/0!</v>
      </c>
      <c r="AN43" s="209" t="e">
        <f t="shared" si="8"/>
        <v>#DIV/0!</v>
      </c>
    </row>
    <row r="44" spans="2:40" s="30" customFormat="1" x14ac:dyDescent="0.15">
      <c r="B44" s="330"/>
      <c r="C44" s="162" t="s">
        <v>185</v>
      </c>
      <c r="D44" s="204">
        <f>SUMIFS('caseload data'!E:E,'caseload data'!$D:$D,"PSO",'caseload data'!$A:$A,"South West")</f>
        <v>0</v>
      </c>
      <c r="E44" s="204">
        <f>SUMIFS('caseload data'!F:F,'caseload data'!$D:$D,"PSO",'caseload data'!$A:$A,"South West")</f>
        <v>0</v>
      </c>
      <c r="F44" s="204">
        <f>SUMIFS('caseload data'!G:G,'caseload data'!$D:$D,"PSO",'caseload data'!$A:$A,"South West")</f>
        <v>0</v>
      </c>
      <c r="G44" s="204">
        <f>SUMIFS('caseload data'!H:H,'caseload data'!$D:$D,"PSO",'caseload data'!$A:$A,"South West")</f>
        <v>0</v>
      </c>
      <c r="H44" s="204">
        <f>SUMIFS('caseload data'!I:I,'caseload data'!$D:$D,"PSO",'caseload data'!$A:$A,"South West")</f>
        <v>0</v>
      </c>
      <c r="I44" s="204">
        <f>SUMIFS('caseload data'!J:J,'caseload data'!$D:$D,"PSO",'caseload data'!$A:$A,"South West")</f>
        <v>0</v>
      </c>
      <c r="J44" s="204">
        <f>SUMIFS('caseload data'!K:K,'caseload data'!$D:$D,"PSO",'caseload data'!$A:$A,"South West")</f>
        <v>0</v>
      </c>
      <c r="K44" s="204">
        <f>SUMIFS('caseload data'!L:L,'caseload data'!$D:$D,"PSO",'caseload data'!$A:$A,"South West")</f>
        <v>0</v>
      </c>
      <c r="L44" s="204">
        <f>SUMIFS('caseload data'!M:M,'caseload data'!$D:$D,"PSO",'caseload data'!$A:$A,"South West")</f>
        <v>0</v>
      </c>
      <c r="M44" s="204">
        <f>SUMIFS('caseload data'!N:N,'caseload data'!$D:$D,"PSO",'caseload data'!$A:$A,"South West")</f>
        <v>0</v>
      </c>
      <c r="N44" s="204">
        <f>SUMIFS('caseload data'!O:O,'caseload data'!$D:$D,"PSO",'caseload data'!$A:$A,"South West")</f>
        <v>0</v>
      </c>
      <c r="O44" s="204">
        <f>SUMIFS('caseload data'!P:P,'caseload data'!$D:$D,"PSO",'caseload data'!$A:$A,"South West")</f>
        <v>0</v>
      </c>
      <c r="P44" s="204">
        <f>SUMIFS('caseload data'!Q:Q,'caseload data'!$D:$D,"PSO",'caseload data'!$A:$A,"South West")</f>
        <v>0</v>
      </c>
      <c r="Q44" s="204">
        <f>SUMIFS('caseload data'!R:R,'caseload data'!$D:$D,"PSO",'caseload data'!$A:$A,"South West")</f>
        <v>0</v>
      </c>
      <c r="R44" s="204">
        <f>SUMIFS('caseload data'!S:S,'caseload data'!$D:$D,"PSO",'caseload data'!$A:$A,"South West")</f>
        <v>0</v>
      </c>
      <c r="S44" s="204">
        <f>SUMIFS('caseload data'!T:T,'caseload data'!$D:$D,"PSO",'caseload data'!$A:$A,"South West")</f>
        <v>0</v>
      </c>
      <c r="T44" s="126">
        <f>SUMIFS('caseload data'!V:V,'caseload data'!$D:$D,"PSO",'caseload data'!$A:$A,"South West")</f>
        <v>0</v>
      </c>
      <c r="U44" s="95"/>
      <c r="V44" s="95"/>
      <c r="W44" s="330"/>
      <c r="X44" s="162" t="s">
        <v>185</v>
      </c>
      <c r="Y44" s="209" t="e">
        <f>SUM(D44)/SUM(D$43:D$46)</f>
        <v>#DIV/0!</v>
      </c>
      <c r="Z44" s="209" t="e">
        <f t="shared" si="8"/>
        <v>#DIV/0!</v>
      </c>
      <c r="AA44" s="209" t="e">
        <f t="shared" si="8"/>
        <v>#DIV/0!</v>
      </c>
      <c r="AB44" s="209" t="e">
        <f t="shared" si="8"/>
        <v>#DIV/0!</v>
      </c>
      <c r="AC44" s="209" t="e">
        <f t="shared" si="8"/>
        <v>#DIV/0!</v>
      </c>
      <c r="AD44" s="209" t="e">
        <f t="shared" si="8"/>
        <v>#DIV/0!</v>
      </c>
      <c r="AE44" s="209" t="e">
        <f t="shared" si="8"/>
        <v>#DIV/0!</v>
      </c>
      <c r="AF44" s="209" t="e">
        <f t="shared" si="8"/>
        <v>#DIV/0!</v>
      </c>
      <c r="AG44" s="209" t="e">
        <f t="shared" si="8"/>
        <v>#DIV/0!</v>
      </c>
      <c r="AH44" s="209" t="e">
        <f t="shared" si="8"/>
        <v>#DIV/0!</v>
      </c>
      <c r="AI44" s="209" t="e">
        <f t="shared" si="8"/>
        <v>#DIV/0!</v>
      </c>
      <c r="AJ44" s="209" t="e">
        <f t="shared" si="8"/>
        <v>#DIV/0!</v>
      </c>
      <c r="AK44" s="209" t="e">
        <f t="shared" si="8"/>
        <v>#DIV/0!</v>
      </c>
      <c r="AL44" s="209" t="e">
        <f t="shared" si="8"/>
        <v>#DIV/0!</v>
      </c>
      <c r="AM44" s="209" t="e">
        <f t="shared" si="8"/>
        <v>#DIV/0!</v>
      </c>
      <c r="AN44" s="209" t="e">
        <f t="shared" si="8"/>
        <v>#DIV/0!</v>
      </c>
    </row>
    <row r="45" spans="2:40" x14ac:dyDescent="0.15">
      <c r="B45" s="330"/>
      <c r="C45" s="162" t="s">
        <v>186</v>
      </c>
      <c r="D45" s="204">
        <f>SUMIFS('caseload data'!E:E,'caseload data'!$D:$D,"TPO",'caseload data'!$A:$A,"South West")</f>
        <v>0</v>
      </c>
      <c r="E45" s="204">
        <f>SUMIFS('caseload data'!F:F,'caseload data'!$D:$D,"TPO",'caseload data'!$A:$A,"South West")</f>
        <v>0</v>
      </c>
      <c r="F45" s="204">
        <f>SUMIFS('caseload data'!G:G,'caseload data'!$D:$D,"TPO",'caseload data'!$A:$A,"South West")</f>
        <v>0</v>
      </c>
      <c r="G45" s="204">
        <f>SUMIFS('caseload data'!H:H,'caseload data'!$D:$D,"TPO",'caseload data'!$A:$A,"South West")</f>
        <v>0</v>
      </c>
      <c r="H45" s="204">
        <f>SUMIFS('caseload data'!I:I,'caseload data'!$D:$D,"TPO",'caseload data'!$A:$A,"South West")</f>
        <v>0</v>
      </c>
      <c r="I45" s="204">
        <f>SUMIFS('caseload data'!J:J,'caseload data'!$D:$D,"TPO",'caseload data'!$A:$A,"South West")</f>
        <v>0</v>
      </c>
      <c r="J45" s="204">
        <f>SUMIFS('caseload data'!K:K,'caseload data'!$D:$D,"TPO",'caseload data'!$A:$A,"South West")</f>
        <v>0</v>
      </c>
      <c r="K45" s="204">
        <f>SUMIFS('caseload data'!L:L,'caseload data'!$D:$D,"TPO",'caseload data'!$A:$A,"South West")</f>
        <v>0</v>
      </c>
      <c r="L45" s="204">
        <f>SUMIFS('caseload data'!M:M,'caseload data'!$D:$D,"TPO",'caseload data'!$A:$A,"South West")</f>
        <v>0</v>
      </c>
      <c r="M45" s="204">
        <f>SUMIFS('caseload data'!N:N,'caseload data'!$D:$D,"TPO",'caseload data'!$A:$A,"South West")</f>
        <v>0</v>
      </c>
      <c r="N45" s="204">
        <f>SUMIFS('caseload data'!O:O,'caseload data'!$D:$D,"TPO",'caseload data'!$A:$A,"South West")</f>
        <v>0</v>
      </c>
      <c r="O45" s="204">
        <f>SUMIFS('caseload data'!P:P,'caseload data'!$D:$D,"TPO",'caseload data'!$A:$A,"South West")</f>
        <v>0</v>
      </c>
      <c r="P45" s="204">
        <f>SUMIFS('caseload data'!Q:Q,'caseload data'!$D:$D,"TPO",'caseload data'!$A:$A,"South West")</f>
        <v>0</v>
      </c>
      <c r="Q45" s="204">
        <f>SUMIFS('caseload data'!R:R,'caseload data'!$D:$D,"TPO",'caseload data'!$A:$A,"South West")</f>
        <v>0</v>
      </c>
      <c r="R45" s="204">
        <f>SUMIFS('caseload data'!S:S,'caseload data'!$D:$D,"TPO",'caseload data'!$A:$A,"South West")</f>
        <v>0</v>
      </c>
      <c r="S45" s="204">
        <f>SUMIFS('caseload data'!T:T,'caseload data'!$D:$D,"TPO",'caseload data'!$A:$A,"South West")</f>
        <v>0</v>
      </c>
      <c r="T45" s="126">
        <f>SUMIFS('caseload data'!V:V,'caseload data'!$D:$D,"TPO",'caseload data'!$A:$A,"South West")</f>
        <v>0</v>
      </c>
      <c r="U45" s="95"/>
      <c r="V45" s="95"/>
      <c r="W45" s="330"/>
      <c r="X45" s="162" t="s">
        <v>186</v>
      </c>
      <c r="Y45" s="209" t="e">
        <f>SUM(D45)/SUM(D$43:D$46)</f>
        <v>#DIV/0!</v>
      </c>
      <c r="Z45" s="209" t="e">
        <f t="shared" si="8"/>
        <v>#DIV/0!</v>
      </c>
      <c r="AA45" s="209" t="e">
        <f t="shared" si="8"/>
        <v>#DIV/0!</v>
      </c>
      <c r="AB45" s="209" t="e">
        <f t="shared" si="8"/>
        <v>#DIV/0!</v>
      </c>
      <c r="AC45" s="209" t="e">
        <f t="shared" si="8"/>
        <v>#DIV/0!</v>
      </c>
      <c r="AD45" s="209" t="e">
        <f t="shared" si="8"/>
        <v>#DIV/0!</v>
      </c>
      <c r="AE45" s="209" t="e">
        <f t="shared" si="8"/>
        <v>#DIV/0!</v>
      </c>
      <c r="AF45" s="209" t="e">
        <f t="shared" si="8"/>
        <v>#DIV/0!</v>
      </c>
      <c r="AG45" s="209" t="e">
        <f t="shared" si="8"/>
        <v>#DIV/0!</v>
      </c>
      <c r="AH45" s="209" t="e">
        <f t="shared" si="8"/>
        <v>#DIV/0!</v>
      </c>
      <c r="AI45" s="209" t="e">
        <f t="shared" si="8"/>
        <v>#DIV/0!</v>
      </c>
      <c r="AJ45" s="209" t="e">
        <f t="shared" si="8"/>
        <v>#DIV/0!</v>
      </c>
      <c r="AK45" s="209" t="e">
        <f t="shared" si="8"/>
        <v>#DIV/0!</v>
      </c>
      <c r="AL45" s="209" t="e">
        <f t="shared" si="8"/>
        <v>#DIV/0!</v>
      </c>
      <c r="AM45" s="209" t="e">
        <f t="shared" si="8"/>
        <v>#DIV/0!</v>
      </c>
      <c r="AN45" s="209" t="e">
        <f t="shared" si="8"/>
        <v>#DIV/0!</v>
      </c>
    </row>
    <row r="46" spans="2:40" s="30" customFormat="1" x14ac:dyDescent="0.15">
      <c r="B46" s="332"/>
      <c r="C46" s="163" t="s">
        <v>187</v>
      </c>
      <c r="D46" s="204">
        <f>SUMIFS('caseload data'!E:E,'caseload data'!$D:$D,"SPO",'caseload data'!$A:$A,"South West")</f>
        <v>0</v>
      </c>
      <c r="E46" s="204">
        <f>SUMIFS('caseload data'!F:F,'caseload data'!$D:$D,"SPO",'caseload data'!$A:$A,"South West")</f>
        <v>0</v>
      </c>
      <c r="F46" s="204">
        <f>SUMIFS('caseload data'!G:G,'caseload data'!$D:$D,"SPO",'caseload data'!$A:$A,"South West")</f>
        <v>0</v>
      </c>
      <c r="G46" s="204">
        <f>SUMIFS('caseload data'!H:H,'caseload data'!$D:$D,"SPO",'caseload data'!$A:$A,"South West")</f>
        <v>0</v>
      </c>
      <c r="H46" s="204">
        <f>SUMIFS('caseload data'!I:I,'caseload data'!$D:$D,"SPO",'caseload data'!$A:$A,"South West")</f>
        <v>0</v>
      </c>
      <c r="I46" s="204">
        <f>SUMIFS('caseload data'!J:J,'caseload data'!$D:$D,"SPO",'caseload data'!$A:$A,"South West")</f>
        <v>0</v>
      </c>
      <c r="J46" s="204">
        <f>SUMIFS('caseload data'!K:K,'caseload data'!$D:$D,"SPO",'caseload data'!$A:$A,"South West")</f>
        <v>0</v>
      </c>
      <c r="K46" s="204">
        <f>SUMIFS('caseload data'!L:L,'caseload data'!$D:$D,"SPO",'caseload data'!$A:$A,"South West")</f>
        <v>0</v>
      </c>
      <c r="L46" s="204">
        <f>SUMIFS('caseload data'!M:M,'caseload data'!$D:$D,"SPO",'caseload data'!$A:$A,"South West")</f>
        <v>0</v>
      </c>
      <c r="M46" s="204">
        <f>SUMIFS('caseload data'!N:N,'caseload data'!$D:$D,"SPO",'caseload data'!$A:$A,"South West")</f>
        <v>0</v>
      </c>
      <c r="N46" s="204">
        <f>SUMIFS('caseload data'!O:O,'caseload data'!$D:$D,"SPO",'caseload data'!$A:$A,"South West")</f>
        <v>0</v>
      </c>
      <c r="O46" s="204">
        <f>SUMIFS('caseload data'!P:P,'caseload data'!$D:$D,"SPO",'caseload data'!$A:$A,"South West")</f>
        <v>0</v>
      </c>
      <c r="P46" s="204">
        <f>SUMIFS('caseload data'!Q:Q,'caseload data'!$D:$D,"SPO",'caseload data'!$A:$A,"South West")</f>
        <v>0</v>
      </c>
      <c r="Q46" s="204">
        <f>SUMIFS('caseload data'!R:R,'caseload data'!$D:$D,"SPO",'caseload data'!$A:$A,"South West")</f>
        <v>0</v>
      </c>
      <c r="R46" s="204">
        <f>SUMIFS('caseload data'!S:S,'caseload data'!$D:$D,"SPO",'caseload data'!$A:$A,"South West")</f>
        <v>0</v>
      </c>
      <c r="S46" s="204">
        <f>SUMIFS('caseload data'!T:T,'caseload data'!$D:$D,"SPO",'caseload data'!$A:$A,"South West")</f>
        <v>0</v>
      </c>
      <c r="T46" s="126">
        <f>SUMIFS('caseload data'!V:V,'caseload data'!$D:$D,"SPO",'caseload data'!$A:$A,"South West")</f>
        <v>0</v>
      </c>
      <c r="U46" s="95"/>
      <c r="V46" s="95"/>
      <c r="W46" s="332"/>
      <c r="X46" s="163" t="s">
        <v>187</v>
      </c>
      <c r="Y46" s="209" t="e">
        <f>SUM(D46)/SUM(D$43:D$46)</f>
        <v>#DIV/0!</v>
      </c>
      <c r="Z46" s="209" t="e">
        <f t="shared" si="8"/>
        <v>#DIV/0!</v>
      </c>
      <c r="AA46" s="209" t="e">
        <f t="shared" si="8"/>
        <v>#DIV/0!</v>
      </c>
      <c r="AB46" s="209" t="e">
        <f t="shared" si="8"/>
        <v>#DIV/0!</v>
      </c>
      <c r="AC46" s="209" t="e">
        <f t="shared" si="8"/>
        <v>#DIV/0!</v>
      </c>
      <c r="AD46" s="209" t="e">
        <f t="shared" si="8"/>
        <v>#DIV/0!</v>
      </c>
      <c r="AE46" s="209" t="e">
        <f t="shared" si="8"/>
        <v>#DIV/0!</v>
      </c>
      <c r="AF46" s="209" t="e">
        <f t="shared" si="8"/>
        <v>#DIV/0!</v>
      </c>
      <c r="AG46" s="209" t="e">
        <f t="shared" si="8"/>
        <v>#DIV/0!</v>
      </c>
      <c r="AH46" s="209" t="e">
        <f t="shared" si="8"/>
        <v>#DIV/0!</v>
      </c>
      <c r="AI46" s="209" t="e">
        <f t="shared" si="8"/>
        <v>#DIV/0!</v>
      </c>
      <c r="AJ46" s="209" t="e">
        <f t="shared" si="8"/>
        <v>#DIV/0!</v>
      </c>
      <c r="AK46" s="209" t="e">
        <f t="shared" si="8"/>
        <v>#DIV/0!</v>
      </c>
      <c r="AL46" s="209" t="e">
        <f t="shared" si="8"/>
        <v>#DIV/0!</v>
      </c>
      <c r="AM46" s="209" t="e">
        <f t="shared" si="8"/>
        <v>#DIV/0!</v>
      </c>
      <c r="AN46" s="209" t="e">
        <f t="shared" si="8"/>
        <v>#DIV/0!</v>
      </c>
    </row>
    <row r="47" spans="2:40" x14ac:dyDescent="0.15">
      <c r="B47" s="329" t="s">
        <v>382</v>
      </c>
      <c r="C47" s="161" t="s">
        <v>184</v>
      </c>
      <c r="D47" s="204">
        <f>SUMIFS('caseload data'!E:E,'caseload data'!$D:$D,"PO",'caseload data'!$A:$A,$B$47)</f>
        <v>0</v>
      </c>
      <c r="E47" s="204">
        <f>SUMIFS('caseload data'!F:F,'caseload data'!$D:$D,"PO",'caseload data'!$A:$A,$B$47)</f>
        <v>0</v>
      </c>
      <c r="F47" s="204">
        <f>SUMIFS('caseload data'!G:G,'caseload data'!$D:$D,"PO",'caseload data'!$A:$A,$B$47)</f>
        <v>0</v>
      </c>
      <c r="G47" s="204">
        <f>SUMIFS('caseload data'!H:H,'caseload data'!$D:$D,"PO",'caseload data'!$A:$A,$B$47)</f>
        <v>0</v>
      </c>
      <c r="H47" s="204">
        <f>SUMIFS('caseload data'!I:I,'caseload data'!$D:$D,"PO",'caseload data'!$A:$A,$B$47)</f>
        <v>0</v>
      </c>
      <c r="I47" s="204">
        <f>SUMIFS('caseload data'!J:J,'caseload data'!$D:$D,"PO",'caseload data'!$A:$A,$B$47)</f>
        <v>0</v>
      </c>
      <c r="J47" s="204">
        <f>SUMIFS('caseload data'!K:K,'caseload data'!$D:$D,"PO",'caseload data'!$A:$A,$B$47)</f>
        <v>0</v>
      </c>
      <c r="K47" s="204">
        <f>SUMIFS('caseload data'!L:L,'caseload data'!$D:$D,"PO",'caseload data'!$A:$A,$B$47)</f>
        <v>0</v>
      </c>
      <c r="L47" s="204">
        <f>SUMIFS('caseload data'!M:M,'caseload data'!$D:$D,"PO",'caseload data'!$A:$A,$B$47)</f>
        <v>0</v>
      </c>
      <c r="M47" s="204">
        <f>SUMIFS('caseload data'!N:N,'caseload data'!$D:$D,"PO",'caseload data'!$A:$A,$B$47)</f>
        <v>0</v>
      </c>
      <c r="N47" s="204">
        <f>SUMIFS('caseload data'!O:O,'caseload data'!$D:$D,"PO",'caseload data'!$A:$A,$B$47)</f>
        <v>0</v>
      </c>
      <c r="O47" s="204">
        <f>SUMIFS('caseload data'!P:P,'caseload data'!$D:$D,"PO",'caseload data'!$A:$A,$B$47)</f>
        <v>0</v>
      </c>
      <c r="P47" s="204">
        <f>SUMIFS('caseload data'!Q:Q,'caseload data'!$D:$D,"PO",'caseload data'!$A:$A,$B$47)</f>
        <v>0</v>
      </c>
      <c r="Q47" s="204">
        <f>SUMIFS('caseload data'!R:R,'caseload data'!$D:$D,"PO",'caseload data'!$A:$A,$B$47)</f>
        <v>0</v>
      </c>
      <c r="R47" s="204">
        <f>SUMIFS('caseload data'!S:S,'caseload data'!$D:$D,"PO",'caseload data'!$A:$A,$B$47)</f>
        <v>0</v>
      </c>
      <c r="S47" s="204">
        <f>SUMIFS('caseload data'!T:T,'caseload data'!$D:$D,"PO",'caseload data'!$A:$A,$B$47)</f>
        <v>0</v>
      </c>
      <c r="T47" s="126">
        <f>SUMIFS('caseload data'!V:V,'caseload data'!$D:$D,"PO",'caseload data'!$A:$A,B47)</f>
        <v>0</v>
      </c>
      <c r="U47" s="95"/>
      <c r="V47" s="95"/>
      <c r="W47" s="329" t="s">
        <v>382</v>
      </c>
      <c r="X47" s="161" t="s">
        <v>184</v>
      </c>
      <c r="Y47" s="209" t="e">
        <f>SUM(D47)/SUM(D$47:D$50)</f>
        <v>#DIV/0!</v>
      </c>
      <c r="Z47" s="209" t="e">
        <f t="shared" ref="Z47:AN50" si="9">SUM(E47)/SUM(E$47:E$50)</f>
        <v>#DIV/0!</v>
      </c>
      <c r="AA47" s="209" t="e">
        <f t="shared" si="9"/>
        <v>#DIV/0!</v>
      </c>
      <c r="AB47" s="209" t="e">
        <f t="shared" si="9"/>
        <v>#DIV/0!</v>
      </c>
      <c r="AC47" s="209" t="e">
        <f t="shared" si="9"/>
        <v>#DIV/0!</v>
      </c>
      <c r="AD47" s="209" t="e">
        <f t="shared" si="9"/>
        <v>#DIV/0!</v>
      </c>
      <c r="AE47" s="209" t="e">
        <f t="shared" si="9"/>
        <v>#DIV/0!</v>
      </c>
      <c r="AF47" s="209" t="e">
        <f t="shared" si="9"/>
        <v>#DIV/0!</v>
      </c>
      <c r="AG47" s="209" t="e">
        <f t="shared" si="9"/>
        <v>#DIV/0!</v>
      </c>
      <c r="AH47" s="209" t="e">
        <f t="shared" si="9"/>
        <v>#DIV/0!</v>
      </c>
      <c r="AI47" s="209" t="e">
        <f t="shared" si="9"/>
        <v>#DIV/0!</v>
      </c>
      <c r="AJ47" s="209" t="e">
        <f t="shared" si="9"/>
        <v>#DIV/0!</v>
      </c>
      <c r="AK47" s="209" t="e">
        <f t="shared" si="9"/>
        <v>#DIV/0!</v>
      </c>
      <c r="AL47" s="209" t="e">
        <f t="shared" si="9"/>
        <v>#DIV/0!</v>
      </c>
      <c r="AM47" s="209" t="e">
        <f t="shared" si="9"/>
        <v>#DIV/0!</v>
      </c>
      <c r="AN47" s="209" t="e">
        <f t="shared" si="9"/>
        <v>#DIV/0!</v>
      </c>
    </row>
    <row r="48" spans="2:40" s="30" customFormat="1" x14ac:dyDescent="0.15">
      <c r="B48" s="330"/>
      <c r="C48" s="162" t="s">
        <v>185</v>
      </c>
      <c r="D48" s="204">
        <f>SUMIFS('caseload data'!E:E,'caseload data'!$D:$D,"PSO",'caseload data'!$A:$A,"Wales")</f>
        <v>0</v>
      </c>
      <c r="E48" s="204">
        <f>SUMIFS('caseload data'!F:F,'caseload data'!$D:$D,"PSO",'caseload data'!$A:$A,"Wales")</f>
        <v>0</v>
      </c>
      <c r="F48" s="204">
        <f>SUMIFS('caseload data'!G:G,'caseload data'!$D:$D,"PSO",'caseload data'!$A:$A,"Wales")</f>
        <v>0</v>
      </c>
      <c r="G48" s="204">
        <f>SUMIFS('caseload data'!H:H,'caseload data'!$D:$D,"PSO",'caseload data'!$A:$A,"Wales")</f>
        <v>0</v>
      </c>
      <c r="H48" s="204">
        <f>SUMIFS('caseload data'!I:I,'caseload data'!$D:$D,"PSO",'caseload data'!$A:$A,"Wales")</f>
        <v>0</v>
      </c>
      <c r="I48" s="204">
        <f>SUMIFS('caseload data'!J:J,'caseload data'!$D:$D,"PSO",'caseload data'!$A:$A,"Wales")</f>
        <v>0</v>
      </c>
      <c r="J48" s="204">
        <f>SUMIFS('caseload data'!K:K,'caseload data'!$D:$D,"PSO",'caseload data'!$A:$A,"Wales")</f>
        <v>0</v>
      </c>
      <c r="K48" s="204">
        <f>SUMIFS('caseload data'!L:L,'caseload data'!$D:$D,"PSO",'caseload data'!$A:$A,"Wales")</f>
        <v>0</v>
      </c>
      <c r="L48" s="204">
        <f>SUMIFS('caseload data'!M:M,'caseload data'!$D:$D,"PSO",'caseload data'!$A:$A,"Wales")</f>
        <v>0</v>
      </c>
      <c r="M48" s="204">
        <f>SUMIFS('caseload data'!N:N,'caseload data'!$D:$D,"PSO",'caseload data'!$A:$A,"Wales")</f>
        <v>0</v>
      </c>
      <c r="N48" s="204">
        <f>SUMIFS('caseload data'!O:O,'caseload data'!$D:$D,"PSO",'caseload data'!$A:$A,"Wales")</f>
        <v>0</v>
      </c>
      <c r="O48" s="204">
        <f>SUMIFS('caseload data'!P:P,'caseload data'!$D:$D,"PSO",'caseload data'!$A:$A,"Wales")</f>
        <v>0</v>
      </c>
      <c r="P48" s="204">
        <f>SUMIFS('caseload data'!Q:Q,'caseload data'!$D:$D,"PSO",'caseload data'!$A:$A,"Wales")</f>
        <v>0</v>
      </c>
      <c r="Q48" s="204">
        <f>SUMIFS('caseload data'!R:R,'caseload data'!$D:$D,"PSO",'caseload data'!$A:$A,"Wales")</f>
        <v>0</v>
      </c>
      <c r="R48" s="204">
        <f>SUMIFS('caseload data'!S:S,'caseload data'!$D:$D,"PSO",'caseload data'!$A:$A,"Wales")</f>
        <v>0</v>
      </c>
      <c r="S48" s="204">
        <f>SUMIFS('caseload data'!T:T,'caseload data'!$D:$D,"PSO",'caseload data'!$A:$A,"Wales")</f>
        <v>0</v>
      </c>
      <c r="T48" s="126">
        <f>SUMIFS('caseload data'!V:V,'caseload data'!$D:$D,"PSO",'caseload data'!$A:$A,"Wales")</f>
        <v>0</v>
      </c>
      <c r="U48" s="95"/>
      <c r="V48" s="95"/>
      <c r="W48" s="330"/>
      <c r="X48" s="162" t="s">
        <v>185</v>
      </c>
      <c r="Y48" s="209" t="e">
        <f>SUM(D48)/SUM(D$47:D$50)</f>
        <v>#DIV/0!</v>
      </c>
      <c r="Z48" s="209" t="e">
        <f t="shared" si="9"/>
        <v>#DIV/0!</v>
      </c>
      <c r="AA48" s="209" t="e">
        <f t="shared" si="9"/>
        <v>#DIV/0!</v>
      </c>
      <c r="AB48" s="209" t="e">
        <f t="shared" si="9"/>
        <v>#DIV/0!</v>
      </c>
      <c r="AC48" s="209" t="e">
        <f t="shared" si="9"/>
        <v>#DIV/0!</v>
      </c>
      <c r="AD48" s="209" t="e">
        <f t="shared" si="9"/>
        <v>#DIV/0!</v>
      </c>
      <c r="AE48" s="209" t="e">
        <f t="shared" si="9"/>
        <v>#DIV/0!</v>
      </c>
      <c r="AF48" s="209" t="e">
        <f t="shared" si="9"/>
        <v>#DIV/0!</v>
      </c>
      <c r="AG48" s="209" t="e">
        <f t="shared" si="9"/>
        <v>#DIV/0!</v>
      </c>
      <c r="AH48" s="209" t="e">
        <f t="shared" si="9"/>
        <v>#DIV/0!</v>
      </c>
      <c r="AI48" s="209" t="e">
        <f t="shared" si="9"/>
        <v>#DIV/0!</v>
      </c>
      <c r="AJ48" s="209" t="e">
        <f t="shared" si="9"/>
        <v>#DIV/0!</v>
      </c>
      <c r="AK48" s="209" t="e">
        <f t="shared" si="9"/>
        <v>#DIV/0!</v>
      </c>
      <c r="AL48" s="209" t="e">
        <f t="shared" si="9"/>
        <v>#DIV/0!</v>
      </c>
      <c r="AM48" s="209" t="e">
        <f t="shared" si="9"/>
        <v>#DIV/0!</v>
      </c>
      <c r="AN48" s="209" t="e">
        <f t="shared" si="9"/>
        <v>#DIV/0!</v>
      </c>
    </row>
    <row r="49" spans="2:40" x14ac:dyDescent="0.15">
      <c r="B49" s="330"/>
      <c r="C49" s="162" t="s">
        <v>186</v>
      </c>
      <c r="D49" s="204">
        <f>SUMIFS('caseload data'!E:E,'caseload data'!$D:$D,"TPO",'caseload data'!$A:$A,"Wales")</f>
        <v>0</v>
      </c>
      <c r="E49" s="204">
        <f>SUMIFS('caseload data'!F:F,'caseload data'!$D:$D,"TPO",'caseload data'!$A:$A,"Wales")</f>
        <v>0</v>
      </c>
      <c r="F49" s="204">
        <f>SUMIFS('caseload data'!G:G,'caseload data'!$D:$D,"TPO",'caseload data'!$A:$A,"Wales")</f>
        <v>0</v>
      </c>
      <c r="G49" s="204">
        <f>SUMIFS('caseload data'!H:H,'caseload data'!$D:$D,"TPO",'caseload data'!$A:$A,"Wales")</f>
        <v>0</v>
      </c>
      <c r="H49" s="204">
        <f>SUMIFS('caseload data'!I:I,'caseload data'!$D:$D,"TPO",'caseload data'!$A:$A,"Wales")</f>
        <v>0</v>
      </c>
      <c r="I49" s="204">
        <f>SUMIFS('caseload data'!J:J,'caseload data'!$D:$D,"TPO",'caseload data'!$A:$A,"Wales")</f>
        <v>0</v>
      </c>
      <c r="J49" s="204">
        <f>SUMIFS('caseload data'!K:K,'caseload data'!$D:$D,"TPO",'caseload data'!$A:$A,"Wales")</f>
        <v>0</v>
      </c>
      <c r="K49" s="204">
        <f>SUMIFS('caseload data'!L:L,'caseload data'!$D:$D,"TPO",'caseload data'!$A:$A,"Wales")</f>
        <v>0</v>
      </c>
      <c r="L49" s="204">
        <f>SUMIFS('caseload data'!M:M,'caseload data'!$D:$D,"TPO",'caseload data'!$A:$A,"Wales")</f>
        <v>0</v>
      </c>
      <c r="M49" s="204">
        <f>SUMIFS('caseload data'!N:N,'caseload data'!$D:$D,"TPO",'caseload data'!$A:$A,"Wales")</f>
        <v>0</v>
      </c>
      <c r="N49" s="204">
        <f>SUMIFS('caseload data'!O:O,'caseload data'!$D:$D,"TPO",'caseload data'!$A:$A,"Wales")</f>
        <v>0</v>
      </c>
      <c r="O49" s="204">
        <f>SUMIFS('caseload data'!P:P,'caseload data'!$D:$D,"TPO",'caseload data'!$A:$A,"Wales")</f>
        <v>0</v>
      </c>
      <c r="P49" s="204">
        <f>SUMIFS('caseload data'!Q:Q,'caseload data'!$D:$D,"TPO",'caseload data'!$A:$A,"Wales")</f>
        <v>0</v>
      </c>
      <c r="Q49" s="204">
        <f>SUMIFS('caseload data'!R:R,'caseload data'!$D:$D,"TPO",'caseload data'!$A:$A,"Wales")</f>
        <v>0</v>
      </c>
      <c r="R49" s="204">
        <f>SUMIFS('caseload data'!S:S,'caseload data'!$D:$D,"TPO",'caseload data'!$A:$A,"Wales")</f>
        <v>0</v>
      </c>
      <c r="S49" s="204">
        <f>SUMIFS('caseload data'!T:T,'caseload data'!$D:$D,"TPO",'caseload data'!$A:$A,"Wales")</f>
        <v>0</v>
      </c>
      <c r="T49" s="126">
        <f>SUMIFS('caseload data'!V:V,'caseload data'!$D:$D,"TPO",'caseload data'!$A:$A,"Wales")</f>
        <v>0</v>
      </c>
      <c r="U49" s="95"/>
      <c r="V49" s="95"/>
      <c r="W49" s="330"/>
      <c r="X49" s="162" t="s">
        <v>186</v>
      </c>
      <c r="Y49" s="209" t="e">
        <f>SUM(D49)/SUM(D$47:D$50)</f>
        <v>#DIV/0!</v>
      </c>
      <c r="Z49" s="209" t="e">
        <f t="shared" si="9"/>
        <v>#DIV/0!</v>
      </c>
      <c r="AA49" s="209" t="e">
        <f t="shared" si="9"/>
        <v>#DIV/0!</v>
      </c>
      <c r="AB49" s="209" t="e">
        <f t="shared" si="9"/>
        <v>#DIV/0!</v>
      </c>
      <c r="AC49" s="209" t="e">
        <f t="shared" si="9"/>
        <v>#DIV/0!</v>
      </c>
      <c r="AD49" s="209" t="e">
        <f t="shared" si="9"/>
        <v>#DIV/0!</v>
      </c>
      <c r="AE49" s="209" t="e">
        <f t="shared" si="9"/>
        <v>#DIV/0!</v>
      </c>
      <c r="AF49" s="209" t="e">
        <f t="shared" si="9"/>
        <v>#DIV/0!</v>
      </c>
      <c r="AG49" s="209" t="e">
        <f t="shared" si="9"/>
        <v>#DIV/0!</v>
      </c>
      <c r="AH49" s="209" t="e">
        <f t="shared" si="9"/>
        <v>#DIV/0!</v>
      </c>
      <c r="AI49" s="209" t="e">
        <f t="shared" si="9"/>
        <v>#DIV/0!</v>
      </c>
      <c r="AJ49" s="209" t="e">
        <f t="shared" si="9"/>
        <v>#DIV/0!</v>
      </c>
      <c r="AK49" s="209" t="e">
        <f t="shared" si="9"/>
        <v>#DIV/0!</v>
      </c>
      <c r="AL49" s="209" t="e">
        <f t="shared" si="9"/>
        <v>#DIV/0!</v>
      </c>
      <c r="AM49" s="209" t="e">
        <f t="shared" si="9"/>
        <v>#DIV/0!</v>
      </c>
      <c r="AN49" s="209" t="e">
        <f t="shared" si="9"/>
        <v>#DIV/0!</v>
      </c>
    </row>
    <row r="50" spans="2:40" s="30" customFormat="1" x14ac:dyDescent="0.15">
      <c r="B50" s="332"/>
      <c r="C50" s="163" t="s">
        <v>187</v>
      </c>
      <c r="D50" s="204">
        <f>SUMIFS('caseload data'!E:E,'caseload data'!$D:$D,"SPO",'caseload data'!$A:$A,"Wales")</f>
        <v>0</v>
      </c>
      <c r="E50" s="204">
        <f>SUMIFS('caseload data'!F:F,'caseload data'!$D:$D,"SPO",'caseload data'!$A:$A,"Wales")</f>
        <v>0</v>
      </c>
      <c r="F50" s="204">
        <f>SUMIFS('caseload data'!G:G,'caseload data'!$D:$D,"SPO",'caseload data'!$A:$A,"Wales")</f>
        <v>0</v>
      </c>
      <c r="G50" s="204">
        <f>SUMIFS('caseload data'!H:H,'caseload data'!$D:$D,"SPO",'caseload data'!$A:$A,"Wales")</f>
        <v>0</v>
      </c>
      <c r="H50" s="204">
        <f>SUMIFS('caseload data'!I:I,'caseload data'!$D:$D,"SPO",'caseload data'!$A:$A,"Wales")</f>
        <v>0</v>
      </c>
      <c r="I50" s="204">
        <f>SUMIFS('caseload data'!J:J,'caseload data'!$D:$D,"SPO",'caseload data'!$A:$A,"Wales")</f>
        <v>0</v>
      </c>
      <c r="J50" s="204">
        <f>SUMIFS('caseload data'!K:K,'caseload data'!$D:$D,"SPO",'caseload data'!$A:$A,"Wales")</f>
        <v>0</v>
      </c>
      <c r="K50" s="204">
        <f>SUMIFS('caseload data'!L:L,'caseload data'!$D:$D,"SPO",'caseload data'!$A:$A,"Wales")</f>
        <v>0</v>
      </c>
      <c r="L50" s="204">
        <f>SUMIFS('caseload data'!M:M,'caseload data'!$D:$D,"SPO",'caseload data'!$A:$A,"Wales")</f>
        <v>0</v>
      </c>
      <c r="M50" s="204">
        <f>SUMIFS('caseload data'!N:N,'caseload data'!$D:$D,"SPO",'caseload data'!$A:$A,"Wales")</f>
        <v>0</v>
      </c>
      <c r="N50" s="204">
        <f>SUMIFS('caseload data'!O:O,'caseload data'!$D:$D,"SPO",'caseload data'!$A:$A,"Wales")</f>
        <v>0</v>
      </c>
      <c r="O50" s="204">
        <f>SUMIFS('caseload data'!P:P,'caseload data'!$D:$D,"SPO",'caseload data'!$A:$A,"Wales")</f>
        <v>0</v>
      </c>
      <c r="P50" s="204">
        <f>SUMIFS('caseload data'!Q:Q,'caseload data'!$D:$D,"SPO",'caseload data'!$A:$A,"Wales")</f>
        <v>0</v>
      </c>
      <c r="Q50" s="204">
        <f>SUMIFS('caseload data'!R:R,'caseload data'!$D:$D,"SPO",'caseload data'!$A:$A,"Wales")</f>
        <v>0</v>
      </c>
      <c r="R50" s="204">
        <f>SUMIFS('caseload data'!S:S,'caseload data'!$D:$D,"SPO",'caseload data'!$A:$A,"Wales")</f>
        <v>0</v>
      </c>
      <c r="S50" s="204">
        <f>SUMIFS('caseload data'!T:T,'caseload data'!$D:$D,"SPO",'caseload data'!$A:$A,"Wales")</f>
        <v>0</v>
      </c>
      <c r="T50" s="126">
        <f>SUMIFS('caseload data'!V:V,'caseload data'!$D:$D,"SPO",'caseload data'!$A:$A,"Wales")</f>
        <v>0</v>
      </c>
      <c r="U50" s="95"/>
      <c r="V50" s="95"/>
      <c r="W50" s="332"/>
      <c r="X50" s="163" t="s">
        <v>187</v>
      </c>
      <c r="Y50" s="209" t="e">
        <f>SUM(D50)/SUM(D$47:D$50)</f>
        <v>#DIV/0!</v>
      </c>
      <c r="Z50" s="209" t="e">
        <f t="shared" si="9"/>
        <v>#DIV/0!</v>
      </c>
      <c r="AA50" s="209" t="e">
        <f t="shared" si="9"/>
        <v>#DIV/0!</v>
      </c>
      <c r="AB50" s="209" t="e">
        <f t="shared" si="9"/>
        <v>#DIV/0!</v>
      </c>
      <c r="AC50" s="209" t="e">
        <f t="shared" si="9"/>
        <v>#DIV/0!</v>
      </c>
      <c r="AD50" s="209" t="e">
        <f t="shared" si="9"/>
        <v>#DIV/0!</v>
      </c>
      <c r="AE50" s="209" t="e">
        <f t="shared" si="9"/>
        <v>#DIV/0!</v>
      </c>
      <c r="AF50" s="209" t="e">
        <f t="shared" si="9"/>
        <v>#DIV/0!</v>
      </c>
      <c r="AG50" s="209" t="e">
        <f t="shared" si="9"/>
        <v>#DIV/0!</v>
      </c>
      <c r="AH50" s="209" t="e">
        <f t="shared" si="9"/>
        <v>#DIV/0!</v>
      </c>
      <c r="AI50" s="209" t="e">
        <f t="shared" si="9"/>
        <v>#DIV/0!</v>
      </c>
      <c r="AJ50" s="209" t="e">
        <f t="shared" si="9"/>
        <v>#DIV/0!</v>
      </c>
      <c r="AK50" s="209" t="e">
        <f t="shared" si="9"/>
        <v>#DIV/0!</v>
      </c>
      <c r="AL50" s="209" t="e">
        <f t="shared" si="9"/>
        <v>#DIV/0!</v>
      </c>
      <c r="AM50" s="209" t="e">
        <f t="shared" si="9"/>
        <v>#DIV/0!</v>
      </c>
      <c r="AN50" s="209" t="e">
        <f t="shared" si="9"/>
        <v>#DIV/0!</v>
      </c>
    </row>
    <row r="51" spans="2:40" x14ac:dyDescent="0.15">
      <c r="B51" s="329" t="s">
        <v>8</v>
      </c>
      <c r="C51" s="161" t="s">
        <v>184</v>
      </c>
      <c r="D51" s="204">
        <f>SUMIFS('caseload data'!E:E,'caseload data'!$D:$D,"PO",'caseload data'!$A:$A,$B$51)</f>
        <v>0</v>
      </c>
      <c r="E51" s="204">
        <f>SUMIFS('caseload data'!F:F,'caseload data'!$D:$D,"PO",'caseload data'!$A:$A,$B$51)</f>
        <v>0</v>
      </c>
      <c r="F51" s="204">
        <f>SUMIFS('caseload data'!G:G,'caseload data'!$D:$D,"PO",'caseload data'!$A:$A,$B$51)</f>
        <v>0</v>
      </c>
      <c r="G51" s="204">
        <f>SUMIFS('caseload data'!H:H,'caseload data'!$D:$D,"PO",'caseload data'!$A:$A,$B$51)</f>
        <v>0</v>
      </c>
      <c r="H51" s="204">
        <f>SUMIFS('caseload data'!I:I,'caseload data'!$D:$D,"PO",'caseload data'!$A:$A,$B$51)</f>
        <v>0</v>
      </c>
      <c r="I51" s="204">
        <f>SUMIFS('caseload data'!J:J,'caseload data'!$D:$D,"PO",'caseload data'!$A:$A,$B$51)</f>
        <v>0</v>
      </c>
      <c r="J51" s="204">
        <f>SUMIFS('caseload data'!K:K,'caseload data'!$D:$D,"PO",'caseload data'!$A:$A,$B$51)</f>
        <v>0</v>
      </c>
      <c r="K51" s="204">
        <f>SUMIFS('caseload data'!L:L,'caseload data'!$D:$D,"PO",'caseload data'!$A:$A,$B$51)</f>
        <v>0</v>
      </c>
      <c r="L51" s="204">
        <f>SUMIFS('caseload data'!M:M,'caseload data'!$D:$D,"PO",'caseload data'!$A:$A,$B$51)</f>
        <v>0</v>
      </c>
      <c r="M51" s="204">
        <f>SUMIFS('caseload data'!N:N,'caseload data'!$D:$D,"PO",'caseload data'!$A:$A,$B$51)</f>
        <v>0</v>
      </c>
      <c r="N51" s="204">
        <f>SUMIFS('caseload data'!O:O,'caseload data'!$D:$D,"PO",'caseload data'!$A:$A,$B$51)</f>
        <v>0</v>
      </c>
      <c r="O51" s="204">
        <f>SUMIFS('caseload data'!P:P,'caseload data'!$D:$D,"PO",'caseload data'!$A:$A,$B$51)</f>
        <v>0</v>
      </c>
      <c r="P51" s="204">
        <f>SUMIFS('caseload data'!Q:Q,'caseload data'!$D:$D,"PO",'caseload data'!$A:$A,$B$51)</f>
        <v>0</v>
      </c>
      <c r="Q51" s="204">
        <f>SUMIFS('caseload data'!R:R,'caseload data'!$D:$D,"PO",'caseload data'!$A:$A,$B$51)</f>
        <v>0</v>
      </c>
      <c r="R51" s="204">
        <f>SUMIFS('caseload data'!S:S,'caseload data'!$D:$D,"PO",'caseload data'!$A:$A,$B$51)</f>
        <v>0</v>
      </c>
      <c r="S51" s="204">
        <f>SUMIFS('caseload data'!T:T,'caseload data'!$D:$D,"PO",'caseload data'!$A:$A,$B$51)</f>
        <v>0</v>
      </c>
      <c r="T51" s="126">
        <f>SUMIFS('caseload data'!V:V,'caseload data'!$D:$D,"PO",'caseload data'!$A:$A,B51)</f>
        <v>0</v>
      </c>
      <c r="U51" s="95"/>
      <c r="V51" s="95"/>
      <c r="W51" s="329" t="s">
        <v>8</v>
      </c>
      <c r="X51" s="161" t="s">
        <v>184</v>
      </c>
      <c r="Y51" s="209" t="e">
        <f>SUM(D51)/SUM(D$51:D$54)</f>
        <v>#DIV/0!</v>
      </c>
      <c r="Z51" s="209" t="e">
        <f t="shared" ref="Z51:AN54" si="10">SUM(E51)/SUM(E$51:E$54)</f>
        <v>#DIV/0!</v>
      </c>
      <c r="AA51" s="209" t="e">
        <f t="shared" si="10"/>
        <v>#DIV/0!</v>
      </c>
      <c r="AB51" s="209" t="e">
        <f t="shared" si="10"/>
        <v>#DIV/0!</v>
      </c>
      <c r="AC51" s="209" t="e">
        <f t="shared" si="10"/>
        <v>#DIV/0!</v>
      </c>
      <c r="AD51" s="209" t="e">
        <f t="shared" si="10"/>
        <v>#DIV/0!</v>
      </c>
      <c r="AE51" s="209" t="e">
        <f t="shared" si="10"/>
        <v>#DIV/0!</v>
      </c>
      <c r="AF51" s="209" t="e">
        <f t="shared" si="10"/>
        <v>#DIV/0!</v>
      </c>
      <c r="AG51" s="209" t="e">
        <f t="shared" si="10"/>
        <v>#DIV/0!</v>
      </c>
      <c r="AH51" s="209" t="e">
        <f t="shared" si="10"/>
        <v>#DIV/0!</v>
      </c>
      <c r="AI51" s="209" t="e">
        <f t="shared" si="10"/>
        <v>#DIV/0!</v>
      </c>
      <c r="AJ51" s="209" t="e">
        <f t="shared" si="10"/>
        <v>#DIV/0!</v>
      </c>
      <c r="AK51" s="209" t="e">
        <f t="shared" si="10"/>
        <v>#DIV/0!</v>
      </c>
      <c r="AL51" s="209" t="e">
        <f t="shared" si="10"/>
        <v>#DIV/0!</v>
      </c>
      <c r="AM51" s="209" t="e">
        <f t="shared" si="10"/>
        <v>#DIV/0!</v>
      </c>
      <c r="AN51" s="209" t="e">
        <f t="shared" si="10"/>
        <v>#DIV/0!</v>
      </c>
    </row>
    <row r="52" spans="2:40" s="30" customFormat="1" x14ac:dyDescent="0.15">
      <c r="B52" s="330"/>
      <c r="C52" s="162" t="s">
        <v>185</v>
      </c>
      <c r="D52" s="204">
        <f>SUMIFS('caseload data'!E:E,'caseload data'!$D:$D,"PSO",'caseload data'!$A:$A,"NPS West Midlands Region")</f>
        <v>0</v>
      </c>
      <c r="E52" s="204">
        <f>SUMIFS('caseload data'!F:F,'caseload data'!$D:$D,"PSO",'caseload data'!$A:$A,"NPS West Midlands Region")</f>
        <v>0</v>
      </c>
      <c r="F52" s="204">
        <f>SUMIFS('caseload data'!G:G,'caseload data'!$D:$D,"PSO",'caseload data'!$A:$A,"NPS West Midlands Region")</f>
        <v>0</v>
      </c>
      <c r="G52" s="204">
        <f>SUMIFS('caseload data'!H:H,'caseload data'!$D:$D,"PSO",'caseload data'!$A:$A,"NPS West Midlands Region")</f>
        <v>0</v>
      </c>
      <c r="H52" s="204">
        <f>SUMIFS('caseload data'!I:I,'caseload data'!$D:$D,"PSO",'caseload data'!$A:$A,"NPS West Midlands Region")</f>
        <v>0</v>
      </c>
      <c r="I52" s="204">
        <f>SUMIFS('caseload data'!J:J,'caseload data'!$D:$D,"PSO",'caseload data'!$A:$A,"NPS West Midlands Region")</f>
        <v>0</v>
      </c>
      <c r="J52" s="204">
        <f>SUMIFS('caseload data'!K:K,'caseload data'!$D:$D,"PSO",'caseload data'!$A:$A,"NPS West Midlands Region")</f>
        <v>0</v>
      </c>
      <c r="K52" s="204">
        <f>SUMIFS('caseload data'!L:L,'caseload data'!$D:$D,"PSO",'caseload data'!$A:$A,"NPS West Midlands Region")</f>
        <v>0</v>
      </c>
      <c r="L52" s="204">
        <f>SUMIFS('caseload data'!M:M,'caseload data'!$D:$D,"PSO",'caseload data'!$A:$A,"NPS West Midlands Region")</f>
        <v>0</v>
      </c>
      <c r="M52" s="204">
        <f>SUMIFS('caseload data'!N:N,'caseload data'!$D:$D,"PSO",'caseload data'!$A:$A,"NPS West Midlands Region")</f>
        <v>0</v>
      </c>
      <c r="N52" s="204">
        <f>SUMIFS('caseload data'!O:O,'caseload data'!$D:$D,"PSO",'caseload data'!$A:$A,"NPS West Midlands Region")</f>
        <v>0</v>
      </c>
      <c r="O52" s="204">
        <f>SUMIFS('caseload data'!P:P,'caseload data'!$D:$D,"PSO",'caseload data'!$A:$A,"NPS West Midlands Region")</f>
        <v>0</v>
      </c>
      <c r="P52" s="204">
        <f>SUMIFS('caseload data'!Q:Q,'caseload data'!$D:$D,"PSO",'caseload data'!$A:$A,"NPS West Midlands Region")</f>
        <v>0</v>
      </c>
      <c r="Q52" s="204">
        <f>SUMIFS('caseload data'!R:R,'caseload data'!$D:$D,"PSO",'caseload data'!$A:$A,"NPS West Midlands Region")</f>
        <v>0</v>
      </c>
      <c r="R52" s="204">
        <f>SUMIFS('caseload data'!S:S,'caseload data'!$D:$D,"PSO",'caseload data'!$A:$A,"NPS West Midlands Region")</f>
        <v>0</v>
      </c>
      <c r="S52" s="204">
        <f>SUMIFS('caseload data'!T:T,'caseload data'!$D:$D,"PSO",'caseload data'!$A:$A,"NPS West Midlands Region")</f>
        <v>0</v>
      </c>
      <c r="T52" s="126">
        <f>SUMIFS('caseload data'!V:V,'caseload data'!$D:$D,"PSO",'caseload data'!$A:$A,"NPS West Midlands Region")</f>
        <v>0</v>
      </c>
      <c r="U52" s="95"/>
      <c r="V52" s="95"/>
      <c r="W52" s="330"/>
      <c r="X52" s="162" t="s">
        <v>185</v>
      </c>
      <c r="Y52" s="209" t="e">
        <f>SUM(D52)/SUM(D$51:D$54)</f>
        <v>#DIV/0!</v>
      </c>
      <c r="Z52" s="209" t="e">
        <f t="shared" si="10"/>
        <v>#DIV/0!</v>
      </c>
      <c r="AA52" s="209" t="e">
        <f t="shared" si="10"/>
        <v>#DIV/0!</v>
      </c>
      <c r="AB52" s="209" t="e">
        <f t="shared" si="10"/>
        <v>#DIV/0!</v>
      </c>
      <c r="AC52" s="209" t="e">
        <f t="shared" si="10"/>
        <v>#DIV/0!</v>
      </c>
      <c r="AD52" s="209" t="e">
        <f t="shared" si="10"/>
        <v>#DIV/0!</v>
      </c>
      <c r="AE52" s="209" t="e">
        <f t="shared" si="10"/>
        <v>#DIV/0!</v>
      </c>
      <c r="AF52" s="209" t="e">
        <f t="shared" si="10"/>
        <v>#DIV/0!</v>
      </c>
      <c r="AG52" s="209" t="e">
        <f t="shared" si="10"/>
        <v>#DIV/0!</v>
      </c>
      <c r="AH52" s="209" t="e">
        <f t="shared" si="10"/>
        <v>#DIV/0!</v>
      </c>
      <c r="AI52" s="209" t="e">
        <f t="shared" si="10"/>
        <v>#DIV/0!</v>
      </c>
      <c r="AJ52" s="209" t="e">
        <f t="shared" si="10"/>
        <v>#DIV/0!</v>
      </c>
      <c r="AK52" s="209" t="e">
        <f t="shared" si="10"/>
        <v>#DIV/0!</v>
      </c>
      <c r="AL52" s="209" t="e">
        <f t="shared" si="10"/>
        <v>#DIV/0!</v>
      </c>
      <c r="AM52" s="209" t="e">
        <f t="shared" si="10"/>
        <v>#DIV/0!</v>
      </c>
      <c r="AN52" s="209" t="e">
        <f t="shared" si="10"/>
        <v>#DIV/0!</v>
      </c>
    </row>
    <row r="53" spans="2:40" x14ac:dyDescent="0.15">
      <c r="B53" s="330"/>
      <c r="C53" s="162" t="s">
        <v>186</v>
      </c>
      <c r="D53" s="204">
        <f>SUMIFS('caseload data'!E:E,'caseload data'!$D:$D,"TPO",'caseload data'!$A:$A,"NPS West Midlands Region")</f>
        <v>0</v>
      </c>
      <c r="E53" s="204">
        <f>SUMIFS('caseload data'!F:F,'caseload data'!$D:$D,"TPO",'caseload data'!$A:$A,"NPS West Midlands Region")</f>
        <v>0</v>
      </c>
      <c r="F53" s="204">
        <f>SUMIFS('caseload data'!G:G,'caseload data'!$D:$D,"TPO",'caseload data'!$A:$A,"NPS West Midlands Region")</f>
        <v>0</v>
      </c>
      <c r="G53" s="204">
        <f>SUMIFS('caseload data'!H:H,'caseload data'!$D:$D,"TPO",'caseload data'!$A:$A,"NPS West Midlands Region")</f>
        <v>0</v>
      </c>
      <c r="H53" s="204">
        <f>SUMIFS('caseload data'!I:I,'caseload data'!$D:$D,"TPO",'caseload data'!$A:$A,"NPS West Midlands Region")</f>
        <v>0</v>
      </c>
      <c r="I53" s="204">
        <f>SUMIFS('caseload data'!J:J,'caseload data'!$D:$D,"TPO",'caseload data'!$A:$A,"NPS West Midlands Region")</f>
        <v>0</v>
      </c>
      <c r="J53" s="204">
        <f>SUMIFS('caseload data'!K:K,'caseload data'!$D:$D,"TPO",'caseload data'!$A:$A,"NPS West Midlands Region")</f>
        <v>0</v>
      </c>
      <c r="K53" s="204">
        <f>SUMIFS('caseload data'!L:L,'caseload data'!$D:$D,"TPO",'caseload data'!$A:$A,"NPS West Midlands Region")</f>
        <v>0</v>
      </c>
      <c r="L53" s="204">
        <f>SUMIFS('caseload data'!M:M,'caseload data'!$D:$D,"TPO",'caseload data'!$A:$A,"NPS West Midlands Region")</f>
        <v>0</v>
      </c>
      <c r="M53" s="204">
        <f>SUMIFS('caseload data'!N:N,'caseload data'!$D:$D,"TPO",'caseload data'!$A:$A,"NPS West Midlands Region")</f>
        <v>0</v>
      </c>
      <c r="N53" s="204">
        <f>SUMIFS('caseload data'!O:O,'caseload data'!$D:$D,"TPO",'caseload data'!$A:$A,"NPS West Midlands Region")</f>
        <v>0</v>
      </c>
      <c r="O53" s="204">
        <f>SUMIFS('caseload data'!P:P,'caseload data'!$D:$D,"TPO",'caseload data'!$A:$A,"NPS West Midlands Region")</f>
        <v>0</v>
      </c>
      <c r="P53" s="204">
        <f>SUMIFS('caseload data'!Q:Q,'caseload data'!$D:$D,"TPO",'caseload data'!$A:$A,"NPS West Midlands Region")</f>
        <v>0</v>
      </c>
      <c r="Q53" s="204">
        <f>SUMIFS('caseload data'!R:R,'caseload data'!$D:$D,"TPO",'caseload data'!$A:$A,"NPS West Midlands Region")</f>
        <v>0</v>
      </c>
      <c r="R53" s="204">
        <f>SUMIFS('caseload data'!S:S,'caseload data'!$D:$D,"TPO",'caseload data'!$A:$A,"NPS West Midlands Region")</f>
        <v>0</v>
      </c>
      <c r="S53" s="204">
        <f>SUMIFS('caseload data'!T:T,'caseload data'!$D:$D,"TPO",'caseload data'!$A:$A,"NPS West Midlands Region")</f>
        <v>0</v>
      </c>
      <c r="T53" s="126">
        <f>SUMIFS('caseload data'!V:V,'caseload data'!$D:$D,"TPO",'caseload data'!$A:$A,"NPS West Midlands Region")</f>
        <v>0</v>
      </c>
      <c r="U53" s="95"/>
      <c r="V53" s="95"/>
      <c r="W53" s="330"/>
      <c r="X53" s="162" t="s">
        <v>186</v>
      </c>
      <c r="Y53" s="209" t="e">
        <f>SUM(D53)/SUM(D$51:D$54)</f>
        <v>#DIV/0!</v>
      </c>
      <c r="Z53" s="209" t="e">
        <f t="shared" si="10"/>
        <v>#DIV/0!</v>
      </c>
      <c r="AA53" s="209" t="e">
        <f t="shared" si="10"/>
        <v>#DIV/0!</v>
      </c>
      <c r="AB53" s="209" t="e">
        <f t="shared" si="10"/>
        <v>#DIV/0!</v>
      </c>
      <c r="AC53" s="209" t="e">
        <f t="shared" si="10"/>
        <v>#DIV/0!</v>
      </c>
      <c r="AD53" s="209" t="e">
        <f t="shared" si="10"/>
        <v>#DIV/0!</v>
      </c>
      <c r="AE53" s="209" t="e">
        <f t="shared" si="10"/>
        <v>#DIV/0!</v>
      </c>
      <c r="AF53" s="209" t="e">
        <f t="shared" si="10"/>
        <v>#DIV/0!</v>
      </c>
      <c r="AG53" s="209" t="e">
        <f t="shared" si="10"/>
        <v>#DIV/0!</v>
      </c>
      <c r="AH53" s="209" t="e">
        <f t="shared" si="10"/>
        <v>#DIV/0!</v>
      </c>
      <c r="AI53" s="209" t="e">
        <f t="shared" si="10"/>
        <v>#DIV/0!</v>
      </c>
      <c r="AJ53" s="209" t="e">
        <f t="shared" si="10"/>
        <v>#DIV/0!</v>
      </c>
      <c r="AK53" s="209" t="e">
        <f t="shared" si="10"/>
        <v>#DIV/0!</v>
      </c>
      <c r="AL53" s="209" t="e">
        <f t="shared" si="10"/>
        <v>#DIV/0!</v>
      </c>
      <c r="AM53" s="209" t="e">
        <f t="shared" si="10"/>
        <v>#DIV/0!</v>
      </c>
      <c r="AN53" s="209" t="e">
        <f t="shared" si="10"/>
        <v>#DIV/0!</v>
      </c>
    </row>
    <row r="54" spans="2:40" s="30" customFormat="1" x14ac:dyDescent="0.15">
      <c r="B54" s="332"/>
      <c r="C54" s="163" t="s">
        <v>187</v>
      </c>
      <c r="D54" s="204">
        <f>SUMIFS('caseload data'!E:E,'caseload data'!$D:$D,"SPO",'caseload data'!$A:$A,"NPS West Midlands Region")</f>
        <v>0</v>
      </c>
      <c r="E54" s="204">
        <f>SUMIFS('caseload data'!F:F,'caseload data'!$D:$D,"SPO",'caseload data'!$A:$A,"NPS West Midlands Region")</f>
        <v>0</v>
      </c>
      <c r="F54" s="204">
        <f>SUMIFS('caseload data'!G:G,'caseload data'!$D:$D,"SPO",'caseload data'!$A:$A,"NPS West Midlands Region")</f>
        <v>0</v>
      </c>
      <c r="G54" s="204">
        <f>SUMIFS('caseload data'!H:H,'caseload data'!$D:$D,"SPO",'caseload data'!$A:$A,"NPS West Midlands Region")</f>
        <v>0</v>
      </c>
      <c r="H54" s="204">
        <f>SUMIFS('caseload data'!I:I,'caseload data'!$D:$D,"SPO",'caseload data'!$A:$A,"NPS West Midlands Region")</f>
        <v>0</v>
      </c>
      <c r="I54" s="204">
        <f>SUMIFS('caseload data'!J:J,'caseload data'!$D:$D,"SPO",'caseload data'!$A:$A,"NPS West Midlands Region")</f>
        <v>0</v>
      </c>
      <c r="J54" s="204">
        <f>SUMIFS('caseload data'!K:K,'caseload data'!$D:$D,"SPO",'caseload data'!$A:$A,"NPS West Midlands Region")</f>
        <v>0</v>
      </c>
      <c r="K54" s="204">
        <f>SUMIFS('caseload data'!L:L,'caseload data'!$D:$D,"SPO",'caseload data'!$A:$A,"NPS West Midlands Region")</f>
        <v>0</v>
      </c>
      <c r="L54" s="204">
        <f>SUMIFS('caseload data'!M:M,'caseload data'!$D:$D,"SPO",'caseload data'!$A:$A,"NPS West Midlands Region")</f>
        <v>0</v>
      </c>
      <c r="M54" s="204">
        <f>SUMIFS('caseload data'!N:N,'caseload data'!$D:$D,"SPO",'caseload data'!$A:$A,"NPS West Midlands Region")</f>
        <v>0</v>
      </c>
      <c r="N54" s="204">
        <f>SUMIFS('caseload data'!O:O,'caseload data'!$D:$D,"SPO",'caseload data'!$A:$A,"NPS West Midlands Region")</f>
        <v>0</v>
      </c>
      <c r="O54" s="204">
        <f>SUMIFS('caseload data'!P:P,'caseload data'!$D:$D,"SPO",'caseload data'!$A:$A,"NPS West Midlands Region")</f>
        <v>0</v>
      </c>
      <c r="P54" s="204">
        <f>SUMIFS('caseload data'!Q:Q,'caseload data'!$D:$D,"SPO",'caseload data'!$A:$A,"NPS West Midlands Region")</f>
        <v>0</v>
      </c>
      <c r="Q54" s="204">
        <f>SUMIFS('caseload data'!R:R,'caseload data'!$D:$D,"SPO",'caseload data'!$A:$A,"NPS West Midlands Region")</f>
        <v>0</v>
      </c>
      <c r="R54" s="204">
        <f>SUMIFS('caseload data'!S:S,'caseload data'!$D:$D,"SPO",'caseload data'!$A:$A,"NPS West Midlands Region")</f>
        <v>0</v>
      </c>
      <c r="S54" s="204">
        <f>SUMIFS('caseload data'!T:T,'caseload data'!$D:$D,"SPO",'caseload data'!$A:$A,"NPS West Midlands Region")</f>
        <v>0</v>
      </c>
      <c r="T54" s="126">
        <f>SUMIFS('caseload data'!V:V,'caseload data'!$D:$D,"SPO",'caseload data'!$A:$A,"NPS West Midlands Region")</f>
        <v>0</v>
      </c>
      <c r="U54" s="95"/>
      <c r="V54" s="95"/>
      <c r="W54" s="332"/>
      <c r="X54" s="163" t="s">
        <v>187</v>
      </c>
      <c r="Y54" s="209" t="e">
        <f>SUM(D54)/SUM(D$51:D$54)</f>
        <v>#DIV/0!</v>
      </c>
      <c r="Z54" s="209" t="e">
        <f t="shared" si="10"/>
        <v>#DIV/0!</v>
      </c>
      <c r="AA54" s="209" t="e">
        <f t="shared" si="10"/>
        <v>#DIV/0!</v>
      </c>
      <c r="AB54" s="209" t="e">
        <f t="shared" si="10"/>
        <v>#DIV/0!</v>
      </c>
      <c r="AC54" s="209" t="e">
        <f t="shared" si="10"/>
        <v>#DIV/0!</v>
      </c>
      <c r="AD54" s="209" t="e">
        <f t="shared" si="10"/>
        <v>#DIV/0!</v>
      </c>
      <c r="AE54" s="209" t="e">
        <f t="shared" si="10"/>
        <v>#DIV/0!</v>
      </c>
      <c r="AF54" s="209" t="e">
        <f t="shared" si="10"/>
        <v>#DIV/0!</v>
      </c>
      <c r="AG54" s="209" t="e">
        <f t="shared" si="10"/>
        <v>#DIV/0!</v>
      </c>
      <c r="AH54" s="209" t="e">
        <f t="shared" si="10"/>
        <v>#DIV/0!</v>
      </c>
      <c r="AI54" s="209" t="e">
        <f t="shared" si="10"/>
        <v>#DIV/0!</v>
      </c>
      <c r="AJ54" s="209" t="e">
        <f t="shared" si="10"/>
        <v>#DIV/0!</v>
      </c>
      <c r="AK54" s="209" t="e">
        <f t="shared" si="10"/>
        <v>#DIV/0!</v>
      </c>
      <c r="AL54" s="209" t="e">
        <f t="shared" si="10"/>
        <v>#DIV/0!</v>
      </c>
      <c r="AM54" s="209" t="e">
        <f t="shared" si="10"/>
        <v>#DIV/0!</v>
      </c>
      <c r="AN54" s="209" t="e">
        <f t="shared" si="10"/>
        <v>#DIV/0!</v>
      </c>
    </row>
    <row r="55" spans="2:40" x14ac:dyDescent="0.15">
      <c r="B55" s="329" t="s">
        <v>9</v>
      </c>
      <c r="C55" s="161" t="s">
        <v>184</v>
      </c>
      <c r="D55" s="204">
        <f>SUMIFS('caseload data'!E:E,'caseload data'!$D:$D,"PO",'caseload data'!$A:$A,$B$55)</f>
        <v>0</v>
      </c>
      <c r="E55" s="204">
        <f>SUMIFS('caseload data'!F:F,'caseload data'!$D:$D,"PO",'caseload data'!$A:$A,$B$55)</f>
        <v>0</v>
      </c>
      <c r="F55" s="204">
        <f>SUMIFS('caseload data'!G:G,'caseload data'!$D:$D,"PO",'caseload data'!$A:$A,$B$55)</f>
        <v>0</v>
      </c>
      <c r="G55" s="204">
        <f>SUMIFS('caseload data'!H:H,'caseload data'!$D:$D,"PO",'caseload data'!$A:$A,$B$55)</f>
        <v>0</v>
      </c>
      <c r="H55" s="204">
        <f>SUMIFS('caseload data'!I:I,'caseload data'!$D:$D,"PO",'caseload data'!$A:$A,$B$55)</f>
        <v>0</v>
      </c>
      <c r="I55" s="204">
        <f>SUMIFS('caseload data'!J:J,'caseload data'!$D:$D,"PO",'caseload data'!$A:$A,$B$55)</f>
        <v>0</v>
      </c>
      <c r="J55" s="204">
        <f>SUMIFS('caseload data'!K:K,'caseload data'!$D:$D,"PO",'caseload data'!$A:$A,$B$55)</f>
        <v>0</v>
      </c>
      <c r="K55" s="204">
        <f>SUMIFS('caseload data'!L:L,'caseload data'!$D:$D,"PO",'caseload data'!$A:$A,$B$55)</f>
        <v>0</v>
      </c>
      <c r="L55" s="204">
        <f>SUMIFS('caseload data'!M:M,'caseload data'!$D:$D,"PO",'caseload data'!$A:$A,$B$55)</f>
        <v>0</v>
      </c>
      <c r="M55" s="204">
        <f>SUMIFS('caseload data'!N:N,'caseload data'!$D:$D,"PO",'caseload data'!$A:$A,$B$55)</f>
        <v>0</v>
      </c>
      <c r="N55" s="204">
        <f>SUMIFS('caseload data'!O:O,'caseload data'!$D:$D,"PO",'caseload data'!$A:$A,$B$55)</f>
        <v>0</v>
      </c>
      <c r="O55" s="204">
        <f>SUMIFS('caseload data'!P:P,'caseload data'!$D:$D,"PO",'caseload data'!$A:$A,$B$55)</f>
        <v>0</v>
      </c>
      <c r="P55" s="204">
        <f>SUMIFS('caseload data'!Q:Q,'caseload data'!$D:$D,"PO",'caseload data'!$A:$A,$B$55)</f>
        <v>0</v>
      </c>
      <c r="Q55" s="204">
        <f>SUMIFS('caseload data'!R:R,'caseload data'!$D:$D,"PO",'caseload data'!$A:$A,$B$55)</f>
        <v>0</v>
      </c>
      <c r="R55" s="204">
        <f>SUMIFS('caseload data'!S:S,'caseload data'!$D:$D,"PO",'caseload data'!$A:$A,$B$55)</f>
        <v>0</v>
      </c>
      <c r="S55" s="204">
        <f>SUMIFS('caseload data'!T:T,'caseload data'!$D:$D,"PO",'caseload data'!$A:$A,$B$55)</f>
        <v>0</v>
      </c>
      <c r="T55" s="126">
        <f>SUMIFS('caseload data'!V:V,'caseload data'!$D:$D,"PO",'caseload data'!$A:$A,B55)</f>
        <v>0</v>
      </c>
      <c r="U55" s="95"/>
      <c r="V55" s="95"/>
      <c r="W55" s="329" t="s">
        <v>9</v>
      </c>
      <c r="X55" s="161" t="s">
        <v>184</v>
      </c>
      <c r="Y55" s="209" t="e">
        <f t="shared" ref="Y55:AN58" si="11">SUM(D55)/SUM(D$55:D$58)</f>
        <v>#DIV/0!</v>
      </c>
      <c r="Z55" s="209" t="e">
        <f t="shared" si="11"/>
        <v>#DIV/0!</v>
      </c>
      <c r="AA55" s="209" t="e">
        <f t="shared" si="11"/>
        <v>#DIV/0!</v>
      </c>
      <c r="AB55" s="209" t="e">
        <f t="shared" si="11"/>
        <v>#DIV/0!</v>
      </c>
      <c r="AC55" s="209" t="e">
        <f t="shared" si="11"/>
        <v>#DIV/0!</v>
      </c>
      <c r="AD55" s="209" t="e">
        <f t="shared" si="11"/>
        <v>#DIV/0!</v>
      </c>
      <c r="AE55" s="209" t="e">
        <f t="shared" si="11"/>
        <v>#DIV/0!</v>
      </c>
      <c r="AF55" s="209" t="e">
        <f t="shared" si="11"/>
        <v>#DIV/0!</v>
      </c>
      <c r="AG55" s="209" t="e">
        <f t="shared" si="11"/>
        <v>#DIV/0!</v>
      </c>
      <c r="AH55" s="209" t="e">
        <f t="shared" si="11"/>
        <v>#DIV/0!</v>
      </c>
      <c r="AI55" s="209" t="e">
        <f t="shared" si="11"/>
        <v>#DIV/0!</v>
      </c>
      <c r="AJ55" s="209" t="e">
        <f t="shared" si="11"/>
        <v>#DIV/0!</v>
      </c>
      <c r="AK55" s="209" t="e">
        <f t="shared" si="11"/>
        <v>#DIV/0!</v>
      </c>
      <c r="AL55" s="209" t="e">
        <f t="shared" si="11"/>
        <v>#DIV/0!</v>
      </c>
      <c r="AM55" s="209" t="e">
        <f t="shared" si="11"/>
        <v>#DIV/0!</v>
      </c>
      <c r="AN55" s="209" t="e">
        <f t="shared" si="11"/>
        <v>#DIV/0!</v>
      </c>
    </row>
    <row r="56" spans="2:40" s="30" customFormat="1" x14ac:dyDescent="0.15">
      <c r="B56" s="330"/>
      <c r="C56" s="162" t="s">
        <v>185</v>
      </c>
      <c r="D56" s="204">
        <f>SUMIFS('caseload data'!E:E,'caseload data'!$D:$D,"PSO",'caseload data'!$A:$A,"NPS Yorkshire and The Humber")</f>
        <v>0</v>
      </c>
      <c r="E56" s="204">
        <f>SUMIFS('caseload data'!F:F,'caseload data'!$D:$D,"PSO",'caseload data'!$A:$A,"NPS Yorkshire and The Humber")</f>
        <v>0</v>
      </c>
      <c r="F56" s="204">
        <f>SUMIFS('caseload data'!G:G,'caseload data'!$D:$D,"PSO",'caseload data'!$A:$A,"NPS Yorkshire and The Humber")</f>
        <v>0</v>
      </c>
      <c r="G56" s="204">
        <f>SUMIFS('caseload data'!H:H,'caseload data'!$D:$D,"PSO",'caseload data'!$A:$A,"NPS Yorkshire and The Humber")</f>
        <v>0</v>
      </c>
      <c r="H56" s="204">
        <f>SUMIFS('caseload data'!I:I,'caseload data'!$D:$D,"PSO",'caseload data'!$A:$A,"NPS Yorkshire and The Humber")</f>
        <v>0</v>
      </c>
      <c r="I56" s="204">
        <f>SUMIFS('caseload data'!J:J,'caseload data'!$D:$D,"PSO",'caseload data'!$A:$A,"NPS Yorkshire and The Humber")</f>
        <v>0</v>
      </c>
      <c r="J56" s="204">
        <f>SUMIFS('caseload data'!K:K,'caseload data'!$D:$D,"PSO",'caseload data'!$A:$A,"NPS Yorkshire and The Humber")</f>
        <v>0</v>
      </c>
      <c r="K56" s="204">
        <f>SUMIFS('caseload data'!L:L,'caseload data'!$D:$D,"PSO",'caseload data'!$A:$A,"NPS Yorkshire and The Humber")</f>
        <v>0</v>
      </c>
      <c r="L56" s="204">
        <f>SUMIFS('caseload data'!M:M,'caseload data'!$D:$D,"PSO",'caseload data'!$A:$A,"NPS Yorkshire and The Humber")</f>
        <v>0</v>
      </c>
      <c r="M56" s="204">
        <f>SUMIFS('caseload data'!N:N,'caseload data'!$D:$D,"PSO",'caseload data'!$A:$A,"NPS Yorkshire and The Humber")</f>
        <v>0</v>
      </c>
      <c r="N56" s="204">
        <f>SUMIFS('caseload data'!O:O,'caseload data'!$D:$D,"PSO",'caseload data'!$A:$A,"NPS Yorkshire and The Humber")</f>
        <v>0</v>
      </c>
      <c r="O56" s="204">
        <f>SUMIFS('caseload data'!P:P,'caseload data'!$D:$D,"PSO",'caseload data'!$A:$A,"NPS Yorkshire and The Humber")</f>
        <v>0</v>
      </c>
      <c r="P56" s="204">
        <f>SUMIFS('caseload data'!Q:Q,'caseload data'!$D:$D,"PSO",'caseload data'!$A:$A,"NPS Yorkshire and The Humber")</f>
        <v>0</v>
      </c>
      <c r="Q56" s="204">
        <f>SUMIFS('caseload data'!R:R,'caseload data'!$D:$D,"PSO",'caseload data'!$A:$A,"NPS Yorkshire and The Humber")</f>
        <v>0</v>
      </c>
      <c r="R56" s="204">
        <f>SUMIFS('caseload data'!S:S,'caseload data'!$D:$D,"PSO",'caseload data'!$A:$A,"NPS Yorkshire and The Humber")</f>
        <v>0</v>
      </c>
      <c r="S56" s="204">
        <f>SUMIFS('caseload data'!T:T,'caseload data'!$D:$D,"PSO",'caseload data'!$A:$A,"NPS Yorkshire and The Humber")</f>
        <v>0</v>
      </c>
      <c r="T56" s="126">
        <f>SUMIFS('caseload data'!V:V,'caseload data'!$D:$D,"PSO",'caseload data'!$A:$A,"NPS Yorkshire and The Humber")</f>
        <v>0</v>
      </c>
      <c r="U56" s="95"/>
      <c r="V56" s="95"/>
      <c r="W56" s="330"/>
      <c r="X56" s="162" t="s">
        <v>185</v>
      </c>
      <c r="Y56" s="209" t="e">
        <f t="shared" si="11"/>
        <v>#DIV/0!</v>
      </c>
      <c r="Z56" s="209" t="e">
        <f t="shared" si="11"/>
        <v>#DIV/0!</v>
      </c>
      <c r="AA56" s="209" t="e">
        <f t="shared" si="11"/>
        <v>#DIV/0!</v>
      </c>
      <c r="AB56" s="209" t="e">
        <f t="shared" si="11"/>
        <v>#DIV/0!</v>
      </c>
      <c r="AC56" s="209" t="e">
        <f t="shared" si="11"/>
        <v>#DIV/0!</v>
      </c>
      <c r="AD56" s="209" t="e">
        <f t="shared" si="11"/>
        <v>#DIV/0!</v>
      </c>
      <c r="AE56" s="209" t="e">
        <f t="shared" si="11"/>
        <v>#DIV/0!</v>
      </c>
      <c r="AF56" s="209" t="e">
        <f t="shared" si="11"/>
        <v>#DIV/0!</v>
      </c>
      <c r="AG56" s="209" t="e">
        <f t="shared" si="11"/>
        <v>#DIV/0!</v>
      </c>
      <c r="AH56" s="209" t="e">
        <f t="shared" si="11"/>
        <v>#DIV/0!</v>
      </c>
      <c r="AI56" s="209" t="e">
        <f t="shared" si="11"/>
        <v>#DIV/0!</v>
      </c>
      <c r="AJ56" s="209" t="e">
        <f t="shared" si="11"/>
        <v>#DIV/0!</v>
      </c>
      <c r="AK56" s="209" t="e">
        <f t="shared" si="11"/>
        <v>#DIV/0!</v>
      </c>
      <c r="AL56" s="209" t="e">
        <f t="shared" si="11"/>
        <v>#DIV/0!</v>
      </c>
      <c r="AM56" s="209" t="e">
        <f t="shared" si="11"/>
        <v>#DIV/0!</v>
      </c>
      <c r="AN56" s="209" t="e">
        <f t="shared" si="11"/>
        <v>#DIV/0!</v>
      </c>
    </row>
    <row r="57" spans="2:40" x14ac:dyDescent="0.15">
      <c r="B57" s="330"/>
      <c r="C57" s="162" t="s">
        <v>186</v>
      </c>
      <c r="D57" s="204">
        <f>SUMIFS('caseload data'!E:E,'caseload data'!$D:$D,"TPO",'caseload data'!$A:$A,"NPS Yorkshire and The Humber")</f>
        <v>0</v>
      </c>
      <c r="E57" s="204">
        <f>SUMIFS('caseload data'!F:F,'caseload data'!$D:$D,"TPO",'caseload data'!$A:$A,"NPS Yorkshire and The Humber")</f>
        <v>0</v>
      </c>
      <c r="F57" s="204">
        <f>SUMIFS('caseload data'!G:G,'caseload data'!$D:$D,"TPO",'caseload data'!$A:$A,"NPS Yorkshire and The Humber")</f>
        <v>0</v>
      </c>
      <c r="G57" s="204">
        <f>SUMIFS('caseload data'!H:H,'caseload data'!$D:$D,"TPO",'caseload data'!$A:$A,"NPS Yorkshire and The Humber")</f>
        <v>0</v>
      </c>
      <c r="H57" s="204">
        <f>SUMIFS('caseload data'!I:I,'caseload data'!$D:$D,"TPO",'caseload data'!$A:$A,"NPS Yorkshire and The Humber")</f>
        <v>0</v>
      </c>
      <c r="I57" s="204">
        <f>SUMIFS('caseload data'!J:J,'caseload data'!$D:$D,"TPO",'caseload data'!$A:$A,"NPS Yorkshire and The Humber")</f>
        <v>0</v>
      </c>
      <c r="J57" s="204">
        <f>SUMIFS('caseload data'!K:K,'caseload data'!$D:$D,"TPO",'caseload data'!$A:$A,"NPS Yorkshire and The Humber")</f>
        <v>0</v>
      </c>
      <c r="K57" s="204">
        <f>SUMIFS('caseload data'!L:L,'caseload data'!$D:$D,"TPO",'caseload data'!$A:$A,"NPS Yorkshire and The Humber")</f>
        <v>0</v>
      </c>
      <c r="L57" s="204">
        <f>SUMIFS('caseload data'!M:M,'caseload data'!$D:$D,"TPO",'caseload data'!$A:$A,"NPS Yorkshire and The Humber")</f>
        <v>0</v>
      </c>
      <c r="M57" s="204">
        <f>SUMIFS('caseload data'!N:N,'caseload data'!$D:$D,"TPO",'caseload data'!$A:$A,"NPS Yorkshire and The Humber")</f>
        <v>0</v>
      </c>
      <c r="N57" s="204">
        <f>SUMIFS('caseload data'!O:O,'caseload data'!$D:$D,"TPO",'caseload data'!$A:$A,"NPS Yorkshire and The Humber")</f>
        <v>0</v>
      </c>
      <c r="O57" s="204">
        <f>SUMIFS('caseload data'!P:P,'caseload data'!$D:$D,"TPO",'caseload data'!$A:$A,"NPS Yorkshire and The Humber")</f>
        <v>0</v>
      </c>
      <c r="P57" s="204">
        <f>SUMIFS('caseload data'!Q:Q,'caseload data'!$D:$D,"TPO",'caseload data'!$A:$A,"NPS Yorkshire and The Humber")</f>
        <v>0</v>
      </c>
      <c r="Q57" s="204">
        <f>SUMIFS('caseload data'!R:R,'caseload data'!$D:$D,"TPO",'caseload data'!$A:$A,"NPS Yorkshire and The Humber")</f>
        <v>0</v>
      </c>
      <c r="R57" s="204">
        <f>SUMIFS('caseload data'!S:S,'caseload data'!$D:$D,"TPO",'caseload data'!$A:$A,"NPS Yorkshire and The Humber")</f>
        <v>0</v>
      </c>
      <c r="S57" s="204">
        <f>SUMIFS('caseload data'!T:T,'caseload data'!$D:$D,"TPO",'caseload data'!$A:$A,"NPS Yorkshire and The Humber")</f>
        <v>0</v>
      </c>
      <c r="T57" s="126">
        <f>SUMIFS('caseload data'!V:V,'caseload data'!$D:$D,"TPO",'caseload data'!$A:$A,"NPS Yorkshire and The Humber")</f>
        <v>0</v>
      </c>
      <c r="U57" s="95"/>
      <c r="V57" s="95"/>
      <c r="W57" s="330"/>
      <c r="X57" s="162" t="s">
        <v>186</v>
      </c>
      <c r="Y57" s="209" t="e">
        <f t="shared" si="11"/>
        <v>#DIV/0!</v>
      </c>
      <c r="Z57" s="209" t="e">
        <f t="shared" si="11"/>
        <v>#DIV/0!</v>
      </c>
      <c r="AA57" s="209" t="e">
        <f t="shared" si="11"/>
        <v>#DIV/0!</v>
      </c>
      <c r="AB57" s="209" t="e">
        <f t="shared" si="11"/>
        <v>#DIV/0!</v>
      </c>
      <c r="AC57" s="209" t="e">
        <f t="shared" si="11"/>
        <v>#DIV/0!</v>
      </c>
      <c r="AD57" s="209" t="e">
        <f t="shared" si="11"/>
        <v>#DIV/0!</v>
      </c>
      <c r="AE57" s="209" t="e">
        <f t="shared" si="11"/>
        <v>#DIV/0!</v>
      </c>
      <c r="AF57" s="209" t="e">
        <f t="shared" si="11"/>
        <v>#DIV/0!</v>
      </c>
      <c r="AG57" s="209" t="e">
        <f t="shared" si="11"/>
        <v>#DIV/0!</v>
      </c>
      <c r="AH57" s="209" t="e">
        <f t="shared" si="11"/>
        <v>#DIV/0!</v>
      </c>
      <c r="AI57" s="209" t="e">
        <f t="shared" si="11"/>
        <v>#DIV/0!</v>
      </c>
      <c r="AJ57" s="209" t="e">
        <f t="shared" si="11"/>
        <v>#DIV/0!</v>
      </c>
      <c r="AK57" s="209" t="e">
        <f t="shared" si="11"/>
        <v>#DIV/0!</v>
      </c>
      <c r="AL57" s="209" t="e">
        <f t="shared" si="11"/>
        <v>#DIV/0!</v>
      </c>
      <c r="AM57" s="209" t="e">
        <f t="shared" si="11"/>
        <v>#DIV/0!</v>
      </c>
      <c r="AN57" s="209" t="e">
        <f t="shared" si="11"/>
        <v>#DIV/0!</v>
      </c>
    </row>
    <row r="58" spans="2:40" s="30" customFormat="1" x14ac:dyDescent="0.15">
      <c r="B58" s="331"/>
      <c r="C58" s="162" t="s">
        <v>187</v>
      </c>
      <c r="D58" s="204">
        <f>SUMIFS('caseload data'!E:E,'caseload data'!$D:$D,"SPO",'caseload data'!$A:$A,"NPS Yorkshire and The Humber")</f>
        <v>0</v>
      </c>
      <c r="E58" s="204">
        <f>SUMIFS('caseload data'!F:F,'caseload data'!$D:$D,"SPO",'caseload data'!$A:$A,"NPS Yorkshire and The Humber")</f>
        <v>0</v>
      </c>
      <c r="F58" s="204">
        <f>SUMIFS('caseload data'!G:G,'caseload data'!$D:$D,"SPO",'caseload data'!$A:$A,"NPS Yorkshire and The Humber")</f>
        <v>0</v>
      </c>
      <c r="G58" s="204">
        <f>SUMIFS('caseload data'!H:H,'caseload data'!$D:$D,"SPO",'caseload data'!$A:$A,"NPS Yorkshire and The Humber")</f>
        <v>0</v>
      </c>
      <c r="H58" s="204">
        <f>SUMIFS('caseload data'!I:I,'caseload data'!$D:$D,"SPO",'caseload data'!$A:$A,"NPS Yorkshire and The Humber")</f>
        <v>0</v>
      </c>
      <c r="I58" s="204">
        <f>SUMIFS('caseload data'!J:J,'caseload data'!$D:$D,"SPO",'caseload data'!$A:$A,"NPS Yorkshire and The Humber")</f>
        <v>0</v>
      </c>
      <c r="J58" s="204">
        <f>SUMIFS('caseload data'!K:K,'caseload data'!$D:$D,"SPO",'caseload data'!$A:$A,"NPS Yorkshire and The Humber")</f>
        <v>0</v>
      </c>
      <c r="K58" s="204">
        <f>SUMIFS('caseload data'!L:L,'caseload data'!$D:$D,"SPO",'caseload data'!$A:$A,"NPS Yorkshire and The Humber")</f>
        <v>0</v>
      </c>
      <c r="L58" s="204">
        <f>SUMIFS('caseload data'!M:M,'caseload data'!$D:$D,"SPO",'caseload data'!$A:$A,"NPS Yorkshire and The Humber")</f>
        <v>0</v>
      </c>
      <c r="M58" s="204">
        <f>SUMIFS('caseload data'!N:N,'caseload data'!$D:$D,"SPO",'caseload data'!$A:$A,"NPS Yorkshire and The Humber")</f>
        <v>0</v>
      </c>
      <c r="N58" s="204">
        <f>SUMIFS('caseload data'!O:O,'caseload data'!$D:$D,"SPO",'caseload data'!$A:$A,"NPS Yorkshire and The Humber")</f>
        <v>0</v>
      </c>
      <c r="O58" s="204">
        <f>SUMIFS('caseload data'!P:P,'caseload data'!$D:$D,"SPO",'caseload data'!$A:$A,"NPS Yorkshire and The Humber")</f>
        <v>0</v>
      </c>
      <c r="P58" s="204">
        <f>SUMIFS('caseload data'!Q:Q,'caseload data'!$D:$D,"SPO",'caseload data'!$A:$A,"NPS Yorkshire and The Humber")</f>
        <v>0</v>
      </c>
      <c r="Q58" s="204">
        <f>SUMIFS('caseload data'!R:R,'caseload data'!$D:$D,"SPO",'caseload data'!$A:$A,"NPS Yorkshire and The Humber")</f>
        <v>0</v>
      </c>
      <c r="R58" s="204">
        <f>SUMIFS('caseload data'!S:S,'caseload data'!$D:$D,"SPO",'caseload data'!$A:$A,"NPS Yorkshire and The Humber")</f>
        <v>0</v>
      </c>
      <c r="S58" s="204">
        <f>SUMIFS('caseload data'!T:T,'caseload data'!$D:$D,"SPO",'caseload data'!$A:$A,"NPS Yorkshire and The Humber")</f>
        <v>0</v>
      </c>
      <c r="T58" s="126">
        <f>SUMIFS('caseload data'!V:V,'caseload data'!$D:$D,"SPO",'caseload data'!$A:$A,"NPS Yorkshire and The Humber")</f>
        <v>0</v>
      </c>
      <c r="U58" s="95"/>
      <c r="V58" s="95"/>
      <c r="W58" s="332"/>
      <c r="X58" s="163" t="s">
        <v>187</v>
      </c>
      <c r="Y58" s="209" t="e">
        <f t="shared" si="11"/>
        <v>#DIV/0!</v>
      </c>
      <c r="Z58" s="209" t="e">
        <f t="shared" si="11"/>
        <v>#DIV/0!</v>
      </c>
      <c r="AA58" s="209" t="e">
        <f t="shared" si="11"/>
        <v>#DIV/0!</v>
      </c>
      <c r="AB58" s="209" t="e">
        <f t="shared" si="11"/>
        <v>#DIV/0!</v>
      </c>
      <c r="AC58" s="209" t="e">
        <f t="shared" si="11"/>
        <v>#DIV/0!</v>
      </c>
      <c r="AD58" s="209" t="e">
        <f t="shared" si="11"/>
        <v>#DIV/0!</v>
      </c>
      <c r="AE58" s="209" t="e">
        <f t="shared" si="11"/>
        <v>#DIV/0!</v>
      </c>
      <c r="AF58" s="209" t="e">
        <f t="shared" si="11"/>
        <v>#DIV/0!</v>
      </c>
      <c r="AG58" s="209" t="e">
        <f t="shared" si="11"/>
        <v>#DIV/0!</v>
      </c>
      <c r="AH58" s="209" t="e">
        <f t="shared" si="11"/>
        <v>#DIV/0!</v>
      </c>
      <c r="AI58" s="209" t="e">
        <f t="shared" si="11"/>
        <v>#DIV/0!</v>
      </c>
      <c r="AJ58" s="209" t="e">
        <f t="shared" si="11"/>
        <v>#DIV/0!</v>
      </c>
      <c r="AK58" s="209" t="e">
        <f t="shared" si="11"/>
        <v>#DIV/0!</v>
      </c>
      <c r="AL58" s="209" t="e">
        <f t="shared" si="11"/>
        <v>#DIV/0!</v>
      </c>
      <c r="AM58" s="209" t="e">
        <f t="shared" si="11"/>
        <v>#DIV/0!</v>
      </c>
      <c r="AN58" s="209" t="e">
        <f t="shared" si="11"/>
        <v>#DIV/0!</v>
      </c>
    </row>
    <row r="59" spans="2:40" s="30" customFormat="1" x14ac:dyDescent="0.15">
      <c r="B59" s="329" t="s">
        <v>514</v>
      </c>
      <c r="C59" s="161" t="s">
        <v>184</v>
      </c>
      <c r="D59" s="204">
        <f>SUMIFS('caseload data'!E:E,'caseload data'!$D:$D,"PO",'caseload data'!$A:$A,$B$59)</f>
        <v>0</v>
      </c>
      <c r="E59" s="204">
        <f>SUMIFS('caseload data'!F:F,'caseload data'!$D:$D,"PO",'caseload data'!$A:$A,$B$59)</f>
        <v>0</v>
      </c>
      <c r="F59" s="204">
        <f>SUMIFS('caseload data'!G:G,'caseload data'!$D:$D,"PO",'caseload data'!$A:$A,$B$59)</f>
        <v>0</v>
      </c>
      <c r="G59" s="204">
        <f>SUMIFS('caseload data'!H:H,'caseload data'!$D:$D,"PO",'caseload data'!$A:$A,$B$59)</f>
        <v>0</v>
      </c>
      <c r="H59" s="204">
        <f>SUMIFS('caseload data'!I:I,'caseload data'!$D:$D,"PO",'caseload data'!$A:$A,$B$59)</f>
        <v>0</v>
      </c>
      <c r="I59" s="204">
        <f>SUMIFS('caseload data'!J:J,'caseload data'!$D:$D,"PO",'caseload data'!$A:$A,$B$59)</f>
        <v>0</v>
      </c>
      <c r="J59" s="204">
        <f>SUMIFS('caseload data'!K:K,'caseload data'!$D:$D,"PO",'caseload data'!$A:$A,$B$59)</f>
        <v>0</v>
      </c>
      <c r="K59" s="204">
        <f>SUMIFS('caseload data'!L:L,'caseload data'!$D:$D,"PO",'caseload data'!$A:$A,$B$59)</f>
        <v>0</v>
      </c>
      <c r="L59" s="204">
        <f>SUMIFS('caseload data'!M:M,'caseload data'!$D:$D,"PO",'caseload data'!$A:$A,$B$59)</f>
        <v>0</v>
      </c>
      <c r="M59" s="204">
        <f>SUMIFS('caseload data'!N:N,'caseload data'!$D:$D,"PO",'caseload data'!$A:$A,$B$59)</f>
        <v>0</v>
      </c>
      <c r="N59" s="204">
        <f>SUMIFS('caseload data'!O:O,'caseload data'!$D:$D,"PO",'caseload data'!$A:$A,$B$59)</f>
        <v>0</v>
      </c>
      <c r="O59" s="204">
        <f>SUMIFS('caseload data'!P:P,'caseload data'!$D:$D,"PO",'caseload data'!$A:$A,$B$59)</f>
        <v>0</v>
      </c>
      <c r="P59" s="204">
        <f>SUMIFS('caseload data'!Q:Q,'caseload data'!$D:$D,"PO",'caseload data'!$A:$A,$B$59)</f>
        <v>0</v>
      </c>
      <c r="Q59" s="204">
        <f>SUMIFS('caseload data'!R:R,'caseload data'!$D:$D,"PO",'caseload data'!$A:$A,$B$59)</f>
        <v>0</v>
      </c>
      <c r="R59" s="204">
        <f>SUMIFS('caseload data'!S:S,'caseload data'!$D:$D,"PO",'caseload data'!$A:$A,$B$59)</f>
        <v>0</v>
      </c>
      <c r="S59" s="204">
        <f>SUMIFS('caseload data'!T:T,'caseload data'!$D:$D,"PO",'caseload data'!$A:$A,$B$59)</f>
        <v>0</v>
      </c>
      <c r="T59" s="126">
        <f>SUMIFS('caseload data'!V:V,'caseload data'!$D:$D,"PO",'caseload data'!$A:$A,$B$59)</f>
        <v>0</v>
      </c>
      <c r="U59" s="95"/>
      <c r="V59" s="95"/>
      <c r="W59" s="329" t="s">
        <v>514</v>
      </c>
      <c r="X59" s="161" t="s">
        <v>184</v>
      </c>
      <c r="Y59" s="209" t="e">
        <f>SUM(D59)/SUM(D$59:D$62)</f>
        <v>#DIV/0!</v>
      </c>
      <c r="Z59" s="209" t="e">
        <f t="shared" ref="Z59:AN62" si="12">SUM(E59)/SUM(E$59:E$62)</f>
        <v>#DIV/0!</v>
      </c>
      <c r="AA59" s="209" t="e">
        <f t="shared" si="12"/>
        <v>#DIV/0!</v>
      </c>
      <c r="AB59" s="209" t="e">
        <f t="shared" si="12"/>
        <v>#DIV/0!</v>
      </c>
      <c r="AC59" s="209" t="e">
        <f t="shared" si="12"/>
        <v>#DIV/0!</v>
      </c>
      <c r="AD59" s="209" t="e">
        <f t="shared" si="12"/>
        <v>#DIV/0!</v>
      </c>
      <c r="AE59" s="209" t="e">
        <f t="shared" si="12"/>
        <v>#DIV/0!</v>
      </c>
      <c r="AF59" s="209" t="e">
        <f t="shared" si="12"/>
        <v>#DIV/0!</v>
      </c>
      <c r="AG59" s="209" t="e">
        <f t="shared" si="12"/>
        <v>#DIV/0!</v>
      </c>
      <c r="AH59" s="209" t="e">
        <f t="shared" si="12"/>
        <v>#DIV/0!</v>
      </c>
      <c r="AI59" s="209" t="e">
        <f t="shared" si="12"/>
        <v>#DIV/0!</v>
      </c>
      <c r="AJ59" s="209" t="e">
        <f t="shared" si="12"/>
        <v>#DIV/0!</v>
      </c>
      <c r="AK59" s="209" t="e">
        <f t="shared" si="12"/>
        <v>#DIV/0!</v>
      </c>
      <c r="AL59" s="209" t="e">
        <f t="shared" si="12"/>
        <v>#DIV/0!</v>
      </c>
      <c r="AM59" s="209" t="e">
        <f t="shared" si="12"/>
        <v>#DIV/0!</v>
      </c>
      <c r="AN59" s="209" t="e">
        <f t="shared" si="12"/>
        <v>#DIV/0!</v>
      </c>
    </row>
    <row r="60" spans="2:40" s="30" customFormat="1" x14ac:dyDescent="0.15">
      <c r="B60" s="330"/>
      <c r="C60" s="162" t="s">
        <v>185</v>
      </c>
      <c r="D60" s="204">
        <f>SUMIFS('caseload data'!E:E,'caseload data'!$D:$D,"PSO",'caseload data'!$A:$A,$B$59)</f>
        <v>0</v>
      </c>
      <c r="E60" s="204">
        <f>SUMIFS('caseload data'!F:F,'caseload data'!$D:$D,"PSO",'caseload data'!$A:$A,$B$59)</f>
        <v>0</v>
      </c>
      <c r="F60" s="204">
        <f>SUMIFS('caseload data'!G:G,'caseload data'!$D:$D,"PSO",'caseload data'!$A:$A,$B$59)</f>
        <v>0</v>
      </c>
      <c r="G60" s="204">
        <f>SUMIFS('caseload data'!H:H,'caseload data'!$D:$D,"PSO",'caseload data'!$A:$A,$B$59)</f>
        <v>0</v>
      </c>
      <c r="H60" s="204">
        <f>SUMIFS('caseload data'!I:I,'caseload data'!$D:$D,"PSO",'caseload data'!$A:$A,$B$59)</f>
        <v>0</v>
      </c>
      <c r="I60" s="204">
        <f>SUMIFS('caseload data'!J:J,'caseload data'!$D:$D,"PSO",'caseload data'!$A:$A,$B$59)</f>
        <v>0</v>
      </c>
      <c r="J60" s="204">
        <f>SUMIFS('caseload data'!K:K,'caseload data'!$D:$D,"PSO",'caseload data'!$A:$A,$B$59)</f>
        <v>0</v>
      </c>
      <c r="K60" s="204">
        <f>SUMIFS('caseload data'!L:L,'caseload data'!$D:$D,"PSO",'caseload data'!$A:$A,$B$59)</f>
        <v>0</v>
      </c>
      <c r="L60" s="204">
        <f>SUMIFS('caseload data'!M:M,'caseload data'!$D:$D,"PSO",'caseload data'!$A:$A,$B$59)</f>
        <v>0</v>
      </c>
      <c r="M60" s="204">
        <f>SUMIFS('caseload data'!N:N,'caseload data'!$D:$D,"PSO",'caseload data'!$A:$A,$B$59)</f>
        <v>0</v>
      </c>
      <c r="N60" s="204">
        <f>SUMIFS('caseload data'!O:O,'caseload data'!$D:$D,"PSO",'caseload data'!$A:$A,$B$59)</f>
        <v>0</v>
      </c>
      <c r="O60" s="204">
        <f>SUMIFS('caseload data'!P:P,'caseload data'!$D:$D,"PSO",'caseload data'!$A:$A,$B$59)</f>
        <v>0</v>
      </c>
      <c r="P60" s="204">
        <f>SUMIFS('caseload data'!Q:Q,'caseload data'!$D:$D,"PSO",'caseload data'!$A:$A,$B$59)</f>
        <v>0</v>
      </c>
      <c r="Q60" s="204">
        <f>SUMIFS('caseload data'!R:R,'caseload data'!$D:$D,"PSO",'caseload data'!$A:$A,$B$59)</f>
        <v>0</v>
      </c>
      <c r="R60" s="204">
        <f>SUMIFS('caseload data'!S:S,'caseload data'!$D:$D,"PSO",'caseload data'!$A:$A,$B$59)</f>
        <v>0</v>
      </c>
      <c r="S60" s="204">
        <f>SUMIFS('caseload data'!T:T,'caseload data'!$D:$D,"PSO",'caseload data'!$A:$A,$B$59)</f>
        <v>0</v>
      </c>
      <c r="T60" s="126">
        <f>SUMIFS('caseload data'!V:V,'caseload data'!$D:$D,"PSO",'caseload data'!$A:$A,$B$59)</f>
        <v>0</v>
      </c>
      <c r="U60" s="95"/>
      <c r="V60" s="95"/>
      <c r="W60" s="330"/>
      <c r="X60" s="162" t="s">
        <v>185</v>
      </c>
      <c r="Y60" s="209" t="e">
        <f t="shared" ref="Y60:Y62" si="13">SUM(D60)/SUM(D$59:D$62)</f>
        <v>#DIV/0!</v>
      </c>
      <c r="Z60" s="209" t="e">
        <f t="shared" si="12"/>
        <v>#DIV/0!</v>
      </c>
      <c r="AA60" s="209" t="e">
        <f t="shared" si="12"/>
        <v>#DIV/0!</v>
      </c>
      <c r="AB60" s="209" t="e">
        <f t="shared" si="12"/>
        <v>#DIV/0!</v>
      </c>
      <c r="AC60" s="209" t="e">
        <f t="shared" si="12"/>
        <v>#DIV/0!</v>
      </c>
      <c r="AD60" s="209" t="e">
        <f t="shared" si="12"/>
        <v>#DIV/0!</v>
      </c>
      <c r="AE60" s="209" t="e">
        <f t="shared" si="12"/>
        <v>#DIV/0!</v>
      </c>
      <c r="AF60" s="209" t="e">
        <f t="shared" si="12"/>
        <v>#DIV/0!</v>
      </c>
      <c r="AG60" s="209" t="e">
        <f t="shared" si="12"/>
        <v>#DIV/0!</v>
      </c>
      <c r="AH60" s="209" t="e">
        <f t="shared" si="12"/>
        <v>#DIV/0!</v>
      </c>
      <c r="AI60" s="209" t="e">
        <f t="shared" si="12"/>
        <v>#DIV/0!</v>
      </c>
      <c r="AJ60" s="209" t="e">
        <f t="shared" si="12"/>
        <v>#DIV/0!</v>
      </c>
      <c r="AK60" s="209" t="e">
        <f t="shared" si="12"/>
        <v>#DIV/0!</v>
      </c>
      <c r="AL60" s="209" t="e">
        <f t="shared" si="12"/>
        <v>#DIV/0!</v>
      </c>
      <c r="AM60" s="209" t="e">
        <f t="shared" si="12"/>
        <v>#DIV/0!</v>
      </c>
      <c r="AN60" s="209" t="e">
        <f t="shared" si="12"/>
        <v>#DIV/0!</v>
      </c>
    </row>
    <row r="61" spans="2:40" s="30" customFormat="1" x14ac:dyDescent="0.15">
      <c r="B61" s="330"/>
      <c r="C61" s="162" t="s">
        <v>186</v>
      </c>
      <c r="D61" s="204">
        <f>SUMIFS('caseload data'!E:E,'caseload data'!$D:$D,"TPO",'caseload data'!$A:$A,$B$59)</f>
        <v>0</v>
      </c>
      <c r="E61" s="204">
        <f>SUMIFS('caseload data'!F:F,'caseload data'!$D:$D,"TPO",'caseload data'!$A:$A,$B$59)</f>
        <v>0</v>
      </c>
      <c r="F61" s="204">
        <f>SUMIFS('caseload data'!G:G,'caseload data'!$D:$D,"TPO",'caseload data'!$A:$A,$B$59)</f>
        <v>0</v>
      </c>
      <c r="G61" s="204">
        <f>SUMIFS('caseload data'!H:H,'caseload data'!$D:$D,"TPO",'caseload data'!$A:$A,$B$59)</f>
        <v>0</v>
      </c>
      <c r="H61" s="204">
        <f>SUMIFS('caseload data'!I:I,'caseload data'!$D:$D,"TPO",'caseload data'!$A:$A,$B$59)</f>
        <v>0</v>
      </c>
      <c r="I61" s="204">
        <f>SUMIFS('caseload data'!J:J,'caseload data'!$D:$D,"TPO",'caseload data'!$A:$A,$B$59)</f>
        <v>0</v>
      </c>
      <c r="J61" s="204">
        <f>SUMIFS('caseload data'!K:K,'caseload data'!$D:$D,"TPO",'caseload data'!$A:$A,$B$59)</f>
        <v>0</v>
      </c>
      <c r="K61" s="204">
        <f>SUMIFS('caseload data'!L:L,'caseload data'!$D:$D,"TPO",'caseload data'!$A:$A,$B$59)</f>
        <v>0</v>
      </c>
      <c r="L61" s="204">
        <f>SUMIFS('caseload data'!M:M,'caseload data'!$D:$D,"TPO",'caseload data'!$A:$A,$B$59)</f>
        <v>0</v>
      </c>
      <c r="M61" s="204">
        <f>SUMIFS('caseload data'!N:N,'caseload data'!$D:$D,"TPO",'caseload data'!$A:$A,$B$59)</f>
        <v>0</v>
      </c>
      <c r="N61" s="204">
        <f>SUMIFS('caseload data'!O:O,'caseload data'!$D:$D,"TPO",'caseload data'!$A:$A,$B$59)</f>
        <v>0</v>
      </c>
      <c r="O61" s="204">
        <f>SUMIFS('caseload data'!P:P,'caseload data'!$D:$D,"TPO",'caseload data'!$A:$A,$B$59)</f>
        <v>0</v>
      </c>
      <c r="P61" s="204">
        <f>SUMIFS('caseload data'!Q:Q,'caseload data'!$D:$D,"TPO",'caseload data'!$A:$A,$B$59)</f>
        <v>0</v>
      </c>
      <c r="Q61" s="204">
        <f>SUMIFS('caseload data'!R:R,'caseload data'!$D:$D,"TPO",'caseload data'!$A:$A,$B$59)</f>
        <v>0</v>
      </c>
      <c r="R61" s="204">
        <f>SUMIFS('caseload data'!S:S,'caseload data'!$D:$D,"TPO",'caseload data'!$A:$A,$B$59)</f>
        <v>0</v>
      </c>
      <c r="S61" s="204">
        <f>SUMIFS('caseload data'!T:T,'caseload data'!$D:$D,"TPO",'caseload data'!$A:$A,$B$59)</f>
        <v>0</v>
      </c>
      <c r="T61" s="126">
        <f>SUMIFS('caseload data'!V:V,'caseload data'!$D:$D,"TPO",'caseload data'!$A:$A,$B$59)</f>
        <v>0</v>
      </c>
      <c r="U61" s="95"/>
      <c r="V61" s="95"/>
      <c r="W61" s="330"/>
      <c r="X61" s="162" t="s">
        <v>186</v>
      </c>
      <c r="Y61" s="209" t="e">
        <f t="shared" si="13"/>
        <v>#DIV/0!</v>
      </c>
      <c r="Z61" s="209" t="e">
        <f t="shared" si="12"/>
        <v>#DIV/0!</v>
      </c>
      <c r="AA61" s="209" t="e">
        <f t="shared" si="12"/>
        <v>#DIV/0!</v>
      </c>
      <c r="AB61" s="209" t="e">
        <f t="shared" si="12"/>
        <v>#DIV/0!</v>
      </c>
      <c r="AC61" s="209" t="e">
        <f t="shared" si="12"/>
        <v>#DIV/0!</v>
      </c>
      <c r="AD61" s="209" t="e">
        <f t="shared" si="12"/>
        <v>#DIV/0!</v>
      </c>
      <c r="AE61" s="209" t="e">
        <f t="shared" si="12"/>
        <v>#DIV/0!</v>
      </c>
      <c r="AF61" s="209" t="e">
        <f t="shared" si="12"/>
        <v>#DIV/0!</v>
      </c>
      <c r="AG61" s="209" t="e">
        <f t="shared" si="12"/>
        <v>#DIV/0!</v>
      </c>
      <c r="AH61" s="209" t="e">
        <f t="shared" si="12"/>
        <v>#DIV/0!</v>
      </c>
      <c r="AI61" s="209" t="e">
        <f t="shared" si="12"/>
        <v>#DIV/0!</v>
      </c>
      <c r="AJ61" s="209" t="e">
        <f t="shared" si="12"/>
        <v>#DIV/0!</v>
      </c>
      <c r="AK61" s="209" t="e">
        <f t="shared" si="12"/>
        <v>#DIV/0!</v>
      </c>
      <c r="AL61" s="209" t="e">
        <f t="shared" si="12"/>
        <v>#DIV/0!</v>
      </c>
      <c r="AM61" s="209" t="e">
        <f t="shared" si="12"/>
        <v>#DIV/0!</v>
      </c>
      <c r="AN61" s="209" t="e">
        <f t="shared" si="12"/>
        <v>#DIV/0!</v>
      </c>
    </row>
    <row r="62" spans="2:40" s="30" customFormat="1" x14ac:dyDescent="0.15">
      <c r="B62" s="331"/>
      <c r="C62" s="162" t="s">
        <v>187</v>
      </c>
      <c r="D62" s="204">
        <f>SUMIFS('caseload data'!E:E,'caseload data'!$D:$D,"SPO",'caseload data'!$A:$A,$B$59)</f>
        <v>0</v>
      </c>
      <c r="E62" s="204">
        <f>SUMIFS('caseload data'!F:F,'caseload data'!$D:$D,"SPO",'caseload data'!$A:$A,$B$59)</f>
        <v>0</v>
      </c>
      <c r="F62" s="204">
        <f>SUMIFS('caseload data'!G:G,'caseload data'!$D:$D,"SPO",'caseload data'!$A:$A,$B$59)</f>
        <v>0</v>
      </c>
      <c r="G62" s="204">
        <f>SUMIFS('caseload data'!H:H,'caseload data'!$D:$D,"SPO",'caseload data'!$A:$A,$B$59)</f>
        <v>0</v>
      </c>
      <c r="H62" s="204">
        <f>SUMIFS('caseload data'!I:I,'caseload data'!$D:$D,"SPO",'caseload data'!$A:$A,$B$59)</f>
        <v>0</v>
      </c>
      <c r="I62" s="204">
        <f>SUMIFS('caseload data'!J:J,'caseload data'!$D:$D,"SPO",'caseload data'!$A:$A,$B$59)</f>
        <v>0</v>
      </c>
      <c r="J62" s="204">
        <f>SUMIFS('caseload data'!K:K,'caseload data'!$D:$D,"SPO",'caseload data'!$A:$A,$B$59)</f>
        <v>0</v>
      </c>
      <c r="K62" s="204">
        <f>SUMIFS('caseload data'!L:L,'caseload data'!$D:$D,"SPO",'caseload data'!$A:$A,$B$59)</f>
        <v>0</v>
      </c>
      <c r="L62" s="204">
        <f>SUMIFS('caseload data'!M:M,'caseload data'!$D:$D,"SPO",'caseload data'!$A:$A,$B$59)</f>
        <v>0</v>
      </c>
      <c r="M62" s="204">
        <f>SUMIFS('caseload data'!N:N,'caseload data'!$D:$D,"SPO",'caseload data'!$A:$A,$B$59)</f>
        <v>0</v>
      </c>
      <c r="N62" s="204">
        <f>SUMIFS('caseload data'!O:O,'caseload data'!$D:$D,"SPO",'caseload data'!$A:$A,$B$59)</f>
        <v>0</v>
      </c>
      <c r="O62" s="204">
        <f>SUMIFS('caseload data'!P:P,'caseload data'!$D:$D,"SPO",'caseload data'!$A:$A,$B$59)</f>
        <v>0</v>
      </c>
      <c r="P62" s="204">
        <f>SUMIFS('caseload data'!Q:Q,'caseload data'!$D:$D,"SPO",'caseload data'!$A:$A,$B$59)</f>
        <v>0</v>
      </c>
      <c r="Q62" s="204">
        <f>SUMIFS('caseload data'!R:R,'caseload data'!$D:$D,"SPO",'caseload data'!$A:$A,$B$59)</f>
        <v>0</v>
      </c>
      <c r="R62" s="204">
        <f>SUMIFS('caseload data'!S:S,'caseload data'!$D:$D,"SPO",'caseload data'!$A:$A,$B$59)</f>
        <v>0</v>
      </c>
      <c r="S62" s="204">
        <f>SUMIFS('caseload data'!T:T,'caseload data'!$D:$D,"SPO",'caseload data'!$A:$A,$B$59)</f>
        <v>0</v>
      </c>
      <c r="T62" s="126">
        <f>SUMIFS('caseload data'!V:V,'caseload data'!$D:$D,"SPO",'caseload data'!$A:$A,$B$59)</f>
        <v>0</v>
      </c>
      <c r="U62" s="95"/>
      <c r="V62" s="95"/>
      <c r="W62" s="331"/>
      <c r="X62" s="163" t="s">
        <v>187</v>
      </c>
      <c r="Y62" s="209" t="e">
        <f t="shared" si="13"/>
        <v>#DIV/0!</v>
      </c>
      <c r="Z62" s="209" t="e">
        <f t="shared" si="12"/>
        <v>#DIV/0!</v>
      </c>
      <c r="AA62" s="209" t="e">
        <f t="shared" si="12"/>
        <v>#DIV/0!</v>
      </c>
      <c r="AB62" s="209" t="e">
        <f t="shared" si="12"/>
        <v>#DIV/0!</v>
      </c>
      <c r="AC62" s="209" t="e">
        <f t="shared" si="12"/>
        <v>#DIV/0!</v>
      </c>
      <c r="AD62" s="209" t="e">
        <f t="shared" si="12"/>
        <v>#DIV/0!</v>
      </c>
      <c r="AE62" s="209" t="e">
        <f t="shared" si="12"/>
        <v>#DIV/0!</v>
      </c>
      <c r="AF62" s="209" t="e">
        <f t="shared" si="12"/>
        <v>#DIV/0!</v>
      </c>
      <c r="AG62" s="209" t="e">
        <f t="shared" si="12"/>
        <v>#DIV/0!</v>
      </c>
      <c r="AH62" s="209" t="e">
        <f t="shared" si="12"/>
        <v>#DIV/0!</v>
      </c>
      <c r="AI62" s="209" t="e">
        <f t="shared" si="12"/>
        <v>#DIV/0!</v>
      </c>
      <c r="AJ62" s="209" t="e">
        <f t="shared" si="12"/>
        <v>#DIV/0!</v>
      </c>
      <c r="AK62" s="209" t="e">
        <f t="shared" si="12"/>
        <v>#DIV/0!</v>
      </c>
      <c r="AL62" s="209" t="e">
        <f t="shared" si="12"/>
        <v>#DIV/0!</v>
      </c>
      <c r="AM62" s="209" t="e">
        <f t="shared" si="12"/>
        <v>#DIV/0!</v>
      </c>
      <c r="AN62" s="209" t="e">
        <f t="shared" si="12"/>
        <v>#DIV/0!</v>
      </c>
    </row>
    <row r="63" spans="2:40" s="30" customFormat="1" x14ac:dyDescent="0.15">
      <c r="B63" s="329" t="s">
        <v>515</v>
      </c>
      <c r="C63" s="161" t="s">
        <v>184</v>
      </c>
      <c r="D63" s="204">
        <f>SUMIFS('caseload data'!E:E,'caseload data'!$D:$D,"PO",'caseload data'!$A:$A,$B$63)</f>
        <v>0</v>
      </c>
      <c r="E63" s="204">
        <f>SUMIFS('caseload data'!F:F,'caseload data'!$D:$D,"PO",'caseload data'!$A:$A,$B$63)</f>
        <v>0</v>
      </c>
      <c r="F63" s="204">
        <f>SUMIFS('caseload data'!G:G,'caseload data'!$D:$D,"PO",'caseload data'!$A:$A,$B$63)</f>
        <v>0</v>
      </c>
      <c r="G63" s="204">
        <f>SUMIFS('caseload data'!H:H,'caseload data'!$D:$D,"PO",'caseload data'!$A:$A,$B$63)</f>
        <v>0</v>
      </c>
      <c r="H63" s="204">
        <f>SUMIFS('caseload data'!I:I,'caseload data'!$D:$D,"PO",'caseload data'!$A:$A,$B$63)</f>
        <v>0</v>
      </c>
      <c r="I63" s="204">
        <f>SUMIFS('caseload data'!J:J,'caseload data'!$D:$D,"PO",'caseload data'!$A:$A,$B$63)</f>
        <v>0</v>
      </c>
      <c r="J63" s="204">
        <f>SUMIFS('caseload data'!K:K,'caseload data'!$D:$D,"PO",'caseload data'!$A:$A,$B$63)</f>
        <v>0</v>
      </c>
      <c r="K63" s="204">
        <f>SUMIFS('caseload data'!L:L,'caseload data'!$D:$D,"PO",'caseload data'!$A:$A,$B$63)</f>
        <v>0</v>
      </c>
      <c r="L63" s="204">
        <f>SUMIFS('caseload data'!M:M,'caseload data'!$D:$D,"PO",'caseload data'!$A:$A,$B$63)</f>
        <v>0</v>
      </c>
      <c r="M63" s="204">
        <f>SUMIFS('caseload data'!N:N,'caseload data'!$D:$D,"PO",'caseload data'!$A:$A,$B$63)</f>
        <v>0</v>
      </c>
      <c r="N63" s="204">
        <f>SUMIFS('caseload data'!O:O,'caseload data'!$D:$D,"PO",'caseload data'!$A:$A,$B$63)</f>
        <v>0</v>
      </c>
      <c r="O63" s="204">
        <f>SUMIFS('caseload data'!P:P,'caseload data'!$D:$D,"PO",'caseload data'!$A:$A,$B$63)</f>
        <v>0</v>
      </c>
      <c r="P63" s="204">
        <f>SUMIFS('caseload data'!Q:Q,'caseload data'!$D:$D,"PO",'caseload data'!$A:$A,$B$63)</f>
        <v>0</v>
      </c>
      <c r="Q63" s="204">
        <f>SUMIFS('caseload data'!R:R,'caseload data'!$D:$D,"PO",'caseload data'!$A:$A,$B$63)</f>
        <v>0</v>
      </c>
      <c r="R63" s="204">
        <f>SUMIFS('caseload data'!S:S,'caseload data'!$D:$D,"PO",'caseload data'!$A:$A,$B$63)</f>
        <v>0</v>
      </c>
      <c r="S63" s="204">
        <f>SUMIFS('caseload data'!T:T,'caseload data'!$D:$D,"PO",'caseload data'!$A:$A,$B$63)</f>
        <v>0</v>
      </c>
      <c r="T63" s="126">
        <f>SUMIFS('caseload data'!V:V,'caseload data'!$D:$D,"PO",'caseload data'!$A:$A,$B$63)</f>
        <v>0</v>
      </c>
      <c r="U63" s="95"/>
      <c r="V63" s="95"/>
      <c r="W63" s="329" t="s">
        <v>515</v>
      </c>
      <c r="X63" s="161" t="s">
        <v>184</v>
      </c>
      <c r="Y63" s="209" t="e">
        <f>SUM(D63)/SUM(D$63:D$66)</f>
        <v>#DIV/0!</v>
      </c>
      <c r="Z63" s="209" t="e">
        <f t="shared" ref="Z63:AN66" si="14">SUM(E63)/SUM(E$63:E$66)</f>
        <v>#DIV/0!</v>
      </c>
      <c r="AA63" s="209" t="e">
        <f t="shared" si="14"/>
        <v>#DIV/0!</v>
      </c>
      <c r="AB63" s="209" t="e">
        <f t="shared" si="14"/>
        <v>#DIV/0!</v>
      </c>
      <c r="AC63" s="209" t="e">
        <f t="shared" si="14"/>
        <v>#DIV/0!</v>
      </c>
      <c r="AD63" s="209" t="e">
        <f t="shared" si="14"/>
        <v>#DIV/0!</v>
      </c>
      <c r="AE63" s="209" t="e">
        <f t="shared" si="14"/>
        <v>#DIV/0!</v>
      </c>
      <c r="AF63" s="209" t="e">
        <f t="shared" si="14"/>
        <v>#DIV/0!</v>
      </c>
      <c r="AG63" s="209" t="e">
        <f t="shared" si="14"/>
        <v>#DIV/0!</v>
      </c>
      <c r="AH63" s="209" t="e">
        <f t="shared" si="14"/>
        <v>#DIV/0!</v>
      </c>
      <c r="AI63" s="209" t="e">
        <f t="shared" si="14"/>
        <v>#DIV/0!</v>
      </c>
      <c r="AJ63" s="209" t="e">
        <f t="shared" si="14"/>
        <v>#DIV/0!</v>
      </c>
      <c r="AK63" s="209" t="e">
        <f t="shared" si="14"/>
        <v>#DIV/0!</v>
      </c>
      <c r="AL63" s="209" t="e">
        <f t="shared" si="14"/>
        <v>#DIV/0!</v>
      </c>
      <c r="AM63" s="209" t="e">
        <f t="shared" si="14"/>
        <v>#DIV/0!</v>
      </c>
      <c r="AN63" s="209" t="e">
        <f t="shared" si="14"/>
        <v>#DIV/0!</v>
      </c>
    </row>
    <row r="64" spans="2:40" s="30" customFormat="1" x14ac:dyDescent="0.15">
      <c r="B64" s="330"/>
      <c r="C64" s="162" t="s">
        <v>185</v>
      </c>
      <c r="D64" s="204">
        <f>SUMIFS('caseload data'!E:E,'caseload data'!$D:$D,"PSO",'caseload data'!$A:$A,$B$63)</f>
        <v>0</v>
      </c>
      <c r="E64" s="204">
        <f>SUMIFS('caseload data'!F:F,'caseload data'!$D:$D,"PSO",'caseload data'!$A:$A,$B$63)</f>
        <v>0</v>
      </c>
      <c r="F64" s="204">
        <f>SUMIFS('caseload data'!G:G,'caseload data'!$D:$D,"PSO",'caseload data'!$A:$A,$B$63)</f>
        <v>0</v>
      </c>
      <c r="G64" s="204">
        <f>SUMIFS('caseload data'!H:H,'caseload data'!$D:$D,"PSO",'caseload data'!$A:$A,$B$63)</f>
        <v>0</v>
      </c>
      <c r="H64" s="204">
        <f>SUMIFS('caseload data'!I:I,'caseload data'!$D:$D,"PSO",'caseload data'!$A:$A,$B$63)</f>
        <v>0</v>
      </c>
      <c r="I64" s="204">
        <f>SUMIFS('caseload data'!J:J,'caseload data'!$D:$D,"PSO",'caseload data'!$A:$A,$B$63)</f>
        <v>0</v>
      </c>
      <c r="J64" s="204">
        <f>SUMIFS('caseload data'!K:K,'caseload data'!$D:$D,"PSO",'caseload data'!$A:$A,$B$63)</f>
        <v>0</v>
      </c>
      <c r="K64" s="204">
        <f>SUMIFS('caseload data'!L:L,'caseload data'!$D:$D,"PSO",'caseload data'!$A:$A,$B$63)</f>
        <v>0</v>
      </c>
      <c r="L64" s="204">
        <f>SUMIFS('caseload data'!M:M,'caseload data'!$D:$D,"PSO",'caseload data'!$A:$A,$B$63)</f>
        <v>0</v>
      </c>
      <c r="M64" s="204">
        <f>SUMIFS('caseload data'!N:N,'caseload data'!$D:$D,"PSO",'caseload data'!$A:$A,$B$63)</f>
        <v>0</v>
      </c>
      <c r="N64" s="204">
        <f>SUMIFS('caseload data'!O:O,'caseload data'!$D:$D,"PSO",'caseload data'!$A:$A,$B$63)</f>
        <v>0</v>
      </c>
      <c r="O64" s="204">
        <f>SUMIFS('caseload data'!P:P,'caseload data'!$D:$D,"PSO",'caseload data'!$A:$A,$B$63)</f>
        <v>0</v>
      </c>
      <c r="P64" s="204">
        <f>SUMIFS('caseload data'!Q:Q,'caseload data'!$D:$D,"PSO",'caseload data'!$A:$A,$B$63)</f>
        <v>0</v>
      </c>
      <c r="Q64" s="204">
        <f>SUMIFS('caseload data'!R:R,'caseload data'!$D:$D,"PSO",'caseload data'!$A:$A,$B$63)</f>
        <v>0</v>
      </c>
      <c r="R64" s="204">
        <f>SUMIFS('caseload data'!S:S,'caseload data'!$D:$D,"PSO",'caseload data'!$A:$A,$B$63)</f>
        <v>0</v>
      </c>
      <c r="S64" s="204">
        <f>SUMIFS('caseload data'!T:T,'caseload data'!$D:$D,"PSO",'caseload data'!$A:$A,$B$63)</f>
        <v>0</v>
      </c>
      <c r="T64" s="126">
        <f>SUMIFS('caseload data'!V:V,'caseload data'!$D:$D,"PSO",'caseload data'!$A:$A,$B$63)</f>
        <v>0</v>
      </c>
      <c r="U64" s="95"/>
      <c r="V64" s="95"/>
      <c r="W64" s="330"/>
      <c r="X64" s="162" t="s">
        <v>185</v>
      </c>
      <c r="Y64" s="209" t="e">
        <f t="shared" ref="Y64:Y66" si="15">SUM(D64)/SUM(D$63:D$66)</f>
        <v>#DIV/0!</v>
      </c>
      <c r="Z64" s="209" t="e">
        <f t="shared" si="14"/>
        <v>#DIV/0!</v>
      </c>
      <c r="AA64" s="209" t="e">
        <f t="shared" si="14"/>
        <v>#DIV/0!</v>
      </c>
      <c r="AB64" s="209" t="e">
        <f t="shared" si="14"/>
        <v>#DIV/0!</v>
      </c>
      <c r="AC64" s="209" t="e">
        <f t="shared" si="14"/>
        <v>#DIV/0!</v>
      </c>
      <c r="AD64" s="209" t="e">
        <f t="shared" si="14"/>
        <v>#DIV/0!</v>
      </c>
      <c r="AE64" s="209" t="e">
        <f t="shared" si="14"/>
        <v>#DIV/0!</v>
      </c>
      <c r="AF64" s="209" t="e">
        <f t="shared" si="14"/>
        <v>#DIV/0!</v>
      </c>
      <c r="AG64" s="209" t="e">
        <f t="shared" si="14"/>
        <v>#DIV/0!</v>
      </c>
      <c r="AH64" s="209" t="e">
        <f t="shared" si="14"/>
        <v>#DIV/0!</v>
      </c>
      <c r="AI64" s="209" t="e">
        <f t="shared" si="14"/>
        <v>#DIV/0!</v>
      </c>
      <c r="AJ64" s="209" t="e">
        <f t="shared" si="14"/>
        <v>#DIV/0!</v>
      </c>
      <c r="AK64" s="209" t="e">
        <f t="shared" si="14"/>
        <v>#DIV/0!</v>
      </c>
      <c r="AL64" s="209" t="e">
        <f t="shared" si="14"/>
        <v>#DIV/0!</v>
      </c>
      <c r="AM64" s="209" t="e">
        <f t="shared" si="14"/>
        <v>#DIV/0!</v>
      </c>
      <c r="AN64" s="209" t="e">
        <f t="shared" si="14"/>
        <v>#DIV/0!</v>
      </c>
    </row>
    <row r="65" spans="2:40" s="30" customFormat="1" x14ac:dyDescent="0.15">
      <c r="B65" s="330"/>
      <c r="C65" s="162" t="s">
        <v>186</v>
      </c>
      <c r="D65" s="204">
        <f>SUMIFS('caseload data'!E:E,'caseload data'!$D:$D,"TPO",'caseload data'!$A:$A,$B$63)</f>
        <v>0</v>
      </c>
      <c r="E65" s="204">
        <f>SUMIFS('caseload data'!F:F,'caseload data'!$D:$D,"TPO",'caseload data'!$A:$A,$B$63)</f>
        <v>0</v>
      </c>
      <c r="F65" s="204">
        <f>SUMIFS('caseload data'!G:G,'caseload data'!$D:$D,"TPO",'caseload data'!$A:$A,$B$63)</f>
        <v>0</v>
      </c>
      <c r="G65" s="204">
        <f>SUMIFS('caseload data'!H:H,'caseload data'!$D:$D,"TPO",'caseload data'!$A:$A,$B$63)</f>
        <v>0</v>
      </c>
      <c r="H65" s="204">
        <f>SUMIFS('caseload data'!I:I,'caseload data'!$D:$D,"TPO",'caseload data'!$A:$A,$B$63)</f>
        <v>0</v>
      </c>
      <c r="I65" s="204">
        <f>SUMIFS('caseload data'!J:J,'caseload data'!$D:$D,"TPO",'caseload data'!$A:$A,$B$63)</f>
        <v>0</v>
      </c>
      <c r="J65" s="204">
        <f>SUMIFS('caseload data'!K:K,'caseload data'!$D:$D,"TPO",'caseload data'!$A:$A,$B$63)</f>
        <v>0</v>
      </c>
      <c r="K65" s="204">
        <f>SUMIFS('caseload data'!L:L,'caseload data'!$D:$D,"TPO",'caseload data'!$A:$A,$B$63)</f>
        <v>0</v>
      </c>
      <c r="L65" s="204">
        <f>SUMIFS('caseload data'!M:M,'caseload data'!$D:$D,"TPO",'caseload data'!$A:$A,$B$63)</f>
        <v>0</v>
      </c>
      <c r="M65" s="204">
        <f>SUMIFS('caseload data'!N:N,'caseload data'!$D:$D,"TPO",'caseload data'!$A:$A,$B$63)</f>
        <v>0</v>
      </c>
      <c r="N65" s="204">
        <f>SUMIFS('caseload data'!O:O,'caseload data'!$D:$D,"TPO",'caseload data'!$A:$A,$B$63)</f>
        <v>0</v>
      </c>
      <c r="O65" s="204">
        <f>SUMIFS('caseload data'!P:P,'caseload data'!$D:$D,"TPO",'caseload data'!$A:$A,$B$63)</f>
        <v>0</v>
      </c>
      <c r="P65" s="204">
        <f>SUMIFS('caseload data'!Q:Q,'caseload data'!$D:$D,"TPO",'caseload data'!$A:$A,$B$63)</f>
        <v>0</v>
      </c>
      <c r="Q65" s="204">
        <f>SUMIFS('caseload data'!R:R,'caseload data'!$D:$D,"TPO",'caseload data'!$A:$A,$B$63)</f>
        <v>0</v>
      </c>
      <c r="R65" s="204">
        <f>SUMIFS('caseload data'!S:S,'caseload data'!$D:$D,"TPO",'caseload data'!$A:$A,$B$63)</f>
        <v>0</v>
      </c>
      <c r="S65" s="204">
        <f>SUMIFS('caseload data'!T:T,'caseload data'!$D:$D,"TPO",'caseload data'!$A:$A,$B$63)</f>
        <v>0</v>
      </c>
      <c r="T65" s="126">
        <f>SUMIFS('caseload data'!V:V,'caseload data'!$D:$D,"TPO",'caseload data'!$A:$A,$B$63)</f>
        <v>0</v>
      </c>
      <c r="U65" s="95"/>
      <c r="V65" s="95"/>
      <c r="W65" s="330"/>
      <c r="X65" s="162" t="s">
        <v>186</v>
      </c>
      <c r="Y65" s="209" t="e">
        <f t="shared" si="15"/>
        <v>#DIV/0!</v>
      </c>
      <c r="Z65" s="209" t="e">
        <f t="shared" si="14"/>
        <v>#DIV/0!</v>
      </c>
      <c r="AA65" s="209" t="e">
        <f t="shared" si="14"/>
        <v>#DIV/0!</v>
      </c>
      <c r="AB65" s="209" t="e">
        <f t="shared" si="14"/>
        <v>#DIV/0!</v>
      </c>
      <c r="AC65" s="209" t="e">
        <f t="shared" si="14"/>
        <v>#DIV/0!</v>
      </c>
      <c r="AD65" s="209" t="e">
        <f t="shared" si="14"/>
        <v>#DIV/0!</v>
      </c>
      <c r="AE65" s="209" t="e">
        <f t="shared" si="14"/>
        <v>#DIV/0!</v>
      </c>
      <c r="AF65" s="209" t="e">
        <f t="shared" si="14"/>
        <v>#DIV/0!</v>
      </c>
      <c r="AG65" s="209" t="e">
        <f t="shared" si="14"/>
        <v>#DIV/0!</v>
      </c>
      <c r="AH65" s="209" t="e">
        <f t="shared" si="14"/>
        <v>#DIV/0!</v>
      </c>
      <c r="AI65" s="209" t="e">
        <f t="shared" si="14"/>
        <v>#DIV/0!</v>
      </c>
      <c r="AJ65" s="209" t="e">
        <f t="shared" si="14"/>
        <v>#DIV/0!</v>
      </c>
      <c r="AK65" s="209" t="e">
        <f t="shared" si="14"/>
        <v>#DIV/0!</v>
      </c>
      <c r="AL65" s="209" t="e">
        <f t="shared" si="14"/>
        <v>#DIV/0!</v>
      </c>
      <c r="AM65" s="209" t="e">
        <f t="shared" si="14"/>
        <v>#DIV/0!</v>
      </c>
      <c r="AN65" s="209" t="e">
        <f t="shared" si="14"/>
        <v>#DIV/0!</v>
      </c>
    </row>
    <row r="66" spans="2:40" s="30" customFormat="1" x14ac:dyDescent="0.15">
      <c r="B66" s="331"/>
      <c r="C66" s="163" t="s">
        <v>187</v>
      </c>
      <c r="D66" s="204">
        <f>SUMIFS('caseload data'!E:E,'caseload data'!$D:$D,"SPO",'caseload data'!$A:$A,$B$63)</f>
        <v>0</v>
      </c>
      <c r="E66" s="204">
        <f>SUMIFS('caseload data'!F:F,'caseload data'!$D:$D,"SPO",'caseload data'!$A:$A,$B$63)</f>
        <v>0</v>
      </c>
      <c r="F66" s="204">
        <f>SUMIFS('caseload data'!G:G,'caseload data'!$D:$D,"SPO",'caseload data'!$A:$A,$B$63)</f>
        <v>0</v>
      </c>
      <c r="G66" s="204">
        <f>SUMIFS('caseload data'!H:H,'caseload data'!$D:$D,"SPO",'caseload data'!$A:$A,$B$63)</f>
        <v>0</v>
      </c>
      <c r="H66" s="204">
        <f>SUMIFS('caseload data'!I:I,'caseload data'!$D:$D,"SPO",'caseload data'!$A:$A,$B$63)</f>
        <v>0</v>
      </c>
      <c r="I66" s="204">
        <f>SUMIFS('caseload data'!J:J,'caseload data'!$D:$D,"SPO",'caseload data'!$A:$A,$B$63)</f>
        <v>0</v>
      </c>
      <c r="J66" s="204">
        <f>SUMIFS('caseload data'!K:K,'caseload data'!$D:$D,"SPO",'caseload data'!$A:$A,$B$63)</f>
        <v>0</v>
      </c>
      <c r="K66" s="204">
        <f>SUMIFS('caseload data'!L:L,'caseload data'!$D:$D,"SPO",'caseload data'!$A:$A,$B$63)</f>
        <v>0</v>
      </c>
      <c r="L66" s="204">
        <f>SUMIFS('caseload data'!M:M,'caseload data'!$D:$D,"SPO",'caseload data'!$A:$A,$B$63)</f>
        <v>0</v>
      </c>
      <c r="M66" s="204">
        <f>SUMIFS('caseload data'!N:N,'caseload data'!$D:$D,"SPO",'caseload data'!$A:$A,$B$63)</f>
        <v>0</v>
      </c>
      <c r="N66" s="204">
        <f>SUMIFS('caseload data'!O:O,'caseload data'!$D:$D,"SPO",'caseload data'!$A:$A,$B$63)</f>
        <v>0</v>
      </c>
      <c r="O66" s="204">
        <f>SUMIFS('caseload data'!P:P,'caseload data'!$D:$D,"SPO",'caseload data'!$A:$A,$B$63)</f>
        <v>0</v>
      </c>
      <c r="P66" s="204">
        <f>SUMIFS('caseload data'!Q:Q,'caseload data'!$D:$D,"SPO",'caseload data'!$A:$A,$B$63)</f>
        <v>0</v>
      </c>
      <c r="Q66" s="204">
        <f>SUMIFS('caseload data'!R:R,'caseload data'!$D:$D,"SPO",'caseload data'!$A:$A,$B$63)</f>
        <v>0</v>
      </c>
      <c r="R66" s="204">
        <f>SUMIFS('caseload data'!S:S,'caseload data'!$D:$D,"SPO",'caseload data'!$A:$A,$B$63)</f>
        <v>0</v>
      </c>
      <c r="S66" s="204">
        <f>SUMIFS('caseload data'!T:T,'caseload data'!$D:$D,"SPO",'caseload data'!$A:$A,$B$63)</f>
        <v>0</v>
      </c>
      <c r="T66" s="126">
        <f>SUMIFS('caseload data'!V:V,'caseload data'!$D:$D,"SPO",'caseload data'!$A:$A,$B$63)</f>
        <v>0</v>
      </c>
      <c r="U66" s="95"/>
      <c r="V66" s="95"/>
      <c r="W66" s="331"/>
      <c r="X66" s="163" t="s">
        <v>187</v>
      </c>
      <c r="Y66" s="209" t="e">
        <f t="shared" si="15"/>
        <v>#DIV/0!</v>
      </c>
      <c r="Z66" s="209" t="e">
        <f t="shared" si="14"/>
        <v>#DIV/0!</v>
      </c>
      <c r="AA66" s="209" t="e">
        <f t="shared" si="14"/>
        <v>#DIV/0!</v>
      </c>
      <c r="AB66" s="209" t="e">
        <f t="shared" si="14"/>
        <v>#DIV/0!</v>
      </c>
      <c r="AC66" s="209" t="e">
        <f t="shared" si="14"/>
        <v>#DIV/0!</v>
      </c>
      <c r="AD66" s="209" t="e">
        <f t="shared" si="14"/>
        <v>#DIV/0!</v>
      </c>
      <c r="AE66" s="209" t="e">
        <f t="shared" si="14"/>
        <v>#DIV/0!</v>
      </c>
      <c r="AF66" s="209" t="e">
        <f t="shared" si="14"/>
        <v>#DIV/0!</v>
      </c>
      <c r="AG66" s="209" t="e">
        <f t="shared" si="14"/>
        <v>#DIV/0!</v>
      </c>
      <c r="AH66" s="209" t="e">
        <f t="shared" si="14"/>
        <v>#DIV/0!</v>
      </c>
      <c r="AI66" s="209" t="e">
        <f t="shared" si="14"/>
        <v>#DIV/0!</v>
      </c>
      <c r="AJ66" s="209" t="e">
        <f t="shared" si="14"/>
        <v>#DIV/0!</v>
      </c>
      <c r="AK66" s="209" t="e">
        <f t="shared" si="14"/>
        <v>#DIV/0!</v>
      </c>
      <c r="AL66" s="209" t="e">
        <f t="shared" si="14"/>
        <v>#DIV/0!</v>
      </c>
      <c r="AM66" s="209" t="e">
        <f t="shared" si="14"/>
        <v>#DIV/0!</v>
      </c>
      <c r="AN66" s="209" t="e">
        <f t="shared" si="14"/>
        <v>#DIV/0!</v>
      </c>
    </row>
    <row r="67" spans="2:40" s="30" customFormat="1" x14ac:dyDescent="0.15">
      <c r="B67" s="329" t="s">
        <v>516</v>
      </c>
      <c r="C67" s="161" t="s">
        <v>184</v>
      </c>
      <c r="D67" s="204">
        <f>SUMIFS('caseload data'!E:E,'caseload data'!$D:$D,"PO",'caseload data'!$A:$A,$B$67)</f>
        <v>0</v>
      </c>
      <c r="E67" s="204">
        <f>SUMIFS('caseload data'!F:F,'caseload data'!$D:$D,"PO",'caseload data'!$A:$A,$B$67)</f>
        <v>0</v>
      </c>
      <c r="F67" s="204">
        <f>SUMIFS('caseload data'!G:G,'caseload data'!$D:$D,"PO",'caseload data'!$A:$A,$B$67)</f>
        <v>0</v>
      </c>
      <c r="G67" s="204">
        <f>SUMIFS('caseload data'!H:H,'caseload data'!$D:$D,"PO",'caseload data'!$A:$A,$B$67)</f>
        <v>0</v>
      </c>
      <c r="H67" s="204">
        <f>SUMIFS('caseload data'!I:I,'caseload data'!$D:$D,"PO",'caseload data'!$A:$A,$B$67)</f>
        <v>0</v>
      </c>
      <c r="I67" s="204">
        <f>SUMIFS('caseload data'!J:J,'caseload data'!$D:$D,"PO",'caseload data'!$A:$A,$B$67)</f>
        <v>0</v>
      </c>
      <c r="J67" s="204">
        <f>SUMIFS('caseload data'!K:K,'caseload data'!$D:$D,"PO",'caseload data'!$A:$A,$B$67)</f>
        <v>0</v>
      </c>
      <c r="K67" s="204">
        <f>SUMIFS('caseload data'!L:L,'caseload data'!$D:$D,"PO",'caseload data'!$A:$A,$B$67)</f>
        <v>0</v>
      </c>
      <c r="L67" s="204">
        <f>SUMIFS('caseload data'!M:M,'caseload data'!$D:$D,"PO",'caseload data'!$A:$A,$B$67)</f>
        <v>0</v>
      </c>
      <c r="M67" s="204">
        <f>SUMIFS('caseload data'!N:N,'caseload data'!$D:$D,"PO",'caseload data'!$A:$A,$B$67)</f>
        <v>0</v>
      </c>
      <c r="N67" s="204">
        <f>SUMIFS('caseload data'!O:O,'caseload data'!$D:$D,"PO",'caseload data'!$A:$A,$B$67)</f>
        <v>0</v>
      </c>
      <c r="O67" s="204">
        <f>SUMIFS('caseload data'!P:P,'caseload data'!$D:$D,"PO",'caseload data'!$A:$A,$B$67)</f>
        <v>0</v>
      </c>
      <c r="P67" s="204">
        <f>SUMIFS('caseload data'!Q:Q,'caseload data'!$D:$D,"PO",'caseload data'!$A:$A,$B$67)</f>
        <v>0</v>
      </c>
      <c r="Q67" s="204">
        <f>SUMIFS('caseload data'!R:R,'caseload data'!$D:$D,"PO",'caseload data'!$A:$A,$B$67)</f>
        <v>0</v>
      </c>
      <c r="R67" s="204">
        <f>SUMIFS('caseload data'!S:S,'caseload data'!$D:$D,"PO",'caseload data'!$A:$A,$B$67)</f>
        <v>0</v>
      </c>
      <c r="S67" s="204">
        <f>SUMIFS('caseload data'!T:T,'caseload data'!$D:$D,"PO",'caseload data'!$A:$A,$B$67)</f>
        <v>0</v>
      </c>
      <c r="T67" s="126">
        <f>SUMIFS('caseload data'!V:V,'caseload data'!$D:$D,"PO",'caseload data'!$A:$A,$B$67)</f>
        <v>0</v>
      </c>
      <c r="U67" s="95"/>
      <c r="V67" s="95"/>
      <c r="W67" s="329" t="s">
        <v>516</v>
      </c>
      <c r="X67" s="161" t="s">
        <v>184</v>
      </c>
      <c r="Y67" s="209" t="e">
        <f>SUM(D67)/SUM(D$67:D$70)</f>
        <v>#DIV/0!</v>
      </c>
      <c r="Z67" s="209" t="e">
        <f t="shared" ref="Z67:AN70" si="16">SUM(E67)/SUM(E$67:E$70)</f>
        <v>#DIV/0!</v>
      </c>
      <c r="AA67" s="209" t="e">
        <f t="shared" si="16"/>
        <v>#DIV/0!</v>
      </c>
      <c r="AB67" s="209" t="e">
        <f t="shared" si="16"/>
        <v>#DIV/0!</v>
      </c>
      <c r="AC67" s="209" t="e">
        <f t="shared" si="16"/>
        <v>#DIV/0!</v>
      </c>
      <c r="AD67" s="209" t="e">
        <f t="shared" si="16"/>
        <v>#DIV/0!</v>
      </c>
      <c r="AE67" s="209" t="e">
        <f t="shared" si="16"/>
        <v>#DIV/0!</v>
      </c>
      <c r="AF67" s="209" t="e">
        <f t="shared" si="16"/>
        <v>#DIV/0!</v>
      </c>
      <c r="AG67" s="209" t="e">
        <f t="shared" si="16"/>
        <v>#DIV/0!</v>
      </c>
      <c r="AH67" s="209" t="e">
        <f t="shared" si="16"/>
        <v>#DIV/0!</v>
      </c>
      <c r="AI67" s="209" t="e">
        <f t="shared" si="16"/>
        <v>#DIV/0!</v>
      </c>
      <c r="AJ67" s="209" t="e">
        <f t="shared" si="16"/>
        <v>#DIV/0!</v>
      </c>
      <c r="AK67" s="209" t="e">
        <f t="shared" si="16"/>
        <v>#DIV/0!</v>
      </c>
      <c r="AL67" s="209" t="e">
        <f t="shared" si="16"/>
        <v>#DIV/0!</v>
      </c>
      <c r="AM67" s="209" t="e">
        <f t="shared" si="16"/>
        <v>#DIV/0!</v>
      </c>
      <c r="AN67" s="209" t="e">
        <f t="shared" si="16"/>
        <v>#DIV/0!</v>
      </c>
    </row>
    <row r="68" spans="2:40" s="30" customFormat="1" x14ac:dyDescent="0.15">
      <c r="B68" s="330"/>
      <c r="C68" s="162" t="s">
        <v>185</v>
      </c>
      <c r="D68" s="204">
        <f>SUMIFS('caseload data'!E:E,'caseload data'!$D:$D,"PSO",'caseload data'!$A:$A,$B$67)</f>
        <v>0</v>
      </c>
      <c r="E68" s="204">
        <f>SUMIFS('caseload data'!F:F,'caseload data'!$D:$D,"PSO",'caseload data'!$A:$A,$B$67)</f>
        <v>0</v>
      </c>
      <c r="F68" s="204">
        <f>SUMIFS('caseload data'!G:G,'caseload data'!$D:$D,"PSO",'caseload data'!$A:$A,$B$67)</f>
        <v>0</v>
      </c>
      <c r="G68" s="204">
        <f>SUMIFS('caseload data'!H:H,'caseload data'!$D:$D,"PSO",'caseload data'!$A:$A,$B$67)</f>
        <v>0</v>
      </c>
      <c r="H68" s="204">
        <f>SUMIFS('caseload data'!I:I,'caseload data'!$D:$D,"PSO",'caseload data'!$A:$A,$B$67)</f>
        <v>0</v>
      </c>
      <c r="I68" s="204">
        <f>SUMIFS('caseload data'!J:J,'caseload data'!$D:$D,"PSO",'caseload data'!$A:$A,$B$67)</f>
        <v>0</v>
      </c>
      <c r="J68" s="204">
        <f>SUMIFS('caseload data'!K:K,'caseload data'!$D:$D,"PSO",'caseload data'!$A:$A,$B$67)</f>
        <v>0</v>
      </c>
      <c r="K68" s="204">
        <f>SUMIFS('caseload data'!L:L,'caseload data'!$D:$D,"PSO",'caseload data'!$A:$A,$B$67)</f>
        <v>0</v>
      </c>
      <c r="L68" s="204">
        <f>SUMIFS('caseload data'!M:M,'caseload data'!$D:$D,"PSO",'caseload data'!$A:$A,$B$67)</f>
        <v>0</v>
      </c>
      <c r="M68" s="204">
        <f>SUMIFS('caseload data'!N:N,'caseload data'!$D:$D,"PSO",'caseload data'!$A:$A,$B$67)</f>
        <v>0</v>
      </c>
      <c r="N68" s="204">
        <f>SUMIFS('caseload data'!O:O,'caseload data'!$D:$D,"PSO",'caseload data'!$A:$A,$B$67)</f>
        <v>0</v>
      </c>
      <c r="O68" s="204">
        <f>SUMIFS('caseload data'!P:P,'caseload data'!$D:$D,"PSO",'caseload data'!$A:$A,$B$67)</f>
        <v>0</v>
      </c>
      <c r="P68" s="204">
        <f>SUMIFS('caseload data'!Q:Q,'caseload data'!$D:$D,"PSO",'caseload data'!$A:$A,$B$67)</f>
        <v>0</v>
      </c>
      <c r="Q68" s="204">
        <f>SUMIFS('caseload data'!R:R,'caseload data'!$D:$D,"PSO",'caseload data'!$A:$A,$B$67)</f>
        <v>0</v>
      </c>
      <c r="R68" s="204">
        <f>SUMIFS('caseload data'!S:S,'caseload data'!$D:$D,"PSO",'caseload data'!$A:$A,$B$67)</f>
        <v>0</v>
      </c>
      <c r="S68" s="204">
        <f>SUMIFS('caseload data'!T:T,'caseload data'!$D:$D,"PSO",'caseload data'!$A:$A,$B$67)</f>
        <v>0</v>
      </c>
      <c r="T68" s="126">
        <f>SUMIFS('caseload data'!V:V,'caseload data'!$D:$D,"PSO",'caseload data'!$A:$A,$B$67)</f>
        <v>0</v>
      </c>
      <c r="U68" s="95"/>
      <c r="V68" s="95"/>
      <c r="W68" s="330"/>
      <c r="X68" s="162" t="s">
        <v>185</v>
      </c>
      <c r="Y68" s="209" t="e">
        <f>SUM(D68)/SUM(D$67:D$70)</f>
        <v>#DIV/0!</v>
      </c>
      <c r="Z68" s="209" t="e">
        <f t="shared" si="16"/>
        <v>#DIV/0!</v>
      </c>
      <c r="AA68" s="209" t="e">
        <f t="shared" si="16"/>
        <v>#DIV/0!</v>
      </c>
      <c r="AB68" s="209" t="e">
        <f t="shared" si="16"/>
        <v>#DIV/0!</v>
      </c>
      <c r="AC68" s="209" t="e">
        <f t="shared" si="16"/>
        <v>#DIV/0!</v>
      </c>
      <c r="AD68" s="209" t="e">
        <f t="shared" si="16"/>
        <v>#DIV/0!</v>
      </c>
      <c r="AE68" s="209" t="e">
        <f t="shared" si="16"/>
        <v>#DIV/0!</v>
      </c>
      <c r="AF68" s="209" t="e">
        <f t="shared" si="16"/>
        <v>#DIV/0!</v>
      </c>
      <c r="AG68" s="209" t="e">
        <f t="shared" si="16"/>
        <v>#DIV/0!</v>
      </c>
      <c r="AH68" s="209" t="e">
        <f t="shared" si="16"/>
        <v>#DIV/0!</v>
      </c>
      <c r="AI68" s="209" t="e">
        <f t="shared" si="16"/>
        <v>#DIV/0!</v>
      </c>
      <c r="AJ68" s="209" t="e">
        <f t="shared" si="16"/>
        <v>#DIV/0!</v>
      </c>
      <c r="AK68" s="209" t="e">
        <f t="shared" si="16"/>
        <v>#DIV/0!</v>
      </c>
      <c r="AL68" s="209" t="e">
        <f t="shared" si="16"/>
        <v>#DIV/0!</v>
      </c>
      <c r="AM68" s="209" t="e">
        <f t="shared" si="16"/>
        <v>#DIV/0!</v>
      </c>
      <c r="AN68" s="209" t="e">
        <f t="shared" si="16"/>
        <v>#DIV/0!</v>
      </c>
    </row>
    <row r="69" spans="2:40" s="30" customFormat="1" x14ac:dyDescent="0.15">
      <c r="B69" s="330"/>
      <c r="C69" s="162" t="s">
        <v>186</v>
      </c>
      <c r="D69" s="204">
        <f>SUMIFS('caseload data'!E:E,'caseload data'!$D:$D,"TPO",'caseload data'!$A:$A,$B$67)</f>
        <v>0</v>
      </c>
      <c r="E69" s="204">
        <f>SUMIFS('caseload data'!F:F,'caseload data'!$D:$D,"TPO",'caseload data'!$A:$A,$B$67)</f>
        <v>0</v>
      </c>
      <c r="F69" s="204">
        <f>SUMIFS('caseload data'!G:G,'caseload data'!$D:$D,"TPO",'caseload data'!$A:$A,$B$67)</f>
        <v>0</v>
      </c>
      <c r="G69" s="204">
        <f>SUMIFS('caseload data'!H:H,'caseload data'!$D:$D,"TPO",'caseload data'!$A:$A,$B$67)</f>
        <v>0</v>
      </c>
      <c r="H69" s="204">
        <f>SUMIFS('caseload data'!I:I,'caseload data'!$D:$D,"TPO",'caseload data'!$A:$A,$B$67)</f>
        <v>0</v>
      </c>
      <c r="I69" s="204">
        <f>SUMIFS('caseload data'!J:J,'caseload data'!$D:$D,"TPO",'caseload data'!$A:$A,$B$67)</f>
        <v>0</v>
      </c>
      <c r="J69" s="204">
        <f>SUMIFS('caseload data'!K:K,'caseload data'!$D:$D,"TPO",'caseload data'!$A:$A,$B$67)</f>
        <v>0</v>
      </c>
      <c r="K69" s="204">
        <f>SUMIFS('caseload data'!L:L,'caseload data'!$D:$D,"TPO",'caseload data'!$A:$A,$B$67)</f>
        <v>0</v>
      </c>
      <c r="L69" s="204">
        <f>SUMIFS('caseload data'!M:M,'caseload data'!$D:$D,"TPO",'caseload data'!$A:$A,$B$67)</f>
        <v>0</v>
      </c>
      <c r="M69" s="204">
        <f>SUMIFS('caseload data'!N:N,'caseload data'!$D:$D,"TPO",'caseload data'!$A:$A,$B$67)</f>
        <v>0</v>
      </c>
      <c r="N69" s="204">
        <f>SUMIFS('caseload data'!O:O,'caseload data'!$D:$D,"TPO",'caseload data'!$A:$A,$B$67)</f>
        <v>0</v>
      </c>
      <c r="O69" s="204">
        <f>SUMIFS('caseload data'!P:P,'caseload data'!$D:$D,"TPO",'caseload data'!$A:$A,$B$67)</f>
        <v>0</v>
      </c>
      <c r="P69" s="204">
        <f>SUMIFS('caseload data'!Q:Q,'caseload data'!$D:$D,"TPO",'caseload data'!$A:$A,$B$67)</f>
        <v>0</v>
      </c>
      <c r="Q69" s="204">
        <f>SUMIFS('caseload data'!R:R,'caseload data'!$D:$D,"TPO",'caseload data'!$A:$A,$B$67)</f>
        <v>0</v>
      </c>
      <c r="R69" s="204">
        <f>SUMIFS('caseload data'!S:S,'caseload data'!$D:$D,"TPO",'caseload data'!$A:$A,$B$67)</f>
        <v>0</v>
      </c>
      <c r="S69" s="204">
        <f>SUMIFS('caseload data'!T:T,'caseload data'!$D:$D,"TPO",'caseload data'!$A:$A,$B$67)</f>
        <v>0</v>
      </c>
      <c r="T69" s="126">
        <f>SUMIFS('caseload data'!V:V,'caseload data'!$D:$D,"TPO",'caseload data'!$A:$A,$B$67)</f>
        <v>0</v>
      </c>
      <c r="U69" s="95"/>
      <c r="V69" s="95"/>
      <c r="W69" s="330"/>
      <c r="X69" s="162" t="s">
        <v>186</v>
      </c>
      <c r="Y69" s="209" t="e">
        <f t="shared" ref="Y69:Y70" si="17">SUM(D69)/SUM(D$67:D$70)</f>
        <v>#DIV/0!</v>
      </c>
      <c r="Z69" s="209" t="e">
        <f t="shared" si="16"/>
        <v>#DIV/0!</v>
      </c>
      <c r="AA69" s="209" t="e">
        <f t="shared" si="16"/>
        <v>#DIV/0!</v>
      </c>
      <c r="AB69" s="209" t="e">
        <f t="shared" si="16"/>
        <v>#DIV/0!</v>
      </c>
      <c r="AC69" s="209" t="e">
        <f t="shared" si="16"/>
        <v>#DIV/0!</v>
      </c>
      <c r="AD69" s="209" t="e">
        <f t="shared" si="16"/>
        <v>#DIV/0!</v>
      </c>
      <c r="AE69" s="209" t="e">
        <f t="shared" si="16"/>
        <v>#DIV/0!</v>
      </c>
      <c r="AF69" s="209" t="e">
        <f t="shared" si="16"/>
        <v>#DIV/0!</v>
      </c>
      <c r="AG69" s="209" t="e">
        <f t="shared" si="16"/>
        <v>#DIV/0!</v>
      </c>
      <c r="AH69" s="209" t="e">
        <f t="shared" si="16"/>
        <v>#DIV/0!</v>
      </c>
      <c r="AI69" s="209" t="e">
        <f t="shared" si="16"/>
        <v>#DIV/0!</v>
      </c>
      <c r="AJ69" s="209" t="e">
        <f t="shared" si="16"/>
        <v>#DIV/0!</v>
      </c>
      <c r="AK69" s="209" t="e">
        <f t="shared" si="16"/>
        <v>#DIV/0!</v>
      </c>
      <c r="AL69" s="209" t="e">
        <f t="shared" si="16"/>
        <v>#DIV/0!</v>
      </c>
      <c r="AM69" s="209" t="e">
        <f t="shared" si="16"/>
        <v>#DIV/0!</v>
      </c>
      <c r="AN69" s="209" t="e">
        <f t="shared" si="16"/>
        <v>#DIV/0!</v>
      </c>
    </row>
    <row r="70" spans="2:40" s="30" customFormat="1" x14ac:dyDescent="0.15">
      <c r="B70" s="331"/>
      <c r="C70" s="163" t="s">
        <v>187</v>
      </c>
      <c r="D70" s="204">
        <f>SUMIFS('caseload data'!E:E,'caseload data'!$D:$D,"SPO",'caseload data'!$A:$A,$B$67)</f>
        <v>0</v>
      </c>
      <c r="E70" s="204">
        <f>SUMIFS('caseload data'!F:F,'caseload data'!$D:$D,"SPO",'caseload data'!$A:$A,$B$67)</f>
        <v>0</v>
      </c>
      <c r="F70" s="204">
        <f>SUMIFS('caseload data'!G:G,'caseload data'!$D:$D,"SPO",'caseload data'!$A:$A,$B$67)</f>
        <v>0</v>
      </c>
      <c r="G70" s="204">
        <f>SUMIFS('caseload data'!H:H,'caseload data'!$D:$D,"SPO",'caseload data'!$A:$A,$B$67)</f>
        <v>0</v>
      </c>
      <c r="H70" s="204">
        <f>SUMIFS('caseload data'!I:I,'caseload data'!$D:$D,"SPO",'caseload data'!$A:$A,$B$67)</f>
        <v>0</v>
      </c>
      <c r="I70" s="204">
        <f>SUMIFS('caseload data'!J:J,'caseload data'!$D:$D,"SPO",'caseload data'!$A:$A,$B$67)</f>
        <v>0</v>
      </c>
      <c r="J70" s="204">
        <f>SUMIFS('caseload data'!K:K,'caseload data'!$D:$D,"SPO",'caseload data'!$A:$A,$B$67)</f>
        <v>0</v>
      </c>
      <c r="K70" s="204">
        <f>SUMIFS('caseload data'!L:L,'caseload data'!$D:$D,"SPO",'caseload data'!$A:$A,$B$67)</f>
        <v>0</v>
      </c>
      <c r="L70" s="204">
        <f>SUMIFS('caseload data'!M:M,'caseload data'!$D:$D,"SPO",'caseload data'!$A:$A,$B$67)</f>
        <v>0</v>
      </c>
      <c r="M70" s="204">
        <f>SUMIFS('caseload data'!N:N,'caseload data'!$D:$D,"SPO",'caseload data'!$A:$A,$B$67)</f>
        <v>0</v>
      </c>
      <c r="N70" s="204">
        <f>SUMIFS('caseload data'!O:O,'caseload data'!$D:$D,"SPO",'caseload data'!$A:$A,$B$67)</f>
        <v>0</v>
      </c>
      <c r="O70" s="204">
        <f>SUMIFS('caseload data'!P:P,'caseload data'!$D:$D,"SPO",'caseload data'!$A:$A,$B$67)</f>
        <v>0</v>
      </c>
      <c r="P70" s="204">
        <f>SUMIFS('caseload data'!Q:Q,'caseload data'!$D:$D,"SPO",'caseload data'!$A:$A,$B$67)</f>
        <v>0</v>
      </c>
      <c r="Q70" s="204">
        <f>SUMIFS('caseload data'!R:R,'caseload data'!$D:$D,"SPO",'caseload data'!$A:$A,$B$67)</f>
        <v>0</v>
      </c>
      <c r="R70" s="204">
        <f>SUMIFS('caseload data'!S:S,'caseload data'!$D:$D,"SPO",'caseload data'!$A:$A,$B$67)</f>
        <v>0</v>
      </c>
      <c r="S70" s="204">
        <f>SUMIFS('caseload data'!T:T,'caseload data'!$D:$D,"SPO",'caseload data'!$A:$A,$B$67)</f>
        <v>0</v>
      </c>
      <c r="T70" s="126">
        <f>SUMIFS('caseload data'!V:V,'caseload data'!$D:$D,"SPO",'caseload data'!$A:$A,$B$67)</f>
        <v>0</v>
      </c>
      <c r="U70" s="95"/>
      <c r="V70" s="95"/>
      <c r="W70" s="331"/>
      <c r="X70" s="163" t="s">
        <v>187</v>
      </c>
      <c r="Y70" s="209" t="e">
        <f t="shared" si="17"/>
        <v>#DIV/0!</v>
      </c>
      <c r="Z70" s="209" t="e">
        <f t="shared" si="16"/>
        <v>#DIV/0!</v>
      </c>
      <c r="AA70" s="209" t="e">
        <f t="shared" si="16"/>
        <v>#DIV/0!</v>
      </c>
      <c r="AB70" s="209" t="e">
        <f t="shared" si="16"/>
        <v>#DIV/0!</v>
      </c>
      <c r="AC70" s="209" t="e">
        <f t="shared" si="16"/>
        <v>#DIV/0!</v>
      </c>
      <c r="AD70" s="209" t="e">
        <f t="shared" si="16"/>
        <v>#DIV/0!</v>
      </c>
      <c r="AE70" s="209" t="e">
        <f t="shared" si="16"/>
        <v>#DIV/0!</v>
      </c>
      <c r="AF70" s="209" t="e">
        <f t="shared" si="16"/>
        <v>#DIV/0!</v>
      </c>
      <c r="AG70" s="209" t="e">
        <f t="shared" si="16"/>
        <v>#DIV/0!</v>
      </c>
      <c r="AH70" s="209" t="e">
        <f t="shared" si="16"/>
        <v>#DIV/0!</v>
      </c>
      <c r="AI70" s="209" t="e">
        <f t="shared" si="16"/>
        <v>#DIV/0!</v>
      </c>
      <c r="AJ70" s="209" t="e">
        <f t="shared" si="16"/>
        <v>#DIV/0!</v>
      </c>
      <c r="AK70" s="209" t="e">
        <f t="shared" si="16"/>
        <v>#DIV/0!</v>
      </c>
      <c r="AL70" s="209" t="e">
        <f t="shared" si="16"/>
        <v>#DIV/0!</v>
      </c>
      <c r="AM70" s="209" t="e">
        <f t="shared" si="16"/>
        <v>#DIV/0!</v>
      </c>
      <c r="AN70" s="209" t="e">
        <f t="shared" si="16"/>
        <v>#DIV/0!</v>
      </c>
    </row>
    <row r="71" spans="2:40" s="30" customFormat="1" x14ac:dyDescent="0.15">
      <c r="B71" s="329" t="s">
        <v>517</v>
      </c>
      <c r="C71" s="161" t="s">
        <v>184</v>
      </c>
      <c r="D71" s="204">
        <f>SUMIFS('caseload data'!E:E,'caseload data'!$D:$D,"PO",'caseload data'!$A:$A,$B$71)</f>
        <v>0</v>
      </c>
      <c r="E71" s="204">
        <f>SUMIFS('caseload data'!F:F,'caseload data'!$D:$D,"PO",'caseload data'!$A:$A,$B$71)</f>
        <v>0</v>
      </c>
      <c r="F71" s="204">
        <f>SUMIFS('caseload data'!G:G,'caseload data'!$D:$D,"PO",'caseload data'!$A:$A,$B$71)</f>
        <v>0</v>
      </c>
      <c r="G71" s="204">
        <f>SUMIFS('caseload data'!H:H,'caseload data'!$D:$D,"PO",'caseload data'!$A:$A,$B$71)</f>
        <v>0</v>
      </c>
      <c r="H71" s="204">
        <f>SUMIFS('caseload data'!I:I,'caseload data'!$D:$D,"PO",'caseload data'!$A:$A,$B$71)</f>
        <v>0</v>
      </c>
      <c r="I71" s="204">
        <f>SUMIFS('caseload data'!J:J,'caseload data'!$D:$D,"PO",'caseload data'!$A:$A,$B$71)</f>
        <v>0</v>
      </c>
      <c r="J71" s="204">
        <f>SUMIFS('caseload data'!K:K,'caseload data'!$D:$D,"PO",'caseload data'!$A:$A,$B$71)</f>
        <v>0</v>
      </c>
      <c r="K71" s="204">
        <f>SUMIFS('caseload data'!L:L,'caseload data'!$D:$D,"PO",'caseload data'!$A:$A,$B$71)</f>
        <v>0</v>
      </c>
      <c r="L71" s="204">
        <f>SUMIFS('caseload data'!M:M,'caseload data'!$D:$D,"PO",'caseload data'!$A:$A,$B$71)</f>
        <v>0</v>
      </c>
      <c r="M71" s="204">
        <f>SUMIFS('caseload data'!N:N,'caseload data'!$D:$D,"PO",'caseload data'!$A:$A,$B$71)</f>
        <v>0</v>
      </c>
      <c r="N71" s="204">
        <f>SUMIFS('caseload data'!O:O,'caseload data'!$D:$D,"PO",'caseload data'!$A:$A,$B$71)</f>
        <v>0</v>
      </c>
      <c r="O71" s="204">
        <f>SUMIFS('caseload data'!P:P,'caseload data'!$D:$D,"PO",'caseload data'!$A:$A,$B$71)</f>
        <v>0</v>
      </c>
      <c r="P71" s="204">
        <f>SUMIFS('caseload data'!Q:Q,'caseload data'!$D:$D,"PO",'caseload data'!$A:$A,$B$71)</f>
        <v>0</v>
      </c>
      <c r="Q71" s="204">
        <f>SUMIFS('caseload data'!R:R,'caseload data'!$D:$D,"PO",'caseload data'!$A:$A,$B$71)</f>
        <v>0</v>
      </c>
      <c r="R71" s="204">
        <f>SUMIFS('caseload data'!S:S,'caseload data'!$D:$D,"PO",'caseload data'!$A:$A,$B$71)</f>
        <v>0</v>
      </c>
      <c r="S71" s="204">
        <f>SUMIFS('caseload data'!T:T,'caseload data'!$D:$D,"PO",'caseload data'!$A:$A,$B$71)</f>
        <v>0</v>
      </c>
      <c r="T71" s="126">
        <f>SUMIFS('caseload data'!V:V,'caseload data'!$D:$D,"PO",'caseload data'!$A:$A,$B$71)</f>
        <v>0</v>
      </c>
      <c r="U71" s="95"/>
      <c r="V71" s="95"/>
      <c r="W71" s="329" t="s">
        <v>517</v>
      </c>
      <c r="X71" s="161" t="s">
        <v>184</v>
      </c>
      <c r="Y71" s="209" t="e">
        <f>SUM(D71)/SUM(D$71:D$74)</f>
        <v>#DIV/0!</v>
      </c>
      <c r="Z71" s="209" t="e">
        <f t="shared" ref="Z71:AN74" si="18">SUM(E71)/SUM(E$71:E$74)</f>
        <v>#DIV/0!</v>
      </c>
      <c r="AA71" s="209" t="e">
        <f t="shared" si="18"/>
        <v>#DIV/0!</v>
      </c>
      <c r="AB71" s="209" t="e">
        <f t="shared" si="18"/>
        <v>#DIV/0!</v>
      </c>
      <c r="AC71" s="209" t="e">
        <f t="shared" si="18"/>
        <v>#DIV/0!</v>
      </c>
      <c r="AD71" s="209" t="e">
        <f t="shared" si="18"/>
        <v>#DIV/0!</v>
      </c>
      <c r="AE71" s="209" t="e">
        <f t="shared" si="18"/>
        <v>#DIV/0!</v>
      </c>
      <c r="AF71" s="209" t="e">
        <f t="shared" si="18"/>
        <v>#DIV/0!</v>
      </c>
      <c r="AG71" s="209" t="e">
        <f t="shared" si="18"/>
        <v>#DIV/0!</v>
      </c>
      <c r="AH71" s="209" t="e">
        <f t="shared" si="18"/>
        <v>#DIV/0!</v>
      </c>
      <c r="AI71" s="209" t="e">
        <f t="shared" si="18"/>
        <v>#DIV/0!</v>
      </c>
      <c r="AJ71" s="209" t="e">
        <f t="shared" si="18"/>
        <v>#DIV/0!</v>
      </c>
      <c r="AK71" s="209" t="e">
        <f t="shared" si="18"/>
        <v>#DIV/0!</v>
      </c>
      <c r="AL71" s="209" t="e">
        <f t="shared" si="18"/>
        <v>#DIV/0!</v>
      </c>
      <c r="AM71" s="209" t="e">
        <f t="shared" si="18"/>
        <v>#DIV/0!</v>
      </c>
      <c r="AN71" s="209" t="e">
        <f t="shared" si="18"/>
        <v>#DIV/0!</v>
      </c>
    </row>
    <row r="72" spans="2:40" s="30" customFormat="1" x14ac:dyDescent="0.15">
      <c r="B72" s="330"/>
      <c r="C72" s="162" t="s">
        <v>185</v>
      </c>
      <c r="D72" s="204">
        <f>SUMIFS('caseload data'!E:E,'caseload data'!$D:$D,"PSO",'caseload data'!$A:$A,$B$71)</f>
        <v>0</v>
      </c>
      <c r="E72" s="204">
        <f>SUMIFS('caseload data'!F:F,'caseload data'!$D:$D,"PSO",'caseload data'!$A:$A,$B$71)</f>
        <v>0</v>
      </c>
      <c r="F72" s="204">
        <f>SUMIFS('caseload data'!G:G,'caseload data'!$D:$D,"PSO",'caseload data'!$A:$A,$B$71)</f>
        <v>0</v>
      </c>
      <c r="G72" s="204">
        <f>SUMIFS('caseload data'!H:H,'caseload data'!$D:$D,"PSO",'caseload data'!$A:$A,$B$71)</f>
        <v>0</v>
      </c>
      <c r="H72" s="204">
        <f>SUMIFS('caseload data'!I:I,'caseload data'!$D:$D,"PSO",'caseload data'!$A:$A,$B$71)</f>
        <v>0</v>
      </c>
      <c r="I72" s="204">
        <f>SUMIFS('caseload data'!J:J,'caseload data'!$D:$D,"PSO",'caseload data'!$A:$A,$B$71)</f>
        <v>0</v>
      </c>
      <c r="J72" s="204">
        <f>SUMIFS('caseload data'!K:K,'caseload data'!$D:$D,"PSO",'caseload data'!$A:$A,$B$71)</f>
        <v>0</v>
      </c>
      <c r="K72" s="204">
        <f>SUMIFS('caseload data'!L:L,'caseload data'!$D:$D,"PSO",'caseload data'!$A:$A,$B$71)</f>
        <v>0</v>
      </c>
      <c r="L72" s="204">
        <f>SUMIFS('caseload data'!M:M,'caseload data'!$D:$D,"PSO",'caseload data'!$A:$A,$B$71)</f>
        <v>0</v>
      </c>
      <c r="M72" s="204">
        <f>SUMIFS('caseload data'!N:N,'caseload data'!$D:$D,"PSO",'caseload data'!$A:$A,$B$71)</f>
        <v>0</v>
      </c>
      <c r="N72" s="204">
        <f>SUMIFS('caseload data'!O:O,'caseload data'!$D:$D,"PSO",'caseload data'!$A:$A,$B$71)</f>
        <v>0</v>
      </c>
      <c r="O72" s="204">
        <f>SUMIFS('caseload data'!P:P,'caseload data'!$D:$D,"PSO",'caseload data'!$A:$A,$B$71)</f>
        <v>0</v>
      </c>
      <c r="P72" s="204">
        <f>SUMIFS('caseload data'!Q:Q,'caseload data'!$D:$D,"PSO",'caseload data'!$A:$A,$B$71)</f>
        <v>0</v>
      </c>
      <c r="Q72" s="204">
        <f>SUMIFS('caseload data'!R:R,'caseload data'!$D:$D,"PSO",'caseload data'!$A:$A,$B$71)</f>
        <v>0</v>
      </c>
      <c r="R72" s="204">
        <f>SUMIFS('caseload data'!S:S,'caseload data'!$D:$D,"PSO",'caseload data'!$A:$A,$B$71)</f>
        <v>0</v>
      </c>
      <c r="S72" s="204">
        <f>SUMIFS('caseload data'!T:T,'caseload data'!$D:$D,"PSO",'caseload data'!$A:$A,$B$71)</f>
        <v>0</v>
      </c>
      <c r="T72" s="126">
        <f>SUMIFS('caseload data'!V:V,'caseload data'!$D:$D,"PSO",'caseload data'!$A:$A,$B$71)</f>
        <v>0</v>
      </c>
      <c r="U72" s="95"/>
      <c r="V72" s="95"/>
      <c r="W72" s="330"/>
      <c r="X72" s="162" t="s">
        <v>185</v>
      </c>
      <c r="Y72" s="209" t="e">
        <f t="shared" ref="Y72:Y74" si="19">SUM(D72)/SUM(D$71:D$74)</f>
        <v>#DIV/0!</v>
      </c>
      <c r="Z72" s="209" t="e">
        <f t="shared" si="18"/>
        <v>#DIV/0!</v>
      </c>
      <c r="AA72" s="209" t="e">
        <f t="shared" si="18"/>
        <v>#DIV/0!</v>
      </c>
      <c r="AB72" s="209" t="e">
        <f t="shared" si="18"/>
        <v>#DIV/0!</v>
      </c>
      <c r="AC72" s="209" t="e">
        <f t="shared" si="18"/>
        <v>#DIV/0!</v>
      </c>
      <c r="AD72" s="209" t="e">
        <f t="shared" si="18"/>
        <v>#DIV/0!</v>
      </c>
      <c r="AE72" s="209" t="e">
        <f t="shared" si="18"/>
        <v>#DIV/0!</v>
      </c>
      <c r="AF72" s="209" t="e">
        <f t="shared" si="18"/>
        <v>#DIV/0!</v>
      </c>
      <c r="AG72" s="209" t="e">
        <f t="shared" si="18"/>
        <v>#DIV/0!</v>
      </c>
      <c r="AH72" s="209" t="e">
        <f t="shared" si="18"/>
        <v>#DIV/0!</v>
      </c>
      <c r="AI72" s="209" t="e">
        <f t="shared" si="18"/>
        <v>#DIV/0!</v>
      </c>
      <c r="AJ72" s="209" t="e">
        <f t="shared" si="18"/>
        <v>#DIV/0!</v>
      </c>
      <c r="AK72" s="209" t="e">
        <f t="shared" si="18"/>
        <v>#DIV/0!</v>
      </c>
      <c r="AL72" s="209" t="e">
        <f t="shared" si="18"/>
        <v>#DIV/0!</v>
      </c>
      <c r="AM72" s="209" t="e">
        <f t="shared" si="18"/>
        <v>#DIV/0!</v>
      </c>
      <c r="AN72" s="209" t="e">
        <f t="shared" si="18"/>
        <v>#DIV/0!</v>
      </c>
    </row>
    <row r="73" spans="2:40" s="30" customFormat="1" x14ac:dyDescent="0.15">
      <c r="B73" s="330"/>
      <c r="C73" s="162" t="s">
        <v>186</v>
      </c>
      <c r="D73" s="204">
        <f>SUMIFS('caseload data'!E:E,'caseload data'!$D:$D,"TPO",'caseload data'!$A:$A,$B$71)</f>
        <v>0</v>
      </c>
      <c r="E73" s="204">
        <f>SUMIFS('caseload data'!F:F,'caseload data'!$D:$D,"TPO",'caseload data'!$A:$A,$B$71)</f>
        <v>0</v>
      </c>
      <c r="F73" s="204">
        <f>SUMIFS('caseload data'!G:G,'caseload data'!$D:$D,"TPO",'caseload data'!$A:$A,$B$71)</f>
        <v>0</v>
      </c>
      <c r="G73" s="204">
        <f>SUMIFS('caseload data'!H:H,'caseload data'!$D:$D,"TPO",'caseload data'!$A:$A,$B$71)</f>
        <v>0</v>
      </c>
      <c r="H73" s="204">
        <f>SUMIFS('caseload data'!I:I,'caseload data'!$D:$D,"TPO",'caseload data'!$A:$A,$B$71)</f>
        <v>0</v>
      </c>
      <c r="I73" s="204">
        <f>SUMIFS('caseload data'!J:J,'caseload data'!$D:$D,"TPO",'caseload data'!$A:$A,$B$71)</f>
        <v>0</v>
      </c>
      <c r="J73" s="204">
        <f>SUMIFS('caseload data'!K:K,'caseload data'!$D:$D,"TPO",'caseload data'!$A:$A,$B$71)</f>
        <v>0</v>
      </c>
      <c r="K73" s="204">
        <f>SUMIFS('caseload data'!L:L,'caseload data'!$D:$D,"TPO",'caseload data'!$A:$A,$B$71)</f>
        <v>0</v>
      </c>
      <c r="L73" s="204">
        <f>SUMIFS('caseload data'!M:M,'caseload data'!$D:$D,"TPO",'caseload data'!$A:$A,$B$71)</f>
        <v>0</v>
      </c>
      <c r="M73" s="204">
        <f>SUMIFS('caseload data'!N:N,'caseload data'!$D:$D,"TPO",'caseload data'!$A:$A,$B$71)</f>
        <v>0</v>
      </c>
      <c r="N73" s="204">
        <f>SUMIFS('caseload data'!O:O,'caseload data'!$D:$D,"TPO",'caseload data'!$A:$A,$B$71)</f>
        <v>0</v>
      </c>
      <c r="O73" s="204">
        <f>SUMIFS('caseload data'!P:P,'caseload data'!$D:$D,"TPO",'caseload data'!$A:$A,$B$71)</f>
        <v>0</v>
      </c>
      <c r="P73" s="204">
        <f>SUMIFS('caseload data'!Q:Q,'caseload data'!$D:$D,"TPO",'caseload data'!$A:$A,$B$71)</f>
        <v>0</v>
      </c>
      <c r="Q73" s="204">
        <f>SUMIFS('caseload data'!R:R,'caseload data'!$D:$D,"TPO",'caseload data'!$A:$A,$B$71)</f>
        <v>0</v>
      </c>
      <c r="R73" s="204">
        <f>SUMIFS('caseload data'!S:S,'caseload data'!$D:$D,"TPO",'caseload data'!$A:$A,$B$71)</f>
        <v>0</v>
      </c>
      <c r="S73" s="204">
        <f>SUMIFS('caseload data'!T:T,'caseload data'!$D:$D,"TPO",'caseload data'!$A:$A,$B$71)</f>
        <v>0</v>
      </c>
      <c r="T73" s="126">
        <f>SUMIFS('caseload data'!V:V,'caseload data'!$D:$D,"TPO",'caseload data'!$A:$A,$B$71)</f>
        <v>0</v>
      </c>
      <c r="U73" s="95"/>
      <c r="V73" s="95"/>
      <c r="W73" s="330"/>
      <c r="X73" s="162" t="s">
        <v>186</v>
      </c>
      <c r="Y73" s="209" t="e">
        <f t="shared" si="19"/>
        <v>#DIV/0!</v>
      </c>
      <c r="Z73" s="209" t="e">
        <f t="shared" si="18"/>
        <v>#DIV/0!</v>
      </c>
      <c r="AA73" s="209" t="e">
        <f t="shared" si="18"/>
        <v>#DIV/0!</v>
      </c>
      <c r="AB73" s="209" t="e">
        <f t="shared" si="18"/>
        <v>#DIV/0!</v>
      </c>
      <c r="AC73" s="209" t="e">
        <f t="shared" si="18"/>
        <v>#DIV/0!</v>
      </c>
      <c r="AD73" s="209" t="e">
        <f t="shared" si="18"/>
        <v>#DIV/0!</v>
      </c>
      <c r="AE73" s="209" t="e">
        <f t="shared" si="18"/>
        <v>#DIV/0!</v>
      </c>
      <c r="AF73" s="209" t="e">
        <f t="shared" si="18"/>
        <v>#DIV/0!</v>
      </c>
      <c r="AG73" s="209" t="e">
        <f t="shared" si="18"/>
        <v>#DIV/0!</v>
      </c>
      <c r="AH73" s="209" t="e">
        <f t="shared" si="18"/>
        <v>#DIV/0!</v>
      </c>
      <c r="AI73" s="209" t="e">
        <f t="shared" si="18"/>
        <v>#DIV/0!</v>
      </c>
      <c r="AJ73" s="209" t="e">
        <f t="shared" si="18"/>
        <v>#DIV/0!</v>
      </c>
      <c r="AK73" s="209" t="e">
        <f t="shared" si="18"/>
        <v>#DIV/0!</v>
      </c>
      <c r="AL73" s="209" t="e">
        <f t="shared" si="18"/>
        <v>#DIV/0!</v>
      </c>
      <c r="AM73" s="209" t="e">
        <f t="shared" si="18"/>
        <v>#DIV/0!</v>
      </c>
      <c r="AN73" s="209" t="e">
        <f t="shared" si="18"/>
        <v>#DIV/0!</v>
      </c>
    </row>
    <row r="74" spans="2:40" s="30" customFormat="1" x14ac:dyDescent="0.15">
      <c r="B74" s="331"/>
      <c r="C74" s="163" t="s">
        <v>187</v>
      </c>
      <c r="D74" s="204">
        <f>SUMIFS('caseload data'!E:E,'caseload data'!$D:$D,"SPO",'caseload data'!$A:$A,$B$71)</f>
        <v>0</v>
      </c>
      <c r="E74" s="204">
        <f>SUMIFS('caseload data'!F:F,'caseload data'!$D:$D,"SPO",'caseload data'!$A:$A,$B$71)</f>
        <v>0</v>
      </c>
      <c r="F74" s="204">
        <f>SUMIFS('caseload data'!G:G,'caseload data'!$D:$D,"SPO",'caseload data'!$A:$A,$B$71)</f>
        <v>0</v>
      </c>
      <c r="G74" s="204">
        <f>SUMIFS('caseload data'!H:H,'caseload data'!$D:$D,"SPO",'caseload data'!$A:$A,$B$71)</f>
        <v>0</v>
      </c>
      <c r="H74" s="204">
        <f>SUMIFS('caseload data'!I:I,'caseload data'!$D:$D,"SPO",'caseload data'!$A:$A,$B$71)</f>
        <v>0</v>
      </c>
      <c r="I74" s="204">
        <f>SUMIFS('caseload data'!J:J,'caseload data'!$D:$D,"SPO",'caseload data'!$A:$A,$B$71)</f>
        <v>0</v>
      </c>
      <c r="J74" s="204">
        <f>SUMIFS('caseload data'!K:K,'caseload data'!$D:$D,"SPO",'caseload data'!$A:$A,$B$71)</f>
        <v>0</v>
      </c>
      <c r="K74" s="204">
        <f>SUMIFS('caseload data'!L:L,'caseload data'!$D:$D,"SPO",'caseload data'!$A:$A,$B$71)</f>
        <v>0</v>
      </c>
      <c r="L74" s="204">
        <f>SUMIFS('caseload data'!M:M,'caseload data'!$D:$D,"SPO",'caseload data'!$A:$A,$B$71)</f>
        <v>0</v>
      </c>
      <c r="M74" s="204">
        <f>SUMIFS('caseload data'!N:N,'caseload data'!$D:$D,"SPO",'caseload data'!$A:$A,$B$71)</f>
        <v>0</v>
      </c>
      <c r="N74" s="204">
        <f>SUMIFS('caseload data'!O:O,'caseload data'!$D:$D,"SPO",'caseload data'!$A:$A,$B$71)</f>
        <v>0</v>
      </c>
      <c r="O74" s="204">
        <f>SUMIFS('caseload data'!P:P,'caseload data'!$D:$D,"SPO",'caseload data'!$A:$A,$B$71)</f>
        <v>0</v>
      </c>
      <c r="P74" s="204">
        <f>SUMIFS('caseload data'!Q:Q,'caseload data'!$D:$D,"SPO",'caseload data'!$A:$A,$B$71)</f>
        <v>0</v>
      </c>
      <c r="Q74" s="204">
        <f>SUMIFS('caseload data'!R:R,'caseload data'!$D:$D,"SPO",'caseload data'!$A:$A,$B$71)</f>
        <v>0</v>
      </c>
      <c r="R74" s="204">
        <f>SUMIFS('caseload data'!S:S,'caseload data'!$D:$D,"SPO",'caseload data'!$A:$A,$B$71)</f>
        <v>0</v>
      </c>
      <c r="S74" s="204">
        <f>SUMIFS('caseload data'!T:T,'caseload data'!$D:$D,"SPO",'caseload data'!$A:$A,$B$71)</f>
        <v>0</v>
      </c>
      <c r="T74" s="126">
        <f>SUMIFS('caseload data'!V:V,'caseload data'!$D:$D,"SPO",'caseload data'!$A:$A,$B$71)</f>
        <v>0</v>
      </c>
      <c r="U74" s="95"/>
      <c r="V74" s="95"/>
      <c r="W74" s="331"/>
      <c r="X74" s="163" t="s">
        <v>187</v>
      </c>
      <c r="Y74" s="209" t="e">
        <f t="shared" si="19"/>
        <v>#DIV/0!</v>
      </c>
      <c r="Z74" s="209" t="e">
        <f t="shared" si="18"/>
        <v>#DIV/0!</v>
      </c>
      <c r="AA74" s="209" t="e">
        <f t="shared" si="18"/>
        <v>#DIV/0!</v>
      </c>
      <c r="AB74" s="209" t="e">
        <f t="shared" si="18"/>
        <v>#DIV/0!</v>
      </c>
      <c r="AC74" s="209" t="e">
        <f t="shared" si="18"/>
        <v>#DIV/0!</v>
      </c>
      <c r="AD74" s="209" t="e">
        <f t="shared" si="18"/>
        <v>#DIV/0!</v>
      </c>
      <c r="AE74" s="209" t="e">
        <f t="shared" si="18"/>
        <v>#DIV/0!</v>
      </c>
      <c r="AF74" s="209" t="e">
        <f t="shared" si="18"/>
        <v>#DIV/0!</v>
      </c>
      <c r="AG74" s="209" t="e">
        <f t="shared" si="18"/>
        <v>#DIV/0!</v>
      </c>
      <c r="AH74" s="209" t="e">
        <f t="shared" si="18"/>
        <v>#DIV/0!</v>
      </c>
      <c r="AI74" s="209" t="e">
        <f t="shared" si="18"/>
        <v>#DIV/0!</v>
      </c>
      <c r="AJ74" s="209" t="e">
        <f t="shared" si="18"/>
        <v>#DIV/0!</v>
      </c>
      <c r="AK74" s="209" t="e">
        <f t="shared" si="18"/>
        <v>#DIV/0!</v>
      </c>
      <c r="AL74" s="209" t="e">
        <f t="shared" si="18"/>
        <v>#DIV/0!</v>
      </c>
      <c r="AM74" s="209" t="e">
        <f t="shared" si="18"/>
        <v>#DIV/0!</v>
      </c>
      <c r="AN74" s="209" t="e">
        <f t="shared" si="18"/>
        <v>#DIV/0!</v>
      </c>
    </row>
    <row r="75" spans="2:40" s="30" customFormat="1" x14ac:dyDescent="0.15">
      <c r="B75" s="329" t="s">
        <v>518</v>
      </c>
      <c r="C75" s="161" t="s">
        <v>184</v>
      </c>
      <c r="D75" s="204">
        <f>SUMIFS('caseload data'!E:E,'caseload data'!$D:$D,"PO",'caseload data'!$A:$A,$B$75)</f>
        <v>0</v>
      </c>
      <c r="E75" s="204">
        <f>SUMIFS('caseload data'!F:F,'caseload data'!$D:$D,"PO",'caseload data'!$A:$A,$B$75)</f>
        <v>0</v>
      </c>
      <c r="F75" s="204">
        <f>SUMIFS('caseload data'!G:G,'caseload data'!$D:$D,"PO",'caseload data'!$A:$A,$B$75)</f>
        <v>0</v>
      </c>
      <c r="G75" s="204">
        <f>SUMIFS('caseload data'!H:H,'caseload data'!$D:$D,"PO",'caseload data'!$A:$A,$B$75)</f>
        <v>0</v>
      </c>
      <c r="H75" s="204">
        <f>SUMIFS('caseload data'!I:I,'caseload data'!$D:$D,"PO",'caseload data'!$A:$A,$B$75)</f>
        <v>0</v>
      </c>
      <c r="I75" s="204">
        <f>SUMIFS('caseload data'!J:J,'caseload data'!$D:$D,"PO",'caseload data'!$A:$A,$B$75)</f>
        <v>0</v>
      </c>
      <c r="J75" s="204">
        <f>SUMIFS('caseload data'!K:K,'caseload data'!$D:$D,"PO",'caseload data'!$A:$A,$B$75)</f>
        <v>0</v>
      </c>
      <c r="K75" s="204">
        <f>SUMIFS('caseload data'!L:L,'caseload data'!$D:$D,"PO",'caseload data'!$A:$A,$B$75)</f>
        <v>0</v>
      </c>
      <c r="L75" s="204">
        <f>SUMIFS('caseload data'!M:M,'caseload data'!$D:$D,"PO",'caseload data'!$A:$A,$B$75)</f>
        <v>0</v>
      </c>
      <c r="M75" s="204">
        <f>SUMIFS('caseload data'!N:N,'caseload data'!$D:$D,"PO",'caseload data'!$A:$A,$B$75)</f>
        <v>0</v>
      </c>
      <c r="N75" s="204">
        <f>SUMIFS('caseload data'!O:O,'caseload data'!$D:$D,"PO",'caseload data'!$A:$A,$B$75)</f>
        <v>0</v>
      </c>
      <c r="O75" s="204">
        <f>SUMIFS('caseload data'!P:P,'caseload data'!$D:$D,"PO",'caseload data'!$A:$A,$B$75)</f>
        <v>0</v>
      </c>
      <c r="P75" s="204">
        <f>SUMIFS('caseload data'!Q:Q,'caseload data'!$D:$D,"PO",'caseload data'!$A:$A,$B$75)</f>
        <v>0</v>
      </c>
      <c r="Q75" s="204">
        <f>SUMIFS('caseload data'!R:R,'caseload data'!$D:$D,"PO",'caseload data'!$A:$A,$B$75)</f>
        <v>0</v>
      </c>
      <c r="R75" s="204">
        <f>SUMIFS('caseload data'!S:S,'caseload data'!$D:$D,"PO",'caseload data'!$A:$A,$B$75)</f>
        <v>0</v>
      </c>
      <c r="S75" s="204">
        <f>SUMIFS('caseload data'!T:T,'caseload data'!$D:$D,"PO",'caseload data'!$A:$A,$B$75)</f>
        <v>0</v>
      </c>
      <c r="T75" s="126">
        <f>SUMIFS('caseload data'!V:V,'caseload data'!$D:$D,"PO",'caseload data'!$A:$A,$B$75)</f>
        <v>0</v>
      </c>
      <c r="U75" s="95"/>
      <c r="V75" s="95"/>
      <c r="W75" s="329" t="s">
        <v>518</v>
      </c>
      <c r="X75" s="161" t="s">
        <v>184</v>
      </c>
      <c r="Y75" s="209" t="e">
        <f>SUM(D75)/SUM(D$75:D$78)</f>
        <v>#DIV/0!</v>
      </c>
      <c r="Z75" s="209" t="e">
        <f t="shared" ref="Z75:AN78" si="20">SUM(E75)/SUM(E$75:E$78)</f>
        <v>#DIV/0!</v>
      </c>
      <c r="AA75" s="209" t="e">
        <f t="shared" si="20"/>
        <v>#DIV/0!</v>
      </c>
      <c r="AB75" s="209" t="e">
        <f t="shared" si="20"/>
        <v>#DIV/0!</v>
      </c>
      <c r="AC75" s="209" t="e">
        <f t="shared" si="20"/>
        <v>#DIV/0!</v>
      </c>
      <c r="AD75" s="209" t="e">
        <f t="shared" si="20"/>
        <v>#DIV/0!</v>
      </c>
      <c r="AE75" s="209" t="e">
        <f t="shared" si="20"/>
        <v>#DIV/0!</v>
      </c>
      <c r="AF75" s="209" t="e">
        <f t="shared" si="20"/>
        <v>#DIV/0!</v>
      </c>
      <c r="AG75" s="209" t="e">
        <f t="shared" si="20"/>
        <v>#DIV/0!</v>
      </c>
      <c r="AH75" s="209" t="e">
        <f t="shared" si="20"/>
        <v>#DIV/0!</v>
      </c>
      <c r="AI75" s="209" t="e">
        <f t="shared" si="20"/>
        <v>#DIV/0!</v>
      </c>
      <c r="AJ75" s="209" t="e">
        <f t="shared" si="20"/>
        <v>#DIV/0!</v>
      </c>
      <c r="AK75" s="209" t="e">
        <f t="shared" si="20"/>
        <v>#DIV/0!</v>
      </c>
      <c r="AL75" s="209" t="e">
        <f t="shared" si="20"/>
        <v>#DIV/0!</v>
      </c>
      <c r="AM75" s="209" t="e">
        <f t="shared" si="20"/>
        <v>#DIV/0!</v>
      </c>
      <c r="AN75" s="209" t="e">
        <f t="shared" si="20"/>
        <v>#DIV/0!</v>
      </c>
    </row>
    <row r="76" spans="2:40" s="30" customFormat="1" x14ac:dyDescent="0.15">
      <c r="B76" s="330"/>
      <c r="C76" s="162" t="s">
        <v>185</v>
      </c>
      <c r="D76" s="204">
        <f>SUMIFS('caseload data'!E:E,'caseload data'!$D:$D,"PSO",'caseload data'!$A:$A,$B$75)</f>
        <v>0</v>
      </c>
      <c r="E76" s="204">
        <f>SUMIFS('caseload data'!F:F,'caseload data'!$D:$D,"PSO",'caseload data'!$A:$A,$B$75)</f>
        <v>0</v>
      </c>
      <c r="F76" s="204">
        <f>SUMIFS('caseload data'!G:G,'caseload data'!$D:$D,"PSO",'caseload data'!$A:$A,$B$75)</f>
        <v>0</v>
      </c>
      <c r="G76" s="204">
        <f>SUMIFS('caseload data'!H:H,'caseload data'!$D:$D,"PSO",'caseload data'!$A:$A,$B$75)</f>
        <v>0</v>
      </c>
      <c r="H76" s="204">
        <f>SUMIFS('caseload data'!I:I,'caseload data'!$D:$D,"PSO",'caseload data'!$A:$A,$B$75)</f>
        <v>0</v>
      </c>
      <c r="I76" s="204">
        <f>SUMIFS('caseload data'!J:J,'caseload data'!$D:$D,"PSO",'caseload data'!$A:$A,$B$75)</f>
        <v>0</v>
      </c>
      <c r="J76" s="204">
        <f>SUMIFS('caseload data'!K:K,'caseload data'!$D:$D,"PSO",'caseload data'!$A:$A,$B$75)</f>
        <v>0</v>
      </c>
      <c r="K76" s="204">
        <f>SUMIFS('caseload data'!L:L,'caseload data'!$D:$D,"PSO",'caseload data'!$A:$A,$B$75)</f>
        <v>0</v>
      </c>
      <c r="L76" s="204">
        <f>SUMIFS('caseload data'!M:M,'caseload data'!$D:$D,"PSO",'caseload data'!$A:$A,$B$75)</f>
        <v>0</v>
      </c>
      <c r="M76" s="204">
        <f>SUMIFS('caseload data'!N:N,'caseload data'!$D:$D,"PSO",'caseload data'!$A:$A,$B$75)</f>
        <v>0</v>
      </c>
      <c r="N76" s="204">
        <f>SUMIFS('caseload data'!O:O,'caseload data'!$D:$D,"PSO",'caseload data'!$A:$A,$B$75)</f>
        <v>0</v>
      </c>
      <c r="O76" s="204">
        <f>SUMIFS('caseload data'!P:P,'caseload data'!$D:$D,"PSO",'caseload data'!$A:$A,$B$75)</f>
        <v>0</v>
      </c>
      <c r="P76" s="204">
        <f>SUMIFS('caseload data'!Q:Q,'caseload data'!$D:$D,"PSO",'caseload data'!$A:$A,$B$75)</f>
        <v>0</v>
      </c>
      <c r="Q76" s="204">
        <f>SUMIFS('caseload data'!R:R,'caseload data'!$D:$D,"PSO",'caseload data'!$A:$A,$B$75)</f>
        <v>0</v>
      </c>
      <c r="R76" s="204">
        <f>SUMIFS('caseload data'!S:S,'caseload data'!$D:$D,"PSO",'caseload data'!$A:$A,$B$75)</f>
        <v>0</v>
      </c>
      <c r="S76" s="204">
        <f>SUMIFS('caseload data'!T:T,'caseload data'!$D:$D,"PSO",'caseload data'!$A:$A,$B$75)</f>
        <v>0</v>
      </c>
      <c r="T76" s="126">
        <f>SUMIFS('caseload data'!V:V,'caseload data'!$D:$D,"PSO",'caseload data'!$A:$A,$B$75)</f>
        <v>0</v>
      </c>
      <c r="U76" s="95"/>
      <c r="V76" s="95"/>
      <c r="W76" s="330"/>
      <c r="X76" s="162" t="s">
        <v>185</v>
      </c>
      <c r="Y76" s="209" t="e">
        <f t="shared" ref="Y76:Y78" si="21">SUM(D76)/SUM(D$75:D$78)</f>
        <v>#DIV/0!</v>
      </c>
      <c r="Z76" s="209" t="e">
        <f t="shared" si="20"/>
        <v>#DIV/0!</v>
      </c>
      <c r="AA76" s="209" t="e">
        <f t="shared" si="20"/>
        <v>#DIV/0!</v>
      </c>
      <c r="AB76" s="209" t="e">
        <f t="shared" si="20"/>
        <v>#DIV/0!</v>
      </c>
      <c r="AC76" s="209" t="e">
        <f t="shared" si="20"/>
        <v>#DIV/0!</v>
      </c>
      <c r="AD76" s="209" t="e">
        <f t="shared" si="20"/>
        <v>#DIV/0!</v>
      </c>
      <c r="AE76" s="209" t="e">
        <f t="shared" si="20"/>
        <v>#DIV/0!</v>
      </c>
      <c r="AF76" s="209" t="e">
        <f t="shared" si="20"/>
        <v>#DIV/0!</v>
      </c>
      <c r="AG76" s="209" t="e">
        <f t="shared" si="20"/>
        <v>#DIV/0!</v>
      </c>
      <c r="AH76" s="209" t="e">
        <f t="shared" si="20"/>
        <v>#DIV/0!</v>
      </c>
      <c r="AI76" s="209" t="e">
        <f t="shared" si="20"/>
        <v>#DIV/0!</v>
      </c>
      <c r="AJ76" s="209" t="e">
        <f t="shared" si="20"/>
        <v>#DIV/0!</v>
      </c>
      <c r="AK76" s="209" t="e">
        <f t="shared" si="20"/>
        <v>#DIV/0!</v>
      </c>
      <c r="AL76" s="209" t="e">
        <f t="shared" si="20"/>
        <v>#DIV/0!</v>
      </c>
      <c r="AM76" s="209" t="e">
        <f t="shared" si="20"/>
        <v>#DIV/0!</v>
      </c>
      <c r="AN76" s="209" t="e">
        <f t="shared" si="20"/>
        <v>#DIV/0!</v>
      </c>
    </row>
    <row r="77" spans="2:40" s="30" customFormat="1" x14ac:dyDescent="0.15">
      <c r="B77" s="330"/>
      <c r="C77" s="162" t="s">
        <v>186</v>
      </c>
      <c r="D77" s="204">
        <f>SUMIFS('caseload data'!E:E,'caseload data'!$D:$D,"TPO",'caseload data'!$A:$A,$B$75)</f>
        <v>0</v>
      </c>
      <c r="E77" s="204">
        <f>SUMIFS('caseload data'!F:F,'caseload data'!$D:$D,"TPO",'caseload data'!$A:$A,$B$75)</f>
        <v>0</v>
      </c>
      <c r="F77" s="204">
        <f>SUMIFS('caseload data'!G:G,'caseload data'!$D:$D,"TPO",'caseload data'!$A:$A,$B$75)</f>
        <v>0</v>
      </c>
      <c r="G77" s="204">
        <f>SUMIFS('caseload data'!H:H,'caseload data'!$D:$D,"TPO",'caseload data'!$A:$A,$B$75)</f>
        <v>0</v>
      </c>
      <c r="H77" s="204">
        <f>SUMIFS('caseload data'!I:I,'caseload data'!$D:$D,"TPO",'caseload data'!$A:$A,$B$75)</f>
        <v>0</v>
      </c>
      <c r="I77" s="204">
        <f>SUMIFS('caseload data'!J:J,'caseload data'!$D:$D,"TPO",'caseload data'!$A:$A,$B$75)</f>
        <v>0</v>
      </c>
      <c r="J77" s="204">
        <f>SUMIFS('caseload data'!K:K,'caseload data'!$D:$D,"TPO",'caseload data'!$A:$A,$B$75)</f>
        <v>0</v>
      </c>
      <c r="K77" s="204">
        <f>SUMIFS('caseload data'!L:L,'caseload data'!$D:$D,"TPO",'caseload data'!$A:$A,$B$75)</f>
        <v>0</v>
      </c>
      <c r="L77" s="204">
        <f>SUMIFS('caseload data'!M:M,'caseload data'!$D:$D,"TPO",'caseload data'!$A:$A,$B$75)</f>
        <v>0</v>
      </c>
      <c r="M77" s="204">
        <f>SUMIFS('caseload data'!N:N,'caseload data'!$D:$D,"TPO",'caseload data'!$A:$A,$B$75)</f>
        <v>0</v>
      </c>
      <c r="N77" s="204">
        <f>SUMIFS('caseload data'!O:O,'caseload data'!$D:$D,"TPO",'caseload data'!$A:$A,$B$75)</f>
        <v>0</v>
      </c>
      <c r="O77" s="204">
        <f>SUMIFS('caseload data'!P:P,'caseload data'!$D:$D,"TPO",'caseload data'!$A:$A,$B$75)</f>
        <v>0</v>
      </c>
      <c r="P77" s="204">
        <f>SUMIFS('caseload data'!Q:Q,'caseload data'!$D:$D,"TPO",'caseload data'!$A:$A,$B$75)</f>
        <v>0</v>
      </c>
      <c r="Q77" s="204">
        <f>SUMIFS('caseload data'!R:R,'caseload data'!$D:$D,"TPO",'caseload data'!$A:$A,$B$75)</f>
        <v>0</v>
      </c>
      <c r="R77" s="204">
        <f>SUMIFS('caseload data'!S:S,'caseload data'!$D:$D,"TPO",'caseload data'!$A:$A,$B$75)</f>
        <v>0</v>
      </c>
      <c r="S77" s="204">
        <f>SUMIFS('caseload data'!T:T,'caseload data'!$D:$D,"TPO",'caseload data'!$A:$A,$B$75)</f>
        <v>0</v>
      </c>
      <c r="T77" s="126">
        <f>SUMIFS('caseload data'!V:V,'caseload data'!$D:$D,"TPO",'caseload data'!$A:$A,$B$75)</f>
        <v>0</v>
      </c>
      <c r="U77" s="95"/>
      <c r="V77" s="95"/>
      <c r="W77" s="330"/>
      <c r="X77" s="162" t="s">
        <v>186</v>
      </c>
      <c r="Y77" s="209" t="e">
        <f t="shared" si="21"/>
        <v>#DIV/0!</v>
      </c>
      <c r="Z77" s="209" t="e">
        <f t="shared" si="20"/>
        <v>#DIV/0!</v>
      </c>
      <c r="AA77" s="209" t="e">
        <f t="shared" si="20"/>
        <v>#DIV/0!</v>
      </c>
      <c r="AB77" s="209" t="e">
        <f t="shared" si="20"/>
        <v>#DIV/0!</v>
      </c>
      <c r="AC77" s="209" t="e">
        <f t="shared" si="20"/>
        <v>#DIV/0!</v>
      </c>
      <c r="AD77" s="209" t="e">
        <f t="shared" si="20"/>
        <v>#DIV/0!</v>
      </c>
      <c r="AE77" s="209" t="e">
        <f t="shared" si="20"/>
        <v>#DIV/0!</v>
      </c>
      <c r="AF77" s="209" t="e">
        <f t="shared" si="20"/>
        <v>#DIV/0!</v>
      </c>
      <c r="AG77" s="209" t="e">
        <f t="shared" si="20"/>
        <v>#DIV/0!</v>
      </c>
      <c r="AH77" s="209" t="e">
        <f t="shared" si="20"/>
        <v>#DIV/0!</v>
      </c>
      <c r="AI77" s="209" t="e">
        <f t="shared" si="20"/>
        <v>#DIV/0!</v>
      </c>
      <c r="AJ77" s="209" t="e">
        <f t="shared" si="20"/>
        <v>#DIV/0!</v>
      </c>
      <c r="AK77" s="209" t="e">
        <f t="shared" si="20"/>
        <v>#DIV/0!</v>
      </c>
      <c r="AL77" s="209" t="e">
        <f t="shared" si="20"/>
        <v>#DIV/0!</v>
      </c>
      <c r="AM77" s="209" t="e">
        <f t="shared" si="20"/>
        <v>#DIV/0!</v>
      </c>
      <c r="AN77" s="209" t="e">
        <f t="shared" si="20"/>
        <v>#DIV/0!</v>
      </c>
    </row>
    <row r="78" spans="2:40" s="30" customFormat="1" x14ac:dyDescent="0.15">
      <c r="B78" s="331"/>
      <c r="C78" s="163" t="s">
        <v>187</v>
      </c>
      <c r="D78" s="204">
        <f>SUMIFS('caseload data'!E:E,'caseload data'!$D:$D,"SPO",'caseload data'!$A:$A,$B$75)</f>
        <v>0</v>
      </c>
      <c r="E78" s="204">
        <f>SUMIFS('caseload data'!F:F,'caseload data'!$D:$D,"SPO",'caseload data'!$A:$A,$B$75)</f>
        <v>0</v>
      </c>
      <c r="F78" s="204">
        <f>SUMIFS('caseload data'!G:G,'caseload data'!$D:$D,"SPO",'caseload data'!$A:$A,$B$75)</f>
        <v>0</v>
      </c>
      <c r="G78" s="204">
        <f>SUMIFS('caseload data'!H:H,'caseload data'!$D:$D,"SPO",'caseload data'!$A:$A,$B$75)</f>
        <v>0</v>
      </c>
      <c r="H78" s="204">
        <f>SUMIFS('caseload data'!I:I,'caseload data'!$D:$D,"SPO",'caseload data'!$A:$A,$B$75)</f>
        <v>0</v>
      </c>
      <c r="I78" s="204">
        <f>SUMIFS('caseload data'!J:J,'caseload data'!$D:$D,"SPO",'caseload data'!$A:$A,$B$75)</f>
        <v>0</v>
      </c>
      <c r="J78" s="204">
        <f>SUMIFS('caseload data'!K:K,'caseload data'!$D:$D,"SPO",'caseload data'!$A:$A,$B$75)</f>
        <v>0</v>
      </c>
      <c r="K78" s="204">
        <f>SUMIFS('caseload data'!L:L,'caseload data'!$D:$D,"SPO",'caseload data'!$A:$A,$B$75)</f>
        <v>0</v>
      </c>
      <c r="L78" s="204">
        <f>SUMIFS('caseload data'!M:M,'caseload data'!$D:$D,"SPO",'caseload data'!$A:$A,$B$75)</f>
        <v>0</v>
      </c>
      <c r="M78" s="204">
        <f>SUMIFS('caseload data'!N:N,'caseload data'!$D:$D,"SPO",'caseload data'!$A:$A,$B$75)</f>
        <v>0</v>
      </c>
      <c r="N78" s="204">
        <f>SUMIFS('caseload data'!O:O,'caseload data'!$D:$D,"SPO",'caseload data'!$A:$A,$B$75)</f>
        <v>0</v>
      </c>
      <c r="O78" s="204">
        <f>SUMIFS('caseload data'!P:P,'caseload data'!$D:$D,"SPO",'caseload data'!$A:$A,$B$75)</f>
        <v>0</v>
      </c>
      <c r="P78" s="204">
        <f>SUMIFS('caseload data'!Q:Q,'caseload data'!$D:$D,"SPO",'caseload data'!$A:$A,$B$75)</f>
        <v>0</v>
      </c>
      <c r="Q78" s="204">
        <f>SUMIFS('caseload data'!R:R,'caseload data'!$D:$D,"SPO",'caseload data'!$A:$A,$B$75)</f>
        <v>0</v>
      </c>
      <c r="R78" s="204">
        <f>SUMIFS('caseload data'!S:S,'caseload data'!$D:$D,"SPO",'caseload data'!$A:$A,$B$75)</f>
        <v>0</v>
      </c>
      <c r="S78" s="204">
        <f>SUMIFS('caseload data'!T:T,'caseload data'!$D:$D,"SPO",'caseload data'!$A:$A,$B$75)</f>
        <v>0</v>
      </c>
      <c r="T78" s="126">
        <f>SUMIFS('caseload data'!V:V,'caseload data'!$D:$D,"SPO",'caseload data'!$A:$A,$B$75)</f>
        <v>0</v>
      </c>
      <c r="U78" s="95"/>
      <c r="V78" s="95"/>
      <c r="W78" s="331"/>
      <c r="X78" s="163" t="s">
        <v>187</v>
      </c>
      <c r="Y78" s="209" t="e">
        <f t="shared" si="21"/>
        <v>#DIV/0!</v>
      </c>
      <c r="Z78" s="209" t="e">
        <f t="shared" si="20"/>
        <v>#DIV/0!</v>
      </c>
      <c r="AA78" s="209" t="e">
        <f t="shared" si="20"/>
        <v>#DIV/0!</v>
      </c>
      <c r="AB78" s="209" t="e">
        <f t="shared" si="20"/>
        <v>#DIV/0!</v>
      </c>
      <c r="AC78" s="209" t="e">
        <f t="shared" si="20"/>
        <v>#DIV/0!</v>
      </c>
      <c r="AD78" s="209" t="e">
        <f t="shared" si="20"/>
        <v>#DIV/0!</v>
      </c>
      <c r="AE78" s="209" t="e">
        <f t="shared" si="20"/>
        <v>#DIV/0!</v>
      </c>
      <c r="AF78" s="209" t="e">
        <f t="shared" si="20"/>
        <v>#DIV/0!</v>
      </c>
      <c r="AG78" s="209" t="e">
        <f t="shared" si="20"/>
        <v>#DIV/0!</v>
      </c>
      <c r="AH78" s="209" t="e">
        <f t="shared" si="20"/>
        <v>#DIV/0!</v>
      </c>
      <c r="AI78" s="209" t="e">
        <f t="shared" si="20"/>
        <v>#DIV/0!</v>
      </c>
      <c r="AJ78" s="209" t="e">
        <f t="shared" si="20"/>
        <v>#DIV/0!</v>
      </c>
      <c r="AK78" s="209" t="e">
        <f t="shared" si="20"/>
        <v>#DIV/0!</v>
      </c>
      <c r="AL78" s="209" t="e">
        <f t="shared" si="20"/>
        <v>#DIV/0!</v>
      </c>
      <c r="AM78" s="209" t="e">
        <f t="shared" si="20"/>
        <v>#DIV/0!</v>
      </c>
      <c r="AN78" s="209" t="e">
        <f t="shared" si="20"/>
        <v>#DIV/0!</v>
      </c>
    </row>
    <row r="79" spans="2:40" s="30" customFormat="1" x14ac:dyDescent="0.15">
      <c r="B79" s="329" t="s">
        <v>519</v>
      </c>
      <c r="C79" s="161" t="s">
        <v>184</v>
      </c>
      <c r="D79" s="204">
        <f>SUMIFS('caseload data'!E:E,'caseload data'!$D:$D,"PO",'caseload data'!$A:$A,$B$79)</f>
        <v>0</v>
      </c>
      <c r="E79" s="204">
        <f>SUMIFS('caseload data'!F:F,'caseload data'!$D:$D,"PO",'caseload data'!$A:$A,$B$79)</f>
        <v>0</v>
      </c>
      <c r="F79" s="204">
        <f>SUMIFS('caseload data'!G:G,'caseload data'!$D:$D,"PO",'caseload data'!$A:$A,$B$79)</f>
        <v>0</v>
      </c>
      <c r="G79" s="204">
        <f>SUMIFS('caseload data'!H:H,'caseload data'!$D:$D,"PO",'caseload data'!$A:$A,$B$79)</f>
        <v>0</v>
      </c>
      <c r="H79" s="204">
        <f>SUMIFS('caseload data'!I:I,'caseload data'!$D:$D,"PO",'caseload data'!$A:$A,$B$79)</f>
        <v>0</v>
      </c>
      <c r="I79" s="204">
        <f>SUMIFS('caseload data'!J:J,'caseload data'!$D:$D,"PO",'caseload data'!$A:$A,$B$79)</f>
        <v>0</v>
      </c>
      <c r="J79" s="204">
        <f>SUMIFS('caseload data'!K:K,'caseload data'!$D:$D,"PO",'caseload data'!$A:$A,$B$79)</f>
        <v>0</v>
      </c>
      <c r="K79" s="204">
        <f>SUMIFS('caseload data'!L:L,'caseload data'!$D:$D,"PO",'caseload data'!$A:$A,$B$79)</f>
        <v>0</v>
      </c>
      <c r="L79" s="204">
        <f>SUMIFS('caseload data'!M:M,'caseload data'!$D:$D,"PO",'caseload data'!$A:$A,$B$79)</f>
        <v>0</v>
      </c>
      <c r="M79" s="204">
        <f>SUMIFS('caseload data'!N:N,'caseload data'!$D:$D,"PO",'caseload data'!$A:$A,$B$79)</f>
        <v>0</v>
      </c>
      <c r="N79" s="204">
        <f>SUMIFS('caseload data'!O:O,'caseload data'!$D:$D,"PO",'caseload data'!$A:$A,$B$79)</f>
        <v>0</v>
      </c>
      <c r="O79" s="204">
        <f>SUMIFS('caseload data'!P:P,'caseload data'!$D:$D,"PO",'caseload data'!$A:$A,$B$79)</f>
        <v>0</v>
      </c>
      <c r="P79" s="204">
        <f>SUMIFS('caseload data'!Q:Q,'caseload data'!$D:$D,"PO",'caseload data'!$A:$A,$B$79)</f>
        <v>0</v>
      </c>
      <c r="Q79" s="204">
        <f>SUMIFS('caseload data'!R:R,'caseload data'!$D:$D,"PO",'caseload data'!$A:$A,$B$79)</f>
        <v>0</v>
      </c>
      <c r="R79" s="204">
        <f>SUMIFS('caseload data'!S:S,'caseload data'!$D:$D,"PO",'caseload data'!$A:$A,$B$79)</f>
        <v>0</v>
      </c>
      <c r="S79" s="204">
        <f>SUMIFS('caseload data'!T:T,'caseload data'!$D:$D,"PO",'caseload data'!$A:$A,$B$79)</f>
        <v>0</v>
      </c>
      <c r="T79" s="126">
        <f>SUMIFS('caseload data'!V:V,'caseload data'!$D:$D,"PO",'caseload data'!$A:$A,$B$79)</f>
        <v>0</v>
      </c>
      <c r="U79" s="95"/>
      <c r="V79" s="95"/>
      <c r="W79" s="329" t="s">
        <v>519</v>
      </c>
      <c r="X79" s="161" t="s">
        <v>184</v>
      </c>
      <c r="Y79" s="209" t="e">
        <f>SUM(D79)/SUM(D$79:D$82)</f>
        <v>#DIV/0!</v>
      </c>
      <c r="Z79" s="209" t="e">
        <f t="shared" ref="Z79:AN82" si="22">SUM(E79)/SUM(E$79:E$82)</f>
        <v>#DIV/0!</v>
      </c>
      <c r="AA79" s="209" t="e">
        <f t="shared" si="22"/>
        <v>#DIV/0!</v>
      </c>
      <c r="AB79" s="209" t="e">
        <f t="shared" si="22"/>
        <v>#DIV/0!</v>
      </c>
      <c r="AC79" s="209" t="e">
        <f t="shared" si="22"/>
        <v>#DIV/0!</v>
      </c>
      <c r="AD79" s="209" t="e">
        <f t="shared" si="22"/>
        <v>#DIV/0!</v>
      </c>
      <c r="AE79" s="209" t="e">
        <f t="shared" si="22"/>
        <v>#DIV/0!</v>
      </c>
      <c r="AF79" s="209" t="e">
        <f t="shared" si="22"/>
        <v>#DIV/0!</v>
      </c>
      <c r="AG79" s="209" t="e">
        <f t="shared" si="22"/>
        <v>#DIV/0!</v>
      </c>
      <c r="AH79" s="209" t="e">
        <f t="shared" si="22"/>
        <v>#DIV/0!</v>
      </c>
      <c r="AI79" s="209" t="e">
        <f t="shared" si="22"/>
        <v>#DIV/0!</v>
      </c>
      <c r="AJ79" s="209" t="e">
        <f t="shared" si="22"/>
        <v>#DIV/0!</v>
      </c>
      <c r="AK79" s="209" t="e">
        <f t="shared" si="22"/>
        <v>#DIV/0!</v>
      </c>
      <c r="AL79" s="209" t="e">
        <f t="shared" si="22"/>
        <v>#DIV/0!</v>
      </c>
      <c r="AM79" s="209" t="e">
        <f t="shared" si="22"/>
        <v>#DIV/0!</v>
      </c>
      <c r="AN79" s="209" t="e">
        <f t="shared" si="22"/>
        <v>#DIV/0!</v>
      </c>
    </row>
    <row r="80" spans="2:40" s="30" customFormat="1" x14ac:dyDescent="0.15">
      <c r="B80" s="330"/>
      <c r="C80" s="162" t="s">
        <v>185</v>
      </c>
      <c r="D80" s="204">
        <f>SUMIFS('caseload data'!E:E,'caseload data'!$D:$D,"PSO",'caseload data'!$A:$A,$B$79)</f>
        <v>0</v>
      </c>
      <c r="E80" s="204">
        <f>SUMIFS('caseload data'!F:F,'caseload data'!$D:$D,"PSO",'caseload data'!$A:$A,$B$79)</f>
        <v>0</v>
      </c>
      <c r="F80" s="204">
        <f>SUMIFS('caseload data'!G:G,'caseload data'!$D:$D,"PSO",'caseload data'!$A:$A,$B$79)</f>
        <v>0</v>
      </c>
      <c r="G80" s="204">
        <f>SUMIFS('caseload data'!H:H,'caseload data'!$D:$D,"PSO",'caseload data'!$A:$A,$B$79)</f>
        <v>0</v>
      </c>
      <c r="H80" s="204">
        <f>SUMIFS('caseload data'!I:I,'caseload data'!$D:$D,"PSO",'caseload data'!$A:$A,$B$79)</f>
        <v>0</v>
      </c>
      <c r="I80" s="204">
        <f>SUMIFS('caseload data'!J:J,'caseload data'!$D:$D,"PSO",'caseload data'!$A:$A,$B$79)</f>
        <v>0</v>
      </c>
      <c r="J80" s="204">
        <f>SUMIFS('caseload data'!K:K,'caseload data'!$D:$D,"PSO",'caseload data'!$A:$A,$B$79)</f>
        <v>0</v>
      </c>
      <c r="K80" s="204">
        <f>SUMIFS('caseload data'!L:L,'caseload data'!$D:$D,"PSO",'caseload data'!$A:$A,$B$79)</f>
        <v>0</v>
      </c>
      <c r="L80" s="204">
        <f>SUMIFS('caseload data'!M:M,'caseload data'!$D:$D,"PSO",'caseload data'!$A:$A,$B$79)</f>
        <v>0</v>
      </c>
      <c r="M80" s="204">
        <f>SUMIFS('caseload data'!N:N,'caseload data'!$D:$D,"PSO",'caseload data'!$A:$A,$B$79)</f>
        <v>0</v>
      </c>
      <c r="N80" s="204">
        <f>SUMIFS('caseload data'!O:O,'caseload data'!$D:$D,"PSO",'caseload data'!$A:$A,$B$79)</f>
        <v>0</v>
      </c>
      <c r="O80" s="204">
        <f>SUMIFS('caseload data'!P:P,'caseload data'!$D:$D,"PSO",'caseload data'!$A:$A,$B$79)</f>
        <v>0</v>
      </c>
      <c r="P80" s="204">
        <f>SUMIFS('caseload data'!Q:Q,'caseload data'!$D:$D,"PSO",'caseload data'!$A:$A,$B$79)</f>
        <v>0</v>
      </c>
      <c r="Q80" s="204">
        <f>SUMIFS('caseload data'!R:R,'caseload data'!$D:$D,"PSO",'caseload data'!$A:$A,$B$79)</f>
        <v>0</v>
      </c>
      <c r="R80" s="204">
        <f>SUMIFS('caseload data'!S:S,'caseload data'!$D:$D,"PSO",'caseload data'!$A:$A,$B$79)</f>
        <v>0</v>
      </c>
      <c r="S80" s="204">
        <f>SUMIFS('caseload data'!T:T,'caseload data'!$D:$D,"PSO",'caseload data'!$A:$A,$B$79)</f>
        <v>0</v>
      </c>
      <c r="T80" s="126">
        <f>SUMIFS('caseload data'!V:V,'caseload data'!$D:$D,"PSO",'caseload data'!$A:$A,$B$79)</f>
        <v>0</v>
      </c>
      <c r="U80" s="95"/>
      <c r="V80" s="95"/>
      <c r="W80" s="330"/>
      <c r="X80" s="162" t="s">
        <v>185</v>
      </c>
      <c r="Y80" s="209" t="e">
        <f t="shared" ref="Y80:Y82" si="23">SUM(D80)/SUM(D$79:D$82)</f>
        <v>#DIV/0!</v>
      </c>
      <c r="Z80" s="209" t="e">
        <f t="shared" si="22"/>
        <v>#DIV/0!</v>
      </c>
      <c r="AA80" s="209" t="e">
        <f t="shared" si="22"/>
        <v>#DIV/0!</v>
      </c>
      <c r="AB80" s="209" t="e">
        <f t="shared" si="22"/>
        <v>#DIV/0!</v>
      </c>
      <c r="AC80" s="209" t="e">
        <f t="shared" si="22"/>
        <v>#DIV/0!</v>
      </c>
      <c r="AD80" s="209" t="e">
        <f t="shared" si="22"/>
        <v>#DIV/0!</v>
      </c>
      <c r="AE80" s="209" t="e">
        <f t="shared" si="22"/>
        <v>#DIV/0!</v>
      </c>
      <c r="AF80" s="209" t="e">
        <f t="shared" si="22"/>
        <v>#DIV/0!</v>
      </c>
      <c r="AG80" s="209" t="e">
        <f t="shared" si="22"/>
        <v>#DIV/0!</v>
      </c>
      <c r="AH80" s="209" t="e">
        <f t="shared" si="22"/>
        <v>#DIV/0!</v>
      </c>
      <c r="AI80" s="209" t="e">
        <f t="shared" si="22"/>
        <v>#DIV/0!</v>
      </c>
      <c r="AJ80" s="209" t="e">
        <f t="shared" si="22"/>
        <v>#DIV/0!</v>
      </c>
      <c r="AK80" s="209" t="e">
        <f t="shared" si="22"/>
        <v>#DIV/0!</v>
      </c>
      <c r="AL80" s="209" t="e">
        <f t="shared" si="22"/>
        <v>#DIV/0!</v>
      </c>
      <c r="AM80" s="209" t="e">
        <f t="shared" si="22"/>
        <v>#DIV/0!</v>
      </c>
      <c r="AN80" s="209" t="e">
        <f t="shared" si="22"/>
        <v>#DIV/0!</v>
      </c>
    </row>
    <row r="81" spans="2:40" s="30" customFormat="1" x14ac:dyDescent="0.15">
      <c r="B81" s="330"/>
      <c r="C81" s="162" t="s">
        <v>186</v>
      </c>
      <c r="D81" s="204">
        <f>SUMIFS('caseload data'!E:E,'caseload data'!$D:$D,"TPO",'caseload data'!$A:$A,$B$79)</f>
        <v>0</v>
      </c>
      <c r="E81" s="204">
        <f>SUMIFS('caseload data'!F:F,'caseload data'!$D:$D,"TPO",'caseload data'!$A:$A,$B$79)</f>
        <v>0</v>
      </c>
      <c r="F81" s="204">
        <f>SUMIFS('caseload data'!G:G,'caseload data'!$D:$D,"TPO",'caseload data'!$A:$A,$B$79)</f>
        <v>0</v>
      </c>
      <c r="G81" s="204">
        <f>SUMIFS('caseload data'!H:H,'caseload data'!$D:$D,"TPO",'caseload data'!$A:$A,$B$79)</f>
        <v>0</v>
      </c>
      <c r="H81" s="204">
        <f>SUMIFS('caseload data'!I:I,'caseload data'!$D:$D,"TPO",'caseload data'!$A:$A,$B$79)</f>
        <v>0</v>
      </c>
      <c r="I81" s="204">
        <f>SUMIFS('caseload data'!J:J,'caseload data'!$D:$D,"TPO",'caseload data'!$A:$A,$B$79)</f>
        <v>0</v>
      </c>
      <c r="J81" s="204">
        <f>SUMIFS('caseload data'!K:K,'caseload data'!$D:$D,"TPO",'caseload data'!$A:$A,$B$79)</f>
        <v>0</v>
      </c>
      <c r="K81" s="204">
        <f>SUMIFS('caseload data'!L:L,'caseload data'!$D:$D,"TPO",'caseload data'!$A:$A,$B$79)</f>
        <v>0</v>
      </c>
      <c r="L81" s="204">
        <f>SUMIFS('caseload data'!M:M,'caseload data'!$D:$D,"TPO",'caseload data'!$A:$A,$B$79)</f>
        <v>0</v>
      </c>
      <c r="M81" s="204">
        <f>SUMIFS('caseload data'!N:N,'caseload data'!$D:$D,"TPO",'caseload data'!$A:$A,$B$79)</f>
        <v>0</v>
      </c>
      <c r="N81" s="204">
        <f>SUMIFS('caseload data'!O:O,'caseload data'!$D:$D,"TPO",'caseload data'!$A:$A,$B$79)</f>
        <v>0</v>
      </c>
      <c r="O81" s="204">
        <f>SUMIFS('caseload data'!P:P,'caseload data'!$D:$D,"TPO",'caseload data'!$A:$A,$B$79)</f>
        <v>0</v>
      </c>
      <c r="P81" s="204">
        <f>SUMIFS('caseload data'!Q:Q,'caseload data'!$D:$D,"TPO",'caseload data'!$A:$A,$B$79)</f>
        <v>0</v>
      </c>
      <c r="Q81" s="204">
        <f>SUMIFS('caseload data'!R:R,'caseload data'!$D:$D,"TPO",'caseload data'!$A:$A,$B$79)</f>
        <v>0</v>
      </c>
      <c r="R81" s="204">
        <f>SUMIFS('caseload data'!S:S,'caseload data'!$D:$D,"TPO",'caseload data'!$A:$A,$B$79)</f>
        <v>0</v>
      </c>
      <c r="S81" s="204">
        <f>SUMIFS('caseload data'!T:T,'caseload data'!$D:$D,"TPO",'caseload data'!$A:$A,$B$79)</f>
        <v>0</v>
      </c>
      <c r="T81" s="126">
        <f>SUMIFS('caseload data'!V:V,'caseload data'!$D:$D,"TPO",'caseload data'!$A:$A,$B$79)</f>
        <v>0</v>
      </c>
      <c r="U81" s="95"/>
      <c r="V81" s="95"/>
      <c r="W81" s="330"/>
      <c r="X81" s="162" t="s">
        <v>186</v>
      </c>
      <c r="Y81" s="209" t="e">
        <f t="shared" si="23"/>
        <v>#DIV/0!</v>
      </c>
      <c r="Z81" s="209" t="e">
        <f t="shared" si="22"/>
        <v>#DIV/0!</v>
      </c>
      <c r="AA81" s="209" t="e">
        <f t="shared" si="22"/>
        <v>#DIV/0!</v>
      </c>
      <c r="AB81" s="209" t="e">
        <f t="shared" si="22"/>
        <v>#DIV/0!</v>
      </c>
      <c r="AC81" s="209" t="e">
        <f t="shared" si="22"/>
        <v>#DIV/0!</v>
      </c>
      <c r="AD81" s="209" t="e">
        <f t="shared" si="22"/>
        <v>#DIV/0!</v>
      </c>
      <c r="AE81" s="209" t="e">
        <f t="shared" si="22"/>
        <v>#DIV/0!</v>
      </c>
      <c r="AF81" s="209" t="e">
        <f t="shared" si="22"/>
        <v>#DIV/0!</v>
      </c>
      <c r="AG81" s="209" t="e">
        <f t="shared" si="22"/>
        <v>#DIV/0!</v>
      </c>
      <c r="AH81" s="209" t="e">
        <f t="shared" si="22"/>
        <v>#DIV/0!</v>
      </c>
      <c r="AI81" s="209" t="e">
        <f t="shared" si="22"/>
        <v>#DIV/0!</v>
      </c>
      <c r="AJ81" s="209" t="e">
        <f t="shared" si="22"/>
        <v>#DIV/0!</v>
      </c>
      <c r="AK81" s="209" t="e">
        <f t="shared" si="22"/>
        <v>#DIV/0!</v>
      </c>
      <c r="AL81" s="209" t="e">
        <f t="shared" si="22"/>
        <v>#DIV/0!</v>
      </c>
      <c r="AM81" s="209" t="e">
        <f t="shared" si="22"/>
        <v>#DIV/0!</v>
      </c>
      <c r="AN81" s="209" t="e">
        <f t="shared" si="22"/>
        <v>#DIV/0!</v>
      </c>
    </row>
    <row r="82" spans="2:40" s="30" customFormat="1" x14ac:dyDescent="0.15">
      <c r="B82" s="331"/>
      <c r="C82" s="163" t="s">
        <v>187</v>
      </c>
      <c r="D82" s="204">
        <f>SUMIFS('caseload data'!E:E,'caseload data'!$D:$D,"SPO",'caseload data'!$A:$A,$B$79)</f>
        <v>0</v>
      </c>
      <c r="E82" s="204">
        <f>SUMIFS('caseload data'!F:F,'caseload data'!$D:$D,"SPO",'caseload data'!$A:$A,$B$79)</f>
        <v>0</v>
      </c>
      <c r="F82" s="204">
        <f>SUMIFS('caseload data'!G:G,'caseload data'!$D:$D,"SPO",'caseload data'!$A:$A,$B$79)</f>
        <v>0</v>
      </c>
      <c r="G82" s="204">
        <f>SUMIFS('caseload data'!H:H,'caseload data'!$D:$D,"SPO",'caseload data'!$A:$A,$B$79)</f>
        <v>0</v>
      </c>
      <c r="H82" s="204">
        <f>SUMIFS('caseload data'!I:I,'caseload data'!$D:$D,"SPO",'caseload data'!$A:$A,$B$79)</f>
        <v>0</v>
      </c>
      <c r="I82" s="204">
        <f>SUMIFS('caseload data'!J:J,'caseload data'!$D:$D,"SPO",'caseload data'!$A:$A,$B$79)</f>
        <v>0</v>
      </c>
      <c r="J82" s="204">
        <f>SUMIFS('caseload data'!K:K,'caseload data'!$D:$D,"SPO",'caseload data'!$A:$A,$B$79)</f>
        <v>0</v>
      </c>
      <c r="K82" s="204">
        <f>SUMIFS('caseload data'!L:L,'caseload data'!$D:$D,"SPO",'caseload data'!$A:$A,$B$79)</f>
        <v>0</v>
      </c>
      <c r="L82" s="204">
        <f>SUMIFS('caseload data'!M:M,'caseload data'!$D:$D,"SPO",'caseload data'!$A:$A,$B$79)</f>
        <v>0</v>
      </c>
      <c r="M82" s="204">
        <f>SUMIFS('caseload data'!N:N,'caseload data'!$D:$D,"SPO",'caseload data'!$A:$A,$B$79)</f>
        <v>0</v>
      </c>
      <c r="N82" s="204">
        <f>SUMIFS('caseload data'!O:O,'caseload data'!$D:$D,"SPO",'caseload data'!$A:$A,$B$79)</f>
        <v>0</v>
      </c>
      <c r="O82" s="204">
        <f>SUMIFS('caseload data'!P:P,'caseload data'!$D:$D,"SPO",'caseload data'!$A:$A,$B$79)</f>
        <v>0</v>
      </c>
      <c r="P82" s="204">
        <f>SUMIFS('caseload data'!Q:Q,'caseload data'!$D:$D,"SPO",'caseload data'!$A:$A,$B$79)</f>
        <v>0</v>
      </c>
      <c r="Q82" s="204">
        <f>SUMIFS('caseload data'!R:R,'caseload data'!$D:$D,"SPO",'caseload data'!$A:$A,$B$79)</f>
        <v>0</v>
      </c>
      <c r="R82" s="204">
        <f>SUMIFS('caseload data'!S:S,'caseload data'!$D:$D,"SPO",'caseload data'!$A:$A,$B$79)</f>
        <v>0</v>
      </c>
      <c r="S82" s="204">
        <f>SUMIFS('caseload data'!T:T,'caseload data'!$D:$D,"SPO",'caseload data'!$A:$A,$B$79)</f>
        <v>0</v>
      </c>
      <c r="T82" s="126">
        <f>SUMIFS('caseload data'!V:V,'caseload data'!$D:$D,"SPO",'caseload data'!$A:$A,$B$79)</f>
        <v>0</v>
      </c>
      <c r="U82" s="95"/>
      <c r="V82" s="95"/>
      <c r="W82" s="331"/>
      <c r="X82" s="163" t="s">
        <v>187</v>
      </c>
      <c r="Y82" s="209" t="e">
        <f t="shared" si="23"/>
        <v>#DIV/0!</v>
      </c>
      <c r="Z82" s="209" t="e">
        <f t="shared" si="22"/>
        <v>#DIV/0!</v>
      </c>
      <c r="AA82" s="209" t="e">
        <f t="shared" si="22"/>
        <v>#DIV/0!</v>
      </c>
      <c r="AB82" s="209" t="e">
        <f t="shared" si="22"/>
        <v>#DIV/0!</v>
      </c>
      <c r="AC82" s="209" t="e">
        <f t="shared" si="22"/>
        <v>#DIV/0!</v>
      </c>
      <c r="AD82" s="209" t="e">
        <f t="shared" si="22"/>
        <v>#DIV/0!</v>
      </c>
      <c r="AE82" s="209" t="e">
        <f t="shared" si="22"/>
        <v>#DIV/0!</v>
      </c>
      <c r="AF82" s="209" t="e">
        <f t="shared" si="22"/>
        <v>#DIV/0!</v>
      </c>
      <c r="AG82" s="209" t="e">
        <f t="shared" si="22"/>
        <v>#DIV/0!</v>
      </c>
      <c r="AH82" s="209" t="e">
        <f t="shared" si="22"/>
        <v>#DIV/0!</v>
      </c>
      <c r="AI82" s="209" t="e">
        <f t="shared" si="22"/>
        <v>#DIV/0!</v>
      </c>
      <c r="AJ82" s="209" t="e">
        <f t="shared" si="22"/>
        <v>#DIV/0!</v>
      </c>
      <c r="AK82" s="209" t="e">
        <f t="shared" si="22"/>
        <v>#DIV/0!</v>
      </c>
      <c r="AL82" s="209" t="e">
        <f t="shared" si="22"/>
        <v>#DIV/0!</v>
      </c>
      <c r="AM82" s="209" t="e">
        <f t="shared" si="22"/>
        <v>#DIV/0!</v>
      </c>
      <c r="AN82" s="209" t="e">
        <f t="shared" si="22"/>
        <v>#DIV/0!</v>
      </c>
    </row>
    <row r="83" spans="2:40" s="30" customFormat="1" x14ac:dyDescent="0.15">
      <c r="B83" s="329" t="s">
        <v>520</v>
      </c>
      <c r="C83" s="161" t="s">
        <v>184</v>
      </c>
      <c r="D83" s="204">
        <f>SUMIFS('caseload data'!E:E,'caseload data'!$D:$D,"PO",'caseload data'!$A:$A,$B$83)</f>
        <v>0</v>
      </c>
      <c r="E83" s="204">
        <f>SUMIFS('caseload data'!F:F,'caseload data'!$D:$D,"PO",'caseload data'!$A:$A,$B$83)</f>
        <v>0</v>
      </c>
      <c r="F83" s="204">
        <f>SUMIFS('caseload data'!G:G,'caseload data'!$D:$D,"PO",'caseload data'!$A:$A,$B$83)</f>
        <v>0</v>
      </c>
      <c r="G83" s="204">
        <f>SUMIFS('caseload data'!H:H,'caseload data'!$D:$D,"PO",'caseload data'!$A:$A,$B$83)</f>
        <v>0</v>
      </c>
      <c r="H83" s="204">
        <f>SUMIFS('caseload data'!I:I,'caseload data'!$D:$D,"PO",'caseload data'!$A:$A,$B$83)</f>
        <v>0</v>
      </c>
      <c r="I83" s="204">
        <f>SUMIFS('caseload data'!J:J,'caseload data'!$D:$D,"PO",'caseload data'!$A:$A,$B$83)</f>
        <v>0</v>
      </c>
      <c r="J83" s="204">
        <f>SUMIFS('caseload data'!K:K,'caseload data'!$D:$D,"PO",'caseload data'!$A:$A,$B$83)</f>
        <v>0</v>
      </c>
      <c r="K83" s="204">
        <f>SUMIFS('caseload data'!L:L,'caseload data'!$D:$D,"PO",'caseload data'!$A:$A,$B$83)</f>
        <v>0</v>
      </c>
      <c r="L83" s="204">
        <f>SUMIFS('caseload data'!M:M,'caseload data'!$D:$D,"PO",'caseload data'!$A:$A,$B$83)</f>
        <v>0</v>
      </c>
      <c r="M83" s="204">
        <f>SUMIFS('caseload data'!N:N,'caseload data'!$D:$D,"PO",'caseload data'!$A:$A,$B$83)</f>
        <v>0</v>
      </c>
      <c r="N83" s="204">
        <f>SUMIFS('caseload data'!O:O,'caseload data'!$D:$D,"PO",'caseload data'!$A:$A,$B$83)</f>
        <v>0</v>
      </c>
      <c r="O83" s="204">
        <f>SUMIFS('caseload data'!P:P,'caseload data'!$D:$D,"PO",'caseload data'!$A:$A,$B$83)</f>
        <v>0</v>
      </c>
      <c r="P83" s="204">
        <f>SUMIFS('caseload data'!Q:Q,'caseload data'!$D:$D,"PO",'caseload data'!$A:$A,$B$83)</f>
        <v>0</v>
      </c>
      <c r="Q83" s="204">
        <f>SUMIFS('caseload data'!R:R,'caseload data'!$D:$D,"PO",'caseload data'!$A:$A,$B$83)</f>
        <v>0</v>
      </c>
      <c r="R83" s="204">
        <f>SUMIFS('caseload data'!S:S,'caseload data'!$D:$D,"PO",'caseload data'!$A:$A,$B$83)</f>
        <v>0</v>
      </c>
      <c r="S83" s="204">
        <f>SUMIFS('caseload data'!T:T,'caseload data'!$D:$D,"PO",'caseload data'!$A:$A,$B$83)</f>
        <v>0</v>
      </c>
      <c r="T83" s="126">
        <f>SUMIFS('caseload data'!V:V,'caseload data'!$D:$D,"PO",'caseload data'!$A:$A,$B$83)</f>
        <v>0</v>
      </c>
      <c r="U83" s="95"/>
      <c r="V83" s="95"/>
      <c r="W83" s="329" t="s">
        <v>520</v>
      </c>
      <c r="X83" s="161" t="s">
        <v>184</v>
      </c>
      <c r="Y83" s="209" t="e">
        <f>SUM(D83)/SUM(D$83:D$86)</f>
        <v>#DIV/0!</v>
      </c>
      <c r="Z83" s="209" t="e">
        <f t="shared" ref="Z83:AN86" si="24">SUM(E83)/SUM(E$83:E$86)</f>
        <v>#DIV/0!</v>
      </c>
      <c r="AA83" s="209" t="e">
        <f t="shared" si="24"/>
        <v>#DIV/0!</v>
      </c>
      <c r="AB83" s="209" t="e">
        <f t="shared" si="24"/>
        <v>#DIV/0!</v>
      </c>
      <c r="AC83" s="209" t="e">
        <f t="shared" si="24"/>
        <v>#DIV/0!</v>
      </c>
      <c r="AD83" s="209" t="e">
        <f t="shared" si="24"/>
        <v>#DIV/0!</v>
      </c>
      <c r="AE83" s="209" t="e">
        <f t="shared" si="24"/>
        <v>#DIV/0!</v>
      </c>
      <c r="AF83" s="209" t="e">
        <f t="shared" si="24"/>
        <v>#DIV/0!</v>
      </c>
      <c r="AG83" s="209" t="e">
        <f t="shared" si="24"/>
        <v>#DIV/0!</v>
      </c>
      <c r="AH83" s="209" t="e">
        <f t="shared" si="24"/>
        <v>#DIV/0!</v>
      </c>
      <c r="AI83" s="209" t="e">
        <f t="shared" si="24"/>
        <v>#DIV/0!</v>
      </c>
      <c r="AJ83" s="209" t="e">
        <f t="shared" si="24"/>
        <v>#DIV/0!</v>
      </c>
      <c r="AK83" s="209" t="e">
        <f t="shared" si="24"/>
        <v>#DIV/0!</v>
      </c>
      <c r="AL83" s="209" t="e">
        <f t="shared" si="24"/>
        <v>#DIV/0!</v>
      </c>
      <c r="AM83" s="209" t="e">
        <f t="shared" si="24"/>
        <v>#DIV/0!</v>
      </c>
      <c r="AN83" s="209" t="e">
        <f t="shared" si="24"/>
        <v>#DIV/0!</v>
      </c>
    </row>
    <row r="84" spans="2:40" s="30" customFormat="1" x14ac:dyDescent="0.15">
      <c r="B84" s="330"/>
      <c r="C84" s="162" t="s">
        <v>185</v>
      </c>
      <c r="D84" s="204">
        <f>SUMIFS('caseload data'!E:E,'caseload data'!$D:$D,"PSO",'caseload data'!$A:$A,$B$83)</f>
        <v>0</v>
      </c>
      <c r="E84" s="204">
        <f>SUMIFS('caseload data'!F:F,'caseload data'!$D:$D,"PSO",'caseload data'!$A:$A,$B$83)</f>
        <v>0</v>
      </c>
      <c r="F84" s="204">
        <f>SUMIFS('caseload data'!G:G,'caseload data'!$D:$D,"PSO",'caseload data'!$A:$A,$B$83)</f>
        <v>0</v>
      </c>
      <c r="G84" s="204">
        <f>SUMIFS('caseload data'!H:H,'caseload data'!$D:$D,"PSO",'caseload data'!$A:$A,$B$83)</f>
        <v>0</v>
      </c>
      <c r="H84" s="204">
        <f>SUMIFS('caseload data'!I:I,'caseload data'!$D:$D,"PSO",'caseload data'!$A:$A,$B$83)</f>
        <v>0</v>
      </c>
      <c r="I84" s="204">
        <f>SUMIFS('caseload data'!J:J,'caseload data'!$D:$D,"PSO",'caseload data'!$A:$A,$B$83)</f>
        <v>0</v>
      </c>
      <c r="J84" s="204">
        <f>SUMIFS('caseload data'!K:K,'caseload data'!$D:$D,"PSO",'caseload data'!$A:$A,$B$83)</f>
        <v>0</v>
      </c>
      <c r="K84" s="204">
        <f>SUMIFS('caseload data'!L:L,'caseload data'!$D:$D,"PSO",'caseload data'!$A:$A,$B$83)</f>
        <v>0</v>
      </c>
      <c r="L84" s="204">
        <f>SUMIFS('caseload data'!M:M,'caseload data'!$D:$D,"PSO",'caseload data'!$A:$A,$B$83)</f>
        <v>0</v>
      </c>
      <c r="M84" s="204">
        <f>SUMIFS('caseload data'!N:N,'caseload data'!$D:$D,"PSO",'caseload data'!$A:$A,$B$83)</f>
        <v>0</v>
      </c>
      <c r="N84" s="204">
        <f>SUMIFS('caseload data'!O:O,'caseload data'!$D:$D,"PSO",'caseload data'!$A:$A,$B$83)</f>
        <v>0</v>
      </c>
      <c r="O84" s="204">
        <f>SUMIFS('caseload data'!P:P,'caseload data'!$D:$D,"PSO",'caseload data'!$A:$A,$B$83)</f>
        <v>0</v>
      </c>
      <c r="P84" s="204">
        <f>SUMIFS('caseload data'!Q:Q,'caseload data'!$D:$D,"PSO",'caseload data'!$A:$A,$B$83)</f>
        <v>0</v>
      </c>
      <c r="Q84" s="204">
        <f>SUMIFS('caseload data'!R:R,'caseload data'!$D:$D,"PSO",'caseload data'!$A:$A,$B$83)</f>
        <v>0</v>
      </c>
      <c r="R84" s="204">
        <f>SUMIFS('caseload data'!S:S,'caseload data'!$D:$D,"PSO",'caseload data'!$A:$A,$B$83)</f>
        <v>0</v>
      </c>
      <c r="S84" s="204">
        <f>SUMIFS('caseload data'!T:T,'caseload data'!$D:$D,"PSO",'caseload data'!$A:$A,$B$83)</f>
        <v>0</v>
      </c>
      <c r="T84" s="126">
        <f>SUMIFS('caseload data'!V:V,'caseload data'!$D:$D,"PSO",'caseload data'!$A:$A,$B$83)</f>
        <v>0</v>
      </c>
      <c r="U84" s="95"/>
      <c r="V84" s="95"/>
      <c r="W84" s="330"/>
      <c r="X84" s="162" t="s">
        <v>185</v>
      </c>
      <c r="Y84" s="209" t="e">
        <f t="shared" ref="Y84:Y86" si="25">SUM(D84)/SUM(D$83:D$86)</f>
        <v>#DIV/0!</v>
      </c>
      <c r="Z84" s="209" t="e">
        <f t="shared" si="24"/>
        <v>#DIV/0!</v>
      </c>
      <c r="AA84" s="209" t="e">
        <f t="shared" si="24"/>
        <v>#DIV/0!</v>
      </c>
      <c r="AB84" s="209" t="e">
        <f t="shared" si="24"/>
        <v>#DIV/0!</v>
      </c>
      <c r="AC84" s="209" t="e">
        <f t="shared" si="24"/>
        <v>#DIV/0!</v>
      </c>
      <c r="AD84" s="209" t="e">
        <f t="shared" si="24"/>
        <v>#DIV/0!</v>
      </c>
      <c r="AE84" s="209" t="e">
        <f t="shared" si="24"/>
        <v>#DIV/0!</v>
      </c>
      <c r="AF84" s="209" t="e">
        <f t="shared" si="24"/>
        <v>#DIV/0!</v>
      </c>
      <c r="AG84" s="209" t="e">
        <f t="shared" si="24"/>
        <v>#DIV/0!</v>
      </c>
      <c r="AH84" s="209" t="e">
        <f t="shared" si="24"/>
        <v>#DIV/0!</v>
      </c>
      <c r="AI84" s="209" t="e">
        <f t="shared" si="24"/>
        <v>#DIV/0!</v>
      </c>
      <c r="AJ84" s="209" t="e">
        <f t="shared" si="24"/>
        <v>#DIV/0!</v>
      </c>
      <c r="AK84" s="209" t="e">
        <f t="shared" si="24"/>
        <v>#DIV/0!</v>
      </c>
      <c r="AL84" s="209" t="e">
        <f t="shared" si="24"/>
        <v>#DIV/0!</v>
      </c>
      <c r="AM84" s="209" t="e">
        <f t="shared" si="24"/>
        <v>#DIV/0!</v>
      </c>
      <c r="AN84" s="209" t="e">
        <f t="shared" si="24"/>
        <v>#DIV/0!</v>
      </c>
    </row>
    <row r="85" spans="2:40" s="30" customFormat="1" x14ac:dyDescent="0.15">
      <c r="B85" s="330"/>
      <c r="C85" s="162" t="s">
        <v>186</v>
      </c>
      <c r="D85" s="204">
        <f>SUMIFS('caseload data'!E:E,'caseload data'!$D:$D,"TPO",'caseload data'!$A:$A,$B$83)</f>
        <v>0</v>
      </c>
      <c r="E85" s="204">
        <f>SUMIFS('caseload data'!F:F,'caseload data'!$D:$D,"TPO",'caseload data'!$A:$A,$B$83)</f>
        <v>0</v>
      </c>
      <c r="F85" s="204">
        <f>SUMIFS('caseload data'!G:G,'caseload data'!$D:$D,"TPO",'caseload data'!$A:$A,$B$83)</f>
        <v>0</v>
      </c>
      <c r="G85" s="204">
        <f>SUMIFS('caseload data'!H:H,'caseload data'!$D:$D,"TPO",'caseload data'!$A:$A,$B$83)</f>
        <v>0</v>
      </c>
      <c r="H85" s="204">
        <f>SUMIFS('caseload data'!I:I,'caseload data'!$D:$D,"TPO",'caseload data'!$A:$A,$B$83)</f>
        <v>0</v>
      </c>
      <c r="I85" s="204">
        <f>SUMIFS('caseload data'!J:J,'caseload data'!$D:$D,"TPO",'caseload data'!$A:$A,$B$83)</f>
        <v>0</v>
      </c>
      <c r="J85" s="204">
        <f>SUMIFS('caseload data'!K:K,'caseload data'!$D:$D,"TPO",'caseload data'!$A:$A,$B$83)</f>
        <v>0</v>
      </c>
      <c r="K85" s="204">
        <f>SUMIFS('caseload data'!L:L,'caseload data'!$D:$D,"TPO",'caseload data'!$A:$A,$B$83)</f>
        <v>0</v>
      </c>
      <c r="L85" s="204">
        <f>SUMIFS('caseload data'!M:M,'caseload data'!$D:$D,"TPO",'caseload data'!$A:$A,$B$83)</f>
        <v>0</v>
      </c>
      <c r="M85" s="204">
        <f>SUMIFS('caseload data'!N:N,'caseload data'!$D:$D,"TPO",'caseload data'!$A:$A,$B$83)</f>
        <v>0</v>
      </c>
      <c r="N85" s="204">
        <f>SUMIFS('caseload data'!O:O,'caseload data'!$D:$D,"TPO",'caseload data'!$A:$A,$B$83)</f>
        <v>0</v>
      </c>
      <c r="O85" s="204">
        <f>SUMIFS('caseload data'!P:P,'caseload data'!$D:$D,"TPO",'caseload data'!$A:$A,$B$83)</f>
        <v>0</v>
      </c>
      <c r="P85" s="204">
        <f>SUMIFS('caseload data'!Q:Q,'caseload data'!$D:$D,"TPO",'caseload data'!$A:$A,$B$83)</f>
        <v>0</v>
      </c>
      <c r="Q85" s="204">
        <f>SUMIFS('caseload data'!R:R,'caseload data'!$D:$D,"TPO",'caseload data'!$A:$A,$B$83)</f>
        <v>0</v>
      </c>
      <c r="R85" s="204">
        <f>SUMIFS('caseload data'!S:S,'caseload data'!$D:$D,"TPO",'caseload data'!$A:$A,$B$83)</f>
        <v>0</v>
      </c>
      <c r="S85" s="204">
        <f>SUMIFS('caseload data'!T:T,'caseload data'!$D:$D,"TPO",'caseload data'!$A:$A,$B$83)</f>
        <v>0</v>
      </c>
      <c r="T85" s="126">
        <f>SUMIFS('caseload data'!V:V,'caseload data'!$D:$D,"TPO",'caseload data'!$A:$A,$B$83)</f>
        <v>0</v>
      </c>
      <c r="U85" s="95"/>
      <c r="V85" s="95"/>
      <c r="W85" s="330"/>
      <c r="X85" s="162" t="s">
        <v>186</v>
      </c>
      <c r="Y85" s="209" t="e">
        <f t="shared" si="25"/>
        <v>#DIV/0!</v>
      </c>
      <c r="Z85" s="209" t="e">
        <f t="shared" si="24"/>
        <v>#DIV/0!</v>
      </c>
      <c r="AA85" s="209" t="e">
        <f t="shared" si="24"/>
        <v>#DIV/0!</v>
      </c>
      <c r="AB85" s="209" t="e">
        <f t="shared" si="24"/>
        <v>#DIV/0!</v>
      </c>
      <c r="AC85" s="209" t="e">
        <f t="shared" si="24"/>
        <v>#DIV/0!</v>
      </c>
      <c r="AD85" s="209" t="e">
        <f t="shared" si="24"/>
        <v>#DIV/0!</v>
      </c>
      <c r="AE85" s="209" t="e">
        <f t="shared" si="24"/>
        <v>#DIV/0!</v>
      </c>
      <c r="AF85" s="209" t="e">
        <f t="shared" si="24"/>
        <v>#DIV/0!</v>
      </c>
      <c r="AG85" s="209" t="e">
        <f t="shared" si="24"/>
        <v>#DIV/0!</v>
      </c>
      <c r="AH85" s="209" t="e">
        <f t="shared" si="24"/>
        <v>#DIV/0!</v>
      </c>
      <c r="AI85" s="209" t="e">
        <f t="shared" si="24"/>
        <v>#DIV/0!</v>
      </c>
      <c r="AJ85" s="209" t="e">
        <f t="shared" si="24"/>
        <v>#DIV/0!</v>
      </c>
      <c r="AK85" s="209" t="e">
        <f t="shared" si="24"/>
        <v>#DIV/0!</v>
      </c>
      <c r="AL85" s="209" t="e">
        <f t="shared" si="24"/>
        <v>#DIV/0!</v>
      </c>
      <c r="AM85" s="209" t="e">
        <f t="shared" si="24"/>
        <v>#DIV/0!</v>
      </c>
      <c r="AN85" s="209" t="e">
        <f t="shared" si="24"/>
        <v>#DIV/0!</v>
      </c>
    </row>
    <row r="86" spans="2:40" s="30" customFormat="1" x14ac:dyDescent="0.15">
      <c r="B86" s="331"/>
      <c r="C86" s="162" t="s">
        <v>187</v>
      </c>
      <c r="D86" s="204">
        <f>SUMIFS('caseload data'!E:E,'caseload data'!$D:$D,"SPO",'caseload data'!$A:$A,$B$83)</f>
        <v>0</v>
      </c>
      <c r="E86" s="204">
        <f>SUMIFS('caseload data'!F:F,'caseload data'!$D:$D,"SPO",'caseload data'!$A:$A,$B$83)</f>
        <v>0</v>
      </c>
      <c r="F86" s="204">
        <f>SUMIFS('caseload data'!G:G,'caseload data'!$D:$D,"SPO",'caseload data'!$A:$A,$B$83)</f>
        <v>0</v>
      </c>
      <c r="G86" s="204">
        <f>SUMIFS('caseload data'!H:H,'caseload data'!$D:$D,"SPO",'caseload data'!$A:$A,$B$83)</f>
        <v>0</v>
      </c>
      <c r="H86" s="204">
        <f>SUMIFS('caseload data'!I:I,'caseload data'!$D:$D,"SPO",'caseload data'!$A:$A,$B$83)</f>
        <v>0</v>
      </c>
      <c r="I86" s="204">
        <f>SUMIFS('caseload data'!J:J,'caseload data'!$D:$D,"SPO",'caseload data'!$A:$A,$B$83)</f>
        <v>0</v>
      </c>
      <c r="J86" s="204">
        <f>SUMIFS('caseload data'!K:K,'caseload data'!$D:$D,"SPO",'caseload data'!$A:$A,$B$83)</f>
        <v>0</v>
      </c>
      <c r="K86" s="204">
        <f>SUMIFS('caseload data'!L:L,'caseload data'!$D:$D,"SPO",'caseload data'!$A:$A,$B$83)</f>
        <v>0</v>
      </c>
      <c r="L86" s="204">
        <f>SUMIFS('caseload data'!M:M,'caseload data'!$D:$D,"SPO",'caseload data'!$A:$A,$B$83)</f>
        <v>0</v>
      </c>
      <c r="M86" s="204">
        <f>SUMIFS('caseload data'!N:N,'caseload data'!$D:$D,"SPO",'caseload data'!$A:$A,$B$83)</f>
        <v>0</v>
      </c>
      <c r="N86" s="204">
        <f>SUMIFS('caseload data'!O:O,'caseload data'!$D:$D,"SPO",'caseload data'!$A:$A,$B$83)</f>
        <v>0</v>
      </c>
      <c r="O86" s="204">
        <f>SUMIFS('caseload data'!P:P,'caseload data'!$D:$D,"SPO",'caseload data'!$A:$A,$B$83)</f>
        <v>0</v>
      </c>
      <c r="P86" s="204">
        <f>SUMIFS('caseload data'!Q:Q,'caseload data'!$D:$D,"SPO",'caseload data'!$A:$A,$B$83)</f>
        <v>0</v>
      </c>
      <c r="Q86" s="204">
        <f>SUMIFS('caseload data'!R:R,'caseload data'!$D:$D,"SPO",'caseload data'!$A:$A,$B$83)</f>
        <v>0</v>
      </c>
      <c r="R86" s="204">
        <f>SUMIFS('caseload data'!S:S,'caseload data'!$D:$D,"SPO",'caseload data'!$A:$A,$B$83)</f>
        <v>0</v>
      </c>
      <c r="S86" s="204">
        <f>SUMIFS('caseload data'!T:T,'caseload data'!$D:$D,"SPO",'caseload data'!$A:$A,$B$83)</f>
        <v>0</v>
      </c>
      <c r="T86" s="126">
        <f>SUMIFS('caseload data'!V:V,'caseload data'!$D:$D,"SPO",'caseload data'!$A:$A,$B$83)</f>
        <v>0</v>
      </c>
      <c r="U86" s="95"/>
      <c r="V86" s="95"/>
      <c r="W86" s="331"/>
      <c r="X86" s="163" t="s">
        <v>187</v>
      </c>
      <c r="Y86" s="209" t="e">
        <f t="shared" si="25"/>
        <v>#DIV/0!</v>
      </c>
      <c r="Z86" s="209" t="e">
        <f t="shared" si="24"/>
        <v>#DIV/0!</v>
      </c>
      <c r="AA86" s="209" t="e">
        <f t="shared" si="24"/>
        <v>#DIV/0!</v>
      </c>
      <c r="AB86" s="209" t="e">
        <f t="shared" si="24"/>
        <v>#DIV/0!</v>
      </c>
      <c r="AC86" s="209" t="e">
        <f t="shared" si="24"/>
        <v>#DIV/0!</v>
      </c>
      <c r="AD86" s="209" t="e">
        <f t="shared" si="24"/>
        <v>#DIV/0!</v>
      </c>
      <c r="AE86" s="209" t="e">
        <f t="shared" si="24"/>
        <v>#DIV/0!</v>
      </c>
      <c r="AF86" s="209" t="e">
        <f t="shared" si="24"/>
        <v>#DIV/0!</v>
      </c>
      <c r="AG86" s="209" t="e">
        <f t="shared" si="24"/>
        <v>#DIV/0!</v>
      </c>
      <c r="AH86" s="209" t="e">
        <f t="shared" si="24"/>
        <v>#DIV/0!</v>
      </c>
      <c r="AI86" s="209" t="e">
        <f t="shared" si="24"/>
        <v>#DIV/0!</v>
      </c>
      <c r="AJ86" s="209" t="e">
        <f t="shared" si="24"/>
        <v>#DIV/0!</v>
      </c>
      <c r="AK86" s="209" t="e">
        <f t="shared" si="24"/>
        <v>#DIV/0!</v>
      </c>
      <c r="AL86" s="209" t="e">
        <f t="shared" si="24"/>
        <v>#DIV/0!</v>
      </c>
      <c r="AM86" s="209" t="e">
        <f t="shared" si="24"/>
        <v>#DIV/0!</v>
      </c>
      <c r="AN86" s="209" t="e">
        <f t="shared" si="24"/>
        <v>#DIV/0!</v>
      </c>
    </row>
    <row r="87" spans="2:40" s="30" customFormat="1" x14ac:dyDescent="0.15">
      <c r="B87" s="329" t="s">
        <v>521</v>
      </c>
      <c r="C87" s="161" t="s">
        <v>184</v>
      </c>
      <c r="D87" s="204">
        <f>SUMIFS('caseload data'!E:E,'caseload data'!$D:$D,"PO",'caseload data'!$A:$A,$B$87)</f>
        <v>0</v>
      </c>
      <c r="E87" s="204">
        <f>SUMIFS('caseload data'!F:F,'caseload data'!$D:$D,"PO",'caseload data'!$A:$A,$B$87)</f>
        <v>0</v>
      </c>
      <c r="F87" s="204">
        <f>SUMIFS('caseload data'!G:G,'caseload data'!$D:$D,"PO",'caseload data'!$A:$A,$B$87)</f>
        <v>0</v>
      </c>
      <c r="G87" s="204">
        <f>SUMIFS('caseload data'!H:H,'caseload data'!$D:$D,"PO",'caseload data'!$A:$A,$B$87)</f>
        <v>0</v>
      </c>
      <c r="H87" s="204">
        <f>SUMIFS('caseload data'!I:I,'caseload data'!$D:$D,"PO",'caseload data'!$A:$A,$B$87)</f>
        <v>0</v>
      </c>
      <c r="I87" s="204">
        <f>SUMIFS('caseload data'!J:J,'caseload data'!$D:$D,"PO",'caseload data'!$A:$A,$B$87)</f>
        <v>0</v>
      </c>
      <c r="J87" s="204">
        <f>SUMIFS('caseload data'!K:K,'caseload data'!$D:$D,"PO",'caseload data'!$A:$A,$B$87)</f>
        <v>0</v>
      </c>
      <c r="K87" s="204">
        <f>SUMIFS('caseload data'!L:L,'caseload data'!$D:$D,"PO",'caseload data'!$A:$A,$B$87)</f>
        <v>0</v>
      </c>
      <c r="L87" s="204">
        <f>SUMIFS('caseload data'!M:M,'caseload data'!$D:$D,"PO",'caseload data'!$A:$A,$B$87)</f>
        <v>0</v>
      </c>
      <c r="M87" s="204">
        <f>SUMIFS('caseload data'!N:N,'caseload data'!$D:$D,"PO",'caseload data'!$A:$A,$B$87)</f>
        <v>0</v>
      </c>
      <c r="N87" s="204">
        <f>SUMIFS('caseload data'!O:O,'caseload data'!$D:$D,"PO",'caseload data'!$A:$A,$B$87)</f>
        <v>0</v>
      </c>
      <c r="O87" s="204">
        <f>SUMIFS('caseload data'!P:P,'caseload data'!$D:$D,"PO",'caseload data'!$A:$A,$B$87)</f>
        <v>0</v>
      </c>
      <c r="P87" s="204">
        <f>SUMIFS('caseload data'!Q:Q,'caseload data'!$D:$D,"PO",'caseload data'!$A:$A,$B$87)</f>
        <v>0</v>
      </c>
      <c r="Q87" s="204">
        <f>SUMIFS('caseload data'!R:R,'caseload data'!$D:$D,"PO",'caseload data'!$A:$A,$B$87)</f>
        <v>0</v>
      </c>
      <c r="R87" s="204">
        <f>SUMIFS('caseload data'!S:S,'caseload data'!$D:$D,"PO",'caseload data'!$A:$A,$B$87)</f>
        <v>0</v>
      </c>
      <c r="S87" s="204">
        <f>SUMIFS('caseload data'!T:T,'caseload data'!$D:$D,"PO",'caseload data'!$A:$A,$B$87)</f>
        <v>0</v>
      </c>
      <c r="T87" s="126">
        <f>SUMIFS('caseload data'!V:V,'caseload data'!$D:$D,"PO",'caseload data'!$A:$A,$B$87)</f>
        <v>0</v>
      </c>
      <c r="U87" s="95"/>
      <c r="V87" s="95"/>
      <c r="W87" s="329" t="s">
        <v>521</v>
      </c>
      <c r="X87" s="161" t="s">
        <v>184</v>
      </c>
      <c r="Y87" s="209" t="e">
        <f>SUM(D87)/SUM(D$87:D$90)</f>
        <v>#DIV/0!</v>
      </c>
      <c r="Z87" s="209" t="e">
        <f t="shared" ref="Z87:AN90" si="26">SUM(E87)/SUM(E$87:E$90)</f>
        <v>#DIV/0!</v>
      </c>
      <c r="AA87" s="209" t="e">
        <f t="shared" si="26"/>
        <v>#DIV/0!</v>
      </c>
      <c r="AB87" s="209" t="e">
        <f t="shared" si="26"/>
        <v>#DIV/0!</v>
      </c>
      <c r="AC87" s="209" t="e">
        <f t="shared" si="26"/>
        <v>#DIV/0!</v>
      </c>
      <c r="AD87" s="209" t="e">
        <f t="shared" si="26"/>
        <v>#DIV/0!</v>
      </c>
      <c r="AE87" s="209" t="e">
        <f t="shared" si="26"/>
        <v>#DIV/0!</v>
      </c>
      <c r="AF87" s="209" t="e">
        <f t="shared" si="26"/>
        <v>#DIV/0!</v>
      </c>
      <c r="AG87" s="209" t="e">
        <f t="shared" si="26"/>
        <v>#DIV/0!</v>
      </c>
      <c r="AH87" s="209" t="e">
        <f t="shared" si="26"/>
        <v>#DIV/0!</v>
      </c>
      <c r="AI87" s="209" t="e">
        <f t="shared" si="26"/>
        <v>#DIV/0!</v>
      </c>
      <c r="AJ87" s="209" t="e">
        <f t="shared" si="26"/>
        <v>#DIV/0!</v>
      </c>
      <c r="AK87" s="209" t="e">
        <f t="shared" si="26"/>
        <v>#DIV/0!</v>
      </c>
      <c r="AL87" s="209" t="e">
        <f t="shared" si="26"/>
        <v>#DIV/0!</v>
      </c>
      <c r="AM87" s="209" t="e">
        <f t="shared" si="26"/>
        <v>#DIV/0!</v>
      </c>
      <c r="AN87" s="209" t="e">
        <f t="shared" si="26"/>
        <v>#DIV/0!</v>
      </c>
    </row>
    <row r="88" spans="2:40" s="30" customFormat="1" x14ac:dyDescent="0.15">
      <c r="B88" s="330"/>
      <c r="C88" s="162" t="s">
        <v>185</v>
      </c>
      <c r="D88" s="204">
        <f>SUMIFS('caseload data'!E:E,'caseload data'!$D:$D,"PSO",'caseload data'!$A:$A,$B$87)</f>
        <v>0</v>
      </c>
      <c r="E88" s="204">
        <f>SUMIFS('caseload data'!F:F,'caseload data'!$D:$D,"PSO",'caseload data'!$A:$A,$B$87)</f>
        <v>0</v>
      </c>
      <c r="F88" s="204">
        <f>SUMIFS('caseload data'!G:G,'caseload data'!$D:$D,"PSO",'caseload data'!$A:$A,$B$87)</f>
        <v>0</v>
      </c>
      <c r="G88" s="204">
        <f>SUMIFS('caseload data'!H:H,'caseload data'!$D:$D,"PSO",'caseload data'!$A:$A,$B$87)</f>
        <v>0</v>
      </c>
      <c r="H88" s="204">
        <f>SUMIFS('caseload data'!I:I,'caseload data'!$D:$D,"PSO",'caseload data'!$A:$A,$B$87)</f>
        <v>0</v>
      </c>
      <c r="I88" s="204">
        <f>SUMIFS('caseload data'!J:J,'caseload data'!$D:$D,"PSO",'caseload data'!$A:$A,$B$87)</f>
        <v>0</v>
      </c>
      <c r="J88" s="204">
        <f>SUMIFS('caseload data'!K:K,'caseload data'!$D:$D,"PSO",'caseload data'!$A:$A,$B$87)</f>
        <v>0</v>
      </c>
      <c r="K88" s="204">
        <f>SUMIFS('caseload data'!L:L,'caseload data'!$D:$D,"PSO",'caseload data'!$A:$A,$B$87)</f>
        <v>0</v>
      </c>
      <c r="L88" s="204">
        <f>SUMIFS('caseload data'!M:M,'caseload data'!$D:$D,"PSO",'caseload data'!$A:$A,$B$87)</f>
        <v>0</v>
      </c>
      <c r="M88" s="204">
        <f>SUMIFS('caseload data'!N:N,'caseload data'!$D:$D,"PSO",'caseload data'!$A:$A,$B$87)</f>
        <v>0</v>
      </c>
      <c r="N88" s="204">
        <f>SUMIFS('caseload data'!O:O,'caseload data'!$D:$D,"PSO",'caseload data'!$A:$A,$B$87)</f>
        <v>0</v>
      </c>
      <c r="O88" s="204">
        <f>SUMIFS('caseload data'!P:P,'caseload data'!$D:$D,"PSO",'caseload data'!$A:$A,$B$87)</f>
        <v>0</v>
      </c>
      <c r="P88" s="204">
        <f>SUMIFS('caseload data'!Q:Q,'caseload data'!$D:$D,"PSO",'caseload data'!$A:$A,$B$87)</f>
        <v>0</v>
      </c>
      <c r="Q88" s="204">
        <f>SUMIFS('caseload data'!R:R,'caseload data'!$D:$D,"PSO",'caseload data'!$A:$A,$B$87)</f>
        <v>0</v>
      </c>
      <c r="R88" s="204">
        <f>SUMIFS('caseload data'!S:S,'caseload data'!$D:$D,"PSO",'caseload data'!$A:$A,$B$87)</f>
        <v>0</v>
      </c>
      <c r="S88" s="204">
        <f>SUMIFS('caseload data'!T:T,'caseload data'!$D:$D,"PSO",'caseload data'!$A:$A,$B$87)</f>
        <v>0</v>
      </c>
      <c r="T88" s="126">
        <f>SUMIFS('caseload data'!V:V,'caseload data'!$D:$D,"PSO",'caseload data'!$A:$A,$B$87)</f>
        <v>0</v>
      </c>
      <c r="U88" s="95"/>
      <c r="V88" s="95"/>
      <c r="W88" s="330"/>
      <c r="X88" s="162" t="s">
        <v>185</v>
      </c>
      <c r="Y88" s="209" t="e">
        <f t="shared" ref="Y88:Y90" si="27">SUM(D88)/SUM(D$87:D$90)</f>
        <v>#DIV/0!</v>
      </c>
      <c r="Z88" s="209" t="e">
        <f t="shared" si="26"/>
        <v>#DIV/0!</v>
      </c>
      <c r="AA88" s="209" t="e">
        <f t="shared" si="26"/>
        <v>#DIV/0!</v>
      </c>
      <c r="AB88" s="209" t="e">
        <f t="shared" si="26"/>
        <v>#DIV/0!</v>
      </c>
      <c r="AC88" s="209" t="e">
        <f t="shared" si="26"/>
        <v>#DIV/0!</v>
      </c>
      <c r="AD88" s="209" t="e">
        <f t="shared" si="26"/>
        <v>#DIV/0!</v>
      </c>
      <c r="AE88" s="209" t="e">
        <f t="shared" si="26"/>
        <v>#DIV/0!</v>
      </c>
      <c r="AF88" s="209" t="e">
        <f t="shared" si="26"/>
        <v>#DIV/0!</v>
      </c>
      <c r="AG88" s="209" t="e">
        <f t="shared" si="26"/>
        <v>#DIV/0!</v>
      </c>
      <c r="AH88" s="209" t="e">
        <f t="shared" si="26"/>
        <v>#DIV/0!</v>
      </c>
      <c r="AI88" s="209" t="e">
        <f t="shared" si="26"/>
        <v>#DIV/0!</v>
      </c>
      <c r="AJ88" s="209" t="e">
        <f t="shared" si="26"/>
        <v>#DIV/0!</v>
      </c>
      <c r="AK88" s="209" t="e">
        <f t="shared" si="26"/>
        <v>#DIV/0!</v>
      </c>
      <c r="AL88" s="209" t="e">
        <f t="shared" si="26"/>
        <v>#DIV/0!</v>
      </c>
      <c r="AM88" s="209" t="e">
        <f t="shared" si="26"/>
        <v>#DIV/0!</v>
      </c>
      <c r="AN88" s="209" t="e">
        <f t="shared" si="26"/>
        <v>#DIV/0!</v>
      </c>
    </row>
    <row r="89" spans="2:40" s="30" customFormat="1" x14ac:dyDescent="0.15">
      <c r="B89" s="330"/>
      <c r="C89" s="162" t="s">
        <v>186</v>
      </c>
      <c r="D89" s="204">
        <f>SUMIFS('caseload data'!E:E,'caseload data'!$D:$D,"TPO",'caseload data'!$A:$A,$B$87)</f>
        <v>0</v>
      </c>
      <c r="E89" s="204">
        <f>SUMIFS('caseload data'!F:F,'caseload data'!$D:$D,"TPO",'caseload data'!$A:$A,$B$87)</f>
        <v>0</v>
      </c>
      <c r="F89" s="204">
        <f>SUMIFS('caseload data'!G:G,'caseload data'!$D:$D,"TPO",'caseload data'!$A:$A,$B$87)</f>
        <v>0</v>
      </c>
      <c r="G89" s="204">
        <f>SUMIFS('caseload data'!H:H,'caseload data'!$D:$D,"TPO",'caseload data'!$A:$A,$B$87)</f>
        <v>0</v>
      </c>
      <c r="H89" s="204">
        <f>SUMIFS('caseload data'!I:I,'caseload data'!$D:$D,"TPO",'caseload data'!$A:$A,$B$87)</f>
        <v>0</v>
      </c>
      <c r="I89" s="204">
        <f>SUMIFS('caseload data'!J:J,'caseload data'!$D:$D,"TPO",'caseload data'!$A:$A,$B$87)</f>
        <v>0</v>
      </c>
      <c r="J89" s="204">
        <f>SUMIFS('caseload data'!K:K,'caseload data'!$D:$D,"TPO",'caseload data'!$A:$A,$B$87)</f>
        <v>0</v>
      </c>
      <c r="K89" s="204">
        <f>SUMIFS('caseload data'!L:L,'caseload data'!$D:$D,"TPO",'caseload data'!$A:$A,$B$87)</f>
        <v>0</v>
      </c>
      <c r="L89" s="204">
        <f>SUMIFS('caseload data'!M:M,'caseload data'!$D:$D,"TPO",'caseload data'!$A:$A,$B$87)</f>
        <v>0</v>
      </c>
      <c r="M89" s="204">
        <f>SUMIFS('caseload data'!N:N,'caseload data'!$D:$D,"TPO",'caseload data'!$A:$A,$B$87)</f>
        <v>0</v>
      </c>
      <c r="N89" s="204">
        <f>SUMIFS('caseload data'!O:O,'caseload data'!$D:$D,"TPO",'caseload data'!$A:$A,$B$87)</f>
        <v>0</v>
      </c>
      <c r="O89" s="204">
        <f>SUMIFS('caseload data'!P:P,'caseload data'!$D:$D,"TPO",'caseload data'!$A:$A,$B$87)</f>
        <v>0</v>
      </c>
      <c r="P89" s="204">
        <f>SUMIFS('caseload data'!Q:Q,'caseload data'!$D:$D,"TPO",'caseload data'!$A:$A,$B$87)</f>
        <v>0</v>
      </c>
      <c r="Q89" s="204">
        <f>SUMIFS('caseload data'!R:R,'caseload data'!$D:$D,"TPO",'caseload data'!$A:$A,$B$87)</f>
        <v>0</v>
      </c>
      <c r="R89" s="204">
        <f>SUMIFS('caseload data'!S:S,'caseload data'!$D:$D,"TPO",'caseload data'!$A:$A,$B$87)</f>
        <v>0</v>
      </c>
      <c r="S89" s="204">
        <f>SUMIFS('caseload data'!T:T,'caseload data'!$D:$D,"TPO",'caseload data'!$A:$A,$B$87)</f>
        <v>0</v>
      </c>
      <c r="T89" s="126">
        <f>SUMIFS('caseload data'!V:V,'caseload data'!$D:$D,"TPO",'caseload data'!$A:$A,$B$87)</f>
        <v>0</v>
      </c>
      <c r="U89" s="95"/>
      <c r="V89" s="95"/>
      <c r="W89" s="330"/>
      <c r="X89" s="162" t="s">
        <v>186</v>
      </c>
      <c r="Y89" s="209" t="e">
        <f t="shared" si="27"/>
        <v>#DIV/0!</v>
      </c>
      <c r="Z89" s="209" t="e">
        <f t="shared" si="26"/>
        <v>#DIV/0!</v>
      </c>
      <c r="AA89" s="209" t="e">
        <f t="shared" si="26"/>
        <v>#DIV/0!</v>
      </c>
      <c r="AB89" s="209" t="e">
        <f t="shared" si="26"/>
        <v>#DIV/0!</v>
      </c>
      <c r="AC89" s="209" t="e">
        <f t="shared" si="26"/>
        <v>#DIV/0!</v>
      </c>
      <c r="AD89" s="209" t="e">
        <f t="shared" si="26"/>
        <v>#DIV/0!</v>
      </c>
      <c r="AE89" s="209" t="e">
        <f t="shared" si="26"/>
        <v>#DIV/0!</v>
      </c>
      <c r="AF89" s="209" t="e">
        <f t="shared" si="26"/>
        <v>#DIV/0!</v>
      </c>
      <c r="AG89" s="209" t="e">
        <f t="shared" si="26"/>
        <v>#DIV/0!</v>
      </c>
      <c r="AH89" s="209" t="e">
        <f t="shared" si="26"/>
        <v>#DIV/0!</v>
      </c>
      <c r="AI89" s="209" t="e">
        <f t="shared" si="26"/>
        <v>#DIV/0!</v>
      </c>
      <c r="AJ89" s="209" t="e">
        <f t="shared" si="26"/>
        <v>#DIV/0!</v>
      </c>
      <c r="AK89" s="209" t="e">
        <f t="shared" si="26"/>
        <v>#DIV/0!</v>
      </c>
      <c r="AL89" s="209" t="e">
        <f t="shared" si="26"/>
        <v>#DIV/0!</v>
      </c>
      <c r="AM89" s="209" t="e">
        <f t="shared" si="26"/>
        <v>#DIV/0!</v>
      </c>
      <c r="AN89" s="209" t="e">
        <f t="shared" si="26"/>
        <v>#DIV/0!</v>
      </c>
    </row>
    <row r="90" spans="2:40" s="30" customFormat="1" x14ac:dyDescent="0.15">
      <c r="B90" s="331"/>
      <c r="C90" s="162" t="s">
        <v>187</v>
      </c>
      <c r="D90" s="204">
        <f>SUMIFS('caseload data'!E:E,'caseload data'!$D:$D,"SPO",'caseload data'!$A:$A,$B$87)</f>
        <v>0</v>
      </c>
      <c r="E90" s="204">
        <f>SUMIFS('caseload data'!F:F,'caseload data'!$D:$D,"SPO",'caseload data'!$A:$A,$B$87)</f>
        <v>0</v>
      </c>
      <c r="F90" s="204">
        <f>SUMIFS('caseload data'!G:G,'caseload data'!$D:$D,"SPO",'caseload data'!$A:$A,$B$87)</f>
        <v>0</v>
      </c>
      <c r="G90" s="204">
        <f>SUMIFS('caseload data'!H:H,'caseload data'!$D:$D,"SPO",'caseload data'!$A:$A,$B$87)</f>
        <v>0</v>
      </c>
      <c r="H90" s="204">
        <f>SUMIFS('caseload data'!I:I,'caseload data'!$D:$D,"SPO",'caseload data'!$A:$A,$B$87)</f>
        <v>0</v>
      </c>
      <c r="I90" s="204">
        <f>SUMIFS('caseload data'!J:J,'caseload data'!$D:$D,"SPO",'caseload data'!$A:$A,$B$87)</f>
        <v>0</v>
      </c>
      <c r="J90" s="204">
        <f>SUMIFS('caseload data'!K:K,'caseload data'!$D:$D,"SPO",'caseload data'!$A:$A,$B$87)</f>
        <v>0</v>
      </c>
      <c r="K90" s="204">
        <f>SUMIFS('caseload data'!L:L,'caseload data'!$D:$D,"SPO",'caseload data'!$A:$A,$B$87)</f>
        <v>0</v>
      </c>
      <c r="L90" s="204">
        <f>SUMIFS('caseload data'!M:M,'caseload data'!$D:$D,"SPO",'caseload data'!$A:$A,$B$87)</f>
        <v>0</v>
      </c>
      <c r="M90" s="204">
        <f>SUMIFS('caseload data'!N:N,'caseload data'!$D:$D,"SPO",'caseload data'!$A:$A,$B$87)</f>
        <v>0</v>
      </c>
      <c r="N90" s="204">
        <f>SUMIFS('caseload data'!O:O,'caseload data'!$D:$D,"SPO",'caseload data'!$A:$A,$B$87)</f>
        <v>0</v>
      </c>
      <c r="O90" s="204">
        <f>SUMIFS('caseload data'!P:P,'caseload data'!$D:$D,"SPO",'caseload data'!$A:$A,$B$87)</f>
        <v>0</v>
      </c>
      <c r="P90" s="204">
        <f>SUMIFS('caseload data'!Q:Q,'caseload data'!$D:$D,"SPO",'caseload data'!$A:$A,$B$87)</f>
        <v>0</v>
      </c>
      <c r="Q90" s="204">
        <f>SUMIFS('caseload data'!R:R,'caseload data'!$D:$D,"SPO",'caseload data'!$A:$A,$B$87)</f>
        <v>0</v>
      </c>
      <c r="R90" s="204">
        <f>SUMIFS('caseload data'!S:S,'caseload data'!$D:$D,"SPO",'caseload data'!$A:$A,$B$87)</f>
        <v>0</v>
      </c>
      <c r="S90" s="204">
        <f>SUMIFS('caseload data'!T:T,'caseload data'!$D:$D,"SPO",'caseload data'!$A:$A,$B$87)</f>
        <v>0</v>
      </c>
      <c r="T90" s="126">
        <f>SUMIFS('caseload data'!V:V,'caseload data'!$D:$D,"SPO",'caseload data'!$A:$A,$B$87)</f>
        <v>0</v>
      </c>
      <c r="U90" s="95"/>
      <c r="V90" s="95"/>
      <c r="W90" s="331"/>
      <c r="X90" s="163" t="s">
        <v>187</v>
      </c>
      <c r="Y90" s="209" t="e">
        <f t="shared" si="27"/>
        <v>#DIV/0!</v>
      </c>
      <c r="Z90" s="209" t="e">
        <f t="shared" si="26"/>
        <v>#DIV/0!</v>
      </c>
      <c r="AA90" s="209" t="e">
        <f t="shared" si="26"/>
        <v>#DIV/0!</v>
      </c>
      <c r="AB90" s="209" t="e">
        <f t="shared" si="26"/>
        <v>#DIV/0!</v>
      </c>
      <c r="AC90" s="209" t="e">
        <f t="shared" si="26"/>
        <v>#DIV/0!</v>
      </c>
      <c r="AD90" s="209" t="e">
        <f t="shared" si="26"/>
        <v>#DIV/0!</v>
      </c>
      <c r="AE90" s="209" t="e">
        <f t="shared" si="26"/>
        <v>#DIV/0!</v>
      </c>
      <c r="AF90" s="209" t="e">
        <f t="shared" si="26"/>
        <v>#DIV/0!</v>
      </c>
      <c r="AG90" s="209" t="e">
        <f t="shared" si="26"/>
        <v>#DIV/0!</v>
      </c>
      <c r="AH90" s="209" t="e">
        <f t="shared" si="26"/>
        <v>#DIV/0!</v>
      </c>
      <c r="AI90" s="209" t="e">
        <f t="shared" si="26"/>
        <v>#DIV/0!</v>
      </c>
      <c r="AJ90" s="209" t="e">
        <f t="shared" si="26"/>
        <v>#DIV/0!</v>
      </c>
      <c r="AK90" s="209" t="e">
        <f t="shared" si="26"/>
        <v>#DIV/0!</v>
      </c>
      <c r="AL90" s="209" t="e">
        <f t="shared" si="26"/>
        <v>#DIV/0!</v>
      </c>
      <c r="AM90" s="209" t="e">
        <f t="shared" si="26"/>
        <v>#DIV/0!</v>
      </c>
      <c r="AN90" s="209" t="e">
        <f t="shared" si="26"/>
        <v>#DIV/0!</v>
      </c>
    </row>
    <row r="91" spans="2:40" s="30" customFormat="1" x14ac:dyDescent="0.15">
      <c r="B91" s="329" t="s">
        <v>522</v>
      </c>
      <c r="C91" s="161" t="s">
        <v>184</v>
      </c>
      <c r="D91" s="204">
        <f>SUMIFS('caseload data'!E:E,'caseload data'!$D:$D,"PO",'caseload data'!$A:$A,$B$91)</f>
        <v>0</v>
      </c>
      <c r="E91" s="204">
        <f>SUMIFS('caseload data'!F:F,'caseload data'!$D:$D,"PO",'caseload data'!$A:$A,$B$91)</f>
        <v>0</v>
      </c>
      <c r="F91" s="204">
        <f>SUMIFS('caseload data'!G:G,'caseload data'!$D:$D,"PO",'caseload data'!$A:$A,$B$91)</f>
        <v>0</v>
      </c>
      <c r="G91" s="204">
        <f>SUMIFS('caseload data'!H:H,'caseload data'!$D:$D,"PO",'caseload data'!$A:$A,$B$91)</f>
        <v>0</v>
      </c>
      <c r="H91" s="204">
        <f>SUMIFS('caseload data'!I:I,'caseload data'!$D:$D,"PO",'caseload data'!$A:$A,$B$91)</f>
        <v>0</v>
      </c>
      <c r="I91" s="204">
        <f>SUMIFS('caseload data'!J:J,'caseload data'!$D:$D,"PO",'caseload data'!$A:$A,$B$91)</f>
        <v>0</v>
      </c>
      <c r="J91" s="204">
        <f>SUMIFS('caseload data'!K:K,'caseload data'!$D:$D,"PO",'caseload data'!$A:$A,$B$91)</f>
        <v>0</v>
      </c>
      <c r="K91" s="204">
        <f>SUMIFS('caseload data'!L:L,'caseload data'!$D:$D,"PO",'caseload data'!$A:$A,$B$91)</f>
        <v>0</v>
      </c>
      <c r="L91" s="204">
        <f>SUMIFS('caseload data'!M:M,'caseload data'!$D:$D,"PO",'caseload data'!$A:$A,$B$91)</f>
        <v>0</v>
      </c>
      <c r="M91" s="204">
        <f>SUMIFS('caseload data'!N:N,'caseload data'!$D:$D,"PO",'caseload data'!$A:$A,$B$91)</f>
        <v>0</v>
      </c>
      <c r="N91" s="204">
        <f>SUMIFS('caseload data'!O:O,'caseload data'!$D:$D,"PO",'caseload data'!$A:$A,$B$91)</f>
        <v>0</v>
      </c>
      <c r="O91" s="204">
        <f>SUMIFS('caseload data'!P:P,'caseload data'!$D:$D,"PO",'caseload data'!$A:$A,$B$91)</f>
        <v>0</v>
      </c>
      <c r="P91" s="204">
        <f>SUMIFS('caseload data'!Q:Q,'caseload data'!$D:$D,"PO",'caseload data'!$A:$A,$B$91)</f>
        <v>0</v>
      </c>
      <c r="Q91" s="204">
        <f>SUMIFS('caseload data'!R:R,'caseload data'!$D:$D,"PO",'caseload data'!$A:$A,$B$91)</f>
        <v>0</v>
      </c>
      <c r="R91" s="204">
        <f>SUMIFS('caseload data'!S:S,'caseload data'!$D:$D,"PO",'caseload data'!$A:$A,$B$91)</f>
        <v>0</v>
      </c>
      <c r="S91" s="204">
        <f>SUMIFS('caseload data'!T:T,'caseload data'!$D:$D,"PO",'caseload data'!$A:$A,$B$91)</f>
        <v>0</v>
      </c>
      <c r="T91" s="126">
        <f>SUMIFS('caseload data'!V:V,'caseload data'!$D:$D,"PO",'caseload data'!$A:$A,$B$91)</f>
        <v>0</v>
      </c>
      <c r="U91" s="95"/>
      <c r="V91" s="95"/>
      <c r="W91" s="329" t="s">
        <v>522</v>
      </c>
      <c r="X91" s="161" t="s">
        <v>184</v>
      </c>
      <c r="Y91" s="209" t="e">
        <f>SUM(D91)/SUM(D$91:D$94)</f>
        <v>#DIV/0!</v>
      </c>
      <c r="Z91" s="209" t="e">
        <f t="shared" ref="Z91:AN94" si="28">SUM(E91)/SUM(E$91:E$94)</f>
        <v>#DIV/0!</v>
      </c>
      <c r="AA91" s="209" t="e">
        <f t="shared" si="28"/>
        <v>#DIV/0!</v>
      </c>
      <c r="AB91" s="209" t="e">
        <f t="shared" si="28"/>
        <v>#DIV/0!</v>
      </c>
      <c r="AC91" s="209" t="e">
        <f t="shared" si="28"/>
        <v>#DIV/0!</v>
      </c>
      <c r="AD91" s="209" t="e">
        <f t="shared" si="28"/>
        <v>#DIV/0!</v>
      </c>
      <c r="AE91" s="209" t="e">
        <f t="shared" si="28"/>
        <v>#DIV/0!</v>
      </c>
      <c r="AF91" s="209" t="e">
        <f t="shared" si="28"/>
        <v>#DIV/0!</v>
      </c>
      <c r="AG91" s="209" t="e">
        <f t="shared" si="28"/>
        <v>#DIV/0!</v>
      </c>
      <c r="AH91" s="209" t="e">
        <f t="shared" si="28"/>
        <v>#DIV/0!</v>
      </c>
      <c r="AI91" s="209" t="e">
        <f t="shared" si="28"/>
        <v>#DIV/0!</v>
      </c>
      <c r="AJ91" s="209" t="e">
        <f t="shared" si="28"/>
        <v>#DIV/0!</v>
      </c>
      <c r="AK91" s="209" t="e">
        <f t="shared" si="28"/>
        <v>#DIV/0!</v>
      </c>
      <c r="AL91" s="209" t="e">
        <f t="shared" si="28"/>
        <v>#DIV/0!</v>
      </c>
      <c r="AM91" s="209" t="e">
        <f t="shared" si="28"/>
        <v>#DIV/0!</v>
      </c>
      <c r="AN91" s="209" t="e">
        <f t="shared" si="28"/>
        <v>#DIV/0!</v>
      </c>
    </row>
    <row r="92" spans="2:40" s="30" customFormat="1" x14ac:dyDescent="0.15">
      <c r="B92" s="330"/>
      <c r="C92" s="162" t="s">
        <v>185</v>
      </c>
      <c r="D92" s="204">
        <f>SUMIFS('caseload data'!E:E,'caseload data'!$D:$D,"PSO",'caseload data'!$A:$A,$B$91)</f>
        <v>0</v>
      </c>
      <c r="E92" s="204">
        <f>SUMIFS('caseload data'!F:F,'caseload data'!$D:$D,"PSO",'caseload data'!$A:$A,$B$91)</f>
        <v>0</v>
      </c>
      <c r="F92" s="204">
        <f>SUMIFS('caseload data'!G:G,'caseload data'!$D:$D,"PSO",'caseload data'!$A:$A,$B$91)</f>
        <v>0</v>
      </c>
      <c r="G92" s="204">
        <f>SUMIFS('caseload data'!H:H,'caseload data'!$D:$D,"PSO",'caseload data'!$A:$A,$B$91)</f>
        <v>0</v>
      </c>
      <c r="H92" s="204">
        <f>SUMIFS('caseload data'!I:I,'caseload data'!$D:$D,"PSO",'caseload data'!$A:$A,$B$91)</f>
        <v>0</v>
      </c>
      <c r="I92" s="204">
        <f>SUMIFS('caseload data'!J:J,'caseload data'!$D:$D,"PSO",'caseload data'!$A:$A,$B$91)</f>
        <v>0</v>
      </c>
      <c r="J92" s="204">
        <f>SUMIFS('caseload data'!K:K,'caseload data'!$D:$D,"PSO",'caseload data'!$A:$A,$B$91)</f>
        <v>0</v>
      </c>
      <c r="K92" s="204">
        <f>SUMIFS('caseload data'!L:L,'caseload data'!$D:$D,"PSO",'caseload data'!$A:$A,$B$91)</f>
        <v>0</v>
      </c>
      <c r="L92" s="204">
        <f>SUMIFS('caseload data'!M:M,'caseload data'!$D:$D,"PSO",'caseload data'!$A:$A,$B$91)</f>
        <v>0</v>
      </c>
      <c r="M92" s="204">
        <f>SUMIFS('caseload data'!N:N,'caseload data'!$D:$D,"PSO",'caseload data'!$A:$A,$B$91)</f>
        <v>0</v>
      </c>
      <c r="N92" s="204">
        <f>SUMIFS('caseload data'!O:O,'caseload data'!$D:$D,"PSO",'caseload data'!$A:$A,$B$91)</f>
        <v>0</v>
      </c>
      <c r="O92" s="204">
        <f>SUMIFS('caseload data'!P:P,'caseload data'!$D:$D,"PSO",'caseload data'!$A:$A,$B$91)</f>
        <v>0</v>
      </c>
      <c r="P92" s="204">
        <f>SUMIFS('caseload data'!Q:Q,'caseload data'!$D:$D,"PSO",'caseload data'!$A:$A,$B$91)</f>
        <v>0</v>
      </c>
      <c r="Q92" s="204">
        <f>SUMIFS('caseload data'!R:R,'caseload data'!$D:$D,"PSO",'caseload data'!$A:$A,$B$91)</f>
        <v>0</v>
      </c>
      <c r="R92" s="204">
        <f>SUMIFS('caseload data'!S:S,'caseload data'!$D:$D,"PSO",'caseload data'!$A:$A,$B$91)</f>
        <v>0</v>
      </c>
      <c r="S92" s="204">
        <f>SUMIFS('caseload data'!T:T,'caseload data'!$D:$D,"PSO",'caseload data'!$A:$A,$B$91)</f>
        <v>0</v>
      </c>
      <c r="T92" s="126">
        <f>SUMIFS('caseload data'!V:V,'caseload data'!$D:$D,"PSO",'caseload data'!$A:$A,$B$91)</f>
        <v>0</v>
      </c>
      <c r="U92" s="95"/>
      <c r="V92" s="95"/>
      <c r="W92" s="330"/>
      <c r="X92" s="162" t="s">
        <v>185</v>
      </c>
      <c r="Y92" s="209" t="e">
        <f t="shared" ref="Y92:Y94" si="29">SUM(D92)/SUM(D$91:D$94)</f>
        <v>#DIV/0!</v>
      </c>
      <c r="Z92" s="209" t="e">
        <f t="shared" si="28"/>
        <v>#DIV/0!</v>
      </c>
      <c r="AA92" s="209" t="e">
        <f t="shared" si="28"/>
        <v>#DIV/0!</v>
      </c>
      <c r="AB92" s="209" t="e">
        <f t="shared" si="28"/>
        <v>#DIV/0!</v>
      </c>
      <c r="AC92" s="209" t="e">
        <f t="shared" si="28"/>
        <v>#DIV/0!</v>
      </c>
      <c r="AD92" s="209" t="e">
        <f t="shared" si="28"/>
        <v>#DIV/0!</v>
      </c>
      <c r="AE92" s="209" t="e">
        <f t="shared" si="28"/>
        <v>#DIV/0!</v>
      </c>
      <c r="AF92" s="209" t="e">
        <f t="shared" si="28"/>
        <v>#DIV/0!</v>
      </c>
      <c r="AG92" s="209" t="e">
        <f t="shared" si="28"/>
        <v>#DIV/0!</v>
      </c>
      <c r="AH92" s="209" t="e">
        <f t="shared" si="28"/>
        <v>#DIV/0!</v>
      </c>
      <c r="AI92" s="209" t="e">
        <f t="shared" si="28"/>
        <v>#DIV/0!</v>
      </c>
      <c r="AJ92" s="209" t="e">
        <f t="shared" si="28"/>
        <v>#DIV/0!</v>
      </c>
      <c r="AK92" s="209" t="e">
        <f t="shared" si="28"/>
        <v>#DIV/0!</v>
      </c>
      <c r="AL92" s="209" t="e">
        <f t="shared" si="28"/>
        <v>#DIV/0!</v>
      </c>
      <c r="AM92" s="209" t="e">
        <f t="shared" si="28"/>
        <v>#DIV/0!</v>
      </c>
      <c r="AN92" s="209" t="e">
        <f t="shared" si="28"/>
        <v>#DIV/0!</v>
      </c>
    </row>
    <row r="93" spans="2:40" s="30" customFormat="1" x14ac:dyDescent="0.15">
      <c r="B93" s="330"/>
      <c r="C93" s="162" t="s">
        <v>186</v>
      </c>
      <c r="D93" s="204">
        <f>SUMIFS('caseload data'!E:E,'caseload data'!$D:$D,"TPO",'caseload data'!$A:$A,$B$91)</f>
        <v>0</v>
      </c>
      <c r="E93" s="204">
        <f>SUMIFS('caseload data'!F:F,'caseload data'!$D:$D,"TPO",'caseload data'!$A:$A,$B$91)</f>
        <v>0</v>
      </c>
      <c r="F93" s="204">
        <f>SUMIFS('caseload data'!G:G,'caseload data'!$D:$D,"TPO",'caseload data'!$A:$A,$B$91)</f>
        <v>0</v>
      </c>
      <c r="G93" s="204">
        <f>SUMIFS('caseload data'!H:H,'caseload data'!$D:$D,"TPO",'caseload data'!$A:$A,$B$91)</f>
        <v>0</v>
      </c>
      <c r="H93" s="204">
        <f>SUMIFS('caseload data'!I:I,'caseload data'!$D:$D,"TPO",'caseload data'!$A:$A,$B$91)</f>
        <v>0</v>
      </c>
      <c r="I93" s="204">
        <f>SUMIFS('caseload data'!J:J,'caseload data'!$D:$D,"TPO",'caseload data'!$A:$A,$B$91)</f>
        <v>0</v>
      </c>
      <c r="J93" s="204">
        <f>SUMIFS('caseload data'!K:K,'caseload data'!$D:$D,"TPO",'caseload data'!$A:$A,$B$91)</f>
        <v>0</v>
      </c>
      <c r="K93" s="204">
        <f>SUMIFS('caseload data'!L:L,'caseload data'!$D:$D,"TPO",'caseload data'!$A:$A,$B$91)</f>
        <v>0</v>
      </c>
      <c r="L93" s="204">
        <f>SUMIFS('caseload data'!M:M,'caseload data'!$D:$D,"TPO",'caseload data'!$A:$A,$B$91)</f>
        <v>0</v>
      </c>
      <c r="M93" s="204">
        <f>SUMIFS('caseload data'!N:N,'caseload data'!$D:$D,"TPO",'caseload data'!$A:$A,$B$91)</f>
        <v>0</v>
      </c>
      <c r="N93" s="204">
        <f>SUMIFS('caseload data'!O:O,'caseload data'!$D:$D,"TPO",'caseload data'!$A:$A,$B$91)</f>
        <v>0</v>
      </c>
      <c r="O93" s="204">
        <f>SUMIFS('caseload data'!P:P,'caseload data'!$D:$D,"TPO",'caseload data'!$A:$A,$B$91)</f>
        <v>0</v>
      </c>
      <c r="P93" s="204">
        <f>SUMIFS('caseload data'!Q:Q,'caseload data'!$D:$D,"TPO",'caseload data'!$A:$A,$B$91)</f>
        <v>0</v>
      </c>
      <c r="Q93" s="204">
        <f>SUMIFS('caseload data'!R:R,'caseload data'!$D:$D,"TPO",'caseload data'!$A:$A,$B$91)</f>
        <v>0</v>
      </c>
      <c r="R93" s="204">
        <f>SUMIFS('caseload data'!S:S,'caseload data'!$D:$D,"TPO",'caseload data'!$A:$A,$B$91)</f>
        <v>0</v>
      </c>
      <c r="S93" s="204">
        <f>SUMIFS('caseload data'!T:T,'caseload data'!$D:$D,"TPO",'caseload data'!$A:$A,$B$91)</f>
        <v>0</v>
      </c>
      <c r="T93" s="126">
        <f>SUMIFS('caseload data'!V:V,'caseload data'!$D:$D,"TPO",'caseload data'!$A:$A,$B$91)</f>
        <v>0</v>
      </c>
      <c r="U93" s="95"/>
      <c r="V93" s="95"/>
      <c r="W93" s="330"/>
      <c r="X93" s="162" t="s">
        <v>186</v>
      </c>
      <c r="Y93" s="209" t="e">
        <f t="shared" si="29"/>
        <v>#DIV/0!</v>
      </c>
      <c r="Z93" s="209" t="e">
        <f t="shared" si="28"/>
        <v>#DIV/0!</v>
      </c>
      <c r="AA93" s="209" t="e">
        <f t="shared" si="28"/>
        <v>#DIV/0!</v>
      </c>
      <c r="AB93" s="209" t="e">
        <f t="shared" si="28"/>
        <v>#DIV/0!</v>
      </c>
      <c r="AC93" s="209" t="e">
        <f t="shared" si="28"/>
        <v>#DIV/0!</v>
      </c>
      <c r="AD93" s="209" t="e">
        <f t="shared" si="28"/>
        <v>#DIV/0!</v>
      </c>
      <c r="AE93" s="209" t="e">
        <f t="shared" si="28"/>
        <v>#DIV/0!</v>
      </c>
      <c r="AF93" s="209" t="e">
        <f t="shared" si="28"/>
        <v>#DIV/0!</v>
      </c>
      <c r="AG93" s="209" t="e">
        <f t="shared" si="28"/>
        <v>#DIV/0!</v>
      </c>
      <c r="AH93" s="209" t="e">
        <f t="shared" si="28"/>
        <v>#DIV/0!</v>
      </c>
      <c r="AI93" s="209" t="e">
        <f t="shared" si="28"/>
        <v>#DIV/0!</v>
      </c>
      <c r="AJ93" s="209" t="e">
        <f t="shared" si="28"/>
        <v>#DIV/0!</v>
      </c>
      <c r="AK93" s="209" t="e">
        <f t="shared" si="28"/>
        <v>#DIV/0!</v>
      </c>
      <c r="AL93" s="209" t="e">
        <f t="shared" si="28"/>
        <v>#DIV/0!</v>
      </c>
      <c r="AM93" s="209" t="e">
        <f t="shared" si="28"/>
        <v>#DIV/0!</v>
      </c>
      <c r="AN93" s="209" t="e">
        <f t="shared" si="28"/>
        <v>#DIV/0!</v>
      </c>
    </row>
    <row r="94" spans="2:40" s="30" customFormat="1" x14ac:dyDescent="0.15">
      <c r="B94" s="331"/>
      <c r="C94" s="162" t="s">
        <v>187</v>
      </c>
      <c r="D94" s="204">
        <f>SUMIFS('caseload data'!E:E,'caseload data'!$D:$D,"SPO",'caseload data'!$A:$A,$B$91)</f>
        <v>0</v>
      </c>
      <c r="E94" s="204">
        <f>SUMIFS('caseload data'!F:F,'caseload data'!$D:$D,"SPO",'caseload data'!$A:$A,$B$91)</f>
        <v>0</v>
      </c>
      <c r="F94" s="204">
        <f>SUMIFS('caseload data'!G:G,'caseload data'!$D:$D,"SPO",'caseload data'!$A:$A,$B$91)</f>
        <v>0</v>
      </c>
      <c r="G94" s="204">
        <f>SUMIFS('caseload data'!H:H,'caseload data'!$D:$D,"SPO",'caseload data'!$A:$A,$B$91)</f>
        <v>0</v>
      </c>
      <c r="H94" s="204">
        <f>SUMIFS('caseload data'!I:I,'caseload data'!$D:$D,"SPO",'caseload data'!$A:$A,$B$91)</f>
        <v>0</v>
      </c>
      <c r="I94" s="204">
        <f>SUMIFS('caseload data'!J:J,'caseload data'!$D:$D,"SPO",'caseload data'!$A:$A,$B$91)</f>
        <v>0</v>
      </c>
      <c r="J94" s="204">
        <f>SUMIFS('caseload data'!K:K,'caseload data'!$D:$D,"SPO",'caseload data'!$A:$A,$B$91)</f>
        <v>0</v>
      </c>
      <c r="K94" s="204">
        <f>SUMIFS('caseload data'!L:L,'caseload data'!$D:$D,"SPO",'caseload data'!$A:$A,$B$91)</f>
        <v>0</v>
      </c>
      <c r="L94" s="204">
        <f>SUMIFS('caseload data'!M:M,'caseload data'!$D:$D,"SPO",'caseload data'!$A:$A,$B$91)</f>
        <v>0</v>
      </c>
      <c r="M94" s="204">
        <f>SUMIFS('caseload data'!N:N,'caseload data'!$D:$D,"SPO",'caseload data'!$A:$A,$B$91)</f>
        <v>0</v>
      </c>
      <c r="N94" s="204">
        <f>SUMIFS('caseload data'!O:O,'caseload data'!$D:$D,"SPO",'caseload data'!$A:$A,$B$91)</f>
        <v>0</v>
      </c>
      <c r="O94" s="204">
        <f>SUMIFS('caseload data'!P:P,'caseload data'!$D:$D,"SPO",'caseload data'!$A:$A,$B$91)</f>
        <v>0</v>
      </c>
      <c r="P94" s="204">
        <f>SUMIFS('caseload data'!Q:Q,'caseload data'!$D:$D,"SPO",'caseload data'!$A:$A,$B$91)</f>
        <v>0</v>
      </c>
      <c r="Q94" s="204">
        <f>SUMIFS('caseload data'!R:R,'caseload data'!$D:$D,"SPO",'caseload data'!$A:$A,$B$91)</f>
        <v>0</v>
      </c>
      <c r="R94" s="204">
        <f>SUMIFS('caseload data'!S:S,'caseload data'!$D:$D,"SPO",'caseload data'!$A:$A,$B$91)</f>
        <v>0</v>
      </c>
      <c r="S94" s="204">
        <f>SUMIFS('caseload data'!T:T,'caseload data'!$D:$D,"SPO",'caseload data'!$A:$A,$B$91)</f>
        <v>0</v>
      </c>
      <c r="T94" s="126">
        <f>SUMIFS('caseload data'!V:V,'caseload data'!$D:$D,"SPO",'caseload data'!$A:$A,$B$91)</f>
        <v>0</v>
      </c>
      <c r="U94" s="95"/>
      <c r="V94" s="95"/>
      <c r="W94" s="331"/>
      <c r="X94" s="163" t="s">
        <v>187</v>
      </c>
      <c r="Y94" s="209" t="e">
        <f t="shared" si="29"/>
        <v>#DIV/0!</v>
      </c>
      <c r="Z94" s="209" t="e">
        <f t="shared" si="28"/>
        <v>#DIV/0!</v>
      </c>
      <c r="AA94" s="209" t="e">
        <f t="shared" si="28"/>
        <v>#DIV/0!</v>
      </c>
      <c r="AB94" s="209" t="e">
        <f t="shared" si="28"/>
        <v>#DIV/0!</v>
      </c>
      <c r="AC94" s="209" t="e">
        <f t="shared" si="28"/>
        <v>#DIV/0!</v>
      </c>
      <c r="AD94" s="209" t="e">
        <f t="shared" si="28"/>
        <v>#DIV/0!</v>
      </c>
      <c r="AE94" s="209" t="e">
        <f t="shared" si="28"/>
        <v>#DIV/0!</v>
      </c>
      <c r="AF94" s="209" t="e">
        <f t="shared" si="28"/>
        <v>#DIV/0!</v>
      </c>
      <c r="AG94" s="209" t="e">
        <f t="shared" si="28"/>
        <v>#DIV/0!</v>
      </c>
      <c r="AH94" s="209" t="e">
        <f t="shared" si="28"/>
        <v>#DIV/0!</v>
      </c>
      <c r="AI94" s="209" t="e">
        <f t="shared" si="28"/>
        <v>#DIV/0!</v>
      </c>
      <c r="AJ94" s="209" t="e">
        <f t="shared" si="28"/>
        <v>#DIV/0!</v>
      </c>
      <c r="AK94" s="209" t="e">
        <f t="shared" si="28"/>
        <v>#DIV/0!</v>
      </c>
      <c r="AL94" s="209" t="e">
        <f t="shared" si="28"/>
        <v>#DIV/0!</v>
      </c>
      <c r="AM94" s="209" t="e">
        <f t="shared" si="28"/>
        <v>#DIV/0!</v>
      </c>
      <c r="AN94" s="209" t="e">
        <f t="shared" si="28"/>
        <v>#DIV/0!</v>
      </c>
    </row>
    <row r="95" spans="2:40" s="30" customFormat="1" x14ac:dyDescent="0.15">
      <c r="B95" s="329" t="s">
        <v>523</v>
      </c>
      <c r="C95" s="161" t="s">
        <v>184</v>
      </c>
      <c r="D95" s="204">
        <f>SUMIFS('caseload data'!E:E,'caseload data'!$D:$D,"PO",'caseload data'!$A:$A,$B$95)</f>
        <v>0</v>
      </c>
      <c r="E95" s="204">
        <f>SUMIFS('caseload data'!F:F,'caseload data'!$D:$D,"PO",'caseload data'!$A:$A,$B$95)</f>
        <v>0</v>
      </c>
      <c r="F95" s="204">
        <f>SUMIFS('caseload data'!G:G,'caseload data'!$D:$D,"PO",'caseload data'!$A:$A,$B$95)</f>
        <v>0</v>
      </c>
      <c r="G95" s="204">
        <f>SUMIFS('caseload data'!H:H,'caseload data'!$D:$D,"PO",'caseload data'!$A:$A,$B$95)</f>
        <v>0</v>
      </c>
      <c r="H95" s="204">
        <f>SUMIFS('caseload data'!I:I,'caseload data'!$D:$D,"PO",'caseload data'!$A:$A,$B$95)</f>
        <v>0</v>
      </c>
      <c r="I95" s="204">
        <f>SUMIFS('caseload data'!J:J,'caseload data'!$D:$D,"PO",'caseload data'!$A:$A,$B$95)</f>
        <v>0</v>
      </c>
      <c r="J95" s="204">
        <f>SUMIFS('caseload data'!K:K,'caseload data'!$D:$D,"PO",'caseload data'!$A:$A,$B$95)</f>
        <v>0</v>
      </c>
      <c r="K95" s="204">
        <f>SUMIFS('caseload data'!L:L,'caseload data'!$D:$D,"PO",'caseload data'!$A:$A,$B$95)</f>
        <v>0</v>
      </c>
      <c r="L95" s="204">
        <f>SUMIFS('caseload data'!M:M,'caseload data'!$D:$D,"PO",'caseload data'!$A:$A,$B$95)</f>
        <v>0</v>
      </c>
      <c r="M95" s="204">
        <f>SUMIFS('caseload data'!N:N,'caseload data'!$D:$D,"PO",'caseload data'!$A:$A,$B$95)</f>
        <v>0</v>
      </c>
      <c r="N95" s="204">
        <f>SUMIFS('caseload data'!O:O,'caseload data'!$D:$D,"PO",'caseload data'!$A:$A,$B$95)</f>
        <v>0</v>
      </c>
      <c r="O95" s="204">
        <f>SUMIFS('caseload data'!P:P,'caseload data'!$D:$D,"PO",'caseload data'!$A:$A,$B$95)</f>
        <v>0</v>
      </c>
      <c r="P95" s="204">
        <f>SUMIFS('caseload data'!Q:Q,'caseload data'!$D:$D,"PO",'caseload data'!$A:$A,$B$95)</f>
        <v>0</v>
      </c>
      <c r="Q95" s="204">
        <f>SUMIFS('caseload data'!R:R,'caseload data'!$D:$D,"PO",'caseload data'!$A:$A,$B$95)</f>
        <v>0</v>
      </c>
      <c r="R95" s="204">
        <f>SUMIFS('caseload data'!S:S,'caseload data'!$D:$D,"PO",'caseload data'!$A:$A,$B$95)</f>
        <v>0</v>
      </c>
      <c r="S95" s="204">
        <f>SUMIFS('caseload data'!T:T,'caseload data'!$D:$D,"PO",'caseload data'!$A:$A,$B$95)</f>
        <v>0</v>
      </c>
      <c r="T95" s="126">
        <f>SUMIFS('caseload data'!V:V,'caseload data'!$D:$D,"PO",'caseload data'!$A:$A,$B$95)</f>
        <v>0</v>
      </c>
      <c r="U95" s="95"/>
      <c r="V95" s="95"/>
      <c r="W95" s="329" t="s">
        <v>523</v>
      </c>
      <c r="X95" s="161" t="s">
        <v>184</v>
      </c>
      <c r="Y95" s="209" t="e">
        <f>SUM(D95)/SUM(D$95:D$98)</f>
        <v>#DIV/0!</v>
      </c>
      <c r="Z95" s="209" t="e">
        <f t="shared" ref="Z95:AN98" si="30">SUM(E95)/SUM(E$95:E$98)</f>
        <v>#DIV/0!</v>
      </c>
      <c r="AA95" s="209" t="e">
        <f t="shared" si="30"/>
        <v>#DIV/0!</v>
      </c>
      <c r="AB95" s="209" t="e">
        <f t="shared" si="30"/>
        <v>#DIV/0!</v>
      </c>
      <c r="AC95" s="209" t="e">
        <f t="shared" si="30"/>
        <v>#DIV/0!</v>
      </c>
      <c r="AD95" s="209" t="e">
        <f t="shared" si="30"/>
        <v>#DIV/0!</v>
      </c>
      <c r="AE95" s="209" t="e">
        <f t="shared" si="30"/>
        <v>#DIV/0!</v>
      </c>
      <c r="AF95" s="209" t="e">
        <f t="shared" si="30"/>
        <v>#DIV/0!</v>
      </c>
      <c r="AG95" s="209" t="e">
        <f t="shared" si="30"/>
        <v>#DIV/0!</v>
      </c>
      <c r="AH95" s="209" t="e">
        <f t="shared" si="30"/>
        <v>#DIV/0!</v>
      </c>
      <c r="AI95" s="209" t="e">
        <f t="shared" si="30"/>
        <v>#DIV/0!</v>
      </c>
      <c r="AJ95" s="209" t="e">
        <f t="shared" si="30"/>
        <v>#DIV/0!</v>
      </c>
      <c r="AK95" s="209" t="e">
        <f t="shared" si="30"/>
        <v>#DIV/0!</v>
      </c>
      <c r="AL95" s="209" t="e">
        <f t="shared" si="30"/>
        <v>#DIV/0!</v>
      </c>
      <c r="AM95" s="209" t="e">
        <f t="shared" si="30"/>
        <v>#DIV/0!</v>
      </c>
      <c r="AN95" s="209" t="e">
        <f t="shared" si="30"/>
        <v>#DIV/0!</v>
      </c>
    </row>
    <row r="96" spans="2:40" s="30" customFormat="1" x14ac:dyDescent="0.15">
      <c r="B96" s="330"/>
      <c r="C96" s="162" t="s">
        <v>185</v>
      </c>
      <c r="D96" s="204">
        <f>SUMIFS('caseload data'!E:E,'caseload data'!$D:$D,"PSO",'caseload data'!$A:$A,$B$95)</f>
        <v>0</v>
      </c>
      <c r="E96" s="204">
        <f>SUMIFS('caseload data'!F:F,'caseload data'!$D:$D,"PSO",'caseload data'!$A:$A,$B$95)</f>
        <v>0</v>
      </c>
      <c r="F96" s="204">
        <f>SUMIFS('caseload data'!G:G,'caseload data'!$D:$D,"PSO",'caseload data'!$A:$A,$B$95)</f>
        <v>0</v>
      </c>
      <c r="G96" s="204">
        <f>SUMIFS('caseload data'!H:H,'caseload data'!$D:$D,"PSO",'caseload data'!$A:$A,$B$95)</f>
        <v>0</v>
      </c>
      <c r="H96" s="204">
        <f>SUMIFS('caseload data'!I:I,'caseload data'!$D:$D,"PSO",'caseload data'!$A:$A,$B$95)</f>
        <v>0</v>
      </c>
      <c r="I96" s="204">
        <f>SUMIFS('caseload data'!J:J,'caseload data'!$D:$D,"PSO",'caseload data'!$A:$A,$B$95)</f>
        <v>0</v>
      </c>
      <c r="J96" s="204">
        <f>SUMIFS('caseload data'!K:K,'caseload data'!$D:$D,"PSO",'caseload data'!$A:$A,$B$95)</f>
        <v>0</v>
      </c>
      <c r="K96" s="204">
        <f>SUMIFS('caseload data'!L:L,'caseload data'!$D:$D,"PSO",'caseload data'!$A:$A,$B$95)</f>
        <v>0</v>
      </c>
      <c r="L96" s="204">
        <f>SUMIFS('caseload data'!M:M,'caseload data'!$D:$D,"PSO",'caseload data'!$A:$A,$B$95)</f>
        <v>0</v>
      </c>
      <c r="M96" s="204">
        <f>SUMIFS('caseload data'!N:N,'caseload data'!$D:$D,"PSO",'caseload data'!$A:$A,$B$95)</f>
        <v>0</v>
      </c>
      <c r="N96" s="204">
        <f>SUMIFS('caseload data'!O:O,'caseload data'!$D:$D,"PSO",'caseload data'!$A:$A,$B$95)</f>
        <v>0</v>
      </c>
      <c r="O96" s="204">
        <f>SUMIFS('caseload data'!P:P,'caseload data'!$D:$D,"PSO",'caseload data'!$A:$A,$B$95)</f>
        <v>0</v>
      </c>
      <c r="P96" s="204">
        <f>SUMIFS('caseload data'!Q:Q,'caseload data'!$D:$D,"PSO",'caseload data'!$A:$A,$B$95)</f>
        <v>0</v>
      </c>
      <c r="Q96" s="204">
        <f>SUMIFS('caseload data'!R:R,'caseload data'!$D:$D,"PSO",'caseload data'!$A:$A,$B$95)</f>
        <v>0</v>
      </c>
      <c r="R96" s="204">
        <f>SUMIFS('caseload data'!S:S,'caseload data'!$D:$D,"PSO",'caseload data'!$A:$A,$B$95)</f>
        <v>0</v>
      </c>
      <c r="S96" s="204">
        <f>SUMIFS('caseload data'!T:T,'caseload data'!$D:$D,"PSO",'caseload data'!$A:$A,$B$95)</f>
        <v>0</v>
      </c>
      <c r="T96" s="126">
        <f>SUMIFS('caseload data'!V:V,'caseload data'!$D:$D,"PSO",'caseload data'!$A:$A,$B$95)</f>
        <v>0</v>
      </c>
      <c r="U96" s="95"/>
      <c r="V96" s="95"/>
      <c r="W96" s="330"/>
      <c r="X96" s="162" t="s">
        <v>185</v>
      </c>
      <c r="Y96" s="209" t="e">
        <f t="shared" ref="Y96:Y98" si="31">SUM(D96)/SUM(D$95:D$98)</f>
        <v>#DIV/0!</v>
      </c>
      <c r="Z96" s="209" t="e">
        <f t="shared" si="30"/>
        <v>#DIV/0!</v>
      </c>
      <c r="AA96" s="209" t="e">
        <f t="shared" si="30"/>
        <v>#DIV/0!</v>
      </c>
      <c r="AB96" s="209" t="e">
        <f t="shared" si="30"/>
        <v>#DIV/0!</v>
      </c>
      <c r="AC96" s="209" t="e">
        <f t="shared" si="30"/>
        <v>#DIV/0!</v>
      </c>
      <c r="AD96" s="209" t="e">
        <f t="shared" si="30"/>
        <v>#DIV/0!</v>
      </c>
      <c r="AE96" s="209" t="e">
        <f t="shared" si="30"/>
        <v>#DIV/0!</v>
      </c>
      <c r="AF96" s="209" t="e">
        <f t="shared" si="30"/>
        <v>#DIV/0!</v>
      </c>
      <c r="AG96" s="209" t="e">
        <f t="shared" si="30"/>
        <v>#DIV/0!</v>
      </c>
      <c r="AH96" s="209" t="e">
        <f t="shared" si="30"/>
        <v>#DIV/0!</v>
      </c>
      <c r="AI96" s="209" t="e">
        <f t="shared" si="30"/>
        <v>#DIV/0!</v>
      </c>
      <c r="AJ96" s="209" t="e">
        <f t="shared" si="30"/>
        <v>#DIV/0!</v>
      </c>
      <c r="AK96" s="209" t="e">
        <f t="shared" si="30"/>
        <v>#DIV/0!</v>
      </c>
      <c r="AL96" s="209" t="e">
        <f t="shared" si="30"/>
        <v>#DIV/0!</v>
      </c>
      <c r="AM96" s="209" t="e">
        <f t="shared" si="30"/>
        <v>#DIV/0!</v>
      </c>
      <c r="AN96" s="209" t="e">
        <f t="shared" si="30"/>
        <v>#DIV/0!</v>
      </c>
    </row>
    <row r="97" spans="2:43" s="30" customFormat="1" x14ac:dyDescent="0.15">
      <c r="B97" s="330"/>
      <c r="C97" s="162" t="s">
        <v>186</v>
      </c>
      <c r="D97" s="204">
        <f>SUMIFS('caseload data'!E:E,'caseload data'!$D:$D,"TPO",'caseload data'!$A:$A,$B$95)</f>
        <v>0</v>
      </c>
      <c r="E97" s="204">
        <f>SUMIFS('caseload data'!F:F,'caseload data'!$D:$D,"TPO",'caseload data'!$A:$A,$B$95)</f>
        <v>0</v>
      </c>
      <c r="F97" s="204">
        <f>SUMIFS('caseload data'!G:G,'caseload data'!$D:$D,"TPO",'caseload data'!$A:$A,$B$95)</f>
        <v>0</v>
      </c>
      <c r="G97" s="204">
        <f>SUMIFS('caseload data'!H:H,'caseload data'!$D:$D,"TPO",'caseload data'!$A:$A,$B$95)</f>
        <v>0</v>
      </c>
      <c r="H97" s="204">
        <f>SUMIFS('caseload data'!I:I,'caseload data'!$D:$D,"TPO",'caseload data'!$A:$A,$B$95)</f>
        <v>0</v>
      </c>
      <c r="I97" s="204">
        <f>SUMIFS('caseload data'!J:J,'caseload data'!$D:$D,"TPO",'caseload data'!$A:$A,$B$95)</f>
        <v>0</v>
      </c>
      <c r="J97" s="204">
        <f>SUMIFS('caseload data'!K:K,'caseload data'!$D:$D,"TPO",'caseload data'!$A:$A,$B$95)</f>
        <v>0</v>
      </c>
      <c r="K97" s="204">
        <f>SUMIFS('caseload data'!L:L,'caseload data'!$D:$D,"TPO",'caseload data'!$A:$A,$B$95)</f>
        <v>0</v>
      </c>
      <c r="L97" s="204">
        <f>SUMIFS('caseload data'!M:M,'caseload data'!$D:$D,"TPO",'caseload data'!$A:$A,$B$95)</f>
        <v>0</v>
      </c>
      <c r="M97" s="204">
        <f>SUMIFS('caseload data'!N:N,'caseload data'!$D:$D,"TPO",'caseload data'!$A:$A,$B$95)</f>
        <v>0</v>
      </c>
      <c r="N97" s="204">
        <f>SUMIFS('caseload data'!O:O,'caseload data'!$D:$D,"TPO",'caseload data'!$A:$A,$B$95)</f>
        <v>0</v>
      </c>
      <c r="O97" s="204">
        <f>SUMIFS('caseload data'!P:P,'caseload data'!$D:$D,"TPO",'caseload data'!$A:$A,$B$95)</f>
        <v>0</v>
      </c>
      <c r="P97" s="204">
        <f>SUMIFS('caseload data'!Q:Q,'caseload data'!$D:$D,"TPO",'caseload data'!$A:$A,$B$95)</f>
        <v>0</v>
      </c>
      <c r="Q97" s="204">
        <f>SUMIFS('caseload data'!R:R,'caseload data'!$D:$D,"TPO",'caseload data'!$A:$A,$B$95)</f>
        <v>0</v>
      </c>
      <c r="R97" s="204">
        <f>SUMIFS('caseload data'!S:S,'caseload data'!$D:$D,"TPO",'caseload data'!$A:$A,$B$95)</f>
        <v>0</v>
      </c>
      <c r="S97" s="204">
        <f>SUMIFS('caseload data'!T:T,'caseload data'!$D:$D,"TPO",'caseload data'!$A:$A,$B$95)</f>
        <v>0</v>
      </c>
      <c r="T97" s="126">
        <f>SUMIFS('caseload data'!V:V,'caseload data'!$D:$D,"TPO",'caseload data'!$A:$A,$B$95)</f>
        <v>0</v>
      </c>
      <c r="U97" s="95"/>
      <c r="V97" s="95"/>
      <c r="W97" s="330"/>
      <c r="X97" s="162" t="s">
        <v>186</v>
      </c>
      <c r="Y97" s="209" t="e">
        <f t="shared" si="31"/>
        <v>#DIV/0!</v>
      </c>
      <c r="Z97" s="209" t="e">
        <f t="shared" si="30"/>
        <v>#DIV/0!</v>
      </c>
      <c r="AA97" s="209" t="e">
        <f t="shared" si="30"/>
        <v>#DIV/0!</v>
      </c>
      <c r="AB97" s="209" t="e">
        <f t="shared" si="30"/>
        <v>#DIV/0!</v>
      </c>
      <c r="AC97" s="209" t="e">
        <f t="shared" si="30"/>
        <v>#DIV/0!</v>
      </c>
      <c r="AD97" s="209" t="e">
        <f t="shared" si="30"/>
        <v>#DIV/0!</v>
      </c>
      <c r="AE97" s="209" t="e">
        <f t="shared" si="30"/>
        <v>#DIV/0!</v>
      </c>
      <c r="AF97" s="209" t="e">
        <f t="shared" si="30"/>
        <v>#DIV/0!</v>
      </c>
      <c r="AG97" s="209" t="e">
        <f t="shared" si="30"/>
        <v>#DIV/0!</v>
      </c>
      <c r="AH97" s="209" t="e">
        <f t="shared" si="30"/>
        <v>#DIV/0!</v>
      </c>
      <c r="AI97" s="209" t="e">
        <f t="shared" si="30"/>
        <v>#DIV/0!</v>
      </c>
      <c r="AJ97" s="209" t="e">
        <f t="shared" si="30"/>
        <v>#DIV/0!</v>
      </c>
      <c r="AK97" s="209" t="e">
        <f t="shared" si="30"/>
        <v>#DIV/0!</v>
      </c>
      <c r="AL97" s="209" t="e">
        <f t="shared" si="30"/>
        <v>#DIV/0!</v>
      </c>
      <c r="AM97" s="209" t="e">
        <f t="shared" si="30"/>
        <v>#DIV/0!</v>
      </c>
      <c r="AN97" s="209" t="e">
        <f t="shared" si="30"/>
        <v>#DIV/0!</v>
      </c>
    </row>
    <row r="98" spans="2:43" s="30" customFormat="1" ht="15" thickBot="1" x14ac:dyDescent="0.2">
      <c r="B98" s="331"/>
      <c r="C98" s="162" t="s">
        <v>187</v>
      </c>
      <c r="D98" s="204">
        <f>SUMIFS('caseload data'!E:E,'caseload data'!$D:$D,"SPO",'caseload data'!$A:$A,$B$95)</f>
        <v>0</v>
      </c>
      <c r="E98" s="204">
        <f>SUMIFS('caseload data'!F:F,'caseload data'!$D:$D,"SPO",'caseload data'!$A:$A,$B$95)</f>
        <v>0</v>
      </c>
      <c r="F98" s="204">
        <f>SUMIFS('caseload data'!G:G,'caseload data'!$D:$D,"SPO",'caseload data'!$A:$A,$B$95)</f>
        <v>0</v>
      </c>
      <c r="G98" s="204">
        <f>SUMIFS('caseload data'!H:H,'caseload data'!$D:$D,"SPO",'caseload data'!$A:$A,$B$95)</f>
        <v>0</v>
      </c>
      <c r="H98" s="204">
        <f>SUMIFS('caseload data'!I:I,'caseload data'!$D:$D,"SPO",'caseload data'!$A:$A,$B$95)</f>
        <v>0</v>
      </c>
      <c r="I98" s="204">
        <f>SUMIFS('caseload data'!J:J,'caseload data'!$D:$D,"SPO",'caseload data'!$A:$A,$B$95)</f>
        <v>0</v>
      </c>
      <c r="J98" s="204">
        <f>SUMIFS('caseload data'!K:K,'caseload data'!$D:$D,"SPO",'caseload data'!$A:$A,$B$95)</f>
        <v>0</v>
      </c>
      <c r="K98" s="204">
        <f>SUMIFS('caseload data'!L:L,'caseload data'!$D:$D,"SPO",'caseload data'!$A:$A,$B$95)</f>
        <v>0</v>
      </c>
      <c r="L98" s="204">
        <f>SUMIFS('caseload data'!M:M,'caseload data'!$D:$D,"SPO",'caseload data'!$A:$A,$B$95)</f>
        <v>0</v>
      </c>
      <c r="M98" s="204">
        <f>SUMIFS('caseload data'!N:N,'caseload data'!$D:$D,"SPO",'caseload data'!$A:$A,$B$95)</f>
        <v>0</v>
      </c>
      <c r="N98" s="204">
        <f>SUMIFS('caseload data'!O:O,'caseload data'!$D:$D,"SPO",'caseload data'!$A:$A,$B$95)</f>
        <v>0</v>
      </c>
      <c r="O98" s="204">
        <f>SUMIFS('caseload data'!P:P,'caseload data'!$D:$D,"SPO",'caseload data'!$A:$A,$B$95)</f>
        <v>0</v>
      </c>
      <c r="P98" s="204">
        <f>SUMIFS('caseload data'!Q:Q,'caseload data'!$D:$D,"SPO",'caseload data'!$A:$A,$B$95)</f>
        <v>0</v>
      </c>
      <c r="Q98" s="204">
        <f>SUMIFS('caseload data'!R:R,'caseload data'!$D:$D,"SPO",'caseload data'!$A:$A,$B$95)</f>
        <v>0</v>
      </c>
      <c r="R98" s="204">
        <f>SUMIFS('caseload data'!S:S,'caseload data'!$D:$D,"SPO",'caseload data'!$A:$A,$B$95)</f>
        <v>0</v>
      </c>
      <c r="S98" s="204">
        <f>SUMIFS('caseload data'!T:T,'caseload data'!$D:$D,"SPO",'caseload data'!$A:$A,$B$95)</f>
        <v>0</v>
      </c>
      <c r="T98" s="126">
        <f>SUMIFS('caseload data'!V:V,'caseload data'!$D:$D,"SPO",'caseload data'!$A:$A,$B$95)</f>
        <v>0</v>
      </c>
      <c r="U98" s="95"/>
      <c r="V98" s="95"/>
      <c r="W98" s="331"/>
      <c r="X98" s="163" t="s">
        <v>187</v>
      </c>
      <c r="Y98" s="209" t="e">
        <f t="shared" si="31"/>
        <v>#DIV/0!</v>
      </c>
      <c r="Z98" s="209" t="e">
        <f t="shared" si="30"/>
        <v>#DIV/0!</v>
      </c>
      <c r="AA98" s="209" t="e">
        <f t="shared" si="30"/>
        <v>#DIV/0!</v>
      </c>
      <c r="AB98" s="209" t="e">
        <f t="shared" si="30"/>
        <v>#DIV/0!</v>
      </c>
      <c r="AC98" s="209" t="e">
        <f t="shared" si="30"/>
        <v>#DIV/0!</v>
      </c>
      <c r="AD98" s="209" t="e">
        <f t="shared" si="30"/>
        <v>#DIV/0!</v>
      </c>
      <c r="AE98" s="209" t="e">
        <f t="shared" si="30"/>
        <v>#DIV/0!</v>
      </c>
      <c r="AF98" s="209" t="e">
        <f t="shared" si="30"/>
        <v>#DIV/0!</v>
      </c>
      <c r="AG98" s="209" t="e">
        <f t="shared" si="30"/>
        <v>#DIV/0!</v>
      </c>
      <c r="AH98" s="209" t="e">
        <f t="shared" si="30"/>
        <v>#DIV/0!</v>
      </c>
      <c r="AI98" s="209" t="e">
        <f t="shared" si="30"/>
        <v>#DIV/0!</v>
      </c>
      <c r="AJ98" s="209" t="e">
        <f t="shared" si="30"/>
        <v>#DIV/0!</v>
      </c>
      <c r="AK98" s="209" t="e">
        <f t="shared" si="30"/>
        <v>#DIV/0!</v>
      </c>
      <c r="AL98" s="209" t="e">
        <f t="shared" si="30"/>
        <v>#DIV/0!</v>
      </c>
      <c r="AM98" s="209" t="e">
        <f t="shared" si="30"/>
        <v>#DIV/0!</v>
      </c>
      <c r="AN98" s="209" t="e">
        <f t="shared" si="30"/>
        <v>#DIV/0!</v>
      </c>
    </row>
    <row r="99" spans="2:43" x14ac:dyDescent="0.15">
      <c r="B99" s="343" t="s">
        <v>357</v>
      </c>
      <c r="C99" s="170" t="s">
        <v>184</v>
      </c>
      <c r="D99" s="171">
        <f>SUMIF('caseload data'!$D:$D,"PO",'caseload data'!E:E)</f>
        <v>0</v>
      </c>
      <c r="E99" s="171">
        <f>SUMIF('caseload data'!$D:$D,"PO",'caseload data'!F:F)</f>
        <v>0</v>
      </c>
      <c r="F99" s="171">
        <f>SUMIF('caseload data'!$D:$D,"PO",'caseload data'!G:G)</f>
        <v>0</v>
      </c>
      <c r="G99" s="171">
        <f>SUMIF('caseload data'!$D:$D,"PO",'caseload data'!H:H)</f>
        <v>0</v>
      </c>
      <c r="H99" s="171">
        <f>SUMIF('caseload data'!$D:$D,"PO",'caseload data'!I:I)</f>
        <v>0</v>
      </c>
      <c r="I99" s="171">
        <f>SUMIF('caseload data'!$D:$D,"PO",'caseload data'!J:J)</f>
        <v>0</v>
      </c>
      <c r="J99" s="171">
        <f>SUMIF('caseload data'!$D:$D,"PO",'caseload data'!K:K)</f>
        <v>0</v>
      </c>
      <c r="K99" s="171">
        <f>SUMIF('caseload data'!$D:$D,"PO",'caseload data'!L:L)</f>
        <v>0</v>
      </c>
      <c r="L99" s="171">
        <f>SUMIF('caseload data'!$D:$D,"PO",'caseload data'!M:M)</f>
        <v>0</v>
      </c>
      <c r="M99" s="171">
        <f>SUMIF('caseload data'!$D:$D,"PO",'caseload data'!N:N)</f>
        <v>0</v>
      </c>
      <c r="N99" s="171">
        <f>SUMIF('caseload data'!$D:$D,"PO",'caseload data'!O:O)</f>
        <v>0</v>
      </c>
      <c r="O99" s="171">
        <f>SUMIF('caseload data'!$D:$D,"PO",'caseload data'!P:P)</f>
        <v>0</v>
      </c>
      <c r="P99" s="171">
        <f>SUMIF('caseload data'!$D:$D,"PO",'caseload data'!Q:Q)</f>
        <v>0</v>
      </c>
      <c r="Q99" s="171">
        <f>SUMIF('caseload data'!$D:$D,"PO",'caseload data'!R:R)</f>
        <v>0</v>
      </c>
      <c r="R99" s="171">
        <f>SUMIF('caseload data'!$D:$D,"PO",'caseload data'!S:S)</f>
        <v>0</v>
      </c>
      <c r="S99" s="171">
        <f>SUMIF('caseload data'!$D:$D,"PO",'caseload data'!T:T)</f>
        <v>0</v>
      </c>
      <c r="T99" s="172">
        <f>SUMIF('caseload data'!D:D,"PO",'caseload data'!V:V)</f>
        <v>0</v>
      </c>
      <c r="U99" s="95"/>
      <c r="V99" s="95"/>
      <c r="W99" s="339" t="s">
        <v>357</v>
      </c>
      <c r="X99" s="170" t="s">
        <v>184</v>
      </c>
      <c r="Y99" s="174" t="e">
        <f>SUM(D99)/SUM(D$99:D$102)</f>
        <v>#DIV/0!</v>
      </c>
      <c r="Z99" s="174" t="e">
        <f t="shared" ref="Z99:AN102" si="32">SUM(E99)/SUM(E$99:E$102)</f>
        <v>#DIV/0!</v>
      </c>
      <c r="AA99" s="174" t="e">
        <f t="shared" si="32"/>
        <v>#DIV/0!</v>
      </c>
      <c r="AB99" s="174" t="e">
        <f t="shared" si="32"/>
        <v>#DIV/0!</v>
      </c>
      <c r="AC99" s="174" t="e">
        <f t="shared" si="32"/>
        <v>#DIV/0!</v>
      </c>
      <c r="AD99" s="174" t="e">
        <f t="shared" si="32"/>
        <v>#DIV/0!</v>
      </c>
      <c r="AE99" s="174" t="e">
        <f t="shared" si="32"/>
        <v>#DIV/0!</v>
      </c>
      <c r="AF99" s="174" t="e">
        <f t="shared" si="32"/>
        <v>#DIV/0!</v>
      </c>
      <c r="AG99" s="174" t="e">
        <f t="shared" si="32"/>
        <v>#DIV/0!</v>
      </c>
      <c r="AH99" s="174" t="e">
        <f t="shared" si="32"/>
        <v>#DIV/0!</v>
      </c>
      <c r="AI99" s="174" t="e">
        <f t="shared" si="32"/>
        <v>#DIV/0!</v>
      </c>
      <c r="AJ99" s="174" t="e">
        <f t="shared" si="32"/>
        <v>#DIV/0!</v>
      </c>
      <c r="AK99" s="174" t="e">
        <f t="shared" si="32"/>
        <v>#DIV/0!</v>
      </c>
      <c r="AL99" s="174" t="e">
        <f t="shared" si="32"/>
        <v>#DIV/0!</v>
      </c>
      <c r="AM99" s="174" t="e">
        <f t="shared" si="32"/>
        <v>#DIV/0!</v>
      </c>
      <c r="AN99" s="174" t="e">
        <f t="shared" si="32"/>
        <v>#DIV/0!</v>
      </c>
    </row>
    <row r="100" spans="2:43" s="30" customFormat="1" x14ac:dyDescent="0.15">
      <c r="B100" s="344"/>
      <c r="C100" s="173" t="s">
        <v>185</v>
      </c>
      <c r="D100" s="171">
        <f>SUMIF('caseload data'!$D:$D,"PSO",'caseload data'!E:E)</f>
        <v>0</v>
      </c>
      <c r="E100" s="171">
        <f>SUMIF('caseload data'!$D:$D,"PSO",'caseload data'!F:F)</f>
        <v>0</v>
      </c>
      <c r="F100" s="171">
        <f>SUMIF('caseload data'!$D:$D,"PSO",'caseload data'!G:G)</f>
        <v>0</v>
      </c>
      <c r="G100" s="171">
        <f>SUMIF('caseload data'!$D:$D,"PSO",'caseload data'!H:H)</f>
        <v>0</v>
      </c>
      <c r="H100" s="171">
        <f>SUMIF('caseload data'!$D:$D,"PSO",'caseload data'!I:I)</f>
        <v>0</v>
      </c>
      <c r="I100" s="171">
        <f>SUMIF('caseload data'!$D:$D,"PSO",'caseload data'!J:J)</f>
        <v>0</v>
      </c>
      <c r="J100" s="171">
        <f>SUMIF('caseload data'!$D:$D,"PSO",'caseload data'!K:K)</f>
        <v>0</v>
      </c>
      <c r="K100" s="171">
        <f>SUMIF('caseload data'!$D:$D,"PSO",'caseload data'!L:L)</f>
        <v>0</v>
      </c>
      <c r="L100" s="171">
        <f>SUMIF('caseload data'!$D:$D,"PSO",'caseload data'!M:M)</f>
        <v>0</v>
      </c>
      <c r="M100" s="171">
        <f>SUMIF('caseload data'!$D:$D,"PSO",'caseload data'!N:N)</f>
        <v>0</v>
      </c>
      <c r="N100" s="171">
        <f>SUMIF('caseload data'!$D:$D,"PSO",'caseload data'!O:O)</f>
        <v>0</v>
      </c>
      <c r="O100" s="171">
        <f>SUMIF('caseload data'!$D:$D,"PSO",'caseload data'!P:P)</f>
        <v>0</v>
      </c>
      <c r="P100" s="171">
        <f>SUMIF('caseload data'!$D:$D,"PSO",'caseload data'!Q:Q)</f>
        <v>0</v>
      </c>
      <c r="Q100" s="171">
        <f>SUMIF('caseload data'!$D:$D,"PSO",'caseload data'!R:R)</f>
        <v>0</v>
      </c>
      <c r="R100" s="171">
        <f>SUMIF('caseload data'!$D:$D,"PSO",'caseload data'!S:S)</f>
        <v>0</v>
      </c>
      <c r="S100" s="171">
        <f>SUMIF('caseload data'!$D:$D,"PSO",'caseload data'!T:T)</f>
        <v>0</v>
      </c>
      <c r="T100" s="172">
        <f>SUMIF('caseload data'!D:D,"PSO",'caseload data'!V:V)</f>
        <v>0</v>
      </c>
      <c r="U100" s="95"/>
      <c r="V100" s="95"/>
      <c r="W100" s="337"/>
      <c r="X100" s="173" t="s">
        <v>185</v>
      </c>
      <c r="Y100" s="174" t="e">
        <f>SUM(D100)/SUM(D$99:D$102)</f>
        <v>#DIV/0!</v>
      </c>
      <c r="Z100" s="174" t="e">
        <f t="shared" si="32"/>
        <v>#DIV/0!</v>
      </c>
      <c r="AA100" s="174" t="e">
        <f t="shared" si="32"/>
        <v>#DIV/0!</v>
      </c>
      <c r="AB100" s="174" t="e">
        <f t="shared" si="32"/>
        <v>#DIV/0!</v>
      </c>
      <c r="AC100" s="174" t="e">
        <f t="shared" si="32"/>
        <v>#DIV/0!</v>
      </c>
      <c r="AD100" s="174" t="e">
        <f t="shared" si="32"/>
        <v>#DIV/0!</v>
      </c>
      <c r="AE100" s="174" t="e">
        <f t="shared" si="32"/>
        <v>#DIV/0!</v>
      </c>
      <c r="AF100" s="174" t="e">
        <f t="shared" si="32"/>
        <v>#DIV/0!</v>
      </c>
      <c r="AG100" s="174" t="e">
        <f t="shared" si="32"/>
        <v>#DIV/0!</v>
      </c>
      <c r="AH100" s="174" t="e">
        <f t="shared" si="32"/>
        <v>#DIV/0!</v>
      </c>
      <c r="AI100" s="174" t="e">
        <f t="shared" si="32"/>
        <v>#DIV/0!</v>
      </c>
      <c r="AJ100" s="174" t="e">
        <f t="shared" si="32"/>
        <v>#DIV/0!</v>
      </c>
      <c r="AK100" s="174" t="e">
        <f t="shared" si="32"/>
        <v>#DIV/0!</v>
      </c>
      <c r="AL100" s="174" t="e">
        <f t="shared" si="32"/>
        <v>#DIV/0!</v>
      </c>
      <c r="AM100" s="174" t="e">
        <f t="shared" si="32"/>
        <v>#DIV/0!</v>
      </c>
      <c r="AN100" s="174" t="e">
        <f t="shared" si="32"/>
        <v>#DIV/0!</v>
      </c>
    </row>
    <row r="101" spans="2:43" x14ac:dyDescent="0.15">
      <c r="B101" s="344"/>
      <c r="C101" s="173" t="s">
        <v>186</v>
      </c>
      <c r="D101" s="171">
        <f>SUMIF('caseload data'!$D:$D,"TPO",'caseload data'!E:E)</f>
        <v>0</v>
      </c>
      <c r="E101" s="171">
        <f>SUMIF('caseload data'!$D:$D,"TPO",'caseload data'!F:F)</f>
        <v>0</v>
      </c>
      <c r="F101" s="171">
        <f>SUMIF('caseload data'!$D:$D,"TPO",'caseload data'!G:G)</f>
        <v>0</v>
      </c>
      <c r="G101" s="171">
        <f>SUMIF('caseload data'!$D:$D,"TPO",'caseload data'!H:H)</f>
        <v>0</v>
      </c>
      <c r="H101" s="171">
        <f>SUMIF('caseload data'!$D:$D,"TPO",'caseload data'!I:I)</f>
        <v>0</v>
      </c>
      <c r="I101" s="171">
        <f>SUMIF('caseload data'!$D:$D,"TPO",'caseload data'!J:J)</f>
        <v>0</v>
      </c>
      <c r="J101" s="171">
        <f>SUMIF('caseload data'!$D:$D,"TPO",'caseload data'!K:K)</f>
        <v>0</v>
      </c>
      <c r="K101" s="171">
        <f>SUMIF('caseload data'!$D:$D,"TPO",'caseload data'!L:L)</f>
        <v>0</v>
      </c>
      <c r="L101" s="171">
        <f>SUMIF('caseload data'!$D:$D,"TPO",'caseload data'!M:M)</f>
        <v>0</v>
      </c>
      <c r="M101" s="171">
        <f>SUMIF('caseload data'!$D:$D,"TPO",'caseload data'!N:N)</f>
        <v>0</v>
      </c>
      <c r="N101" s="171">
        <f>SUMIF('caseload data'!$D:$D,"TPO",'caseload data'!O:O)</f>
        <v>0</v>
      </c>
      <c r="O101" s="171">
        <f>SUMIF('caseload data'!$D:$D,"TPO",'caseload data'!P:P)</f>
        <v>0</v>
      </c>
      <c r="P101" s="171">
        <f>SUMIF('caseload data'!$D:$D,"TPO",'caseload data'!Q:Q)</f>
        <v>0</v>
      </c>
      <c r="Q101" s="171">
        <f>SUMIF('caseload data'!$D:$D,"TPO",'caseload data'!R:R)</f>
        <v>0</v>
      </c>
      <c r="R101" s="171">
        <f>SUMIF('caseload data'!$D:$D,"TPO",'caseload data'!S:S)</f>
        <v>0</v>
      </c>
      <c r="S101" s="171">
        <f>SUMIF('caseload data'!$D:$D,"TPO",'caseload data'!T:T)</f>
        <v>0</v>
      </c>
      <c r="T101" s="172">
        <f>SUMIF('caseload data'!D:D,"TPO",'caseload data'!V:V)</f>
        <v>0</v>
      </c>
      <c r="U101" s="95"/>
      <c r="V101" s="95"/>
      <c r="W101" s="337"/>
      <c r="X101" s="173" t="s">
        <v>186</v>
      </c>
      <c r="Y101" s="174" t="e">
        <f>SUM(D101)/SUM(D$99:D$102)</f>
        <v>#DIV/0!</v>
      </c>
      <c r="Z101" s="174" t="e">
        <f t="shared" si="32"/>
        <v>#DIV/0!</v>
      </c>
      <c r="AA101" s="174" t="e">
        <f t="shared" si="32"/>
        <v>#DIV/0!</v>
      </c>
      <c r="AB101" s="174" t="e">
        <f t="shared" si="32"/>
        <v>#DIV/0!</v>
      </c>
      <c r="AC101" s="174" t="e">
        <f t="shared" si="32"/>
        <v>#DIV/0!</v>
      </c>
      <c r="AD101" s="174" t="e">
        <f t="shared" si="32"/>
        <v>#DIV/0!</v>
      </c>
      <c r="AE101" s="174" t="e">
        <f t="shared" si="32"/>
        <v>#DIV/0!</v>
      </c>
      <c r="AF101" s="174" t="e">
        <f t="shared" si="32"/>
        <v>#DIV/0!</v>
      </c>
      <c r="AG101" s="174" t="e">
        <f t="shared" si="32"/>
        <v>#DIV/0!</v>
      </c>
      <c r="AH101" s="174" t="e">
        <f t="shared" si="32"/>
        <v>#DIV/0!</v>
      </c>
      <c r="AI101" s="174" t="e">
        <f t="shared" si="32"/>
        <v>#DIV/0!</v>
      </c>
      <c r="AJ101" s="174" t="e">
        <f t="shared" si="32"/>
        <v>#DIV/0!</v>
      </c>
      <c r="AK101" s="174" t="e">
        <f t="shared" si="32"/>
        <v>#DIV/0!</v>
      </c>
      <c r="AL101" s="174" t="e">
        <f t="shared" si="32"/>
        <v>#DIV/0!</v>
      </c>
      <c r="AM101" s="174" t="e">
        <f t="shared" si="32"/>
        <v>#DIV/0!</v>
      </c>
      <c r="AN101" s="174" t="e">
        <f t="shared" si="32"/>
        <v>#DIV/0!</v>
      </c>
    </row>
    <row r="102" spans="2:43" s="30" customFormat="1" ht="15" thickBot="1" x14ac:dyDescent="0.2">
      <c r="B102" s="344"/>
      <c r="C102" s="173" t="s">
        <v>187</v>
      </c>
      <c r="D102" s="171">
        <f>SUMIF('caseload data'!$D:$D,"SPO",'caseload data'!E:E)</f>
        <v>0</v>
      </c>
      <c r="E102" s="171">
        <f>SUMIF('caseload data'!$D:$D,"SPO",'caseload data'!F:F)</f>
        <v>0</v>
      </c>
      <c r="F102" s="171">
        <f>SUMIF('caseload data'!$D:$D,"SPO",'caseload data'!G:G)</f>
        <v>0</v>
      </c>
      <c r="G102" s="171">
        <f>SUMIF('caseload data'!$D:$D,"SPO",'caseload data'!H:H)</f>
        <v>0</v>
      </c>
      <c r="H102" s="171">
        <f>SUMIF('caseload data'!$D:$D,"SPO",'caseload data'!I:I)</f>
        <v>0</v>
      </c>
      <c r="I102" s="171">
        <f>SUMIF('caseload data'!$D:$D,"SPO",'caseload data'!J:J)</f>
        <v>0</v>
      </c>
      <c r="J102" s="171">
        <f>SUMIF('caseload data'!$D:$D,"SPO",'caseload data'!K:K)</f>
        <v>0</v>
      </c>
      <c r="K102" s="171">
        <f>SUMIF('caseload data'!$D:$D,"SPO",'caseload data'!L:L)</f>
        <v>0</v>
      </c>
      <c r="L102" s="171">
        <f>SUMIF('caseload data'!$D:$D,"SPO",'caseload data'!M:M)</f>
        <v>0</v>
      </c>
      <c r="M102" s="171">
        <f>SUMIF('caseload data'!$D:$D,"SPO",'caseload data'!N:N)</f>
        <v>0</v>
      </c>
      <c r="N102" s="171">
        <f>SUMIF('caseload data'!$D:$D,"SPO",'caseload data'!O:O)</f>
        <v>0</v>
      </c>
      <c r="O102" s="171">
        <f>SUMIF('caseload data'!$D:$D,"SPO",'caseload data'!P:P)</f>
        <v>0</v>
      </c>
      <c r="P102" s="171">
        <f>SUMIF('caseload data'!$D:$D,"SPO",'caseload data'!Q:Q)</f>
        <v>0</v>
      </c>
      <c r="Q102" s="171">
        <f>SUMIF('caseload data'!$D:$D,"SPO",'caseload data'!R:R)</f>
        <v>0</v>
      </c>
      <c r="R102" s="171">
        <f>SUMIF('caseload data'!$D:$D,"SPO",'caseload data'!S:S)</f>
        <v>0</v>
      </c>
      <c r="S102" s="171">
        <f>SUMIF('caseload data'!$D:$D,"SPO",'caseload data'!T:T)</f>
        <v>0</v>
      </c>
      <c r="T102" s="172">
        <f>SUMIF('caseload data'!D:D,"SPO",'caseload data'!V:V)</f>
        <v>0</v>
      </c>
      <c r="U102" s="95"/>
      <c r="V102" s="95"/>
      <c r="W102" s="338"/>
      <c r="X102" s="175" t="s">
        <v>187</v>
      </c>
      <c r="Y102" s="174" t="e">
        <f>SUM(D102)/SUM(D$99:D$102)</f>
        <v>#DIV/0!</v>
      </c>
      <c r="Z102" s="174" t="e">
        <f t="shared" si="32"/>
        <v>#DIV/0!</v>
      </c>
      <c r="AA102" s="174" t="e">
        <f t="shared" si="32"/>
        <v>#DIV/0!</v>
      </c>
      <c r="AB102" s="174" t="e">
        <f t="shared" si="32"/>
        <v>#DIV/0!</v>
      </c>
      <c r="AC102" s="174" t="e">
        <f t="shared" si="32"/>
        <v>#DIV/0!</v>
      </c>
      <c r="AD102" s="174" t="e">
        <f t="shared" si="32"/>
        <v>#DIV/0!</v>
      </c>
      <c r="AE102" s="174" t="e">
        <f t="shared" si="32"/>
        <v>#DIV/0!</v>
      </c>
      <c r="AF102" s="174" t="e">
        <f t="shared" si="32"/>
        <v>#DIV/0!</v>
      </c>
      <c r="AG102" s="174" t="e">
        <f t="shared" si="32"/>
        <v>#DIV/0!</v>
      </c>
      <c r="AH102" s="174" t="e">
        <f t="shared" si="32"/>
        <v>#DIV/0!</v>
      </c>
      <c r="AI102" s="174" t="e">
        <f t="shared" si="32"/>
        <v>#DIV/0!</v>
      </c>
      <c r="AJ102" s="174" t="e">
        <f t="shared" si="32"/>
        <v>#DIV/0!</v>
      </c>
      <c r="AK102" s="174" t="e">
        <f t="shared" si="32"/>
        <v>#DIV/0!</v>
      </c>
      <c r="AL102" s="174" t="e">
        <f t="shared" si="32"/>
        <v>#DIV/0!</v>
      </c>
      <c r="AM102" s="174" t="e">
        <f t="shared" si="32"/>
        <v>#DIV/0!</v>
      </c>
      <c r="AN102" s="174" t="e">
        <f t="shared" si="32"/>
        <v>#DIV/0!</v>
      </c>
    </row>
    <row r="103" spans="2:43" ht="35.25" customHeight="1" thickBot="1" x14ac:dyDescent="0.2">
      <c r="B103" s="345"/>
      <c r="C103" s="167" t="s">
        <v>358</v>
      </c>
      <c r="D103" s="168">
        <f>SUM('caseload data'!E:E)</f>
        <v>0</v>
      </c>
      <c r="E103" s="168">
        <f>SUM('caseload data'!F:F)</f>
        <v>0</v>
      </c>
      <c r="F103" s="168">
        <f>SUM('caseload data'!G:G)</f>
        <v>0</v>
      </c>
      <c r="G103" s="168">
        <f>SUM('caseload data'!H:H)</f>
        <v>0</v>
      </c>
      <c r="H103" s="168">
        <f>SUM('caseload data'!I:I)</f>
        <v>0</v>
      </c>
      <c r="I103" s="168">
        <f>SUM('caseload data'!J:J)</f>
        <v>0</v>
      </c>
      <c r="J103" s="168">
        <f>SUM('caseload data'!K:K)</f>
        <v>0</v>
      </c>
      <c r="K103" s="168">
        <f>SUM('caseload data'!L:L)</f>
        <v>0</v>
      </c>
      <c r="L103" s="168">
        <f>SUM('caseload data'!M:M)</f>
        <v>0</v>
      </c>
      <c r="M103" s="168">
        <f>SUM('caseload data'!N:N)</f>
        <v>0</v>
      </c>
      <c r="N103" s="168">
        <f>SUM('caseload data'!O:O)</f>
        <v>0</v>
      </c>
      <c r="O103" s="168">
        <f>SUM('caseload data'!P:P)</f>
        <v>0</v>
      </c>
      <c r="P103" s="168">
        <f>SUM('caseload data'!Q:Q)</f>
        <v>0</v>
      </c>
      <c r="Q103" s="168">
        <f>SUM('caseload data'!R:R)</f>
        <v>0</v>
      </c>
      <c r="R103" s="168">
        <f>SUM('caseload data'!S:S)</f>
        <v>0</v>
      </c>
      <c r="S103" s="168">
        <f>SUM('caseload data'!T:T)</f>
        <v>0</v>
      </c>
      <c r="T103" s="169">
        <f>SUM('caseload data'!V:V)</f>
        <v>0</v>
      </c>
      <c r="U103" s="95"/>
      <c r="V103" s="95"/>
      <c r="W103" s="164"/>
      <c r="X103" s="165"/>
      <c r="Y103" s="166"/>
      <c r="Z103" s="166"/>
      <c r="AA103" s="166"/>
      <c r="AB103" s="166"/>
      <c r="AC103" s="166"/>
      <c r="AD103" s="166"/>
      <c r="AE103" s="166"/>
    </row>
    <row r="105" spans="2:43" ht="15" thickBot="1" x14ac:dyDescent="0.2">
      <c r="B105" s="30"/>
      <c r="C105" s="30"/>
      <c r="D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</row>
    <row r="106" spans="2:43" ht="17" thickBot="1" x14ac:dyDescent="0.25">
      <c r="B106" s="2"/>
      <c r="C106" s="31"/>
      <c r="D106" s="340" t="s">
        <v>359</v>
      </c>
      <c r="E106" s="341"/>
      <c r="F106" s="341"/>
      <c r="G106" s="341"/>
      <c r="H106" s="341"/>
      <c r="I106" s="341"/>
      <c r="J106" s="341"/>
      <c r="K106" s="341"/>
      <c r="L106" s="341"/>
      <c r="M106" s="341"/>
      <c r="N106" s="341"/>
      <c r="O106" s="341"/>
      <c r="P106" s="341"/>
      <c r="Q106" s="341"/>
      <c r="R106" s="341"/>
      <c r="S106" s="341"/>
      <c r="T106" s="342"/>
      <c r="U106" s="30"/>
      <c r="V106" s="30"/>
      <c r="W106" s="2"/>
      <c r="X106" s="31"/>
      <c r="Y106" s="352" t="s">
        <v>360</v>
      </c>
      <c r="Z106" s="353"/>
      <c r="AA106" s="353"/>
      <c r="AB106" s="353"/>
      <c r="AC106" s="353"/>
      <c r="AD106" s="353"/>
      <c r="AE106" s="353"/>
      <c r="AF106" s="353"/>
      <c r="AG106" s="353"/>
      <c r="AH106" s="353"/>
      <c r="AI106" s="353"/>
      <c r="AJ106" s="353"/>
      <c r="AK106" s="353"/>
      <c r="AL106" s="353"/>
      <c r="AM106" s="353"/>
      <c r="AN106" s="353"/>
    </row>
    <row r="107" spans="2:43" x14ac:dyDescent="0.15">
      <c r="B107" s="157" t="s">
        <v>447</v>
      </c>
      <c r="C107" s="159" t="s">
        <v>354</v>
      </c>
      <c r="D107" s="58" t="s">
        <v>504</v>
      </c>
      <c r="E107" s="58" t="s">
        <v>503</v>
      </c>
      <c r="F107" s="58" t="s">
        <v>502</v>
      </c>
      <c r="G107" s="58" t="s">
        <v>501</v>
      </c>
      <c r="H107" s="58" t="s">
        <v>510</v>
      </c>
      <c r="I107" s="58" t="s">
        <v>176</v>
      </c>
      <c r="J107" s="58" t="s">
        <v>177</v>
      </c>
      <c r="K107" s="58" t="s">
        <v>505</v>
      </c>
      <c r="L107" s="58" t="s">
        <v>507</v>
      </c>
      <c r="M107" s="58" t="s">
        <v>178</v>
      </c>
      <c r="N107" s="58" t="s">
        <v>179</v>
      </c>
      <c r="O107" s="58" t="s">
        <v>506</v>
      </c>
      <c r="P107" s="58" t="s">
        <v>508</v>
      </c>
      <c r="Q107" s="58" t="s">
        <v>180</v>
      </c>
      <c r="R107" s="58" t="s">
        <v>181</v>
      </c>
      <c r="S107" s="58" t="s">
        <v>509</v>
      </c>
      <c r="T107" s="160" t="s">
        <v>183</v>
      </c>
      <c r="U107" s="95"/>
      <c r="V107" s="95"/>
      <c r="W107" s="157" t="s">
        <v>447</v>
      </c>
      <c r="X107" s="159" t="s">
        <v>354</v>
      </c>
      <c r="Y107" s="58" t="s">
        <v>504</v>
      </c>
      <c r="Z107" s="58" t="s">
        <v>503</v>
      </c>
      <c r="AA107" s="58" t="s">
        <v>502</v>
      </c>
      <c r="AB107" s="58" t="s">
        <v>501</v>
      </c>
      <c r="AC107" s="58" t="s">
        <v>510</v>
      </c>
      <c r="AD107" s="58" t="s">
        <v>176</v>
      </c>
      <c r="AE107" s="58" t="s">
        <v>177</v>
      </c>
      <c r="AF107" s="58" t="s">
        <v>505</v>
      </c>
      <c r="AG107" s="58" t="s">
        <v>507</v>
      </c>
      <c r="AH107" s="58" t="s">
        <v>178</v>
      </c>
      <c r="AI107" s="58" t="s">
        <v>179</v>
      </c>
      <c r="AJ107" s="58" t="s">
        <v>506</v>
      </c>
      <c r="AK107" s="58" t="s">
        <v>508</v>
      </c>
      <c r="AL107" s="58" t="s">
        <v>180</v>
      </c>
      <c r="AM107" s="58" t="s">
        <v>181</v>
      </c>
      <c r="AN107" s="58" t="s">
        <v>509</v>
      </c>
    </row>
    <row r="108" spans="2:43" x14ac:dyDescent="0.15">
      <c r="B108" s="333" t="s">
        <v>4</v>
      </c>
      <c r="C108" s="161" t="s">
        <v>184</v>
      </c>
      <c r="D108" s="204" cm="1">
        <f t="array" ref="D108">SUM(SUMIFS('caseload data'!E:E,'caseload data'!$D:$D,"PO",'caseload data'!$A:$A,_xlfn.SINGLE('national caseload'!$B$108:$B$110),'caseload data'!$B:$B,{"licence","community"}))</f>
        <v>0</v>
      </c>
      <c r="E108" s="204" cm="1">
        <f t="array" ref="E108">SUM(SUMIFS('caseload data'!F:F,'caseload data'!$D:$D,"PO",'caseload data'!$A:$A,_xlfn.SINGLE('national caseload'!$B$108:$B$110),'caseload data'!$B:$B,{"licence","community"}))</f>
        <v>0</v>
      </c>
      <c r="F108" s="204" cm="1">
        <f t="array" ref="F108">SUM(SUMIFS('caseload data'!G:G,'caseload data'!$D:$D,"PO",'caseload data'!$A:$A,_xlfn.SINGLE('national caseload'!$B$108:$B$110),'caseload data'!$B:$B,{"licence","community"}))</f>
        <v>0</v>
      </c>
      <c r="G108" s="204" cm="1">
        <f t="array" ref="G108">SUM(SUMIFS('caseload data'!H:H,'caseload data'!$D:$D,"PO",'caseload data'!$A:$A,_xlfn.SINGLE('national caseload'!$B$108:$B$110),'caseload data'!$B:$B,{"licence","community"}))</f>
        <v>0</v>
      </c>
      <c r="H108" s="204" cm="1">
        <f t="array" ref="H108">SUM(SUMIFS('caseload data'!I:I,'caseload data'!$D:$D,"PO",'caseload data'!$A:$A,_xlfn.SINGLE('national caseload'!$B$108:$B$110),'caseload data'!$B:$B,{"licence","community"}))</f>
        <v>0</v>
      </c>
      <c r="I108" s="204" cm="1">
        <f t="array" ref="I108">SUM(SUMIFS('caseload data'!J:J,'caseload data'!$D:$D,"PO",'caseload data'!$A:$A,_xlfn.SINGLE('national caseload'!$B$108:$B$110),'caseload data'!$B:$B,{"licence","community"}))</f>
        <v>0</v>
      </c>
      <c r="J108" s="204" cm="1">
        <f t="array" ref="J108">SUM(SUMIFS('caseload data'!K:K,'caseload data'!$D:$D,"PO",'caseload data'!$A:$A,_xlfn.SINGLE('national caseload'!$B$108:$B$110),'caseload data'!$B:$B,{"licence","community"}))</f>
        <v>0</v>
      </c>
      <c r="K108" s="204" cm="1">
        <f t="array" ref="K108">SUM(SUMIFS('caseload data'!L:L,'caseload data'!$D:$D,"PO",'caseload data'!$A:$A,_xlfn.SINGLE('national caseload'!$B$108:$B$110),'caseload data'!$B:$B,{"licence","community"}))</f>
        <v>0</v>
      </c>
      <c r="L108" s="204" cm="1">
        <f t="array" ref="L108">SUM(SUMIFS('caseload data'!M:M,'caseload data'!$D:$D,"PO",'caseload data'!$A:$A,_xlfn.SINGLE('national caseload'!$B$108:$B$110),'caseload data'!$B:$B,{"licence","community"}))</f>
        <v>0</v>
      </c>
      <c r="M108" s="204" cm="1">
        <f t="array" ref="M108">SUM(SUMIFS('caseload data'!N:N,'caseload data'!$D:$D,"PO",'caseload data'!$A:$A,_xlfn.SINGLE('national caseload'!$B$108:$B$110),'caseload data'!$B:$B,{"licence","community"}))</f>
        <v>0</v>
      </c>
      <c r="N108" s="204" cm="1">
        <f t="array" ref="N108">SUM(SUMIFS('caseload data'!O:O,'caseload data'!$D:$D,"PO",'caseload data'!$A:$A,_xlfn.SINGLE('national caseload'!$B$108:$B$110),'caseload data'!$B:$B,{"licence","community"}))</f>
        <v>0</v>
      </c>
      <c r="O108" s="204" cm="1">
        <f t="array" ref="O108">SUM(SUMIFS('caseload data'!P:P,'caseload data'!$D:$D,"PO",'caseload data'!$A:$A,_xlfn.SINGLE('national caseload'!$B$108:$B$110),'caseload data'!$B:$B,{"licence","community"}))</f>
        <v>0</v>
      </c>
      <c r="P108" s="204" cm="1">
        <f t="array" ref="P108">SUM(SUMIFS('caseload data'!Q:Q,'caseload data'!$D:$D,"PO",'caseload data'!$A:$A,_xlfn.SINGLE('national caseload'!$B$108:$B$110),'caseload data'!$B:$B,{"licence","community"}))</f>
        <v>0</v>
      </c>
      <c r="Q108" s="204" cm="1">
        <f t="array" ref="Q108">SUM(SUMIFS('caseload data'!R:R,'caseload data'!$D:$D,"PO",'caseload data'!$A:$A,_xlfn.SINGLE('national caseload'!$B$108:$B$110),'caseload data'!$B:$B,{"licence","community"}))</f>
        <v>0</v>
      </c>
      <c r="R108" s="204" cm="1">
        <f t="array" ref="R108">SUM(SUMIFS('caseload data'!S:S,'caseload data'!$D:$D,"PO",'caseload data'!$A:$A,_xlfn.SINGLE('national caseload'!$B$108:$B$110),'caseload data'!$B:$B,{"licence","community"}))</f>
        <v>0</v>
      </c>
      <c r="S108" s="204" cm="1">
        <f t="array" ref="S108">SUM(SUMIFS('caseload data'!T:T,'caseload data'!$D:$D,"PO",'caseload data'!$A:$A,_xlfn.SINGLE('national caseload'!$B$108:$B$110),'caseload data'!$B:$B,{"licence","community"}))</f>
        <v>0</v>
      </c>
      <c r="T108" s="126">
        <f>SUM(SUMIFS('caseload data'!V:V,'caseload data'!D:D,"PO",'caseload data'!A:A,'national caseload'!B108:B110,'caseload data'!B:B,{"licence","community"}))</f>
        <v>0</v>
      </c>
      <c r="U108" s="95"/>
      <c r="V108" s="95"/>
      <c r="W108" s="333" t="s">
        <v>4</v>
      </c>
      <c r="X108" s="161" t="s">
        <v>184</v>
      </c>
      <c r="Y108" s="209" t="e">
        <f t="shared" ref="Y108:Y127" si="33">SUM(D108)/SUM(D$108:D$111)</f>
        <v>#DIV/0!</v>
      </c>
      <c r="Z108" s="209" t="e">
        <f t="shared" ref="Z108:AN122" si="34">SUM(E108)/SUM(E$108:E$111)</f>
        <v>#DIV/0!</v>
      </c>
      <c r="AA108" s="209" t="e">
        <f t="shared" si="34"/>
        <v>#DIV/0!</v>
      </c>
      <c r="AB108" s="209" t="e">
        <f t="shared" si="34"/>
        <v>#DIV/0!</v>
      </c>
      <c r="AC108" s="209" t="e">
        <f t="shared" si="34"/>
        <v>#DIV/0!</v>
      </c>
      <c r="AD108" s="209" t="e">
        <f t="shared" si="34"/>
        <v>#DIV/0!</v>
      </c>
      <c r="AE108" s="209" t="e">
        <f t="shared" si="34"/>
        <v>#DIV/0!</v>
      </c>
      <c r="AF108" s="209" t="e">
        <f t="shared" si="34"/>
        <v>#DIV/0!</v>
      </c>
      <c r="AG108" s="209" t="e">
        <f t="shared" si="34"/>
        <v>#DIV/0!</v>
      </c>
      <c r="AH108" s="209" t="e">
        <f t="shared" si="34"/>
        <v>#DIV/0!</v>
      </c>
      <c r="AI108" s="209" t="e">
        <f t="shared" si="34"/>
        <v>#DIV/0!</v>
      </c>
      <c r="AJ108" s="209" t="e">
        <f t="shared" si="34"/>
        <v>#DIV/0!</v>
      </c>
      <c r="AK108" s="209" t="e">
        <f t="shared" si="34"/>
        <v>#DIV/0!</v>
      </c>
      <c r="AL108" s="209" t="e">
        <f t="shared" si="34"/>
        <v>#DIV/0!</v>
      </c>
      <c r="AM108" s="209" t="e">
        <f t="shared" si="34"/>
        <v>#DIV/0!</v>
      </c>
      <c r="AN108" s="209" t="e">
        <f t="shared" si="34"/>
        <v>#DIV/0!</v>
      </c>
    </row>
    <row r="109" spans="2:43" x14ac:dyDescent="0.15">
      <c r="B109" s="334"/>
      <c r="C109" s="162" t="s">
        <v>185</v>
      </c>
      <c r="D109" s="204" cm="1">
        <f t="array" ref="D109">SUM(SUMIFS('caseload data'!E:E,'caseload data'!$D:$D,"PSO",'caseload data'!$A:$A,"NPS East Midlands Region",'caseload data'!$B:$B,{"licence","community"}))</f>
        <v>0</v>
      </c>
      <c r="E109" s="204" cm="1">
        <f t="array" ref="E109">SUM(SUMIFS('caseload data'!F:F,'caseload data'!$D:$D,"PSO",'caseload data'!$A:$A,"NPS East Midlands Region",'caseload data'!$B:$B,{"licence","community"}))</f>
        <v>0</v>
      </c>
      <c r="F109" s="204" cm="1">
        <f t="array" ref="F109">SUM(SUMIFS('caseload data'!G:G,'caseload data'!$D:$D,"PSO",'caseload data'!$A:$A,"NPS East Midlands Region",'caseload data'!$B:$B,{"licence","community"}))</f>
        <v>0</v>
      </c>
      <c r="G109" s="204" cm="1">
        <f t="array" ref="G109">SUM(SUMIFS('caseload data'!H:H,'caseload data'!$D:$D,"PSO",'caseload data'!$A:$A,"NPS East Midlands Region",'caseload data'!$B:$B,{"licence","community"}))</f>
        <v>0</v>
      </c>
      <c r="H109" s="204" cm="1">
        <f t="array" ref="H109">SUM(SUMIFS('caseload data'!I:I,'caseload data'!$D:$D,"PSO",'caseload data'!$A:$A,"NPS East Midlands Region",'caseload data'!$B:$B,{"licence","community"}))</f>
        <v>0</v>
      </c>
      <c r="I109" s="204" cm="1">
        <f t="array" ref="I109">SUM(SUMIFS('caseload data'!J:J,'caseload data'!$D:$D,"PSO",'caseload data'!$A:$A,"NPS East Midlands Region",'caseload data'!$B:$B,{"licence","community"}))</f>
        <v>0</v>
      </c>
      <c r="J109" s="204" cm="1">
        <f t="array" ref="J109">SUM(SUMIFS('caseload data'!K:K,'caseload data'!$D:$D,"PSO",'caseload data'!$A:$A,"NPS East Midlands Region",'caseload data'!$B:$B,{"licence","community"}))</f>
        <v>0</v>
      </c>
      <c r="K109" s="204" cm="1">
        <f t="array" ref="K109">SUM(SUMIFS('caseload data'!L:L,'caseload data'!$D:$D,"PSO",'caseload data'!$A:$A,"NPS East Midlands Region",'caseload data'!$B:$B,{"licence","community"}))</f>
        <v>0</v>
      </c>
      <c r="L109" s="204" cm="1">
        <f t="array" ref="L109">SUM(SUMIFS('caseload data'!M:M,'caseload data'!$D:$D,"PSO",'caseload data'!$A:$A,"NPS East Midlands Region",'caseload data'!$B:$B,{"licence","community"}))</f>
        <v>0</v>
      </c>
      <c r="M109" s="204" cm="1">
        <f t="array" ref="M109">SUM(SUMIFS('caseload data'!N:N,'caseload data'!$D:$D,"PSO",'caseload data'!$A:$A,"NPS East Midlands Region",'caseload data'!$B:$B,{"licence","community"}))</f>
        <v>0</v>
      </c>
      <c r="N109" s="204" cm="1">
        <f t="array" ref="N109">SUM(SUMIFS('caseload data'!O:O,'caseload data'!$D:$D,"PSO",'caseload data'!$A:$A,"NPS East Midlands Region",'caseload data'!$B:$B,{"licence","community"}))</f>
        <v>0</v>
      </c>
      <c r="O109" s="204" cm="1">
        <f t="array" ref="O109">SUM(SUMIFS('caseload data'!P:P,'caseload data'!$D:$D,"PSO",'caseload data'!$A:$A,"NPS East Midlands Region",'caseload data'!$B:$B,{"licence","community"}))</f>
        <v>0</v>
      </c>
      <c r="P109" s="204" cm="1">
        <f t="array" ref="P109">SUM(SUMIFS('caseload data'!Q:Q,'caseload data'!$D:$D,"PSO",'caseload data'!$A:$A,"NPS East Midlands Region",'caseload data'!$B:$B,{"licence","community"}))</f>
        <v>0</v>
      </c>
      <c r="Q109" s="204" cm="1">
        <f t="array" ref="Q109">SUM(SUMIFS('caseload data'!R:R,'caseload data'!$D:$D,"PSO",'caseload data'!$A:$A,"NPS East Midlands Region",'caseload data'!$B:$B,{"licence","community"}))</f>
        <v>0</v>
      </c>
      <c r="R109" s="204" cm="1">
        <f t="array" ref="R109">SUM(SUMIFS('caseload data'!S:S,'caseload data'!$D:$D,"PSO",'caseload data'!$A:$A,"NPS East Midlands Region",'caseload data'!$B:$B,{"licence","community"}))</f>
        <v>0</v>
      </c>
      <c r="S109" s="204" cm="1">
        <f t="array" ref="S109">SUM(SUMIFS('caseload data'!T:T,'caseload data'!$D:$D,"PSO",'caseload data'!$A:$A,"NPS East Midlands Region",'caseload data'!$B:$B,{"licence","community"}))</f>
        <v>0</v>
      </c>
      <c r="T109" s="126">
        <f>SUM(SUMIFS('caseload data'!V:V,'caseload data'!D:D,"PSO",'caseload data'!A:A,"NPS East Midlands Region",'caseload data'!B:B,{"licence","community"}))</f>
        <v>0</v>
      </c>
      <c r="U109" s="95"/>
      <c r="V109" s="95"/>
      <c r="W109" s="334"/>
      <c r="X109" s="162" t="s">
        <v>185</v>
      </c>
      <c r="Y109" s="209" t="e">
        <f t="shared" si="33"/>
        <v>#DIV/0!</v>
      </c>
      <c r="Z109" s="209" t="e">
        <f t="shared" si="34"/>
        <v>#DIV/0!</v>
      </c>
      <c r="AA109" s="209" t="e">
        <f t="shared" si="34"/>
        <v>#DIV/0!</v>
      </c>
      <c r="AB109" s="209" t="e">
        <f t="shared" si="34"/>
        <v>#DIV/0!</v>
      </c>
      <c r="AC109" s="209" t="e">
        <f t="shared" si="34"/>
        <v>#DIV/0!</v>
      </c>
      <c r="AD109" s="209" t="e">
        <f t="shared" si="34"/>
        <v>#DIV/0!</v>
      </c>
      <c r="AE109" s="209" t="e">
        <f t="shared" si="34"/>
        <v>#DIV/0!</v>
      </c>
      <c r="AF109" s="209" t="e">
        <f t="shared" si="34"/>
        <v>#DIV/0!</v>
      </c>
      <c r="AG109" s="209" t="e">
        <f t="shared" si="34"/>
        <v>#DIV/0!</v>
      </c>
      <c r="AH109" s="209" t="e">
        <f t="shared" si="34"/>
        <v>#DIV/0!</v>
      </c>
      <c r="AI109" s="209" t="e">
        <f t="shared" si="34"/>
        <v>#DIV/0!</v>
      </c>
      <c r="AJ109" s="209" t="e">
        <f t="shared" si="34"/>
        <v>#DIV/0!</v>
      </c>
      <c r="AK109" s="209" t="e">
        <f t="shared" si="34"/>
        <v>#DIV/0!</v>
      </c>
      <c r="AL109" s="209" t="e">
        <f t="shared" si="34"/>
        <v>#DIV/0!</v>
      </c>
      <c r="AM109" s="209" t="e">
        <f t="shared" si="34"/>
        <v>#DIV/0!</v>
      </c>
      <c r="AN109" s="209" t="e">
        <f t="shared" si="34"/>
        <v>#DIV/0!</v>
      </c>
    </row>
    <row r="110" spans="2:43" x14ac:dyDescent="0.15">
      <c r="B110" s="334"/>
      <c r="C110" s="162" t="s">
        <v>186</v>
      </c>
      <c r="D110" s="204" cm="1">
        <f t="array" ref="D110">SUM(SUMIFS('caseload data'!E:E,'caseload data'!$D:$D,"TPO",'caseload data'!$A:$A,"NPS East Midlands Region",'caseload data'!$B:$B,{"licence","community"}))</f>
        <v>0</v>
      </c>
      <c r="E110" s="204" cm="1">
        <f t="array" ref="E110">SUM(SUMIFS('caseload data'!F:F,'caseload data'!$D:$D,"TPO",'caseload data'!$A:$A,"NPS East Midlands Region",'caseload data'!$B:$B,{"licence","community"}))</f>
        <v>0</v>
      </c>
      <c r="F110" s="204" cm="1">
        <f t="array" ref="F110">SUM(SUMIFS('caseload data'!G:G,'caseload data'!$D:$D,"TPO",'caseload data'!$A:$A,"NPS East Midlands Region",'caseload data'!$B:$B,{"licence","community"}))</f>
        <v>0</v>
      </c>
      <c r="G110" s="204" cm="1">
        <f t="array" ref="G110">SUM(SUMIFS('caseload data'!H:H,'caseload data'!$D:$D,"TPO",'caseload data'!$A:$A,"NPS East Midlands Region",'caseload data'!$B:$B,{"licence","community"}))</f>
        <v>0</v>
      </c>
      <c r="H110" s="204" cm="1">
        <f t="array" ref="H110">SUM(SUMIFS('caseload data'!I:I,'caseload data'!$D:$D,"TPO",'caseload data'!$A:$A,"NPS East Midlands Region",'caseload data'!$B:$B,{"licence","community"}))</f>
        <v>0</v>
      </c>
      <c r="I110" s="204" cm="1">
        <f t="array" ref="I110">SUM(SUMIFS('caseload data'!J:J,'caseload data'!$D:$D,"TPO",'caseload data'!$A:$A,"NPS East Midlands Region",'caseload data'!$B:$B,{"licence","community"}))</f>
        <v>0</v>
      </c>
      <c r="J110" s="204" cm="1">
        <f t="array" ref="J110">SUM(SUMIFS('caseload data'!K:K,'caseload data'!$D:$D,"TPO",'caseload data'!$A:$A,"NPS East Midlands Region",'caseload data'!$B:$B,{"licence","community"}))</f>
        <v>0</v>
      </c>
      <c r="K110" s="204" cm="1">
        <f t="array" ref="K110">SUM(SUMIFS('caseload data'!L:L,'caseload data'!$D:$D,"TPO",'caseload data'!$A:$A,"NPS East Midlands Region",'caseload data'!$B:$B,{"licence","community"}))</f>
        <v>0</v>
      </c>
      <c r="L110" s="204" cm="1">
        <f t="array" ref="L110">SUM(SUMIFS('caseload data'!M:M,'caseload data'!$D:$D,"TPO",'caseload data'!$A:$A,"NPS East Midlands Region",'caseload data'!$B:$B,{"licence","community"}))</f>
        <v>0</v>
      </c>
      <c r="M110" s="204" cm="1">
        <f t="array" ref="M110">SUM(SUMIFS('caseload data'!N:N,'caseload data'!$D:$D,"TPO",'caseload data'!$A:$A,"NPS East Midlands Region",'caseload data'!$B:$B,{"licence","community"}))</f>
        <v>0</v>
      </c>
      <c r="N110" s="204" cm="1">
        <f t="array" ref="N110">SUM(SUMIFS('caseload data'!O:O,'caseload data'!$D:$D,"TPO",'caseload data'!$A:$A,"NPS East Midlands Region",'caseload data'!$B:$B,{"licence","community"}))</f>
        <v>0</v>
      </c>
      <c r="O110" s="204" cm="1">
        <f t="array" ref="O110">SUM(SUMIFS('caseload data'!P:P,'caseload data'!$D:$D,"TPO",'caseload data'!$A:$A,"NPS East Midlands Region",'caseload data'!$B:$B,{"licence","community"}))</f>
        <v>0</v>
      </c>
      <c r="P110" s="204" cm="1">
        <f t="array" ref="P110">SUM(SUMIFS('caseload data'!Q:Q,'caseload data'!$D:$D,"TPO",'caseload data'!$A:$A,"NPS East Midlands Region",'caseload data'!$B:$B,{"licence","community"}))</f>
        <v>0</v>
      </c>
      <c r="Q110" s="204" cm="1">
        <f t="array" ref="Q110">SUM(SUMIFS('caseload data'!R:R,'caseload data'!$D:$D,"TPO",'caseload data'!$A:$A,"NPS East Midlands Region",'caseload data'!$B:$B,{"licence","community"}))</f>
        <v>0</v>
      </c>
      <c r="R110" s="204" cm="1">
        <f t="array" ref="R110">SUM(SUMIFS('caseload data'!S:S,'caseload data'!$D:$D,"TPO",'caseload data'!$A:$A,"NPS East Midlands Region",'caseload data'!$B:$B,{"licence","community"}))</f>
        <v>0</v>
      </c>
      <c r="S110" s="204" cm="1">
        <f t="array" ref="S110">SUM(SUMIFS('caseload data'!T:T,'caseload data'!$D:$D,"TPO",'caseload data'!$A:$A,"NPS East Midlands Region",'caseload data'!$B:$B,{"licence","community"}))</f>
        <v>0</v>
      </c>
      <c r="T110" s="126">
        <f>SUM(SUMIFS('caseload data'!V:V,'caseload data'!D:D,"TPO",'caseload data'!A:A,"NPS East Midlands Region",'caseload data'!B:B,{"licence","community"}))</f>
        <v>0</v>
      </c>
      <c r="U110" s="95"/>
      <c r="V110" s="95"/>
      <c r="W110" s="334"/>
      <c r="X110" s="162" t="s">
        <v>186</v>
      </c>
      <c r="Y110" s="209" t="e">
        <f t="shared" si="33"/>
        <v>#DIV/0!</v>
      </c>
      <c r="Z110" s="209" t="e">
        <f t="shared" si="34"/>
        <v>#DIV/0!</v>
      </c>
      <c r="AA110" s="209" t="e">
        <f t="shared" si="34"/>
        <v>#DIV/0!</v>
      </c>
      <c r="AB110" s="209" t="e">
        <f t="shared" si="34"/>
        <v>#DIV/0!</v>
      </c>
      <c r="AC110" s="209" t="e">
        <f t="shared" si="34"/>
        <v>#DIV/0!</v>
      </c>
      <c r="AD110" s="209" t="e">
        <f t="shared" si="34"/>
        <v>#DIV/0!</v>
      </c>
      <c r="AE110" s="209" t="e">
        <f t="shared" si="34"/>
        <v>#DIV/0!</v>
      </c>
      <c r="AF110" s="209" t="e">
        <f t="shared" si="34"/>
        <v>#DIV/0!</v>
      </c>
      <c r="AG110" s="209" t="e">
        <f t="shared" si="34"/>
        <v>#DIV/0!</v>
      </c>
      <c r="AH110" s="209" t="e">
        <f t="shared" si="34"/>
        <v>#DIV/0!</v>
      </c>
      <c r="AI110" s="209" t="e">
        <f t="shared" si="34"/>
        <v>#DIV/0!</v>
      </c>
      <c r="AJ110" s="209" t="e">
        <f t="shared" si="34"/>
        <v>#DIV/0!</v>
      </c>
      <c r="AK110" s="209" t="e">
        <f t="shared" si="34"/>
        <v>#DIV/0!</v>
      </c>
      <c r="AL110" s="209" t="e">
        <f t="shared" si="34"/>
        <v>#DIV/0!</v>
      </c>
      <c r="AM110" s="209" t="e">
        <f t="shared" si="34"/>
        <v>#DIV/0!</v>
      </c>
      <c r="AN110" s="209" t="e">
        <f t="shared" si="34"/>
        <v>#DIV/0!</v>
      </c>
    </row>
    <row r="111" spans="2:43" s="30" customFormat="1" x14ac:dyDescent="0.15">
      <c r="B111" s="335"/>
      <c r="C111" s="163" t="s">
        <v>187</v>
      </c>
      <c r="D111" s="204">
        <f>SUM(SUMIFS('caseload data'!E:E,'caseload data'!$D:$D,"SPO",'caseload data'!$A:$A,"NPS East Midlands Region",'caseload data'!$B:$B,{"licence","community"}))</f>
        <v>0</v>
      </c>
      <c r="E111" s="204">
        <f>SUM(SUMIFS('caseload data'!F:F,'caseload data'!$D:$D,"SPO",'caseload data'!$A:$A,"NPS East Midlands Region",'caseload data'!$B:$B,{"licence","community"}))</f>
        <v>0</v>
      </c>
      <c r="F111" s="204">
        <f>SUM(SUMIFS('caseload data'!G:G,'caseload data'!$D:$D,"SPO",'caseload data'!$A:$A,"NPS East Midlands Region",'caseload data'!$B:$B,{"licence","community"}))</f>
        <v>0</v>
      </c>
      <c r="G111" s="204">
        <f>SUM(SUMIFS('caseload data'!H:H,'caseload data'!$D:$D,"SPO",'caseload data'!$A:$A,"NPS East Midlands Region",'caseload data'!$B:$B,{"licence","community"}))</f>
        <v>0</v>
      </c>
      <c r="H111" s="204">
        <f>SUM(SUMIFS('caseload data'!I:I,'caseload data'!$D:$D,"SPO",'caseload data'!$A:$A,"NPS East Midlands Region",'caseload data'!$B:$B,{"licence","community"}))</f>
        <v>0</v>
      </c>
      <c r="I111" s="204">
        <f>SUM(SUMIFS('caseload data'!J:J,'caseload data'!$D:$D,"SPO",'caseload data'!$A:$A,"NPS East Midlands Region",'caseload data'!$B:$B,{"licence","community"}))</f>
        <v>0</v>
      </c>
      <c r="J111" s="204">
        <f>SUM(SUMIFS('caseload data'!K:K,'caseload data'!$D:$D,"SPO",'caseload data'!$A:$A,"NPS East Midlands Region",'caseload data'!$B:$B,{"licence","community"}))</f>
        <v>0</v>
      </c>
      <c r="K111" s="204">
        <f>SUM(SUMIFS('caseload data'!L:L,'caseload data'!$D:$D,"SPO",'caseload data'!$A:$A,"NPS East Midlands Region",'caseload data'!$B:$B,{"licence","community"}))</f>
        <v>0</v>
      </c>
      <c r="L111" s="204">
        <f>SUM(SUMIFS('caseload data'!M:M,'caseload data'!$D:$D,"SPO",'caseload data'!$A:$A,"NPS East Midlands Region",'caseload data'!$B:$B,{"licence","community"}))</f>
        <v>0</v>
      </c>
      <c r="M111" s="204">
        <f>SUM(SUMIFS('caseload data'!N:N,'caseload data'!$D:$D,"SPO",'caseload data'!$A:$A,"NPS East Midlands Region",'caseload data'!$B:$B,{"licence","community"}))</f>
        <v>0</v>
      </c>
      <c r="N111" s="204">
        <f>SUM(SUMIFS('caseload data'!O:O,'caseload data'!$D:$D,"SPO",'caseload data'!$A:$A,"NPS East Midlands Region",'caseload data'!$B:$B,{"licence","community"}))</f>
        <v>0</v>
      </c>
      <c r="O111" s="204">
        <f>SUM(SUMIFS('caseload data'!P:P,'caseload data'!$D:$D,"SPO",'caseload data'!$A:$A,"NPS East Midlands Region",'caseload data'!$B:$B,{"licence","community"}))</f>
        <v>0</v>
      </c>
      <c r="P111" s="204">
        <f>SUM(SUMIFS('caseload data'!Q:Q,'caseload data'!$D:$D,"SPO",'caseload data'!$A:$A,"NPS East Midlands Region",'caseload data'!$B:$B,{"licence","community"}))</f>
        <v>0</v>
      </c>
      <c r="Q111" s="204">
        <f>SUM(SUMIFS('caseload data'!R:R,'caseload data'!$D:$D,"SPO",'caseload data'!$A:$A,"NPS East Midlands Region",'caseload data'!$B:$B,{"licence","community"}))</f>
        <v>0</v>
      </c>
      <c r="R111" s="204">
        <f>SUM(SUMIFS('caseload data'!S:S,'caseload data'!$D:$D,"SPO",'caseload data'!$A:$A,"NPS East Midlands Region",'caseload data'!$B:$B,{"licence","community"}))</f>
        <v>0</v>
      </c>
      <c r="S111" s="204">
        <f>SUM(SUMIFS('caseload data'!T:T,'caseload data'!$D:$D,"SPO",'caseload data'!$A:$A,"NPS East Midlands Region",'caseload data'!$B:$B,{"licence","community"}))</f>
        <v>0</v>
      </c>
      <c r="T111" s="126">
        <f>SUM(SUMIFS('caseload data'!V:V,'caseload data'!$D:$D,"SPO",'caseload data'!$A:$A,"NPS East Midlands Region",'caseload data'!$B:$B,{"licence","community"}))</f>
        <v>0</v>
      </c>
      <c r="U111" s="95"/>
      <c r="V111" s="95"/>
      <c r="W111" s="335"/>
      <c r="X111" s="163" t="s">
        <v>187</v>
      </c>
      <c r="Y111" s="209" t="e">
        <f t="shared" si="33"/>
        <v>#DIV/0!</v>
      </c>
      <c r="Z111" s="209" t="e">
        <f t="shared" si="34"/>
        <v>#DIV/0!</v>
      </c>
      <c r="AA111" s="209" t="e">
        <f t="shared" si="34"/>
        <v>#DIV/0!</v>
      </c>
      <c r="AB111" s="209" t="e">
        <f t="shared" si="34"/>
        <v>#DIV/0!</v>
      </c>
      <c r="AC111" s="209" t="e">
        <f t="shared" si="34"/>
        <v>#DIV/0!</v>
      </c>
      <c r="AD111" s="209" t="e">
        <f t="shared" si="34"/>
        <v>#DIV/0!</v>
      </c>
      <c r="AE111" s="209" t="e">
        <f t="shared" si="34"/>
        <v>#DIV/0!</v>
      </c>
      <c r="AF111" s="209" t="e">
        <f t="shared" si="34"/>
        <v>#DIV/0!</v>
      </c>
      <c r="AG111" s="209" t="e">
        <f t="shared" si="34"/>
        <v>#DIV/0!</v>
      </c>
      <c r="AH111" s="209" t="e">
        <f t="shared" si="34"/>
        <v>#DIV/0!</v>
      </c>
      <c r="AI111" s="209" t="e">
        <f t="shared" si="34"/>
        <v>#DIV/0!</v>
      </c>
      <c r="AJ111" s="209" t="e">
        <f t="shared" si="34"/>
        <v>#DIV/0!</v>
      </c>
      <c r="AK111" s="209" t="e">
        <f t="shared" si="34"/>
        <v>#DIV/0!</v>
      </c>
      <c r="AL111" s="209" t="e">
        <f t="shared" si="34"/>
        <v>#DIV/0!</v>
      </c>
      <c r="AM111" s="209" t="e">
        <f t="shared" si="34"/>
        <v>#DIV/0!</v>
      </c>
      <c r="AN111" s="209" t="e">
        <f t="shared" si="34"/>
        <v>#DIV/0!</v>
      </c>
      <c r="AO111"/>
      <c r="AP111"/>
      <c r="AQ111"/>
    </row>
    <row r="112" spans="2:43" s="30" customFormat="1" x14ac:dyDescent="0.15">
      <c r="B112" s="333" t="s">
        <v>1014</v>
      </c>
      <c r="C112" s="161" t="s">
        <v>184</v>
      </c>
      <c r="D112" s="204" cm="1">
        <f t="array" ref="D112">SUM(SUMIFS('caseload data'!E:E,'caseload data'!$D:$D,"PO",'caseload data'!$A:$A,_xlfn.SINGLE('national caseload'!$B$112:$B$114),'caseload data'!$B:$B,{"licence","community"}))</f>
        <v>0</v>
      </c>
      <c r="E112" s="204" cm="1">
        <f t="array" ref="E112">SUM(SUMIFS('caseload data'!F:F,'caseload data'!$D:$D,"PO",'caseload data'!$A:$A,_xlfn.SINGLE('national caseload'!$B$112:$B$114),'caseload data'!$B:$B,{"licence","community"}))</f>
        <v>0</v>
      </c>
      <c r="F112" s="204" cm="1">
        <f t="array" ref="F112">SUM(SUMIFS('caseload data'!G:G,'caseload data'!$D:$D,"PO",'caseload data'!$A:$A,_xlfn.SINGLE('national caseload'!$B$112:$B$114),'caseload data'!$B:$B,{"licence","community"}))</f>
        <v>0</v>
      </c>
      <c r="G112" s="204" cm="1">
        <f t="array" ref="G112">SUM(SUMIFS('caseload data'!H:H,'caseload data'!$D:$D,"PO",'caseload data'!$A:$A,_xlfn.SINGLE('national caseload'!$B$112:$B$114),'caseload data'!$B:$B,{"licence","community"}))</f>
        <v>0</v>
      </c>
      <c r="H112" s="204" cm="1">
        <f t="array" ref="H112">SUM(SUMIFS('caseload data'!I:I,'caseload data'!$D:$D,"PO",'caseload data'!$A:$A,_xlfn.SINGLE('national caseload'!$B$112:$B$114),'caseload data'!$B:$B,{"licence","community"}))</f>
        <v>0</v>
      </c>
      <c r="I112" s="204" cm="1">
        <f t="array" ref="I112">SUM(SUMIFS('caseload data'!J:J,'caseload data'!$D:$D,"PO",'caseload data'!$A:$A,_xlfn.SINGLE('national caseload'!$B$112:$B$114),'caseload data'!$B:$B,{"licence","community"}))</f>
        <v>0</v>
      </c>
      <c r="J112" s="204" cm="1">
        <f t="array" ref="J112">SUM(SUMIFS('caseload data'!K:K,'caseload data'!$D:$D,"PO",'caseload data'!$A:$A,_xlfn.SINGLE('national caseload'!$B$112:$B$114),'caseload data'!$B:$B,{"licence","community"}))</f>
        <v>0</v>
      </c>
      <c r="K112" s="204" cm="1">
        <f t="array" ref="K112">SUM(SUMIFS('caseload data'!L:L,'caseload data'!$D:$D,"PO",'caseload data'!$A:$A,_xlfn.SINGLE('national caseload'!$B$112:$B$114),'caseload data'!$B:$B,{"licence","community"}))</f>
        <v>0</v>
      </c>
      <c r="L112" s="204" cm="1">
        <f t="array" ref="L112">SUM(SUMIFS('caseload data'!M:M,'caseload data'!$D:$D,"PO",'caseload data'!$A:$A,_xlfn.SINGLE('national caseload'!$B$112:$B$114),'caseload data'!$B:$B,{"licence","community"}))</f>
        <v>0</v>
      </c>
      <c r="M112" s="204" cm="1">
        <f t="array" ref="M112">SUM(SUMIFS('caseload data'!N:N,'caseload data'!$D:$D,"PO",'caseload data'!$A:$A,_xlfn.SINGLE('national caseload'!$B$112:$B$114),'caseload data'!$B:$B,{"licence","community"}))</f>
        <v>0</v>
      </c>
      <c r="N112" s="204" cm="1">
        <f t="array" ref="N112">SUM(SUMIFS('caseload data'!O:O,'caseload data'!$D:$D,"PO",'caseload data'!$A:$A,_xlfn.SINGLE('national caseload'!$B$112:$B$114),'caseload data'!$B:$B,{"licence","community"}))</f>
        <v>0</v>
      </c>
      <c r="O112" s="204" cm="1">
        <f t="array" ref="O112">SUM(SUMIFS('caseload data'!P:P,'caseload data'!$D:$D,"PO",'caseload data'!$A:$A,_xlfn.SINGLE('national caseload'!$B$112:$B$114),'caseload data'!$B:$B,{"licence","community"}))</f>
        <v>0</v>
      </c>
      <c r="P112" s="204" cm="1">
        <f t="array" ref="P112">SUM(SUMIFS('caseload data'!Q:Q,'caseload data'!$D:$D,"PO",'caseload data'!$A:$A,_xlfn.SINGLE('national caseload'!$B$112:$B$114),'caseload data'!$B:$B,{"licence","community"}))</f>
        <v>0</v>
      </c>
      <c r="Q112" s="204" cm="1">
        <f t="array" ref="Q112">SUM(SUMIFS('caseload data'!R:R,'caseload data'!$D:$D,"PO",'caseload data'!$A:$A,_xlfn.SINGLE('national caseload'!$B$112:$B$114),'caseload data'!$B:$B,{"licence","community"}))</f>
        <v>0</v>
      </c>
      <c r="R112" s="204" cm="1">
        <f t="array" ref="R112">SUM(SUMIFS('caseload data'!S:S,'caseload data'!$D:$D,"PO",'caseload data'!$A:$A,_xlfn.SINGLE('national caseload'!$B$112:$B$114),'caseload data'!$B:$B,{"licence","community"}))</f>
        <v>0</v>
      </c>
      <c r="S112" s="204" cm="1">
        <f t="array" ref="S112">SUM(SUMIFS('caseload data'!T:T,'caseload data'!$D:$D,"PO",'caseload data'!$A:$A,_xlfn.SINGLE('national caseload'!$B$112:$B$114),'caseload data'!$B:$B,{"licence","community"}))</f>
        <v>0</v>
      </c>
      <c r="T112" s="126">
        <f>SUM(SUMIFS('caseload data'!V:V,'caseload data'!D:D,"PO",'caseload data'!A:A,'national caseload'!B112:B114,'caseload data'!B:B,{"licence","community"}))</f>
        <v>0</v>
      </c>
      <c r="U112" s="95"/>
      <c r="V112" s="95"/>
      <c r="W112" s="333" t="s">
        <v>1014</v>
      </c>
      <c r="X112" s="161" t="s">
        <v>184</v>
      </c>
      <c r="Y112" s="209" t="e">
        <f t="shared" si="33"/>
        <v>#DIV/0!</v>
      </c>
      <c r="Z112" s="209" t="e">
        <f t="shared" si="34"/>
        <v>#DIV/0!</v>
      </c>
      <c r="AA112" s="209" t="e">
        <f t="shared" si="34"/>
        <v>#DIV/0!</v>
      </c>
      <c r="AB112" s="209" t="e">
        <f t="shared" si="34"/>
        <v>#DIV/0!</v>
      </c>
      <c r="AC112" s="209" t="e">
        <f t="shared" si="34"/>
        <v>#DIV/0!</v>
      </c>
      <c r="AD112" s="209" t="e">
        <f t="shared" si="34"/>
        <v>#DIV/0!</v>
      </c>
      <c r="AE112" s="209" t="e">
        <f t="shared" si="34"/>
        <v>#DIV/0!</v>
      </c>
      <c r="AF112" s="209" t="e">
        <f t="shared" si="34"/>
        <v>#DIV/0!</v>
      </c>
      <c r="AG112" s="209" t="e">
        <f t="shared" si="34"/>
        <v>#DIV/0!</v>
      </c>
      <c r="AH112" s="209" t="e">
        <f t="shared" si="34"/>
        <v>#DIV/0!</v>
      </c>
      <c r="AI112" s="209" t="e">
        <f t="shared" si="34"/>
        <v>#DIV/0!</v>
      </c>
      <c r="AJ112" s="209" t="e">
        <f t="shared" si="34"/>
        <v>#DIV/0!</v>
      </c>
      <c r="AK112" s="209" t="e">
        <f t="shared" si="34"/>
        <v>#DIV/0!</v>
      </c>
      <c r="AL112" s="209" t="e">
        <f t="shared" si="34"/>
        <v>#DIV/0!</v>
      </c>
      <c r="AM112" s="209" t="e">
        <f t="shared" si="34"/>
        <v>#DIV/0!</v>
      </c>
      <c r="AN112" s="209" t="e">
        <f t="shared" si="34"/>
        <v>#DIV/0!</v>
      </c>
      <c r="AO112"/>
      <c r="AP112"/>
      <c r="AQ112"/>
    </row>
    <row r="113" spans="2:43" s="30" customFormat="1" x14ac:dyDescent="0.15">
      <c r="B113" s="334"/>
      <c r="C113" s="162" t="s">
        <v>185</v>
      </c>
      <c r="D113" s="204" cm="1">
        <f t="array" ref="D113">SUM(SUMIFS('caseload data'!E:E,'caseload data'!$D:$D,"PSO",'caseload data'!$A:$A,"East of England",'caseload data'!$B:$B,{"licence","community"}))</f>
        <v>0</v>
      </c>
      <c r="E113" s="204" cm="1">
        <f t="array" ref="E113">SUM(SUMIFS('caseload data'!F:F,'caseload data'!$D:$D,"PSO",'caseload data'!$A:$A,"East of England",'caseload data'!$B:$B,{"licence","community"}))</f>
        <v>0</v>
      </c>
      <c r="F113" s="204" cm="1">
        <f t="array" ref="F113">SUM(SUMIFS('caseload data'!G:G,'caseload data'!$D:$D,"PSO",'caseload data'!$A:$A,"East of England",'caseload data'!$B:$B,{"licence","community"}))</f>
        <v>0</v>
      </c>
      <c r="G113" s="204" cm="1">
        <f t="array" ref="G113">SUM(SUMIFS('caseload data'!H:H,'caseload data'!$D:$D,"PSO",'caseload data'!$A:$A,"East of England",'caseload data'!$B:$B,{"licence","community"}))</f>
        <v>0</v>
      </c>
      <c r="H113" s="204" cm="1">
        <f t="array" ref="H113">SUM(SUMIFS('caseload data'!I:I,'caseload data'!$D:$D,"PSO",'caseload data'!$A:$A,"East of England",'caseload data'!$B:$B,{"licence","community"}))</f>
        <v>0</v>
      </c>
      <c r="I113" s="204" cm="1">
        <f t="array" ref="I113">SUM(SUMIFS('caseload data'!J:J,'caseload data'!$D:$D,"PSO",'caseload data'!$A:$A,"East of England",'caseload data'!$B:$B,{"licence","community"}))</f>
        <v>0</v>
      </c>
      <c r="J113" s="204" cm="1">
        <f t="array" ref="J113">SUM(SUMIFS('caseload data'!K:K,'caseload data'!$D:$D,"PSO",'caseload data'!$A:$A,"East of England",'caseload data'!$B:$B,{"licence","community"}))</f>
        <v>0</v>
      </c>
      <c r="K113" s="204" cm="1">
        <f t="array" ref="K113">SUM(SUMIFS('caseload data'!L:L,'caseload data'!$D:$D,"PSO",'caseload data'!$A:$A,"East of England",'caseload data'!$B:$B,{"licence","community"}))</f>
        <v>0</v>
      </c>
      <c r="L113" s="204" cm="1">
        <f t="array" ref="L113">SUM(SUMIFS('caseload data'!M:M,'caseload data'!$D:$D,"PSO",'caseload data'!$A:$A,"East of England",'caseload data'!$B:$B,{"licence","community"}))</f>
        <v>0</v>
      </c>
      <c r="M113" s="204" cm="1">
        <f t="array" ref="M113">SUM(SUMIFS('caseload data'!N:N,'caseload data'!$D:$D,"PSO",'caseload data'!$A:$A,"East of England",'caseload data'!$B:$B,{"licence","community"}))</f>
        <v>0</v>
      </c>
      <c r="N113" s="204" cm="1">
        <f t="array" ref="N113">SUM(SUMIFS('caseload data'!O:O,'caseload data'!$D:$D,"PSO",'caseload data'!$A:$A,"East of England",'caseload data'!$B:$B,{"licence","community"}))</f>
        <v>0</v>
      </c>
      <c r="O113" s="204" cm="1">
        <f t="array" ref="O113">SUM(SUMIFS('caseload data'!P:P,'caseload data'!$D:$D,"PSO",'caseload data'!$A:$A,"East of England",'caseload data'!$B:$B,{"licence","community"}))</f>
        <v>0</v>
      </c>
      <c r="P113" s="204" cm="1">
        <f t="array" ref="P113">SUM(SUMIFS('caseload data'!Q:Q,'caseload data'!$D:$D,"PSO",'caseload data'!$A:$A,"East of England",'caseload data'!$B:$B,{"licence","community"}))</f>
        <v>0</v>
      </c>
      <c r="Q113" s="204" cm="1">
        <f t="array" ref="Q113">SUM(SUMIFS('caseload data'!R:R,'caseload data'!$D:$D,"PSO",'caseload data'!$A:$A,"East of England",'caseload data'!$B:$B,{"licence","community"}))</f>
        <v>0</v>
      </c>
      <c r="R113" s="204" cm="1">
        <f t="array" ref="R113">SUM(SUMIFS('caseload data'!S:S,'caseload data'!$D:$D,"PSO",'caseload data'!$A:$A,"East of England",'caseload data'!$B:$B,{"licence","community"}))</f>
        <v>0</v>
      </c>
      <c r="S113" s="204" cm="1">
        <f t="array" ref="S113">SUM(SUMIFS('caseload data'!T:T,'caseload data'!$D:$D,"PSO",'caseload data'!$A:$A,"East of England",'caseload data'!$B:$B,{"licence","community"}))</f>
        <v>0</v>
      </c>
      <c r="T113" s="126" cm="1">
        <f t="array" ref="T113">SUM(SUMIFS('caseload data'!V:V,'caseload data'!D:D,"PSO",'caseload data'!A:A,"East of England",'caseload data'!B:B,{"licence","community"}))</f>
        <v>0</v>
      </c>
      <c r="U113" s="95"/>
      <c r="V113" s="95"/>
      <c r="W113" s="334"/>
      <c r="X113" s="162" t="s">
        <v>185</v>
      </c>
      <c r="Y113" s="209" t="e">
        <f t="shared" si="33"/>
        <v>#DIV/0!</v>
      </c>
      <c r="Z113" s="209" t="e">
        <f t="shared" si="34"/>
        <v>#DIV/0!</v>
      </c>
      <c r="AA113" s="209" t="e">
        <f t="shared" si="34"/>
        <v>#DIV/0!</v>
      </c>
      <c r="AB113" s="209" t="e">
        <f t="shared" si="34"/>
        <v>#DIV/0!</v>
      </c>
      <c r="AC113" s="209" t="e">
        <f t="shared" si="34"/>
        <v>#DIV/0!</v>
      </c>
      <c r="AD113" s="209" t="e">
        <f t="shared" si="34"/>
        <v>#DIV/0!</v>
      </c>
      <c r="AE113" s="209" t="e">
        <f t="shared" si="34"/>
        <v>#DIV/0!</v>
      </c>
      <c r="AF113" s="209" t="e">
        <f t="shared" si="34"/>
        <v>#DIV/0!</v>
      </c>
      <c r="AG113" s="209" t="e">
        <f t="shared" si="34"/>
        <v>#DIV/0!</v>
      </c>
      <c r="AH113" s="209" t="e">
        <f t="shared" si="34"/>
        <v>#DIV/0!</v>
      </c>
      <c r="AI113" s="209" t="e">
        <f t="shared" si="34"/>
        <v>#DIV/0!</v>
      </c>
      <c r="AJ113" s="209" t="e">
        <f t="shared" si="34"/>
        <v>#DIV/0!</v>
      </c>
      <c r="AK113" s="209" t="e">
        <f t="shared" si="34"/>
        <v>#DIV/0!</v>
      </c>
      <c r="AL113" s="209" t="e">
        <f t="shared" si="34"/>
        <v>#DIV/0!</v>
      </c>
      <c r="AM113" s="209" t="e">
        <f t="shared" si="34"/>
        <v>#DIV/0!</v>
      </c>
      <c r="AN113" s="209" t="e">
        <f t="shared" si="34"/>
        <v>#DIV/0!</v>
      </c>
      <c r="AO113"/>
      <c r="AP113"/>
      <c r="AQ113"/>
    </row>
    <row r="114" spans="2:43" s="30" customFormat="1" x14ac:dyDescent="0.15">
      <c r="B114" s="334"/>
      <c r="C114" s="162" t="s">
        <v>186</v>
      </c>
      <c r="D114" s="204" cm="1">
        <f t="array" ref="D114">SUM(SUMIFS('caseload data'!E:E,'caseload data'!$D:$D,"TPO",'caseload data'!$A:$A,"East of England",'caseload data'!$B:$B,{"licence","community"}))</f>
        <v>0</v>
      </c>
      <c r="E114" s="204" cm="1">
        <f t="array" ref="E114">SUM(SUMIFS('caseload data'!F:F,'caseload data'!$D:$D,"TPO",'caseload data'!$A:$A,"East of England",'caseload data'!$B:$B,{"licence","community"}))</f>
        <v>0</v>
      </c>
      <c r="F114" s="204" cm="1">
        <f t="array" ref="F114">SUM(SUMIFS('caseload data'!G:G,'caseload data'!$D:$D,"TPO",'caseload data'!$A:$A,"East of England",'caseload data'!$B:$B,{"licence","community"}))</f>
        <v>0</v>
      </c>
      <c r="G114" s="204" cm="1">
        <f t="array" ref="G114">SUM(SUMIFS('caseload data'!H:H,'caseload data'!$D:$D,"TPO",'caseload data'!$A:$A,"East of England",'caseload data'!$B:$B,{"licence","community"}))</f>
        <v>0</v>
      </c>
      <c r="H114" s="204" cm="1">
        <f t="array" ref="H114">SUM(SUMIFS('caseload data'!I:I,'caseload data'!$D:$D,"TPO",'caseload data'!$A:$A,"East of England",'caseload data'!$B:$B,{"licence","community"}))</f>
        <v>0</v>
      </c>
      <c r="I114" s="204" cm="1">
        <f t="array" ref="I114">SUM(SUMIFS('caseload data'!J:J,'caseload data'!$D:$D,"TPO",'caseload data'!$A:$A,"East of England",'caseload data'!$B:$B,{"licence","community"}))</f>
        <v>0</v>
      </c>
      <c r="J114" s="204" cm="1">
        <f t="array" ref="J114">SUM(SUMIFS('caseload data'!K:K,'caseload data'!$D:$D,"TPO",'caseload data'!$A:$A,"East of England",'caseload data'!$B:$B,{"licence","community"}))</f>
        <v>0</v>
      </c>
      <c r="K114" s="204" cm="1">
        <f t="array" ref="K114">SUM(SUMIFS('caseload data'!L:L,'caseload data'!$D:$D,"TPO",'caseload data'!$A:$A,"East of England",'caseload data'!$B:$B,{"licence","community"}))</f>
        <v>0</v>
      </c>
      <c r="L114" s="204" cm="1">
        <f t="array" ref="L114">SUM(SUMIFS('caseload data'!M:M,'caseload data'!$D:$D,"TPO",'caseload data'!$A:$A,"East of England",'caseload data'!$B:$B,{"licence","community"}))</f>
        <v>0</v>
      </c>
      <c r="M114" s="204" cm="1">
        <f t="array" ref="M114">SUM(SUMIFS('caseload data'!N:N,'caseload data'!$D:$D,"TPO",'caseload data'!$A:$A,"East of England",'caseload data'!$B:$B,{"licence","community"}))</f>
        <v>0</v>
      </c>
      <c r="N114" s="204" cm="1">
        <f t="array" ref="N114">SUM(SUMIFS('caseload data'!O:O,'caseload data'!$D:$D,"TPO",'caseload data'!$A:$A,"East of England",'caseload data'!$B:$B,{"licence","community"}))</f>
        <v>0</v>
      </c>
      <c r="O114" s="204" cm="1">
        <f t="array" ref="O114">SUM(SUMIFS('caseload data'!P:P,'caseload data'!$D:$D,"TPO",'caseload data'!$A:$A,"East of England",'caseload data'!$B:$B,{"licence","community"}))</f>
        <v>0</v>
      </c>
      <c r="P114" s="204" cm="1">
        <f t="array" ref="P114">SUM(SUMIFS('caseload data'!Q:Q,'caseload data'!$D:$D,"TPO",'caseload data'!$A:$A,"East of England",'caseload data'!$B:$B,{"licence","community"}))</f>
        <v>0</v>
      </c>
      <c r="Q114" s="204" cm="1">
        <f t="array" ref="Q114">SUM(SUMIFS('caseload data'!R:R,'caseload data'!$D:$D,"TPO",'caseload data'!$A:$A,"East of England",'caseload data'!$B:$B,{"licence","community"}))</f>
        <v>0</v>
      </c>
      <c r="R114" s="204" cm="1">
        <f t="array" ref="R114">SUM(SUMIFS('caseload data'!S:S,'caseload data'!$D:$D,"TPO",'caseload data'!$A:$A,"East of England",'caseload data'!$B:$B,{"licence","community"}))</f>
        <v>0</v>
      </c>
      <c r="S114" s="204" cm="1">
        <f t="array" ref="S114">SUM(SUMIFS('caseload data'!T:T,'caseload data'!$D:$D,"TPO",'caseload data'!$A:$A,"East of England",'caseload data'!$B:$B,{"licence","community"}))</f>
        <v>0</v>
      </c>
      <c r="T114" s="126" cm="1">
        <f t="array" ref="T114">SUM(SUMIFS('caseload data'!V:V,'caseload data'!D:D,"TPO",'caseload data'!A:A,"East of England",'caseload data'!B:B,{"licence","community"}))</f>
        <v>0</v>
      </c>
      <c r="U114" s="95"/>
      <c r="V114" s="95"/>
      <c r="W114" s="334"/>
      <c r="X114" s="162" t="s">
        <v>186</v>
      </c>
      <c r="Y114" s="209" t="e">
        <f t="shared" si="33"/>
        <v>#DIV/0!</v>
      </c>
      <c r="Z114" s="209" t="e">
        <f t="shared" si="34"/>
        <v>#DIV/0!</v>
      </c>
      <c r="AA114" s="209" t="e">
        <f t="shared" si="34"/>
        <v>#DIV/0!</v>
      </c>
      <c r="AB114" s="209" t="e">
        <f t="shared" si="34"/>
        <v>#DIV/0!</v>
      </c>
      <c r="AC114" s="209" t="e">
        <f t="shared" si="34"/>
        <v>#DIV/0!</v>
      </c>
      <c r="AD114" s="209" t="e">
        <f t="shared" si="34"/>
        <v>#DIV/0!</v>
      </c>
      <c r="AE114" s="209" t="e">
        <f t="shared" si="34"/>
        <v>#DIV/0!</v>
      </c>
      <c r="AF114" s="209" t="e">
        <f t="shared" si="34"/>
        <v>#DIV/0!</v>
      </c>
      <c r="AG114" s="209" t="e">
        <f t="shared" si="34"/>
        <v>#DIV/0!</v>
      </c>
      <c r="AH114" s="209" t="e">
        <f t="shared" si="34"/>
        <v>#DIV/0!</v>
      </c>
      <c r="AI114" s="209" t="e">
        <f t="shared" si="34"/>
        <v>#DIV/0!</v>
      </c>
      <c r="AJ114" s="209" t="e">
        <f t="shared" si="34"/>
        <v>#DIV/0!</v>
      </c>
      <c r="AK114" s="209" t="e">
        <f t="shared" si="34"/>
        <v>#DIV/0!</v>
      </c>
      <c r="AL114" s="209" t="e">
        <f t="shared" si="34"/>
        <v>#DIV/0!</v>
      </c>
      <c r="AM114" s="209" t="e">
        <f t="shared" si="34"/>
        <v>#DIV/0!</v>
      </c>
      <c r="AN114" s="209" t="e">
        <f t="shared" si="34"/>
        <v>#DIV/0!</v>
      </c>
      <c r="AO114"/>
      <c r="AP114"/>
      <c r="AQ114"/>
    </row>
    <row r="115" spans="2:43" s="30" customFormat="1" x14ac:dyDescent="0.15">
      <c r="B115" s="335"/>
      <c r="C115" s="163" t="s">
        <v>187</v>
      </c>
      <c r="D115" s="204" cm="1">
        <f t="array" ref="D115">SUM(SUMIFS('caseload data'!E:E,'caseload data'!$D:$D,"SPO",'caseload data'!$A:$A,"East of England",'caseload data'!$B:$B,{"licence","community"}))</f>
        <v>0</v>
      </c>
      <c r="E115" s="204" cm="1">
        <f t="array" ref="E115">SUM(SUMIFS('caseload data'!F:F,'caseload data'!$D:$D,"SPO",'caseload data'!$A:$A,"East of England",'caseload data'!$B:$B,{"licence","community"}))</f>
        <v>0</v>
      </c>
      <c r="F115" s="204" cm="1">
        <f t="array" ref="F115">SUM(SUMIFS('caseload data'!G:G,'caseload data'!$D:$D,"SPO",'caseload data'!$A:$A,"East of England",'caseload data'!$B:$B,{"licence","community"}))</f>
        <v>0</v>
      </c>
      <c r="G115" s="204" cm="1">
        <f t="array" ref="G115">SUM(SUMIFS('caseload data'!H:H,'caseload data'!$D:$D,"SPO",'caseload data'!$A:$A,"East of England",'caseload data'!$B:$B,{"licence","community"}))</f>
        <v>0</v>
      </c>
      <c r="H115" s="204" cm="1">
        <f t="array" ref="H115">SUM(SUMIFS('caseload data'!I:I,'caseload data'!$D:$D,"SPO",'caseload data'!$A:$A,"East of England",'caseload data'!$B:$B,{"licence","community"}))</f>
        <v>0</v>
      </c>
      <c r="I115" s="204" cm="1">
        <f t="array" ref="I115">SUM(SUMIFS('caseload data'!J:J,'caseload data'!$D:$D,"SPO",'caseload data'!$A:$A,"East of England",'caseload data'!$B:$B,{"licence","community"}))</f>
        <v>0</v>
      </c>
      <c r="J115" s="204" cm="1">
        <f t="array" ref="J115">SUM(SUMIFS('caseload data'!K:K,'caseload data'!$D:$D,"SPO",'caseload data'!$A:$A,"East of England",'caseload data'!$B:$B,{"licence","community"}))</f>
        <v>0</v>
      </c>
      <c r="K115" s="204" cm="1">
        <f t="array" ref="K115">SUM(SUMIFS('caseload data'!L:L,'caseload data'!$D:$D,"SPO",'caseload data'!$A:$A,"East of England",'caseload data'!$B:$B,{"licence","community"}))</f>
        <v>0</v>
      </c>
      <c r="L115" s="204" cm="1">
        <f t="array" ref="L115">SUM(SUMIFS('caseload data'!M:M,'caseload data'!$D:$D,"SPO",'caseload data'!$A:$A,"East of England",'caseload data'!$B:$B,{"licence","community"}))</f>
        <v>0</v>
      </c>
      <c r="M115" s="204" cm="1">
        <f t="array" ref="M115">SUM(SUMIFS('caseload data'!N:N,'caseload data'!$D:$D,"SPO",'caseload data'!$A:$A,"East of England",'caseload data'!$B:$B,{"licence","community"}))</f>
        <v>0</v>
      </c>
      <c r="N115" s="204" cm="1">
        <f t="array" ref="N115">SUM(SUMIFS('caseload data'!O:O,'caseload data'!$D:$D,"SPO",'caseload data'!$A:$A,"East of England",'caseload data'!$B:$B,{"licence","community"}))</f>
        <v>0</v>
      </c>
      <c r="O115" s="204" cm="1">
        <f t="array" ref="O115">SUM(SUMIFS('caseload data'!P:P,'caseload data'!$D:$D,"SPO",'caseload data'!$A:$A,"East of England",'caseload data'!$B:$B,{"licence","community"}))</f>
        <v>0</v>
      </c>
      <c r="P115" s="204" cm="1">
        <f t="array" ref="P115">SUM(SUMIFS('caseload data'!Q:Q,'caseload data'!$D:$D,"SPO",'caseload data'!$A:$A,"East of England",'caseload data'!$B:$B,{"licence","community"}))</f>
        <v>0</v>
      </c>
      <c r="Q115" s="204" cm="1">
        <f t="array" ref="Q115">SUM(SUMIFS('caseload data'!R:R,'caseload data'!$D:$D,"SPO",'caseload data'!$A:$A,"East of England",'caseload data'!$B:$B,{"licence","community"}))</f>
        <v>0</v>
      </c>
      <c r="R115" s="204" cm="1">
        <f t="array" ref="R115">SUM(SUMIFS('caseload data'!S:S,'caseload data'!$D:$D,"SPO",'caseload data'!$A:$A,"East of England",'caseload data'!$B:$B,{"licence","community"}))</f>
        <v>0</v>
      </c>
      <c r="S115" s="204" cm="1">
        <f t="array" ref="S115">SUM(SUMIFS('caseload data'!T:T,'caseload data'!$D:$D,"SPO",'caseload data'!$A:$A,"East of England",'caseload data'!$B:$B,{"licence","community"}))</f>
        <v>0</v>
      </c>
      <c r="T115" s="126" cm="1">
        <f t="array" ref="T115">SUM(SUMIFS('caseload data'!V:V,'caseload data'!$D:$D,"SPO",'caseload data'!$A:$A,"East of England",'caseload data'!$B:$B,{"licence","community"}))</f>
        <v>0</v>
      </c>
      <c r="U115" s="95"/>
      <c r="V115" s="95"/>
      <c r="W115" s="335"/>
      <c r="X115" s="163" t="s">
        <v>187</v>
      </c>
      <c r="Y115" s="209" t="e">
        <f t="shared" si="33"/>
        <v>#DIV/0!</v>
      </c>
      <c r="Z115" s="209" t="e">
        <f t="shared" si="34"/>
        <v>#DIV/0!</v>
      </c>
      <c r="AA115" s="209" t="e">
        <f t="shared" si="34"/>
        <v>#DIV/0!</v>
      </c>
      <c r="AB115" s="209" t="e">
        <f t="shared" si="34"/>
        <v>#DIV/0!</v>
      </c>
      <c r="AC115" s="209" t="e">
        <f t="shared" si="34"/>
        <v>#DIV/0!</v>
      </c>
      <c r="AD115" s="209" t="e">
        <f t="shared" si="34"/>
        <v>#DIV/0!</v>
      </c>
      <c r="AE115" s="209" t="e">
        <f t="shared" si="34"/>
        <v>#DIV/0!</v>
      </c>
      <c r="AF115" s="209" t="e">
        <f t="shared" si="34"/>
        <v>#DIV/0!</v>
      </c>
      <c r="AG115" s="209" t="e">
        <f t="shared" si="34"/>
        <v>#DIV/0!</v>
      </c>
      <c r="AH115" s="209" t="e">
        <f t="shared" si="34"/>
        <v>#DIV/0!</v>
      </c>
      <c r="AI115" s="209" t="e">
        <f t="shared" si="34"/>
        <v>#DIV/0!</v>
      </c>
      <c r="AJ115" s="209" t="e">
        <f t="shared" si="34"/>
        <v>#DIV/0!</v>
      </c>
      <c r="AK115" s="209" t="e">
        <f t="shared" si="34"/>
        <v>#DIV/0!</v>
      </c>
      <c r="AL115" s="209" t="e">
        <f t="shared" si="34"/>
        <v>#DIV/0!</v>
      </c>
      <c r="AM115" s="209" t="e">
        <f t="shared" si="34"/>
        <v>#DIV/0!</v>
      </c>
      <c r="AN115" s="209" t="e">
        <f t="shared" si="34"/>
        <v>#DIV/0!</v>
      </c>
      <c r="AO115"/>
      <c r="AP115"/>
      <c r="AQ115"/>
    </row>
    <row r="116" spans="2:43" s="30" customFormat="1" x14ac:dyDescent="0.15">
      <c r="B116" s="333" t="s">
        <v>5</v>
      </c>
      <c r="C116" s="161" t="s">
        <v>184</v>
      </c>
      <c r="D116" s="204" cm="1">
        <f t="array" ref="D116">SUM(SUMIFS('caseload data'!E:E,'caseload data'!$D:$D,"PO",'caseload data'!$A:$A,_xlfn.SINGLE('national caseload'!$B$116:$B$118),'caseload data'!$B:$B,{"licence","community"}))</f>
        <v>0</v>
      </c>
      <c r="E116" s="204" cm="1">
        <f t="array" ref="E116">SUM(SUMIFS('caseload data'!F:F,'caseload data'!$D:$D,"PO",'caseload data'!$A:$A,_xlfn.SINGLE('national caseload'!$B$116:$B$118),'caseload data'!$B:$B,{"licence","community"}))</f>
        <v>0</v>
      </c>
      <c r="F116" s="204" cm="1">
        <f t="array" ref="F116">SUM(SUMIFS('caseload data'!G:G,'caseload data'!$D:$D,"PO",'caseload data'!$A:$A,_xlfn.SINGLE('national caseload'!$B$116:$B$118),'caseload data'!$B:$B,{"licence","community"}))</f>
        <v>0</v>
      </c>
      <c r="G116" s="204" cm="1">
        <f t="array" ref="G116">SUM(SUMIFS('caseload data'!H:H,'caseload data'!$D:$D,"PO",'caseload data'!$A:$A,_xlfn.SINGLE('national caseload'!$B$116:$B$118),'caseload data'!$B:$B,{"licence","community"}))</f>
        <v>0</v>
      </c>
      <c r="H116" s="204" cm="1">
        <f t="array" ref="H116">SUM(SUMIFS('caseload data'!I:I,'caseload data'!$D:$D,"PO",'caseload data'!$A:$A,_xlfn.SINGLE('national caseload'!$B$116:$B$118),'caseload data'!$B:$B,{"licence","community"}))</f>
        <v>0</v>
      </c>
      <c r="I116" s="204" cm="1">
        <f t="array" ref="I116">SUM(SUMIFS('caseload data'!J:J,'caseload data'!$D:$D,"PO",'caseload data'!$A:$A,_xlfn.SINGLE('national caseload'!$B$116:$B$118),'caseload data'!$B:$B,{"licence","community"}))</f>
        <v>0</v>
      </c>
      <c r="J116" s="204" cm="1">
        <f t="array" ref="J116">SUM(SUMIFS('caseload data'!K:K,'caseload data'!$D:$D,"PO",'caseload data'!$A:$A,_xlfn.SINGLE('national caseload'!$B$116:$B$118),'caseload data'!$B:$B,{"licence","community"}))</f>
        <v>0</v>
      </c>
      <c r="K116" s="204" cm="1">
        <f t="array" ref="K116">SUM(SUMIFS('caseload data'!L:L,'caseload data'!$D:$D,"PO",'caseload data'!$A:$A,_xlfn.SINGLE('national caseload'!$B$116:$B$118),'caseload data'!$B:$B,{"licence","community"}))</f>
        <v>0</v>
      </c>
      <c r="L116" s="204" cm="1">
        <f t="array" ref="L116">SUM(SUMIFS('caseload data'!M:M,'caseload data'!$D:$D,"PO",'caseload data'!$A:$A,_xlfn.SINGLE('national caseload'!$B$116:$B$118),'caseload data'!$B:$B,{"licence","community"}))</f>
        <v>0</v>
      </c>
      <c r="M116" s="204" cm="1">
        <f t="array" ref="M116">SUM(SUMIFS('caseload data'!N:N,'caseload data'!$D:$D,"PO",'caseload data'!$A:$A,_xlfn.SINGLE('national caseload'!$B$116:$B$118),'caseload data'!$B:$B,{"licence","community"}))</f>
        <v>0</v>
      </c>
      <c r="N116" s="204" cm="1">
        <f t="array" ref="N116">SUM(SUMIFS('caseload data'!O:O,'caseload data'!$D:$D,"PO",'caseload data'!$A:$A,_xlfn.SINGLE('national caseload'!$B$116:$B$118),'caseload data'!$B:$B,{"licence","community"}))</f>
        <v>0</v>
      </c>
      <c r="O116" s="204" cm="1">
        <f t="array" ref="O116">SUM(SUMIFS('caseload data'!P:P,'caseload data'!$D:$D,"PO",'caseload data'!$A:$A,_xlfn.SINGLE('national caseload'!$B$116:$B$118),'caseload data'!$B:$B,{"licence","community"}))</f>
        <v>0</v>
      </c>
      <c r="P116" s="204" cm="1">
        <f t="array" ref="P116">SUM(SUMIFS('caseload data'!Q:Q,'caseload data'!$D:$D,"PO",'caseload data'!$A:$A,_xlfn.SINGLE('national caseload'!$B$116:$B$118),'caseload data'!$B:$B,{"licence","community"}))</f>
        <v>0</v>
      </c>
      <c r="Q116" s="204" cm="1">
        <f t="array" ref="Q116">SUM(SUMIFS('caseload data'!R:R,'caseload data'!$D:$D,"PO",'caseload data'!$A:$A,_xlfn.SINGLE('national caseload'!$B$116:$B$118),'caseload data'!$B:$B,{"licence","community"}))</f>
        <v>0</v>
      </c>
      <c r="R116" s="204" cm="1">
        <f t="array" ref="R116">SUM(SUMIFS('caseload data'!S:S,'caseload data'!$D:$D,"PO",'caseload data'!$A:$A,_xlfn.SINGLE('national caseload'!$B$116:$B$118),'caseload data'!$B:$B,{"licence","community"}))</f>
        <v>0</v>
      </c>
      <c r="S116" s="204" cm="1">
        <f t="array" ref="S116">SUM(SUMIFS('caseload data'!T:T,'caseload data'!$D:$D,"PO",'caseload data'!$A:$A,_xlfn.SINGLE('national caseload'!$B$116:$B$118),'caseload data'!$B:$B,{"licence","community"}))</f>
        <v>0</v>
      </c>
      <c r="T116" s="126">
        <f>SUM(SUMIFS('caseload data'!V:V,'caseload data'!D:D,"PO",'caseload data'!A:A,'national caseload'!B116:B118,'caseload data'!B:B,{"licence","community"}))</f>
        <v>0</v>
      </c>
      <c r="U116" s="95"/>
      <c r="V116" s="95"/>
      <c r="W116" s="333" t="s">
        <v>5</v>
      </c>
      <c r="X116" s="161" t="s">
        <v>184</v>
      </c>
      <c r="Y116" s="209" t="e">
        <f t="shared" si="33"/>
        <v>#DIV/0!</v>
      </c>
      <c r="Z116" s="209" t="e">
        <f t="shared" si="34"/>
        <v>#DIV/0!</v>
      </c>
      <c r="AA116" s="209" t="e">
        <f t="shared" si="34"/>
        <v>#DIV/0!</v>
      </c>
      <c r="AB116" s="209" t="e">
        <f t="shared" si="34"/>
        <v>#DIV/0!</v>
      </c>
      <c r="AC116" s="209" t="e">
        <f t="shared" si="34"/>
        <v>#DIV/0!</v>
      </c>
      <c r="AD116" s="209" t="e">
        <f t="shared" si="34"/>
        <v>#DIV/0!</v>
      </c>
      <c r="AE116" s="209" t="e">
        <f t="shared" si="34"/>
        <v>#DIV/0!</v>
      </c>
      <c r="AF116" s="209" t="e">
        <f t="shared" si="34"/>
        <v>#DIV/0!</v>
      </c>
      <c r="AG116" s="209" t="e">
        <f t="shared" si="34"/>
        <v>#DIV/0!</v>
      </c>
      <c r="AH116" s="209" t="e">
        <f t="shared" si="34"/>
        <v>#DIV/0!</v>
      </c>
      <c r="AI116" s="209" t="e">
        <f t="shared" si="34"/>
        <v>#DIV/0!</v>
      </c>
      <c r="AJ116" s="209" t="e">
        <f t="shared" si="34"/>
        <v>#DIV/0!</v>
      </c>
      <c r="AK116" s="209" t="e">
        <f t="shared" si="34"/>
        <v>#DIV/0!</v>
      </c>
      <c r="AL116" s="209" t="e">
        <f t="shared" si="34"/>
        <v>#DIV/0!</v>
      </c>
      <c r="AM116" s="209" t="e">
        <f t="shared" si="34"/>
        <v>#DIV/0!</v>
      </c>
      <c r="AN116" s="209" t="e">
        <f t="shared" si="34"/>
        <v>#DIV/0!</v>
      </c>
      <c r="AO116"/>
      <c r="AP116"/>
      <c r="AQ116"/>
    </row>
    <row r="117" spans="2:43" s="30" customFormat="1" x14ac:dyDescent="0.15">
      <c r="B117" s="334"/>
      <c r="C117" s="162" t="s">
        <v>185</v>
      </c>
      <c r="D117" s="204" cm="1">
        <f t="array" ref="D117">SUM(SUMIFS('caseload data'!E:E,'caseload data'!$D:$D,"PSO",'caseload data'!$A:$A,"NPS Greater Manchester",'caseload data'!$B:$B,{"licence","community"}))</f>
        <v>0</v>
      </c>
      <c r="E117" s="204" cm="1">
        <f t="array" ref="E117">SUM(SUMIFS('caseload data'!F:F,'caseload data'!$D:$D,"PSO",'caseload data'!$A:$A,"NPS Greater Manchester",'caseload data'!$B:$B,{"licence","community"}))</f>
        <v>0</v>
      </c>
      <c r="F117" s="204" cm="1">
        <f t="array" ref="F117">SUM(SUMIFS('caseload data'!G:G,'caseload data'!$D:$D,"PSO",'caseload data'!$A:$A,"NPS Greater Manchester",'caseload data'!$B:$B,{"licence","community"}))</f>
        <v>0</v>
      </c>
      <c r="G117" s="204" cm="1">
        <f t="array" ref="G117">SUM(SUMIFS('caseload data'!H:H,'caseload data'!$D:$D,"PSO",'caseload data'!$A:$A,"NPS Greater Manchester",'caseload data'!$B:$B,{"licence","community"}))</f>
        <v>0</v>
      </c>
      <c r="H117" s="204" cm="1">
        <f t="array" ref="H117">SUM(SUMIFS('caseload data'!I:I,'caseload data'!$D:$D,"PSO",'caseload data'!$A:$A,"NPS Greater Manchester",'caseload data'!$B:$B,{"licence","community"}))</f>
        <v>0</v>
      </c>
      <c r="I117" s="204" cm="1">
        <f t="array" ref="I117">SUM(SUMIFS('caseload data'!J:J,'caseload data'!$D:$D,"PSO",'caseload data'!$A:$A,"NPS Greater Manchester",'caseload data'!$B:$B,{"licence","community"}))</f>
        <v>0</v>
      </c>
      <c r="J117" s="204" cm="1">
        <f t="array" ref="J117">SUM(SUMIFS('caseload data'!K:K,'caseload data'!$D:$D,"PSO",'caseload data'!$A:$A,"NPS Greater Manchester",'caseload data'!$B:$B,{"licence","community"}))</f>
        <v>0</v>
      </c>
      <c r="K117" s="204" cm="1">
        <f t="array" ref="K117">SUM(SUMIFS('caseload data'!L:L,'caseload data'!$D:$D,"PSO",'caseload data'!$A:$A,"NPS Greater Manchester",'caseload data'!$B:$B,{"licence","community"}))</f>
        <v>0</v>
      </c>
      <c r="L117" s="204" cm="1">
        <f t="array" ref="L117">SUM(SUMIFS('caseload data'!M:M,'caseload data'!$D:$D,"PSO",'caseload data'!$A:$A,"NPS Greater Manchester",'caseload data'!$B:$B,{"licence","community"}))</f>
        <v>0</v>
      </c>
      <c r="M117" s="204" cm="1">
        <f t="array" ref="M117">SUM(SUMIFS('caseload data'!N:N,'caseload data'!$D:$D,"PSO",'caseload data'!$A:$A,"NPS Greater Manchester",'caseload data'!$B:$B,{"licence","community"}))</f>
        <v>0</v>
      </c>
      <c r="N117" s="204" cm="1">
        <f t="array" ref="N117">SUM(SUMIFS('caseload data'!O:O,'caseload data'!$D:$D,"PSO",'caseload data'!$A:$A,"NPS Greater Manchester",'caseload data'!$B:$B,{"licence","community"}))</f>
        <v>0</v>
      </c>
      <c r="O117" s="204" cm="1">
        <f t="array" ref="O117">SUM(SUMIFS('caseload data'!P:P,'caseload data'!$D:$D,"PSO",'caseload data'!$A:$A,"NPS Greater Manchester",'caseload data'!$B:$B,{"licence","community"}))</f>
        <v>0</v>
      </c>
      <c r="P117" s="204" cm="1">
        <f t="array" ref="P117">SUM(SUMIFS('caseload data'!Q:Q,'caseload data'!$D:$D,"PSO",'caseload data'!$A:$A,"NPS Greater Manchester",'caseload data'!$B:$B,{"licence","community"}))</f>
        <v>0</v>
      </c>
      <c r="Q117" s="204" cm="1">
        <f t="array" ref="Q117">SUM(SUMIFS('caseload data'!R:R,'caseload data'!$D:$D,"PSO",'caseload data'!$A:$A,"NPS Greater Manchester",'caseload data'!$B:$B,{"licence","community"}))</f>
        <v>0</v>
      </c>
      <c r="R117" s="204" cm="1">
        <f t="array" ref="R117">SUM(SUMIFS('caseload data'!S:S,'caseload data'!$D:$D,"PSO",'caseload data'!$A:$A,"NPS Greater Manchester",'caseload data'!$B:$B,{"licence","community"}))</f>
        <v>0</v>
      </c>
      <c r="S117" s="204" cm="1">
        <f t="array" ref="S117">SUM(SUMIFS('caseload data'!T:T,'caseload data'!$D:$D,"PSO",'caseload data'!$A:$A,"NPS Greater Manchester",'caseload data'!$B:$B,{"licence","community"}))</f>
        <v>0</v>
      </c>
      <c r="T117" s="126">
        <f>SUM(SUMIFS('caseload data'!V:V,'caseload data'!D:D,"PSO",'caseload data'!A:A,"NPS Greater Manchester",'caseload data'!B:B,{"licence","community"}))</f>
        <v>0</v>
      </c>
      <c r="U117" s="95"/>
      <c r="V117" s="95"/>
      <c r="W117" s="334"/>
      <c r="X117" s="162" t="s">
        <v>185</v>
      </c>
      <c r="Y117" s="209" t="e">
        <f t="shared" si="33"/>
        <v>#DIV/0!</v>
      </c>
      <c r="Z117" s="209" t="e">
        <f t="shared" si="34"/>
        <v>#DIV/0!</v>
      </c>
      <c r="AA117" s="209" t="e">
        <f t="shared" si="34"/>
        <v>#DIV/0!</v>
      </c>
      <c r="AB117" s="209" t="e">
        <f t="shared" si="34"/>
        <v>#DIV/0!</v>
      </c>
      <c r="AC117" s="209" t="e">
        <f t="shared" si="34"/>
        <v>#DIV/0!</v>
      </c>
      <c r="AD117" s="209" t="e">
        <f t="shared" si="34"/>
        <v>#DIV/0!</v>
      </c>
      <c r="AE117" s="209" t="e">
        <f t="shared" si="34"/>
        <v>#DIV/0!</v>
      </c>
      <c r="AF117" s="209" t="e">
        <f t="shared" si="34"/>
        <v>#DIV/0!</v>
      </c>
      <c r="AG117" s="209" t="e">
        <f t="shared" si="34"/>
        <v>#DIV/0!</v>
      </c>
      <c r="AH117" s="209" t="e">
        <f t="shared" si="34"/>
        <v>#DIV/0!</v>
      </c>
      <c r="AI117" s="209" t="e">
        <f t="shared" si="34"/>
        <v>#DIV/0!</v>
      </c>
      <c r="AJ117" s="209" t="e">
        <f t="shared" si="34"/>
        <v>#DIV/0!</v>
      </c>
      <c r="AK117" s="209" t="e">
        <f t="shared" si="34"/>
        <v>#DIV/0!</v>
      </c>
      <c r="AL117" s="209" t="e">
        <f t="shared" si="34"/>
        <v>#DIV/0!</v>
      </c>
      <c r="AM117" s="209" t="e">
        <f t="shared" si="34"/>
        <v>#DIV/0!</v>
      </c>
      <c r="AN117" s="209" t="e">
        <f t="shared" si="34"/>
        <v>#DIV/0!</v>
      </c>
      <c r="AO117"/>
      <c r="AP117"/>
      <c r="AQ117"/>
    </row>
    <row r="118" spans="2:43" s="30" customFormat="1" x14ac:dyDescent="0.15">
      <c r="B118" s="334"/>
      <c r="C118" s="162" t="s">
        <v>186</v>
      </c>
      <c r="D118" s="204" cm="1">
        <f t="array" ref="D118">SUM(SUMIFS('caseload data'!E:E,'caseload data'!$D:$D,"TPO",'caseload data'!$A:$A,"NPS Greater Manchester",'caseload data'!$B:$B,{"licence","community"}))</f>
        <v>0</v>
      </c>
      <c r="E118" s="204" cm="1">
        <f t="array" ref="E118">SUM(SUMIFS('caseload data'!F:F,'caseload data'!$D:$D,"TPO",'caseload data'!$A:$A,"NPS Greater Manchester",'caseload data'!$B:$B,{"licence","community"}))</f>
        <v>0</v>
      </c>
      <c r="F118" s="204" cm="1">
        <f t="array" ref="F118">SUM(SUMIFS('caseload data'!G:G,'caseload data'!$D:$D,"TPO",'caseload data'!$A:$A,"NPS Greater Manchester",'caseload data'!$B:$B,{"licence","community"}))</f>
        <v>0</v>
      </c>
      <c r="G118" s="204" cm="1">
        <f t="array" ref="G118">SUM(SUMIFS('caseload data'!H:H,'caseload data'!$D:$D,"TPO",'caseload data'!$A:$A,"NPS Greater Manchester",'caseload data'!$B:$B,{"licence","community"}))</f>
        <v>0</v>
      </c>
      <c r="H118" s="204" cm="1">
        <f t="array" ref="H118">SUM(SUMIFS('caseload data'!I:I,'caseload data'!$D:$D,"TPO",'caseload data'!$A:$A,"NPS Greater Manchester",'caseload data'!$B:$B,{"licence","community"}))</f>
        <v>0</v>
      </c>
      <c r="I118" s="204" cm="1">
        <f t="array" ref="I118">SUM(SUMIFS('caseload data'!J:J,'caseload data'!$D:$D,"TPO",'caseload data'!$A:$A,"NPS Greater Manchester",'caseload data'!$B:$B,{"licence","community"}))</f>
        <v>0</v>
      </c>
      <c r="J118" s="204" cm="1">
        <f t="array" ref="J118">SUM(SUMIFS('caseload data'!K:K,'caseload data'!$D:$D,"TPO",'caseload data'!$A:$A,"NPS Greater Manchester",'caseload data'!$B:$B,{"licence","community"}))</f>
        <v>0</v>
      </c>
      <c r="K118" s="204" cm="1">
        <f t="array" ref="K118">SUM(SUMIFS('caseload data'!L:L,'caseload data'!$D:$D,"TPO",'caseload data'!$A:$A,"NPS Greater Manchester",'caseload data'!$B:$B,{"licence","community"}))</f>
        <v>0</v>
      </c>
      <c r="L118" s="204" cm="1">
        <f t="array" ref="L118">SUM(SUMIFS('caseload data'!M:M,'caseload data'!$D:$D,"TPO",'caseload data'!$A:$A,"NPS Greater Manchester",'caseload data'!$B:$B,{"licence","community"}))</f>
        <v>0</v>
      </c>
      <c r="M118" s="204" cm="1">
        <f t="array" ref="M118">SUM(SUMIFS('caseload data'!N:N,'caseload data'!$D:$D,"TPO",'caseload data'!$A:$A,"NPS Greater Manchester",'caseload data'!$B:$B,{"licence","community"}))</f>
        <v>0</v>
      </c>
      <c r="N118" s="204" cm="1">
        <f t="array" ref="N118">SUM(SUMIFS('caseload data'!O:O,'caseload data'!$D:$D,"TPO",'caseload data'!$A:$A,"NPS Greater Manchester",'caseload data'!$B:$B,{"licence","community"}))</f>
        <v>0</v>
      </c>
      <c r="O118" s="204" cm="1">
        <f t="array" ref="O118">SUM(SUMIFS('caseload data'!P:P,'caseload data'!$D:$D,"TPO",'caseload data'!$A:$A,"NPS Greater Manchester",'caseload data'!$B:$B,{"licence","community"}))</f>
        <v>0</v>
      </c>
      <c r="P118" s="204" cm="1">
        <f t="array" ref="P118">SUM(SUMIFS('caseload data'!Q:Q,'caseload data'!$D:$D,"TPO",'caseload data'!$A:$A,"NPS Greater Manchester",'caseload data'!$B:$B,{"licence","community"}))</f>
        <v>0</v>
      </c>
      <c r="Q118" s="204" cm="1">
        <f t="array" ref="Q118">SUM(SUMIFS('caseload data'!R:R,'caseload data'!$D:$D,"TPO",'caseload data'!$A:$A,"NPS Greater Manchester",'caseload data'!$B:$B,{"licence","community"}))</f>
        <v>0</v>
      </c>
      <c r="R118" s="204" cm="1">
        <f t="array" ref="R118">SUM(SUMIFS('caseload data'!S:S,'caseload data'!$D:$D,"TPO",'caseload data'!$A:$A,"NPS Greater Manchester",'caseload data'!$B:$B,{"licence","community"}))</f>
        <v>0</v>
      </c>
      <c r="S118" s="204" cm="1">
        <f t="array" ref="S118">SUM(SUMIFS('caseload data'!T:T,'caseload data'!$D:$D,"TPO",'caseload data'!$A:$A,"NPS Greater Manchester",'caseload data'!$B:$B,{"licence","community"}))</f>
        <v>0</v>
      </c>
      <c r="T118" s="126">
        <f>SUM(SUMIFS('caseload data'!V:V,'caseload data'!D:D,"TPO",'caseload data'!A:A,"NPS Greater Manchester",'caseload data'!B:B,{"licence","community"}))</f>
        <v>0</v>
      </c>
      <c r="U118" s="95"/>
      <c r="V118" s="95"/>
      <c r="W118" s="334"/>
      <c r="X118" s="162" t="s">
        <v>186</v>
      </c>
      <c r="Y118" s="209" t="e">
        <f t="shared" si="33"/>
        <v>#DIV/0!</v>
      </c>
      <c r="Z118" s="209" t="e">
        <f t="shared" si="34"/>
        <v>#DIV/0!</v>
      </c>
      <c r="AA118" s="209" t="e">
        <f t="shared" si="34"/>
        <v>#DIV/0!</v>
      </c>
      <c r="AB118" s="209" t="e">
        <f t="shared" si="34"/>
        <v>#DIV/0!</v>
      </c>
      <c r="AC118" s="209" t="e">
        <f t="shared" si="34"/>
        <v>#DIV/0!</v>
      </c>
      <c r="AD118" s="209" t="e">
        <f t="shared" si="34"/>
        <v>#DIV/0!</v>
      </c>
      <c r="AE118" s="209" t="e">
        <f t="shared" si="34"/>
        <v>#DIV/0!</v>
      </c>
      <c r="AF118" s="209" t="e">
        <f t="shared" si="34"/>
        <v>#DIV/0!</v>
      </c>
      <c r="AG118" s="209" t="e">
        <f t="shared" si="34"/>
        <v>#DIV/0!</v>
      </c>
      <c r="AH118" s="209" t="e">
        <f t="shared" si="34"/>
        <v>#DIV/0!</v>
      </c>
      <c r="AI118" s="209" t="e">
        <f t="shared" si="34"/>
        <v>#DIV/0!</v>
      </c>
      <c r="AJ118" s="209" t="e">
        <f t="shared" si="34"/>
        <v>#DIV/0!</v>
      </c>
      <c r="AK118" s="209" t="e">
        <f t="shared" si="34"/>
        <v>#DIV/0!</v>
      </c>
      <c r="AL118" s="209" t="e">
        <f t="shared" si="34"/>
        <v>#DIV/0!</v>
      </c>
      <c r="AM118" s="209" t="e">
        <f t="shared" si="34"/>
        <v>#DIV/0!</v>
      </c>
      <c r="AN118" s="209" t="e">
        <f t="shared" si="34"/>
        <v>#DIV/0!</v>
      </c>
      <c r="AO118"/>
      <c r="AP118"/>
      <c r="AQ118"/>
    </row>
    <row r="119" spans="2:43" s="30" customFormat="1" x14ac:dyDescent="0.15">
      <c r="B119" s="335"/>
      <c r="C119" s="163" t="s">
        <v>187</v>
      </c>
      <c r="D119" s="204">
        <f>SUM(SUMIFS('caseload data'!E:E,'caseload data'!$D:$D,"SPO",'caseload data'!$A:$A,"NPS Greater Manchester",'caseload data'!$B:$B,{"licence","community"}))</f>
        <v>0</v>
      </c>
      <c r="E119" s="204">
        <f>SUM(SUMIFS('caseload data'!F:F,'caseload data'!$D:$D,"SPO",'caseload data'!$A:$A,"NPS Greater Manchester",'caseload data'!$B:$B,{"licence","community"}))</f>
        <v>0</v>
      </c>
      <c r="F119" s="204">
        <f>SUM(SUMIFS('caseload data'!G:G,'caseload data'!$D:$D,"SPO",'caseload data'!$A:$A,"NPS Greater Manchester",'caseload data'!$B:$B,{"licence","community"}))</f>
        <v>0</v>
      </c>
      <c r="G119" s="204">
        <f>SUM(SUMIFS('caseload data'!H:H,'caseload data'!$D:$D,"SPO",'caseload data'!$A:$A,"NPS Greater Manchester",'caseload data'!$B:$B,{"licence","community"}))</f>
        <v>0</v>
      </c>
      <c r="H119" s="204">
        <f>SUM(SUMIFS('caseload data'!I:I,'caseload data'!$D:$D,"SPO",'caseload data'!$A:$A,"NPS Greater Manchester",'caseload data'!$B:$B,{"licence","community"}))</f>
        <v>0</v>
      </c>
      <c r="I119" s="204">
        <f>SUM(SUMIFS('caseload data'!J:J,'caseload data'!$D:$D,"SPO",'caseload data'!$A:$A,"NPS Greater Manchester",'caseload data'!$B:$B,{"licence","community"}))</f>
        <v>0</v>
      </c>
      <c r="J119" s="204">
        <f>SUM(SUMIFS('caseload data'!K:K,'caseload data'!$D:$D,"SPO",'caseload data'!$A:$A,"NPS Greater Manchester",'caseload data'!$B:$B,{"licence","community"}))</f>
        <v>0</v>
      </c>
      <c r="K119" s="204">
        <f>SUM(SUMIFS('caseload data'!L:L,'caseload data'!$D:$D,"SPO",'caseload data'!$A:$A,"NPS Greater Manchester",'caseload data'!$B:$B,{"licence","community"}))</f>
        <v>0</v>
      </c>
      <c r="L119" s="204">
        <f>SUM(SUMIFS('caseload data'!M:M,'caseload data'!$D:$D,"SPO",'caseload data'!$A:$A,"NPS Greater Manchester",'caseload data'!$B:$B,{"licence","community"}))</f>
        <v>0</v>
      </c>
      <c r="M119" s="204">
        <f>SUM(SUMIFS('caseload data'!N:N,'caseload data'!$D:$D,"SPO",'caseload data'!$A:$A,"NPS Greater Manchester",'caseload data'!$B:$B,{"licence","community"}))</f>
        <v>0</v>
      </c>
      <c r="N119" s="204">
        <f>SUM(SUMIFS('caseload data'!O:O,'caseload data'!$D:$D,"SPO",'caseload data'!$A:$A,"NPS Greater Manchester",'caseload data'!$B:$B,{"licence","community"}))</f>
        <v>0</v>
      </c>
      <c r="O119" s="204">
        <f>SUM(SUMIFS('caseload data'!P:P,'caseload data'!$D:$D,"SPO",'caseload data'!$A:$A,"NPS Greater Manchester",'caseload data'!$B:$B,{"licence","community"}))</f>
        <v>0</v>
      </c>
      <c r="P119" s="204">
        <f>SUM(SUMIFS('caseload data'!Q:Q,'caseload data'!$D:$D,"SPO",'caseload data'!$A:$A,"NPS Greater Manchester",'caseload data'!$B:$B,{"licence","community"}))</f>
        <v>0</v>
      </c>
      <c r="Q119" s="204">
        <f>SUM(SUMIFS('caseload data'!R:R,'caseload data'!$D:$D,"SPO",'caseload data'!$A:$A,"NPS Greater Manchester",'caseload data'!$B:$B,{"licence","community"}))</f>
        <v>0</v>
      </c>
      <c r="R119" s="204">
        <f>SUM(SUMIFS('caseload data'!S:S,'caseload data'!$D:$D,"SPO",'caseload data'!$A:$A,"NPS Greater Manchester",'caseload data'!$B:$B,{"licence","community"}))</f>
        <v>0</v>
      </c>
      <c r="S119" s="204">
        <f>SUM(SUMIFS('caseload data'!T:T,'caseload data'!$D:$D,"SPO",'caseload data'!$A:$A,"NPS Greater Manchester",'caseload data'!$B:$B,{"licence","community"}))</f>
        <v>0</v>
      </c>
      <c r="T119" s="126">
        <f>SUM(SUMIFS('caseload data'!V:V,'caseload data'!$D:$D,"SPO",'caseload data'!$A:$A,"NPS Greater Manchester",'caseload data'!$B:$B,{"licence","community"}))</f>
        <v>0</v>
      </c>
      <c r="U119" s="95"/>
      <c r="V119" s="95"/>
      <c r="W119" s="335"/>
      <c r="X119" s="163" t="s">
        <v>187</v>
      </c>
      <c r="Y119" s="209" t="e">
        <f t="shared" si="33"/>
        <v>#DIV/0!</v>
      </c>
      <c r="Z119" s="209" t="e">
        <f t="shared" si="34"/>
        <v>#DIV/0!</v>
      </c>
      <c r="AA119" s="209" t="e">
        <f t="shared" si="34"/>
        <v>#DIV/0!</v>
      </c>
      <c r="AB119" s="209" t="e">
        <f t="shared" si="34"/>
        <v>#DIV/0!</v>
      </c>
      <c r="AC119" s="209" t="e">
        <f t="shared" si="34"/>
        <v>#DIV/0!</v>
      </c>
      <c r="AD119" s="209" t="e">
        <f t="shared" si="34"/>
        <v>#DIV/0!</v>
      </c>
      <c r="AE119" s="209" t="e">
        <f t="shared" si="34"/>
        <v>#DIV/0!</v>
      </c>
      <c r="AF119" s="209" t="e">
        <f t="shared" si="34"/>
        <v>#DIV/0!</v>
      </c>
      <c r="AG119" s="209" t="e">
        <f t="shared" si="34"/>
        <v>#DIV/0!</v>
      </c>
      <c r="AH119" s="209" t="e">
        <f t="shared" si="34"/>
        <v>#DIV/0!</v>
      </c>
      <c r="AI119" s="209" t="e">
        <f t="shared" si="34"/>
        <v>#DIV/0!</v>
      </c>
      <c r="AJ119" s="209" t="e">
        <f t="shared" si="34"/>
        <v>#DIV/0!</v>
      </c>
      <c r="AK119" s="209" t="e">
        <f t="shared" si="34"/>
        <v>#DIV/0!</v>
      </c>
      <c r="AL119" s="209" t="e">
        <f t="shared" si="34"/>
        <v>#DIV/0!</v>
      </c>
      <c r="AM119" s="209" t="e">
        <f t="shared" si="34"/>
        <v>#DIV/0!</v>
      </c>
      <c r="AN119" s="209" t="e">
        <f t="shared" si="34"/>
        <v>#DIV/0!</v>
      </c>
      <c r="AO119"/>
      <c r="AP119"/>
      <c r="AQ119"/>
    </row>
    <row r="120" spans="2:43" s="30" customFormat="1" x14ac:dyDescent="0.15">
      <c r="B120" s="333" t="s">
        <v>6</v>
      </c>
      <c r="C120" s="161" t="s">
        <v>184</v>
      </c>
      <c r="D120" s="204" cm="1">
        <f t="array" ref="D120">SUM(SUMIFS('caseload data'!E:E,'caseload data'!$D:$D,"PO",'caseload data'!$A:$A,_xlfn.SINGLE('national caseload'!$B$120:$B$122),'caseload data'!$B:$B,{"licence","community"}))</f>
        <v>0</v>
      </c>
      <c r="E120" s="204" cm="1">
        <f t="array" ref="E120">SUM(SUMIFS('caseload data'!F:F,'caseload data'!$D:$D,"PO",'caseload data'!$A:$A,_xlfn.SINGLE('national caseload'!$B$120:$B$122),'caseload data'!$B:$B,{"licence","community"}))</f>
        <v>0</v>
      </c>
      <c r="F120" s="204" cm="1">
        <f t="array" ref="F120">SUM(SUMIFS('caseload data'!G:G,'caseload data'!$D:$D,"PO",'caseload data'!$A:$A,_xlfn.SINGLE('national caseload'!$B$120:$B$122),'caseload data'!$B:$B,{"licence","community"}))</f>
        <v>0</v>
      </c>
      <c r="G120" s="204" cm="1">
        <f t="array" ref="G120">SUM(SUMIFS('caseload data'!H:H,'caseload data'!$D:$D,"PO",'caseload data'!$A:$A,_xlfn.SINGLE('national caseload'!$B$120:$B$122),'caseload data'!$B:$B,{"licence","community"}))</f>
        <v>0</v>
      </c>
      <c r="H120" s="204" cm="1">
        <f t="array" ref="H120">SUM(SUMIFS('caseload data'!I:I,'caseload data'!$D:$D,"PO",'caseload data'!$A:$A,_xlfn.SINGLE('national caseload'!$B$120:$B$122),'caseload data'!$B:$B,{"licence","community"}))</f>
        <v>0</v>
      </c>
      <c r="I120" s="204" cm="1">
        <f t="array" ref="I120">SUM(SUMIFS('caseload data'!J:J,'caseload data'!$D:$D,"PO",'caseload data'!$A:$A,_xlfn.SINGLE('national caseload'!$B$120:$B$122),'caseload data'!$B:$B,{"licence","community"}))</f>
        <v>0</v>
      </c>
      <c r="J120" s="204" cm="1">
        <f t="array" ref="J120">SUM(SUMIFS('caseload data'!K:K,'caseload data'!$D:$D,"PO",'caseload data'!$A:$A,_xlfn.SINGLE('national caseload'!$B$120:$B$122),'caseload data'!$B:$B,{"licence","community"}))</f>
        <v>0</v>
      </c>
      <c r="K120" s="204" cm="1">
        <f t="array" ref="K120">SUM(SUMIFS('caseload data'!L:L,'caseload data'!$D:$D,"PO",'caseload data'!$A:$A,_xlfn.SINGLE('national caseload'!$B$120:$B$122),'caseload data'!$B:$B,{"licence","community"}))</f>
        <v>0</v>
      </c>
      <c r="L120" s="204" cm="1">
        <f t="array" ref="L120">SUM(SUMIFS('caseload data'!M:M,'caseload data'!$D:$D,"PO",'caseload data'!$A:$A,_xlfn.SINGLE('national caseload'!$B$120:$B$122),'caseload data'!$B:$B,{"licence","community"}))</f>
        <v>0</v>
      </c>
      <c r="M120" s="204" cm="1">
        <f t="array" ref="M120">SUM(SUMIFS('caseload data'!N:N,'caseload data'!$D:$D,"PO",'caseload data'!$A:$A,_xlfn.SINGLE('national caseload'!$B$120:$B$122),'caseload data'!$B:$B,{"licence","community"}))</f>
        <v>0</v>
      </c>
      <c r="N120" s="204" cm="1">
        <f t="array" ref="N120">SUM(SUMIFS('caseload data'!O:O,'caseload data'!$D:$D,"PO",'caseload data'!$A:$A,_xlfn.SINGLE('national caseload'!$B$120:$B$122),'caseload data'!$B:$B,{"licence","community"}))</f>
        <v>0</v>
      </c>
      <c r="O120" s="204" cm="1">
        <f t="array" ref="O120">SUM(SUMIFS('caseload data'!P:P,'caseload data'!$D:$D,"PO",'caseload data'!$A:$A,_xlfn.SINGLE('national caseload'!$B$120:$B$122),'caseload data'!$B:$B,{"licence","community"}))</f>
        <v>0</v>
      </c>
      <c r="P120" s="204" cm="1">
        <f t="array" ref="P120">SUM(SUMIFS('caseload data'!Q:Q,'caseload data'!$D:$D,"PO",'caseload data'!$A:$A,_xlfn.SINGLE('national caseload'!$B$120:$B$122),'caseload data'!$B:$B,{"licence","community"}))</f>
        <v>0</v>
      </c>
      <c r="Q120" s="204" cm="1">
        <f t="array" ref="Q120">SUM(SUMIFS('caseload data'!R:R,'caseload data'!$D:$D,"PO",'caseload data'!$A:$A,_xlfn.SINGLE('national caseload'!$B$120:$B$122),'caseload data'!$B:$B,{"licence","community"}))</f>
        <v>0</v>
      </c>
      <c r="R120" s="204" cm="1">
        <f t="array" ref="R120">SUM(SUMIFS('caseload data'!S:S,'caseload data'!$D:$D,"PO",'caseload data'!$A:$A,_xlfn.SINGLE('national caseload'!$B$120:$B$122),'caseload data'!$B:$B,{"licence","community"}))</f>
        <v>0</v>
      </c>
      <c r="S120" s="204" cm="1">
        <f t="array" ref="S120">SUM(SUMIFS('caseload data'!T:T,'caseload data'!$D:$D,"PO",'caseload data'!$A:$A,_xlfn.SINGLE('national caseload'!$B$120:$B$122),'caseload data'!$B:$B,{"licence","community"}))</f>
        <v>0</v>
      </c>
      <c r="T120" s="126">
        <f>SUM(SUMIFS('caseload data'!V:V,'caseload data'!D:D,"PO",'caseload data'!A:A,'national caseload'!B120:B122,'caseload data'!B:B,{"licence","community"}))</f>
        <v>0</v>
      </c>
      <c r="U120" s="95"/>
      <c r="V120" s="95"/>
      <c r="W120" s="333" t="s">
        <v>6</v>
      </c>
      <c r="X120" s="161" t="s">
        <v>184</v>
      </c>
      <c r="Y120" s="209" t="e">
        <f t="shared" si="33"/>
        <v>#DIV/0!</v>
      </c>
      <c r="Z120" s="209" t="e">
        <f t="shared" si="34"/>
        <v>#DIV/0!</v>
      </c>
      <c r="AA120" s="209" t="e">
        <f t="shared" si="34"/>
        <v>#DIV/0!</v>
      </c>
      <c r="AB120" s="209" t="e">
        <f t="shared" si="34"/>
        <v>#DIV/0!</v>
      </c>
      <c r="AC120" s="209" t="e">
        <f t="shared" si="34"/>
        <v>#DIV/0!</v>
      </c>
      <c r="AD120" s="209" t="e">
        <f t="shared" si="34"/>
        <v>#DIV/0!</v>
      </c>
      <c r="AE120" s="209" t="e">
        <f t="shared" si="34"/>
        <v>#DIV/0!</v>
      </c>
      <c r="AF120" s="209" t="e">
        <f t="shared" si="34"/>
        <v>#DIV/0!</v>
      </c>
      <c r="AG120" s="209" t="e">
        <f t="shared" si="34"/>
        <v>#DIV/0!</v>
      </c>
      <c r="AH120" s="209" t="e">
        <f t="shared" si="34"/>
        <v>#DIV/0!</v>
      </c>
      <c r="AI120" s="209" t="e">
        <f t="shared" si="34"/>
        <v>#DIV/0!</v>
      </c>
      <c r="AJ120" s="209" t="e">
        <f t="shared" si="34"/>
        <v>#DIV/0!</v>
      </c>
      <c r="AK120" s="209" t="e">
        <f t="shared" si="34"/>
        <v>#DIV/0!</v>
      </c>
      <c r="AL120" s="209" t="e">
        <f t="shared" si="34"/>
        <v>#DIV/0!</v>
      </c>
      <c r="AM120" s="209" t="e">
        <f t="shared" si="34"/>
        <v>#DIV/0!</v>
      </c>
      <c r="AN120" s="209" t="e">
        <f t="shared" si="34"/>
        <v>#DIV/0!</v>
      </c>
      <c r="AO120"/>
      <c r="AP120"/>
      <c r="AQ120"/>
    </row>
    <row r="121" spans="2:43" s="30" customFormat="1" x14ac:dyDescent="0.15">
      <c r="B121" s="334"/>
      <c r="C121" s="162" t="s">
        <v>185</v>
      </c>
      <c r="D121" s="204" cm="1">
        <f t="array" ref="D121">SUM(SUMIFS('caseload data'!E:E,'caseload data'!$D:$D,"PSO",'caseload data'!$A:$A,"NPS Kent Surrey Sussex Region",'caseload data'!$B:$B,{"licence","community"}))</f>
        <v>0</v>
      </c>
      <c r="E121" s="204" cm="1">
        <f t="array" ref="E121">SUM(SUMIFS('caseload data'!F:F,'caseload data'!$D:$D,"PSO",'caseload data'!$A:$A,"NPS Kent Surrey Sussex Region",'caseload data'!$B:$B,{"licence","community"}))</f>
        <v>0</v>
      </c>
      <c r="F121" s="204" cm="1">
        <f t="array" ref="F121">SUM(SUMIFS('caseload data'!G:G,'caseload data'!$D:$D,"PSO",'caseload data'!$A:$A,"NPS Kent Surrey Sussex Region",'caseload data'!$B:$B,{"licence","community"}))</f>
        <v>0</v>
      </c>
      <c r="G121" s="204" cm="1">
        <f t="array" ref="G121">SUM(SUMIFS('caseload data'!H:H,'caseload data'!$D:$D,"PSO",'caseload data'!$A:$A,"NPS Kent Surrey Sussex Region",'caseload data'!$B:$B,{"licence","community"}))</f>
        <v>0</v>
      </c>
      <c r="H121" s="204" cm="1">
        <f t="array" ref="H121">SUM(SUMIFS('caseload data'!I:I,'caseload data'!$D:$D,"PSO",'caseload data'!$A:$A,"NPS Kent Surrey Sussex Region",'caseload data'!$B:$B,{"licence","community"}))</f>
        <v>0</v>
      </c>
      <c r="I121" s="204" cm="1">
        <f t="array" ref="I121">SUM(SUMIFS('caseload data'!J:J,'caseload data'!$D:$D,"PSO",'caseload data'!$A:$A,"NPS Kent Surrey Sussex Region",'caseload data'!$B:$B,{"licence","community"}))</f>
        <v>0</v>
      </c>
      <c r="J121" s="204" cm="1">
        <f t="array" ref="J121">SUM(SUMIFS('caseload data'!K:K,'caseload data'!$D:$D,"PSO",'caseload data'!$A:$A,"NPS Kent Surrey Sussex Region",'caseload data'!$B:$B,{"licence","community"}))</f>
        <v>0</v>
      </c>
      <c r="K121" s="204" cm="1">
        <f t="array" ref="K121">SUM(SUMIFS('caseload data'!L:L,'caseload data'!$D:$D,"PSO",'caseload data'!$A:$A,"NPS Kent Surrey Sussex Region",'caseload data'!$B:$B,{"licence","community"}))</f>
        <v>0</v>
      </c>
      <c r="L121" s="204" cm="1">
        <f t="array" ref="L121">SUM(SUMIFS('caseload data'!M:M,'caseload data'!$D:$D,"PSO",'caseload data'!$A:$A,"NPS Kent Surrey Sussex Region",'caseload data'!$B:$B,{"licence","community"}))</f>
        <v>0</v>
      </c>
      <c r="M121" s="204" cm="1">
        <f t="array" ref="M121">SUM(SUMIFS('caseload data'!N:N,'caseload data'!$D:$D,"PSO",'caseload data'!$A:$A,"NPS Kent Surrey Sussex Region",'caseload data'!$B:$B,{"licence","community"}))</f>
        <v>0</v>
      </c>
      <c r="N121" s="204" cm="1">
        <f t="array" ref="N121">SUM(SUMIFS('caseload data'!O:O,'caseload data'!$D:$D,"PSO",'caseload data'!$A:$A,"NPS Kent Surrey Sussex Region",'caseload data'!$B:$B,{"licence","community"}))</f>
        <v>0</v>
      </c>
      <c r="O121" s="204" cm="1">
        <f t="array" ref="O121">SUM(SUMIFS('caseload data'!P:P,'caseload data'!$D:$D,"PSO",'caseload data'!$A:$A,"NPS Kent Surrey Sussex Region",'caseload data'!$B:$B,{"licence","community"}))</f>
        <v>0</v>
      </c>
      <c r="P121" s="204" cm="1">
        <f t="array" ref="P121">SUM(SUMIFS('caseload data'!Q:Q,'caseload data'!$D:$D,"PSO",'caseload data'!$A:$A,"NPS Kent Surrey Sussex Region",'caseload data'!$B:$B,{"licence","community"}))</f>
        <v>0</v>
      </c>
      <c r="Q121" s="204" cm="1">
        <f t="array" ref="Q121">SUM(SUMIFS('caseload data'!R:R,'caseload data'!$D:$D,"PSO",'caseload data'!$A:$A,"NPS Kent Surrey Sussex Region",'caseload data'!$B:$B,{"licence","community"}))</f>
        <v>0</v>
      </c>
      <c r="R121" s="204" cm="1">
        <f t="array" ref="R121">SUM(SUMIFS('caseload data'!S:S,'caseload data'!$D:$D,"PSO",'caseload data'!$A:$A,"NPS Kent Surrey Sussex Region",'caseload data'!$B:$B,{"licence","community"}))</f>
        <v>0</v>
      </c>
      <c r="S121" s="204" cm="1">
        <f t="array" ref="S121">SUM(SUMIFS('caseload data'!T:T,'caseload data'!$D:$D,"PSO",'caseload data'!$A:$A,"NPS Kent Surrey Sussex Region",'caseload data'!$B:$B,{"licence","community"}))</f>
        <v>0</v>
      </c>
      <c r="T121" s="126">
        <f>SUM(SUMIFS('caseload data'!V:V,'caseload data'!D:D,"PSO",'caseload data'!A:A,"NPS Kent Surrey Sussex Region",'caseload data'!B:B,{"licence","community"}))</f>
        <v>0</v>
      </c>
      <c r="U121" s="95"/>
      <c r="V121" s="95"/>
      <c r="W121" s="334"/>
      <c r="X121" s="162" t="s">
        <v>185</v>
      </c>
      <c r="Y121" s="209" t="e">
        <f t="shared" si="33"/>
        <v>#DIV/0!</v>
      </c>
      <c r="Z121" s="209" t="e">
        <f t="shared" si="34"/>
        <v>#DIV/0!</v>
      </c>
      <c r="AA121" s="209" t="e">
        <f t="shared" si="34"/>
        <v>#DIV/0!</v>
      </c>
      <c r="AB121" s="209" t="e">
        <f t="shared" si="34"/>
        <v>#DIV/0!</v>
      </c>
      <c r="AC121" s="209" t="e">
        <f t="shared" si="34"/>
        <v>#DIV/0!</v>
      </c>
      <c r="AD121" s="209" t="e">
        <f t="shared" si="34"/>
        <v>#DIV/0!</v>
      </c>
      <c r="AE121" s="209" t="e">
        <f t="shared" si="34"/>
        <v>#DIV/0!</v>
      </c>
      <c r="AF121" s="209" t="e">
        <f t="shared" si="34"/>
        <v>#DIV/0!</v>
      </c>
      <c r="AG121" s="209" t="e">
        <f t="shared" si="34"/>
        <v>#DIV/0!</v>
      </c>
      <c r="AH121" s="209" t="e">
        <f t="shared" si="34"/>
        <v>#DIV/0!</v>
      </c>
      <c r="AI121" s="209" t="e">
        <f t="shared" si="34"/>
        <v>#DIV/0!</v>
      </c>
      <c r="AJ121" s="209" t="e">
        <f t="shared" si="34"/>
        <v>#DIV/0!</v>
      </c>
      <c r="AK121" s="209" t="e">
        <f t="shared" si="34"/>
        <v>#DIV/0!</v>
      </c>
      <c r="AL121" s="209" t="e">
        <f t="shared" si="34"/>
        <v>#DIV/0!</v>
      </c>
      <c r="AM121" s="209" t="e">
        <f t="shared" si="34"/>
        <v>#DIV/0!</v>
      </c>
      <c r="AN121" s="209" t="e">
        <f t="shared" si="34"/>
        <v>#DIV/0!</v>
      </c>
      <c r="AO121"/>
      <c r="AP121"/>
      <c r="AQ121"/>
    </row>
    <row r="122" spans="2:43" s="30" customFormat="1" x14ac:dyDescent="0.15">
      <c r="B122" s="334"/>
      <c r="C122" s="162" t="s">
        <v>186</v>
      </c>
      <c r="D122" s="204" cm="1">
        <f t="array" ref="D122">SUM(SUMIFS('caseload data'!E:E,'caseload data'!$D:$D,"TPO",'caseload data'!$A:$A,"NPS Kent Surrey Sussex Region",'caseload data'!$B:$B,{"licence","community"}))</f>
        <v>0</v>
      </c>
      <c r="E122" s="204" cm="1">
        <f t="array" ref="E122">SUM(SUMIFS('caseload data'!F:F,'caseload data'!$D:$D,"TPO",'caseload data'!$A:$A,"NPS Kent Surrey Sussex Region",'caseload data'!$B:$B,{"licence","community"}))</f>
        <v>0</v>
      </c>
      <c r="F122" s="204" cm="1">
        <f t="array" ref="F122">SUM(SUMIFS('caseload data'!G:G,'caseload data'!$D:$D,"TPO",'caseload data'!$A:$A,"NPS Kent Surrey Sussex Region",'caseload data'!$B:$B,{"licence","community"}))</f>
        <v>0</v>
      </c>
      <c r="G122" s="204" cm="1">
        <f t="array" ref="G122">SUM(SUMIFS('caseload data'!H:H,'caseload data'!$D:$D,"TPO",'caseload data'!$A:$A,"NPS Kent Surrey Sussex Region",'caseload data'!$B:$B,{"licence","community"}))</f>
        <v>0</v>
      </c>
      <c r="H122" s="204" cm="1">
        <f t="array" ref="H122">SUM(SUMIFS('caseload data'!I:I,'caseload data'!$D:$D,"TPO",'caseload data'!$A:$A,"NPS Kent Surrey Sussex Region",'caseload data'!$B:$B,{"licence","community"}))</f>
        <v>0</v>
      </c>
      <c r="I122" s="204" cm="1">
        <f t="array" ref="I122">SUM(SUMIFS('caseload data'!J:J,'caseload data'!$D:$D,"TPO",'caseload data'!$A:$A,"NPS Kent Surrey Sussex Region",'caseload data'!$B:$B,{"licence","community"}))</f>
        <v>0</v>
      </c>
      <c r="J122" s="204" cm="1">
        <f t="array" ref="J122">SUM(SUMIFS('caseload data'!K:K,'caseload data'!$D:$D,"TPO",'caseload data'!$A:$A,"NPS Kent Surrey Sussex Region",'caseload data'!$B:$B,{"licence","community"}))</f>
        <v>0</v>
      </c>
      <c r="K122" s="204" cm="1">
        <f t="array" ref="K122">SUM(SUMIFS('caseload data'!L:L,'caseload data'!$D:$D,"TPO",'caseload data'!$A:$A,"NPS Kent Surrey Sussex Region",'caseload data'!$B:$B,{"licence","community"}))</f>
        <v>0</v>
      </c>
      <c r="L122" s="204" cm="1">
        <f t="array" ref="L122">SUM(SUMIFS('caseload data'!M:M,'caseload data'!$D:$D,"TPO",'caseload data'!$A:$A,"NPS Kent Surrey Sussex Region",'caseload data'!$B:$B,{"licence","community"}))</f>
        <v>0</v>
      </c>
      <c r="M122" s="204" cm="1">
        <f t="array" ref="M122">SUM(SUMIFS('caseload data'!N:N,'caseload data'!$D:$D,"TPO",'caseload data'!$A:$A,"NPS Kent Surrey Sussex Region",'caseload data'!$B:$B,{"licence","community"}))</f>
        <v>0</v>
      </c>
      <c r="N122" s="204" cm="1">
        <f t="array" ref="N122">SUM(SUMIFS('caseload data'!O:O,'caseload data'!$D:$D,"TPO",'caseload data'!$A:$A,"NPS Kent Surrey Sussex Region",'caseload data'!$B:$B,{"licence","community"}))</f>
        <v>0</v>
      </c>
      <c r="O122" s="204" cm="1">
        <f t="array" ref="O122">SUM(SUMIFS('caseload data'!P:P,'caseload data'!$D:$D,"TPO",'caseload data'!$A:$A,"NPS Kent Surrey Sussex Region",'caseload data'!$B:$B,{"licence","community"}))</f>
        <v>0</v>
      </c>
      <c r="P122" s="204" cm="1">
        <f t="array" ref="P122">SUM(SUMIFS('caseload data'!Q:Q,'caseload data'!$D:$D,"TPO",'caseload data'!$A:$A,"NPS Kent Surrey Sussex Region",'caseload data'!$B:$B,{"licence","community"}))</f>
        <v>0</v>
      </c>
      <c r="Q122" s="204" cm="1">
        <f t="array" ref="Q122">SUM(SUMIFS('caseload data'!R:R,'caseload data'!$D:$D,"TPO",'caseload data'!$A:$A,"NPS Kent Surrey Sussex Region",'caseload data'!$B:$B,{"licence","community"}))</f>
        <v>0</v>
      </c>
      <c r="R122" s="204" cm="1">
        <f t="array" ref="R122">SUM(SUMIFS('caseload data'!S:S,'caseload data'!$D:$D,"TPO",'caseload data'!$A:$A,"NPS Kent Surrey Sussex Region",'caseload data'!$B:$B,{"licence","community"}))</f>
        <v>0</v>
      </c>
      <c r="S122" s="204" cm="1">
        <f t="array" ref="S122">SUM(SUMIFS('caseload data'!T:T,'caseload data'!$D:$D,"TPO",'caseload data'!$A:$A,"NPS Kent Surrey Sussex Region",'caseload data'!$B:$B,{"licence","community"}))</f>
        <v>0</v>
      </c>
      <c r="T122" s="126">
        <f>SUM(SUMIFS('caseload data'!V:V,'caseload data'!D:D,"TPO",'caseload data'!A:A,"NPS Kent Surrey Sussex Region",'caseload data'!B:B,{"licence","community"}))</f>
        <v>0</v>
      </c>
      <c r="U122" s="95"/>
      <c r="V122" s="95"/>
      <c r="W122" s="334"/>
      <c r="X122" s="162" t="s">
        <v>186</v>
      </c>
      <c r="Y122" s="209" t="e">
        <f t="shared" si="33"/>
        <v>#DIV/0!</v>
      </c>
      <c r="Z122" s="209" t="e">
        <f t="shared" si="34"/>
        <v>#DIV/0!</v>
      </c>
      <c r="AA122" s="209" t="e">
        <f t="shared" si="34"/>
        <v>#DIV/0!</v>
      </c>
      <c r="AB122" s="209" t="e">
        <f t="shared" si="34"/>
        <v>#DIV/0!</v>
      </c>
      <c r="AC122" s="209" t="e">
        <f t="shared" ref="AC122:AN127" si="35">SUM(H122)/SUM(H$108:H$111)</f>
        <v>#DIV/0!</v>
      </c>
      <c r="AD122" s="209" t="e">
        <f t="shared" si="35"/>
        <v>#DIV/0!</v>
      </c>
      <c r="AE122" s="209" t="e">
        <f t="shared" si="35"/>
        <v>#DIV/0!</v>
      </c>
      <c r="AF122" s="209" t="e">
        <f t="shared" si="35"/>
        <v>#DIV/0!</v>
      </c>
      <c r="AG122" s="209" t="e">
        <f t="shared" si="35"/>
        <v>#DIV/0!</v>
      </c>
      <c r="AH122" s="209" t="e">
        <f t="shared" si="35"/>
        <v>#DIV/0!</v>
      </c>
      <c r="AI122" s="209" t="e">
        <f t="shared" si="35"/>
        <v>#DIV/0!</v>
      </c>
      <c r="AJ122" s="209" t="e">
        <f t="shared" si="35"/>
        <v>#DIV/0!</v>
      </c>
      <c r="AK122" s="209" t="e">
        <f t="shared" si="35"/>
        <v>#DIV/0!</v>
      </c>
      <c r="AL122" s="209" t="e">
        <f t="shared" si="35"/>
        <v>#DIV/0!</v>
      </c>
      <c r="AM122" s="209" t="e">
        <f t="shared" si="35"/>
        <v>#DIV/0!</v>
      </c>
      <c r="AN122" s="209" t="e">
        <f t="shared" si="35"/>
        <v>#DIV/0!</v>
      </c>
      <c r="AO122"/>
      <c r="AP122"/>
      <c r="AQ122"/>
    </row>
    <row r="123" spans="2:43" s="30" customFormat="1" x14ac:dyDescent="0.15">
      <c r="B123" s="335"/>
      <c r="C123" s="163" t="s">
        <v>187</v>
      </c>
      <c r="D123" s="204">
        <f>SUM(SUMIFS('caseload data'!E:E,'caseload data'!$D:$D,"SPO",'caseload data'!$A:$A,"NPS Kent Surrey Sussex Region",'caseload data'!$B:$B,{"licence","community"}))</f>
        <v>0</v>
      </c>
      <c r="E123" s="204">
        <f>SUM(SUMIFS('caseload data'!F:F,'caseload data'!$D:$D,"SPO",'caseload data'!$A:$A,"NPS Kent Surrey Sussex Region",'caseload data'!$B:$B,{"licence","community"}))</f>
        <v>0</v>
      </c>
      <c r="F123" s="204">
        <f>SUM(SUMIFS('caseload data'!G:G,'caseload data'!$D:$D,"SPO",'caseload data'!$A:$A,"NPS Kent Surrey Sussex Region",'caseload data'!$B:$B,{"licence","community"}))</f>
        <v>0</v>
      </c>
      <c r="G123" s="204">
        <f>SUM(SUMIFS('caseload data'!H:H,'caseload data'!$D:$D,"SPO",'caseload data'!$A:$A,"NPS Kent Surrey Sussex Region",'caseload data'!$B:$B,{"licence","community"}))</f>
        <v>0</v>
      </c>
      <c r="H123" s="204">
        <f>SUM(SUMIFS('caseload data'!I:I,'caseload data'!$D:$D,"SPO",'caseload data'!$A:$A,"NPS Kent Surrey Sussex Region",'caseload data'!$B:$B,{"licence","community"}))</f>
        <v>0</v>
      </c>
      <c r="I123" s="204">
        <f>SUM(SUMIFS('caseload data'!J:J,'caseload data'!$D:$D,"SPO",'caseload data'!$A:$A,"NPS Kent Surrey Sussex Region",'caseload data'!$B:$B,{"licence","community"}))</f>
        <v>0</v>
      </c>
      <c r="J123" s="204">
        <f>SUM(SUMIFS('caseload data'!K:K,'caseload data'!$D:$D,"SPO",'caseload data'!$A:$A,"NPS Kent Surrey Sussex Region",'caseload data'!$B:$B,{"licence","community"}))</f>
        <v>0</v>
      </c>
      <c r="K123" s="204">
        <f>SUM(SUMIFS('caseload data'!L:L,'caseload data'!$D:$D,"SPO",'caseload data'!$A:$A,"NPS Kent Surrey Sussex Region",'caseload data'!$B:$B,{"licence","community"}))</f>
        <v>0</v>
      </c>
      <c r="L123" s="204">
        <f>SUM(SUMIFS('caseload data'!M:M,'caseload data'!$D:$D,"SPO",'caseload data'!$A:$A,"NPS Kent Surrey Sussex Region",'caseload data'!$B:$B,{"licence","community"}))</f>
        <v>0</v>
      </c>
      <c r="M123" s="204">
        <f>SUM(SUMIFS('caseload data'!N:N,'caseload data'!$D:$D,"SPO",'caseload data'!$A:$A,"NPS Kent Surrey Sussex Region",'caseload data'!$B:$B,{"licence","community"}))</f>
        <v>0</v>
      </c>
      <c r="N123" s="204">
        <f>SUM(SUMIFS('caseload data'!O:O,'caseload data'!$D:$D,"SPO",'caseload data'!$A:$A,"NPS Kent Surrey Sussex Region",'caseload data'!$B:$B,{"licence","community"}))</f>
        <v>0</v>
      </c>
      <c r="O123" s="204">
        <f>SUM(SUMIFS('caseload data'!P:P,'caseload data'!$D:$D,"SPO",'caseload data'!$A:$A,"NPS Kent Surrey Sussex Region",'caseload data'!$B:$B,{"licence","community"}))</f>
        <v>0</v>
      </c>
      <c r="P123" s="204">
        <f>SUM(SUMIFS('caseload data'!Q:Q,'caseload data'!$D:$D,"SPO",'caseload data'!$A:$A,"NPS Kent Surrey Sussex Region",'caseload data'!$B:$B,{"licence","community"}))</f>
        <v>0</v>
      </c>
      <c r="Q123" s="204">
        <f>SUM(SUMIFS('caseload data'!R:R,'caseload data'!$D:$D,"SPO",'caseload data'!$A:$A,"NPS Kent Surrey Sussex Region",'caseload data'!$B:$B,{"licence","community"}))</f>
        <v>0</v>
      </c>
      <c r="R123" s="204">
        <f>SUM(SUMIFS('caseload data'!S:S,'caseload data'!$D:$D,"SPO",'caseload data'!$A:$A,"NPS Kent Surrey Sussex Region",'caseload data'!$B:$B,{"licence","community"}))</f>
        <v>0</v>
      </c>
      <c r="S123" s="204">
        <f>SUM(SUMIFS('caseload data'!T:T,'caseload data'!$D:$D,"SPO",'caseload data'!$A:$A,"NPS Kent Surrey Sussex Region",'caseload data'!$B:$B,{"licence","community"}))</f>
        <v>0</v>
      </c>
      <c r="T123" s="126">
        <f>SUM(SUMIFS('caseload data'!V:V,'caseload data'!$D:$D,"SPO",'caseload data'!$A:$A,"NPS Kent Surrey Sussex Region",'caseload data'!$B:$B,{"licence","community"}))</f>
        <v>0</v>
      </c>
      <c r="U123" s="95"/>
      <c r="V123" s="95"/>
      <c r="W123" s="335"/>
      <c r="X123" s="163" t="s">
        <v>187</v>
      </c>
      <c r="Y123" s="209" t="e">
        <f t="shared" si="33"/>
        <v>#DIV/0!</v>
      </c>
      <c r="Z123" s="209" t="e">
        <f t="shared" ref="Z123:AB127" si="36">SUM(E123)/SUM(E$108:E$111)</f>
        <v>#DIV/0!</v>
      </c>
      <c r="AA123" s="209" t="e">
        <f t="shared" si="36"/>
        <v>#DIV/0!</v>
      </c>
      <c r="AB123" s="209" t="e">
        <f t="shared" si="36"/>
        <v>#DIV/0!</v>
      </c>
      <c r="AC123" s="209" t="e">
        <f t="shared" si="35"/>
        <v>#DIV/0!</v>
      </c>
      <c r="AD123" s="209" t="e">
        <f t="shared" si="35"/>
        <v>#DIV/0!</v>
      </c>
      <c r="AE123" s="209" t="e">
        <f t="shared" si="35"/>
        <v>#DIV/0!</v>
      </c>
      <c r="AF123" s="209" t="e">
        <f t="shared" si="35"/>
        <v>#DIV/0!</v>
      </c>
      <c r="AG123" s="209" t="e">
        <f t="shared" si="35"/>
        <v>#DIV/0!</v>
      </c>
      <c r="AH123" s="209" t="e">
        <f t="shared" si="35"/>
        <v>#DIV/0!</v>
      </c>
      <c r="AI123" s="209" t="e">
        <f t="shared" si="35"/>
        <v>#DIV/0!</v>
      </c>
      <c r="AJ123" s="209" t="e">
        <f t="shared" si="35"/>
        <v>#DIV/0!</v>
      </c>
      <c r="AK123" s="209" t="e">
        <f t="shared" si="35"/>
        <v>#DIV/0!</v>
      </c>
      <c r="AL123" s="209" t="e">
        <f t="shared" si="35"/>
        <v>#DIV/0!</v>
      </c>
      <c r="AM123" s="209" t="e">
        <f t="shared" si="35"/>
        <v>#DIV/0!</v>
      </c>
      <c r="AN123" s="209" t="e">
        <f t="shared" si="35"/>
        <v>#DIV/0!</v>
      </c>
      <c r="AO123"/>
      <c r="AP123"/>
      <c r="AQ123"/>
    </row>
    <row r="124" spans="2:43" s="30" customFormat="1" x14ac:dyDescent="0.15">
      <c r="B124" s="333" t="s">
        <v>376</v>
      </c>
      <c r="C124" s="161" t="s">
        <v>184</v>
      </c>
      <c r="D124" s="204" cm="1">
        <f t="array" ref="D124">SUM(SUMIFS('caseload data'!E:E,'caseload data'!$D:$D,"PO",'caseload data'!$A:$A,_xlfn.SINGLE('national caseload'!$B$124:$B$126),'caseload data'!$B:$B,{"licence","community"}))</f>
        <v>0</v>
      </c>
      <c r="E124" s="204" cm="1">
        <f t="array" ref="E124">SUM(SUMIFS('caseload data'!F:F,'caseload data'!$D:$D,"PO",'caseload data'!$A:$A,_xlfn.SINGLE('national caseload'!$B$124:$B$126),'caseload data'!$B:$B,{"licence","community"}))</f>
        <v>0</v>
      </c>
      <c r="F124" s="204" cm="1">
        <f t="array" ref="F124">SUM(SUMIFS('caseload data'!G:G,'caseload data'!$D:$D,"PO",'caseload data'!$A:$A,_xlfn.SINGLE('national caseload'!$B$124:$B$126),'caseload data'!$B:$B,{"licence","community"}))</f>
        <v>0</v>
      </c>
      <c r="G124" s="204" cm="1">
        <f t="array" ref="G124">SUM(SUMIFS('caseload data'!H:H,'caseload data'!$D:$D,"PO",'caseload data'!$A:$A,_xlfn.SINGLE('national caseload'!$B$124:$B$126),'caseload data'!$B:$B,{"licence","community"}))</f>
        <v>0</v>
      </c>
      <c r="H124" s="204" cm="1">
        <f t="array" ref="H124">SUM(SUMIFS('caseload data'!I:I,'caseload data'!$D:$D,"PO",'caseload data'!$A:$A,_xlfn.SINGLE('national caseload'!$B$124:$B$126),'caseload data'!$B:$B,{"licence","community"}))</f>
        <v>0</v>
      </c>
      <c r="I124" s="204" cm="1">
        <f t="array" ref="I124">SUM(SUMIFS('caseload data'!J:J,'caseload data'!$D:$D,"PO",'caseload data'!$A:$A,_xlfn.SINGLE('national caseload'!$B$124:$B$126),'caseload data'!$B:$B,{"licence","community"}))</f>
        <v>0</v>
      </c>
      <c r="J124" s="204" cm="1">
        <f t="array" ref="J124">SUM(SUMIFS('caseload data'!K:K,'caseload data'!$D:$D,"PO",'caseload data'!$A:$A,_xlfn.SINGLE('national caseload'!$B$124:$B$126),'caseload data'!$B:$B,{"licence","community"}))</f>
        <v>0</v>
      </c>
      <c r="K124" s="204" cm="1">
        <f t="array" ref="K124">SUM(SUMIFS('caseload data'!L:L,'caseload data'!$D:$D,"PO",'caseload data'!$A:$A,_xlfn.SINGLE('national caseload'!$B$124:$B$126),'caseload data'!$B:$B,{"licence","community"}))</f>
        <v>0</v>
      </c>
      <c r="L124" s="204" cm="1">
        <f t="array" ref="L124">SUM(SUMIFS('caseload data'!M:M,'caseload data'!$D:$D,"PO",'caseload data'!$A:$A,_xlfn.SINGLE('national caseload'!$B$124:$B$126),'caseload data'!$B:$B,{"licence","community"}))</f>
        <v>0</v>
      </c>
      <c r="M124" s="204" cm="1">
        <f t="array" ref="M124">SUM(SUMIFS('caseload data'!N:N,'caseload data'!$D:$D,"PO",'caseload data'!$A:$A,_xlfn.SINGLE('national caseload'!$B$124:$B$126),'caseload data'!$B:$B,{"licence","community"}))</f>
        <v>0</v>
      </c>
      <c r="N124" s="204" cm="1">
        <f t="array" ref="N124">SUM(SUMIFS('caseload data'!O:O,'caseload data'!$D:$D,"PO",'caseload data'!$A:$A,_xlfn.SINGLE('national caseload'!$B$124:$B$126),'caseload data'!$B:$B,{"licence","community"}))</f>
        <v>0</v>
      </c>
      <c r="O124" s="204" cm="1">
        <f t="array" ref="O124">SUM(SUMIFS('caseload data'!P:P,'caseload data'!$D:$D,"PO",'caseload data'!$A:$A,_xlfn.SINGLE('national caseload'!$B$124:$B$126),'caseload data'!$B:$B,{"licence","community"}))</f>
        <v>0</v>
      </c>
      <c r="P124" s="204" cm="1">
        <f t="array" ref="P124">SUM(SUMIFS('caseload data'!Q:Q,'caseload data'!$D:$D,"PO",'caseload data'!$A:$A,_xlfn.SINGLE('national caseload'!$B$124:$B$126),'caseload data'!$B:$B,{"licence","community"}))</f>
        <v>0</v>
      </c>
      <c r="Q124" s="204" cm="1">
        <f t="array" ref="Q124">SUM(SUMIFS('caseload data'!R:R,'caseload data'!$D:$D,"PO",'caseload data'!$A:$A,_xlfn.SINGLE('national caseload'!$B$124:$B$126),'caseload data'!$B:$B,{"licence","community"}))</f>
        <v>0</v>
      </c>
      <c r="R124" s="204" cm="1">
        <f t="array" ref="R124">SUM(SUMIFS('caseload data'!S:S,'caseload data'!$D:$D,"PO",'caseload data'!$A:$A,_xlfn.SINGLE('national caseload'!$B$124:$B$126),'caseload data'!$B:$B,{"licence","community"}))</f>
        <v>0</v>
      </c>
      <c r="S124" s="204" cm="1">
        <f t="array" ref="S124">SUM(SUMIFS('caseload data'!T:T,'caseload data'!$D:$D,"PO",'caseload data'!$A:$A,_xlfn.SINGLE('national caseload'!$B$124:$B$126),'caseload data'!$B:$B,{"licence","community"}))</f>
        <v>0</v>
      </c>
      <c r="T124" s="126">
        <f>SUM(SUMIFS('caseload data'!V:V,'caseload data'!D:D,"PO",'caseload data'!A:A,'national caseload'!B124:B126,'caseload data'!B:B,{"licence","community"}))</f>
        <v>0</v>
      </c>
      <c r="U124" s="95"/>
      <c r="V124" s="95"/>
      <c r="W124" s="333" t="s">
        <v>376</v>
      </c>
      <c r="X124" s="161" t="s">
        <v>184</v>
      </c>
      <c r="Y124" s="209" t="e">
        <f t="shared" si="33"/>
        <v>#DIV/0!</v>
      </c>
      <c r="Z124" s="209" t="e">
        <f t="shared" si="36"/>
        <v>#DIV/0!</v>
      </c>
      <c r="AA124" s="209" t="e">
        <f t="shared" si="36"/>
        <v>#DIV/0!</v>
      </c>
      <c r="AB124" s="209" t="e">
        <f t="shared" si="36"/>
        <v>#DIV/0!</v>
      </c>
      <c r="AC124" s="209" t="e">
        <f t="shared" si="35"/>
        <v>#DIV/0!</v>
      </c>
      <c r="AD124" s="209" t="e">
        <f t="shared" si="35"/>
        <v>#DIV/0!</v>
      </c>
      <c r="AE124" s="209" t="e">
        <f t="shared" si="35"/>
        <v>#DIV/0!</v>
      </c>
      <c r="AF124" s="209" t="e">
        <f t="shared" si="35"/>
        <v>#DIV/0!</v>
      </c>
      <c r="AG124" s="209" t="e">
        <f t="shared" si="35"/>
        <v>#DIV/0!</v>
      </c>
      <c r="AH124" s="209" t="e">
        <f t="shared" si="35"/>
        <v>#DIV/0!</v>
      </c>
      <c r="AI124" s="209" t="e">
        <f t="shared" si="35"/>
        <v>#DIV/0!</v>
      </c>
      <c r="AJ124" s="209" t="e">
        <f t="shared" si="35"/>
        <v>#DIV/0!</v>
      </c>
      <c r="AK124" s="209" t="e">
        <f t="shared" si="35"/>
        <v>#DIV/0!</v>
      </c>
      <c r="AL124" s="209" t="e">
        <f t="shared" si="35"/>
        <v>#DIV/0!</v>
      </c>
      <c r="AM124" s="209" t="e">
        <f t="shared" si="35"/>
        <v>#DIV/0!</v>
      </c>
      <c r="AN124" s="209" t="e">
        <f t="shared" si="35"/>
        <v>#DIV/0!</v>
      </c>
      <c r="AO124"/>
      <c r="AP124"/>
      <c r="AQ124"/>
    </row>
    <row r="125" spans="2:43" s="30" customFormat="1" x14ac:dyDescent="0.15">
      <c r="B125" s="334"/>
      <c r="C125" s="162" t="s">
        <v>185</v>
      </c>
      <c r="D125" s="204" cm="1">
        <f t="array" ref="D125">SUM(SUMIFS('caseload data'!E:E,'caseload data'!$D:$D,"PSO",'caseload data'!$A:$A,"London",'caseload data'!$B:$B,{"licence","community"}))</f>
        <v>0</v>
      </c>
      <c r="E125" s="204" cm="1">
        <f t="array" ref="E125">SUM(SUMIFS('caseload data'!F:F,'caseload data'!$D:$D,"PSO",'caseload data'!$A:$A,"London",'caseload data'!$B:$B,{"licence","community"}))</f>
        <v>0</v>
      </c>
      <c r="F125" s="204" cm="1">
        <f t="array" ref="F125">SUM(SUMIFS('caseload data'!G:G,'caseload data'!$D:$D,"PSO",'caseload data'!$A:$A,"London",'caseload data'!$B:$B,{"licence","community"}))</f>
        <v>0</v>
      </c>
      <c r="G125" s="204" cm="1">
        <f t="array" ref="G125">SUM(SUMIFS('caseload data'!H:H,'caseload data'!$D:$D,"PSO",'caseload data'!$A:$A,"London",'caseload data'!$B:$B,{"licence","community"}))</f>
        <v>0</v>
      </c>
      <c r="H125" s="204" cm="1">
        <f t="array" ref="H125">SUM(SUMIFS('caseload data'!I:I,'caseload data'!$D:$D,"PSO",'caseload data'!$A:$A,"London",'caseload data'!$B:$B,{"licence","community"}))</f>
        <v>0</v>
      </c>
      <c r="I125" s="204" cm="1">
        <f t="array" ref="I125">SUM(SUMIFS('caseload data'!J:J,'caseload data'!$D:$D,"PSO",'caseload data'!$A:$A,"London",'caseload data'!$B:$B,{"licence","community"}))</f>
        <v>0</v>
      </c>
      <c r="J125" s="204" cm="1">
        <f t="array" ref="J125">SUM(SUMIFS('caseload data'!K:K,'caseload data'!$D:$D,"PSO",'caseload data'!$A:$A,"London",'caseload data'!$B:$B,{"licence","community"}))</f>
        <v>0</v>
      </c>
      <c r="K125" s="204" cm="1">
        <f t="array" ref="K125">SUM(SUMIFS('caseload data'!L:L,'caseload data'!$D:$D,"PSO",'caseload data'!$A:$A,"London",'caseload data'!$B:$B,{"licence","community"}))</f>
        <v>0</v>
      </c>
      <c r="L125" s="204" cm="1">
        <f t="array" ref="L125">SUM(SUMIFS('caseload data'!M:M,'caseload data'!$D:$D,"PSO",'caseload data'!$A:$A,"London",'caseload data'!$B:$B,{"licence","community"}))</f>
        <v>0</v>
      </c>
      <c r="M125" s="204" cm="1">
        <f t="array" ref="M125">SUM(SUMIFS('caseload data'!N:N,'caseload data'!$D:$D,"PSO",'caseload data'!$A:$A,"London",'caseload data'!$B:$B,{"licence","community"}))</f>
        <v>0</v>
      </c>
      <c r="N125" s="204" cm="1">
        <f t="array" ref="N125">SUM(SUMIFS('caseload data'!O:O,'caseload data'!$D:$D,"PSO",'caseload data'!$A:$A,"London",'caseload data'!$B:$B,{"licence","community"}))</f>
        <v>0</v>
      </c>
      <c r="O125" s="204" cm="1">
        <f t="array" ref="O125">SUM(SUMIFS('caseload data'!P:P,'caseload data'!$D:$D,"PSO",'caseload data'!$A:$A,"London",'caseload data'!$B:$B,{"licence","community"}))</f>
        <v>0</v>
      </c>
      <c r="P125" s="204" cm="1">
        <f t="array" ref="P125">SUM(SUMIFS('caseload data'!Q:Q,'caseload data'!$D:$D,"PSO",'caseload data'!$A:$A,"London",'caseload data'!$B:$B,{"licence","community"}))</f>
        <v>0</v>
      </c>
      <c r="Q125" s="204" cm="1">
        <f t="array" ref="Q125">SUM(SUMIFS('caseload data'!R:R,'caseload data'!$D:$D,"PSO",'caseload data'!$A:$A,"London",'caseload data'!$B:$B,{"licence","community"}))</f>
        <v>0</v>
      </c>
      <c r="R125" s="204" cm="1">
        <f t="array" ref="R125">SUM(SUMIFS('caseload data'!S:S,'caseload data'!$D:$D,"PSO",'caseload data'!$A:$A,"London",'caseload data'!$B:$B,{"licence","community"}))</f>
        <v>0</v>
      </c>
      <c r="S125" s="204" cm="1">
        <f t="array" ref="S125">SUM(SUMIFS('caseload data'!T:T,'caseload data'!$D:$D,"PSO",'caseload data'!$A:$A,"London",'caseload data'!$B:$B,{"licence","community"}))</f>
        <v>0</v>
      </c>
      <c r="T125" s="126" cm="1">
        <f t="array" ref="T125">SUM(SUMIFS('caseload data'!V:V,'caseload data'!D:D,"PSO",'caseload data'!A:A,"London",'caseload data'!B:B,{"licence","community"}))</f>
        <v>0</v>
      </c>
      <c r="U125" s="95"/>
      <c r="V125" s="95"/>
      <c r="W125" s="334"/>
      <c r="X125" s="162" t="s">
        <v>185</v>
      </c>
      <c r="Y125" s="209" t="e">
        <f t="shared" si="33"/>
        <v>#DIV/0!</v>
      </c>
      <c r="Z125" s="209" t="e">
        <f t="shared" si="36"/>
        <v>#DIV/0!</v>
      </c>
      <c r="AA125" s="209" t="e">
        <f t="shared" si="36"/>
        <v>#DIV/0!</v>
      </c>
      <c r="AB125" s="209" t="e">
        <f t="shared" si="36"/>
        <v>#DIV/0!</v>
      </c>
      <c r="AC125" s="209" t="e">
        <f t="shared" si="35"/>
        <v>#DIV/0!</v>
      </c>
      <c r="AD125" s="209" t="e">
        <f t="shared" si="35"/>
        <v>#DIV/0!</v>
      </c>
      <c r="AE125" s="209" t="e">
        <f t="shared" si="35"/>
        <v>#DIV/0!</v>
      </c>
      <c r="AF125" s="209" t="e">
        <f t="shared" si="35"/>
        <v>#DIV/0!</v>
      </c>
      <c r="AG125" s="209" t="e">
        <f t="shared" si="35"/>
        <v>#DIV/0!</v>
      </c>
      <c r="AH125" s="209" t="e">
        <f t="shared" si="35"/>
        <v>#DIV/0!</v>
      </c>
      <c r="AI125" s="209" t="e">
        <f t="shared" si="35"/>
        <v>#DIV/0!</v>
      </c>
      <c r="AJ125" s="209" t="e">
        <f t="shared" si="35"/>
        <v>#DIV/0!</v>
      </c>
      <c r="AK125" s="209" t="e">
        <f t="shared" si="35"/>
        <v>#DIV/0!</v>
      </c>
      <c r="AL125" s="209" t="e">
        <f t="shared" si="35"/>
        <v>#DIV/0!</v>
      </c>
      <c r="AM125" s="209" t="e">
        <f t="shared" si="35"/>
        <v>#DIV/0!</v>
      </c>
      <c r="AN125" s="209" t="e">
        <f t="shared" si="35"/>
        <v>#DIV/0!</v>
      </c>
      <c r="AO125"/>
      <c r="AP125"/>
      <c r="AQ125"/>
    </row>
    <row r="126" spans="2:43" s="30" customFormat="1" x14ac:dyDescent="0.15">
      <c r="B126" s="334"/>
      <c r="C126" s="162" t="s">
        <v>186</v>
      </c>
      <c r="D126" s="204" cm="1">
        <f t="array" ref="D126">SUM(SUMIFS('caseload data'!E:E,'caseload data'!$D:$D,"TPO",'caseload data'!$A:$A,"London",'caseload data'!$B:$B,{"licence","community"}))</f>
        <v>0</v>
      </c>
      <c r="E126" s="204" cm="1">
        <f t="array" ref="E126">SUM(SUMIFS('caseload data'!F:F,'caseload data'!$D:$D,"TPO",'caseload data'!$A:$A,"London",'caseload data'!$B:$B,{"licence","community"}))</f>
        <v>0</v>
      </c>
      <c r="F126" s="204" cm="1">
        <f t="array" ref="F126">SUM(SUMIFS('caseload data'!G:G,'caseload data'!$D:$D,"TPO",'caseload data'!$A:$A,"London",'caseload data'!$B:$B,{"licence","community"}))</f>
        <v>0</v>
      </c>
      <c r="G126" s="204" cm="1">
        <f t="array" ref="G126">SUM(SUMIFS('caseload data'!H:H,'caseload data'!$D:$D,"TPO",'caseload data'!$A:$A,"London",'caseload data'!$B:$B,{"licence","community"}))</f>
        <v>0</v>
      </c>
      <c r="H126" s="204" cm="1">
        <f t="array" ref="H126">SUM(SUMIFS('caseload data'!I:I,'caseload data'!$D:$D,"TPO",'caseload data'!$A:$A,"London",'caseload data'!$B:$B,{"licence","community"}))</f>
        <v>0</v>
      </c>
      <c r="I126" s="204" cm="1">
        <f t="array" ref="I126">SUM(SUMIFS('caseload data'!J:J,'caseload data'!$D:$D,"TPO",'caseload data'!$A:$A,"London",'caseload data'!$B:$B,{"licence","community"}))</f>
        <v>0</v>
      </c>
      <c r="J126" s="204" cm="1">
        <f t="array" ref="J126">SUM(SUMIFS('caseload data'!K:K,'caseload data'!$D:$D,"TPO",'caseload data'!$A:$A,"London",'caseload data'!$B:$B,{"licence","community"}))</f>
        <v>0</v>
      </c>
      <c r="K126" s="204" cm="1">
        <f t="array" ref="K126">SUM(SUMIFS('caseload data'!L:L,'caseload data'!$D:$D,"TPO",'caseload data'!$A:$A,"London",'caseload data'!$B:$B,{"licence","community"}))</f>
        <v>0</v>
      </c>
      <c r="L126" s="204" cm="1">
        <f t="array" ref="L126">SUM(SUMIFS('caseload data'!M:M,'caseload data'!$D:$D,"TPO",'caseload data'!$A:$A,"London",'caseload data'!$B:$B,{"licence","community"}))</f>
        <v>0</v>
      </c>
      <c r="M126" s="204" cm="1">
        <f t="array" ref="M126">SUM(SUMIFS('caseload data'!N:N,'caseload data'!$D:$D,"TPO",'caseload data'!$A:$A,"London",'caseload data'!$B:$B,{"licence","community"}))</f>
        <v>0</v>
      </c>
      <c r="N126" s="204" cm="1">
        <f t="array" ref="N126">SUM(SUMIFS('caseload data'!O:O,'caseload data'!$D:$D,"TPO",'caseload data'!$A:$A,"London",'caseload data'!$B:$B,{"licence","community"}))</f>
        <v>0</v>
      </c>
      <c r="O126" s="204" cm="1">
        <f t="array" ref="O126">SUM(SUMIFS('caseload data'!P:P,'caseload data'!$D:$D,"TPO",'caseload data'!$A:$A,"London",'caseload data'!$B:$B,{"licence","community"}))</f>
        <v>0</v>
      </c>
      <c r="P126" s="204" cm="1">
        <f t="array" ref="P126">SUM(SUMIFS('caseload data'!Q:Q,'caseload data'!$D:$D,"TPO",'caseload data'!$A:$A,"London",'caseload data'!$B:$B,{"licence","community"}))</f>
        <v>0</v>
      </c>
      <c r="Q126" s="204" cm="1">
        <f t="array" ref="Q126">SUM(SUMIFS('caseload data'!R:R,'caseload data'!$D:$D,"TPO",'caseload data'!$A:$A,"London",'caseload data'!$B:$B,{"licence","community"}))</f>
        <v>0</v>
      </c>
      <c r="R126" s="204" cm="1">
        <f t="array" ref="R126">SUM(SUMIFS('caseload data'!S:S,'caseload data'!$D:$D,"TPO",'caseload data'!$A:$A,"London",'caseload data'!$B:$B,{"licence","community"}))</f>
        <v>0</v>
      </c>
      <c r="S126" s="204" cm="1">
        <f t="array" ref="S126">SUM(SUMIFS('caseload data'!T:T,'caseload data'!$D:$D,"TPO",'caseload data'!$A:$A,"London",'caseload data'!$B:$B,{"licence","community"}))</f>
        <v>0</v>
      </c>
      <c r="T126" s="126" cm="1">
        <f t="array" ref="T126">SUM(SUMIFS('caseload data'!V:V,'caseload data'!D:D,"TPO",'caseload data'!A:A,"London",'caseload data'!B:B,{"licence","community"}))</f>
        <v>0</v>
      </c>
      <c r="U126" s="95"/>
      <c r="V126" s="95"/>
      <c r="W126" s="334"/>
      <c r="X126" s="162" t="s">
        <v>186</v>
      </c>
      <c r="Y126" s="209" t="e">
        <f t="shared" si="33"/>
        <v>#DIV/0!</v>
      </c>
      <c r="Z126" s="209" t="e">
        <f t="shared" si="36"/>
        <v>#DIV/0!</v>
      </c>
      <c r="AA126" s="209" t="e">
        <f t="shared" si="36"/>
        <v>#DIV/0!</v>
      </c>
      <c r="AB126" s="209" t="e">
        <f t="shared" si="36"/>
        <v>#DIV/0!</v>
      </c>
      <c r="AC126" s="209" t="e">
        <f t="shared" si="35"/>
        <v>#DIV/0!</v>
      </c>
      <c r="AD126" s="209" t="e">
        <f t="shared" si="35"/>
        <v>#DIV/0!</v>
      </c>
      <c r="AE126" s="209" t="e">
        <f t="shared" si="35"/>
        <v>#DIV/0!</v>
      </c>
      <c r="AF126" s="209" t="e">
        <f t="shared" si="35"/>
        <v>#DIV/0!</v>
      </c>
      <c r="AG126" s="209" t="e">
        <f t="shared" si="35"/>
        <v>#DIV/0!</v>
      </c>
      <c r="AH126" s="209" t="e">
        <f t="shared" si="35"/>
        <v>#DIV/0!</v>
      </c>
      <c r="AI126" s="209" t="e">
        <f t="shared" si="35"/>
        <v>#DIV/0!</v>
      </c>
      <c r="AJ126" s="209" t="e">
        <f t="shared" si="35"/>
        <v>#DIV/0!</v>
      </c>
      <c r="AK126" s="209" t="e">
        <f t="shared" si="35"/>
        <v>#DIV/0!</v>
      </c>
      <c r="AL126" s="209" t="e">
        <f t="shared" si="35"/>
        <v>#DIV/0!</v>
      </c>
      <c r="AM126" s="209" t="e">
        <f t="shared" si="35"/>
        <v>#DIV/0!</v>
      </c>
      <c r="AN126" s="209" t="e">
        <f t="shared" si="35"/>
        <v>#DIV/0!</v>
      </c>
      <c r="AO126"/>
      <c r="AP126"/>
      <c r="AQ126"/>
    </row>
    <row r="127" spans="2:43" s="30" customFormat="1" x14ac:dyDescent="0.15">
      <c r="B127" s="335"/>
      <c r="C127" s="163" t="s">
        <v>187</v>
      </c>
      <c r="D127" s="204" cm="1">
        <f t="array" ref="D127">SUM(SUMIFS('caseload data'!E:E,'caseload data'!$D:$D,"SPO",'caseload data'!$A:$A,"London",'caseload data'!$B:$B,{"licence","community"}))</f>
        <v>0</v>
      </c>
      <c r="E127" s="204" cm="1">
        <f t="array" ref="E127">SUM(SUMIFS('caseload data'!F:F,'caseload data'!$D:$D,"SPO",'caseload data'!$A:$A,"London",'caseload data'!$B:$B,{"licence","community"}))</f>
        <v>0</v>
      </c>
      <c r="F127" s="204" cm="1">
        <f t="array" ref="F127">SUM(SUMIFS('caseload data'!G:G,'caseload data'!$D:$D,"SPO",'caseload data'!$A:$A,"London",'caseload data'!$B:$B,{"licence","community"}))</f>
        <v>0</v>
      </c>
      <c r="G127" s="204" cm="1">
        <f t="array" ref="G127">SUM(SUMIFS('caseload data'!H:H,'caseload data'!$D:$D,"SPO",'caseload data'!$A:$A,"London",'caseload data'!$B:$B,{"licence","community"}))</f>
        <v>0</v>
      </c>
      <c r="H127" s="204" cm="1">
        <f t="array" ref="H127">SUM(SUMIFS('caseload data'!I:I,'caseload data'!$D:$D,"SPO",'caseload data'!$A:$A,"London",'caseload data'!$B:$B,{"licence","community"}))</f>
        <v>0</v>
      </c>
      <c r="I127" s="204" cm="1">
        <f t="array" ref="I127">SUM(SUMIFS('caseload data'!J:J,'caseload data'!$D:$D,"SPO",'caseload data'!$A:$A,"London",'caseload data'!$B:$B,{"licence","community"}))</f>
        <v>0</v>
      </c>
      <c r="J127" s="204" cm="1">
        <f t="array" ref="J127">SUM(SUMIFS('caseload data'!K:K,'caseload data'!$D:$D,"SPO",'caseload data'!$A:$A,"London",'caseload data'!$B:$B,{"licence","community"}))</f>
        <v>0</v>
      </c>
      <c r="K127" s="204" cm="1">
        <f t="array" ref="K127">SUM(SUMIFS('caseload data'!L:L,'caseload data'!$D:$D,"SPO",'caseload data'!$A:$A,"London",'caseload data'!$B:$B,{"licence","community"}))</f>
        <v>0</v>
      </c>
      <c r="L127" s="204" cm="1">
        <f t="array" ref="L127">SUM(SUMIFS('caseload data'!M:M,'caseload data'!$D:$D,"SPO",'caseload data'!$A:$A,"London",'caseload data'!$B:$B,{"licence","community"}))</f>
        <v>0</v>
      </c>
      <c r="M127" s="204" cm="1">
        <f t="array" ref="M127">SUM(SUMIFS('caseload data'!N:N,'caseload data'!$D:$D,"SPO",'caseload data'!$A:$A,"London",'caseload data'!$B:$B,{"licence","community"}))</f>
        <v>0</v>
      </c>
      <c r="N127" s="204" cm="1">
        <f t="array" ref="N127">SUM(SUMIFS('caseload data'!O:O,'caseload data'!$D:$D,"SPO",'caseload data'!$A:$A,"London",'caseload data'!$B:$B,{"licence","community"}))</f>
        <v>0</v>
      </c>
      <c r="O127" s="204" cm="1">
        <f t="array" ref="O127">SUM(SUMIFS('caseload data'!P:P,'caseload data'!$D:$D,"SPO",'caseload data'!$A:$A,"London",'caseload data'!$B:$B,{"licence","community"}))</f>
        <v>0</v>
      </c>
      <c r="P127" s="204" cm="1">
        <f t="array" ref="P127">SUM(SUMIFS('caseload data'!Q:Q,'caseload data'!$D:$D,"SPO",'caseload data'!$A:$A,"London",'caseload data'!$B:$B,{"licence","community"}))</f>
        <v>0</v>
      </c>
      <c r="Q127" s="204" cm="1">
        <f t="array" ref="Q127">SUM(SUMIFS('caseload data'!R:R,'caseload data'!$D:$D,"SPO",'caseload data'!$A:$A,"London",'caseload data'!$B:$B,{"licence","community"}))</f>
        <v>0</v>
      </c>
      <c r="R127" s="204" cm="1">
        <f t="array" ref="R127">SUM(SUMIFS('caseload data'!S:S,'caseload data'!$D:$D,"SPO",'caseload data'!$A:$A,"London",'caseload data'!$B:$B,{"licence","community"}))</f>
        <v>0</v>
      </c>
      <c r="S127" s="204" cm="1">
        <f t="array" ref="S127">SUM(SUMIFS('caseload data'!T:T,'caseload data'!$D:$D,"SPO",'caseload data'!$A:$A,"London",'caseload data'!$B:$B,{"licence","community"}))</f>
        <v>0</v>
      </c>
      <c r="T127" s="126" cm="1">
        <f t="array" ref="T127">SUM(SUMIFS('caseload data'!V:V,'caseload data'!$D:$D,"SPO",'caseload data'!$A:$A,"London",'caseload data'!$B:$B,{"licence","community"}))</f>
        <v>0</v>
      </c>
      <c r="U127" s="95"/>
      <c r="V127" s="95"/>
      <c r="W127" s="335"/>
      <c r="X127" s="163" t="s">
        <v>187</v>
      </c>
      <c r="Y127" s="209" t="e">
        <f t="shared" si="33"/>
        <v>#DIV/0!</v>
      </c>
      <c r="Z127" s="209" t="e">
        <f t="shared" si="36"/>
        <v>#DIV/0!</v>
      </c>
      <c r="AA127" s="209" t="e">
        <f t="shared" si="36"/>
        <v>#DIV/0!</v>
      </c>
      <c r="AB127" s="209" t="e">
        <f t="shared" si="36"/>
        <v>#DIV/0!</v>
      </c>
      <c r="AC127" s="209" t="e">
        <f t="shared" si="35"/>
        <v>#DIV/0!</v>
      </c>
      <c r="AD127" s="209" t="e">
        <f t="shared" si="35"/>
        <v>#DIV/0!</v>
      </c>
      <c r="AE127" s="209" t="e">
        <f t="shared" si="35"/>
        <v>#DIV/0!</v>
      </c>
      <c r="AF127" s="209" t="e">
        <f t="shared" si="35"/>
        <v>#DIV/0!</v>
      </c>
      <c r="AG127" s="209" t="e">
        <f t="shared" si="35"/>
        <v>#DIV/0!</v>
      </c>
      <c r="AH127" s="209" t="e">
        <f t="shared" si="35"/>
        <v>#DIV/0!</v>
      </c>
      <c r="AI127" s="209" t="e">
        <f t="shared" si="35"/>
        <v>#DIV/0!</v>
      </c>
      <c r="AJ127" s="209" t="e">
        <f t="shared" si="35"/>
        <v>#DIV/0!</v>
      </c>
      <c r="AK127" s="209" t="e">
        <f t="shared" si="35"/>
        <v>#DIV/0!</v>
      </c>
      <c r="AL127" s="209" t="e">
        <f t="shared" si="35"/>
        <v>#DIV/0!</v>
      </c>
      <c r="AM127" s="209" t="e">
        <f t="shared" si="35"/>
        <v>#DIV/0!</v>
      </c>
      <c r="AN127" s="209" t="e">
        <f t="shared" si="35"/>
        <v>#DIV/0!</v>
      </c>
      <c r="AO127"/>
      <c r="AP127"/>
      <c r="AQ127"/>
    </row>
    <row r="128" spans="2:43" x14ac:dyDescent="0.15">
      <c r="B128" s="329" t="s">
        <v>1130</v>
      </c>
      <c r="C128" s="161" t="s">
        <v>184</v>
      </c>
      <c r="D128" s="204" cm="1">
        <f t="array" ref="D128">SUM(SUMIFS('caseload data'!E:E,'caseload data'!$D:$D,"PO",'caseload data'!$A:$A,$B$128,'caseload data'!$B:$B,{"licence","community"}))</f>
        <v>0</v>
      </c>
      <c r="E128" s="204" cm="1">
        <f t="array" ref="E128">SUM(SUMIFS('caseload data'!F:F,'caseload data'!$D:$D,"PO",'caseload data'!$A:$A,$B$128,'caseload data'!$B:$B,{"licence","community"}))</f>
        <v>0</v>
      </c>
      <c r="F128" s="204" cm="1">
        <f t="array" ref="F128">SUM(SUMIFS('caseload data'!G:G,'caseload data'!$D:$D,"PO",'caseload data'!$A:$A,$B$128,'caseload data'!$B:$B,{"licence","community"}))</f>
        <v>0</v>
      </c>
      <c r="G128" s="204" cm="1">
        <f t="array" ref="G128">SUM(SUMIFS('caseload data'!H:H,'caseload data'!$D:$D,"PO",'caseload data'!$A:$A,$B$128,'caseload data'!$B:$B,{"licence","community"}))</f>
        <v>0</v>
      </c>
      <c r="H128" s="204" cm="1">
        <f t="array" ref="H128">SUM(SUMIFS('caseload data'!I:I,'caseload data'!$D:$D,"PO",'caseload data'!$A:$A,$B$128,'caseload data'!$B:$B,{"licence","community"}))</f>
        <v>0</v>
      </c>
      <c r="I128" s="204" cm="1">
        <f t="array" ref="I128">SUM(SUMIFS('caseload data'!J:J,'caseload data'!$D:$D,"PO",'caseload data'!$A:$A,$B$128,'caseload data'!$B:$B,{"licence","community"}))</f>
        <v>0</v>
      </c>
      <c r="J128" s="204" cm="1">
        <f t="array" ref="J128">SUM(SUMIFS('caseload data'!K:K,'caseload data'!$D:$D,"PO",'caseload data'!$A:$A,$B$128,'caseload data'!$B:$B,{"licence","community"}))</f>
        <v>0</v>
      </c>
      <c r="K128" s="204" cm="1">
        <f t="array" ref="K128">SUM(SUMIFS('caseload data'!L:L,'caseload data'!$D:$D,"PO",'caseload data'!$A:$A,$B$128,'caseload data'!$B:$B,{"licence","community"}))</f>
        <v>0</v>
      </c>
      <c r="L128" s="204" cm="1">
        <f t="array" ref="L128">SUM(SUMIFS('caseload data'!M:M,'caseload data'!$D:$D,"PO",'caseload data'!$A:$A,$B$128,'caseload data'!$B:$B,{"licence","community"}))</f>
        <v>0</v>
      </c>
      <c r="M128" s="204" cm="1">
        <f t="array" ref="M128">SUM(SUMIFS('caseload data'!N:N,'caseload data'!$D:$D,"PO",'caseload data'!$A:$A,$B$128,'caseload data'!$B:$B,{"licence","community"}))</f>
        <v>0</v>
      </c>
      <c r="N128" s="204" cm="1">
        <f t="array" ref="N128">SUM(SUMIFS('caseload data'!O:O,'caseload data'!$D:$D,"PO",'caseload data'!$A:$A,$B$128,'caseload data'!$B:$B,{"licence","community"}))</f>
        <v>0</v>
      </c>
      <c r="O128" s="204" cm="1">
        <f t="array" ref="O128">SUM(SUMIFS('caseload data'!P:P,'caseload data'!$D:$D,"PO",'caseload data'!$A:$A,$B$128,'caseload data'!$B:$B,{"licence","community"}))</f>
        <v>0</v>
      </c>
      <c r="P128" s="204" cm="1">
        <f t="array" ref="P128">SUM(SUMIFS('caseload data'!Q:Q,'caseload data'!$D:$D,"PO",'caseload data'!$A:$A,$B$128,'caseload data'!$B:$B,{"licence","community"}))</f>
        <v>0</v>
      </c>
      <c r="Q128" s="204" cm="1">
        <f t="array" ref="Q128">SUM(SUMIFS('caseload data'!R:R,'caseload data'!$D:$D,"PO",'caseload data'!$A:$A,$B$128,'caseload data'!$B:$B,{"licence","community"}))</f>
        <v>0</v>
      </c>
      <c r="R128" s="204" cm="1">
        <f t="array" ref="R128">SUM(SUMIFS('caseload data'!S:S,'caseload data'!$D:$D,"PO",'caseload data'!$A:$A,$B$128,'caseload data'!$B:$B,{"licence","community"}))</f>
        <v>0</v>
      </c>
      <c r="S128" s="204" cm="1">
        <f t="array" ref="S128">SUM(SUMIFS('caseload data'!T:T,'caseload data'!$D:$D,"PO",'caseload data'!$A:$A,$B$128,'caseload data'!$B:$B,{"licence","community"}))</f>
        <v>0</v>
      </c>
      <c r="T128" s="126">
        <f>SUM(SUMIFS('caseload data'!V:V,'caseload data'!D:D,"PO",'caseload data'!A:A,B128,'caseload data'!B:B,{"licence","community"}))</f>
        <v>0</v>
      </c>
      <c r="U128" s="95"/>
      <c r="V128" s="95"/>
      <c r="W128" s="329" t="s">
        <v>1130</v>
      </c>
      <c r="X128" s="161" t="s">
        <v>184</v>
      </c>
      <c r="Y128" s="209" t="e">
        <f>SUM(D128)/SUM(D$128:D$131)</f>
        <v>#DIV/0!</v>
      </c>
      <c r="Z128" s="209" t="e">
        <f t="shared" ref="Z128:AN131" si="37">SUM(E128)/SUM(E$128:E$131)</f>
        <v>#DIV/0!</v>
      </c>
      <c r="AA128" s="209" t="e">
        <f t="shared" si="37"/>
        <v>#DIV/0!</v>
      </c>
      <c r="AB128" s="209" t="e">
        <f t="shared" si="37"/>
        <v>#DIV/0!</v>
      </c>
      <c r="AC128" s="209" t="e">
        <f t="shared" si="37"/>
        <v>#DIV/0!</v>
      </c>
      <c r="AD128" s="209" t="e">
        <f t="shared" si="37"/>
        <v>#DIV/0!</v>
      </c>
      <c r="AE128" s="209" t="e">
        <f t="shared" si="37"/>
        <v>#DIV/0!</v>
      </c>
      <c r="AF128" s="209" t="e">
        <f t="shared" si="37"/>
        <v>#DIV/0!</v>
      </c>
      <c r="AG128" s="209" t="e">
        <f t="shared" si="37"/>
        <v>#DIV/0!</v>
      </c>
      <c r="AH128" s="209" t="e">
        <f t="shared" si="37"/>
        <v>#DIV/0!</v>
      </c>
      <c r="AI128" s="209" t="e">
        <f t="shared" si="37"/>
        <v>#DIV/0!</v>
      </c>
      <c r="AJ128" s="209" t="e">
        <f t="shared" si="37"/>
        <v>#DIV/0!</v>
      </c>
      <c r="AK128" s="209" t="e">
        <f t="shared" si="37"/>
        <v>#DIV/0!</v>
      </c>
      <c r="AL128" s="209" t="e">
        <f t="shared" si="37"/>
        <v>#DIV/0!</v>
      </c>
      <c r="AM128" s="209" t="e">
        <f t="shared" si="37"/>
        <v>#DIV/0!</v>
      </c>
      <c r="AN128" s="209" t="e">
        <f t="shared" si="37"/>
        <v>#DIV/0!</v>
      </c>
    </row>
    <row r="129" spans="2:43" x14ac:dyDescent="0.15">
      <c r="B129" s="330"/>
      <c r="C129" s="162" t="s">
        <v>185</v>
      </c>
      <c r="D129" s="204" cm="1">
        <f t="array" ref="D129">SUM(SUMIFS('caseload data'!E:E,'caseload data'!$D:$D,"PSO",'caseload data'!$A:$A,"North East Region",'caseload data'!$B:$B,{"licence","community"}))</f>
        <v>0</v>
      </c>
      <c r="E129" s="204" cm="1">
        <f t="array" ref="E129">SUM(SUMIFS('caseload data'!F:F,'caseload data'!$D:$D,"PSO",'caseload data'!$A:$A,"North East Region",'caseload data'!$B:$B,{"licence","community"}))</f>
        <v>0</v>
      </c>
      <c r="F129" s="204" cm="1">
        <f t="array" ref="F129">SUM(SUMIFS('caseload data'!G:G,'caseload data'!$D:$D,"PSO",'caseload data'!$A:$A,"North East Region",'caseload data'!$B:$B,{"licence","community"}))</f>
        <v>0</v>
      </c>
      <c r="G129" s="204" cm="1">
        <f t="array" ref="G129">SUM(SUMIFS('caseload data'!H:H,'caseload data'!$D:$D,"PSO",'caseload data'!$A:$A,"North East Region",'caseload data'!$B:$B,{"licence","community"}))</f>
        <v>0</v>
      </c>
      <c r="H129" s="204" cm="1">
        <f t="array" ref="H129">SUM(SUMIFS('caseload data'!I:I,'caseload data'!$D:$D,"PSO",'caseload data'!$A:$A,"North East Region",'caseload data'!$B:$B,{"licence","community"}))</f>
        <v>0</v>
      </c>
      <c r="I129" s="204" cm="1">
        <f t="array" ref="I129">SUM(SUMIFS('caseload data'!J:J,'caseload data'!$D:$D,"PSO",'caseload data'!$A:$A,"North East Region",'caseload data'!$B:$B,{"licence","community"}))</f>
        <v>0</v>
      </c>
      <c r="J129" s="204" cm="1">
        <f t="array" ref="J129">SUM(SUMIFS('caseload data'!K:K,'caseload data'!$D:$D,"PSO",'caseload data'!$A:$A,"North East Region",'caseload data'!$B:$B,{"licence","community"}))</f>
        <v>0</v>
      </c>
      <c r="K129" s="204" cm="1">
        <f t="array" ref="K129">SUM(SUMIFS('caseload data'!L:L,'caseload data'!$D:$D,"PSO",'caseload data'!$A:$A,"North East Region",'caseload data'!$B:$B,{"licence","community"}))</f>
        <v>0</v>
      </c>
      <c r="L129" s="204" cm="1">
        <f t="array" ref="L129">SUM(SUMIFS('caseload data'!M:M,'caseload data'!$D:$D,"PSO",'caseload data'!$A:$A,"North East Region",'caseload data'!$B:$B,{"licence","community"}))</f>
        <v>0</v>
      </c>
      <c r="M129" s="204" cm="1">
        <f t="array" ref="M129">SUM(SUMIFS('caseload data'!N:N,'caseload data'!$D:$D,"PSO",'caseload data'!$A:$A,"North East Region",'caseload data'!$B:$B,{"licence","community"}))</f>
        <v>0</v>
      </c>
      <c r="N129" s="204" cm="1">
        <f t="array" ref="N129">SUM(SUMIFS('caseload data'!O:O,'caseload data'!$D:$D,"PSO",'caseload data'!$A:$A,"North East Region",'caseload data'!$B:$B,{"licence","community"}))</f>
        <v>0</v>
      </c>
      <c r="O129" s="204" cm="1">
        <f t="array" ref="O129">SUM(SUMIFS('caseload data'!P:P,'caseload data'!$D:$D,"PSO",'caseload data'!$A:$A,"North East Region",'caseload data'!$B:$B,{"licence","community"}))</f>
        <v>0</v>
      </c>
      <c r="P129" s="204" cm="1">
        <f t="array" ref="P129">SUM(SUMIFS('caseload data'!Q:Q,'caseload data'!$D:$D,"PSO",'caseload data'!$A:$A,"North East Region",'caseload data'!$B:$B,{"licence","community"}))</f>
        <v>0</v>
      </c>
      <c r="Q129" s="204" cm="1">
        <f t="array" ref="Q129">SUM(SUMIFS('caseload data'!R:R,'caseload data'!$D:$D,"PSO",'caseload data'!$A:$A,"North East Region",'caseload data'!$B:$B,{"licence","community"}))</f>
        <v>0</v>
      </c>
      <c r="R129" s="204" cm="1">
        <f t="array" ref="R129">SUM(SUMIFS('caseload data'!S:S,'caseload data'!$D:$D,"PSO",'caseload data'!$A:$A,"North East Region",'caseload data'!$B:$B,{"licence","community"}))</f>
        <v>0</v>
      </c>
      <c r="S129" s="204" cm="1">
        <f t="array" ref="S129">SUM(SUMIFS('caseload data'!T:T,'caseload data'!$D:$D,"PSO",'caseload data'!$A:$A,"North East Region",'caseload data'!$B:$B,{"licence","community"}))</f>
        <v>0</v>
      </c>
      <c r="T129" s="126" cm="1">
        <f t="array" ref="T129">SUM(SUMIFS('caseload data'!V:V,'caseload data'!D:D,"PSO",'caseload data'!A:A,"North East Region",'caseload data'!B:B,{"licence","community"}))</f>
        <v>0</v>
      </c>
      <c r="U129" s="95"/>
      <c r="V129" s="95"/>
      <c r="W129" s="330"/>
      <c r="X129" s="162" t="s">
        <v>185</v>
      </c>
      <c r="Y129" s="209" t="e">
        <f>SUM(D129)/SUM(D$128:D$131)</f>
        <v>#DIV/0!</v>
      </c>
      <c r="Z129" s="209" t="e">
        <f t="shared" si="37"/>
        <v>#DIV/0!</v>
      </c>
      <c r="AA129" s="209" t="e">
        <f t="shared" si="37"/>
        <v>#DIV/0!</v>
      </c>
      <c r="AB129" s="209" t="e">
        <f t="shared" si="37"/>
        <v>#DIV/0!</v>
      </c>
      <c r="AC129" s="209" t="e">
        <f t="shared" si="37"/>
        <v>#DIV/0!</v>
      </c>
      <c r="AD129" s="209" t="e">
        <f t="shared" si="37"/>
        <v>#DIV/0!</v>
      </c>
      <c r="AE129" s="209" t="e">
        <f t="shared" si="37"/>
        <v>#DIV/0!</v>
      </c>
      <c r="AF129" s="209" t="e">
        <f t="shared" si="37"/>
        <v>#DIV/0!</v>
      </c>
      <c r="AG129" s="209" t="e">
        <f t="shared" si="37"/>
        <v>#DIV/0!</v>
      </c>
      <c r="AH129" s="209" t="e">
        <f t="shared" si="37"/>
        <v>#DIV/0!</v>
      </c>
      <c r="AI129" s="209" t="e">
        <f t="shared" si="37"/>
        <v>#DIV/0!</v>
      </c>
      <c r="AJ129" s="209" t="e">
        <f t="shared" si="37"/>
        <v>#DIV/0!</v>
      </c>
      <c r="AK129" s="209" t="e">
        <f t="shared" si="37"/>
        <v>#DIV/0!</v>
      </c>
      <c r="AL129" s="209" t="e">
        <f t="shared" si="37"/>
        <v>#DIV/0!</v>
      </c>
      <c r="AM129" s="209" t="e">
        <f t="shared" si="37"/>
        <v>#DIV/0!</v>
      </c>
      <c r="AN129" s="209" t="e">
        <f t="shared" si="37"/>
        <v>#DIV/0!</v>
      </c>
    </row>
    <row r="130" spans="2:43" x14ac:dyDescent="0.15">
      <c r="B130" s="330"/>
      <c r="C130" s="162" t="s">
        <v>186</v>
      </c>
      <c r="D130" s="204" cm="1">
        <f t="array" ref="D130">SUM(SUMIFS('caseload data'!E:E,'caseload data'!$D:$D,"TPO",'caseload data'!$A:$A,"North East Region",'caseload data'!$B:$B,{"licence","community"}))</f>
        <v>0</v>
      </c>
      <c r="E130" s="204" cm="1">
        <f t="array" ref="E130">SUM(SUMIFS('caseload data'!F:F,'caseload data'!$D:$D,"TPO",'caseload data'!$A:$A,"North East Region",'caseload data'!$B:$B,{"licence","community"}))</f>
        <v>0</v>
      </c>
      <c r="F130" s="204" cm="1">
        <f t="array" ref="F130">SUM(SUMIFS('caseload data'!G:G,'caseload data'!$D:$D,"TPO",'caseload data'!$A:$A,"North East Region",'caseload data'!$B:$B,{"licence","community"}))</f>
        <v>0</v>
      </c>
      <c r="G130" s="204" cm="1">
        <f t="array" ref="G130">SUM(SUMIFS('caseload data'!H:H,'caseload data'!$D:$D,"TPO",'caseload data'!$A:$A,"North East Region",'caseload data'!$B:$B,{"licence","community"}))</f>
        <v>0</v>
      </c>
      <c r="H130" s="204" cm="1">
        <f t="array" ref="H130">SUM(SUMIFS('caseload data'!I:I,'caseload data'!$D:$D,"TPO",'caseload data'!$A:$A,"North East Region",'caseload data'!$B:$B,{"licence","community"}))</f>
        <v>0</v>
      </c>
      <c r="I130" s="204" cm="1">
        <f t="array" ref="I130">SUM(SUMIFS('caseload data'!J:J,'caseload data'!$D:$D,"TPO",'caseload data'!$A:$A,"North East Region",'caseload data'!$B:$B,{"licence","community"}))</f>
        <v>0</v>
      </c>
      <c r="J130" s="204" cm="1">
        <f t="array" ref="J130">SUM(SUMIFS('caseload data'!K:K,'caseload data'!$D:$D,"TPO",'caseload data'!$A:$A,"North East Region",'caseload data'!$B:$B,{"licence","community"}))</f>
        <v>0</v>
      </c>
      <c r="K130" s="204" cm="1">
        <f t="array" ref="K130">SUM(SUMIFS('caseload data'!L:L,'caseload data'!$D:$D,"TPO",'caseload data'!$A:$A,"North East Region",'caseload data'!$B:$B,{"licence","community"}))</f>
        <v>0</v>
      </c>
      <c r="L130" s="204" cm="1">
        <f t="array" ref="L130">SUM(SUMIFS('caseload data'!M:M,'caseload data'!$D:$D,"TPO",'caseload data'!$A:$A,"North East Region",'caseload data'!$B:$B,{"licence","community"}))</f>
        <v>0</v>
      </c>
      <c r="M130" s="204" cm="1">
        <f t="array" ref="M130">SUM(SUMIFS('caseload data'!N:N,'caseload data'!$D:$D,"TPO",'caseload data'!$A:$A,"North East Region",'caseload data'!$B:$B,{"licence","community"}))</f>
        <v>0</v>
      </c>
      <c r="N130" s="204" cm="1">
        <f t="array" ref="N130">SUM(SUMIFS('caseload data'!O:O,'caseload data'!$D:$D,"TPO",'caseload data'!$A:$A,"North East Region",'caseload data'!$B:$B,{"licence","community"}))</f>
        <v>0</v>
      </c>
      <c r="O130" s="204" cm="1">
        <f t="array" ref="O130">SUM(SUMIFS('caseload data'!P:P,'caseload data'!$D:$D,"TPO",'caseload data'!$A:$A,"North East Region",'caseload data'!$B:$B,{"licence","community"}))</f>
        <v>0</v>
      </c>
      <c r="P130" s="204" cm="1">
        <f t="array" ref="P130">SUM(SUMIFS('caseload data'!Q:Q,'caseload data'!$D:$D,"TPO",'caseload data'!$A:$A,"North East Region",'caseload data'!$B:$B,{"licence","community"}))</f>
        <v>0</v>
      </c>
      <c r="Q130" s="204" cm="1">
        <f t="array" ref="Q130">SUM(SUMIFS('caseload data'!R:R,'caseload data'!$D:$D,"TPO",'caseload data'!$A:$A,"North East Region",'caseload data'!$B:$B,{"licence","community"}))</f>
        <v>0</v>
      </c>
      <c r="R130" s="204" cm="1">
        <f t="array" ref="R130">SUM(SUMIFS('caseload data'!S:S,'caseload data'!$D:$D,"TPO",'caseload data'!$A:$A,"North East Region",'caseload data'!$B:$B,{"licence","community"}))</f>
        <v>0</v>
      </c>
      <c r="S130" s="204" cm="1">
        <f t="array" ref="S130">SUM(SUMIFS('caseload data'!T:T,'caseload data'!$D:$D,"TPO",'caseload data'!$A:$A,"North East Region",'caseload data'!$B:$B,{"licence","community"}))</f>
        <v>0</v>
      </c>
      <c r="T130" s="126" cm="1">
        <f t="array" ref="T130">SUM(SUMIFS('caseload data'!V:V,'caseload data'!D:D,"TPO",'caseload data'!A:A,"North East Region",'caseload data'!B:B,{"licence","community"}))</f>
        <v>0</v>
      </c>
      <c r="U130" s="95"/>
      <c r="V130" s="95"/>
      <c r="W130" s="330"/>
      <c r="X130" s="162" t="s">
        <v>186</v>
      </c>
      <c r="Y130" s="209" t="e">
        <f>SUM(D130)/SUM(D$128:D$131)</f>
        <v>#DIV/0!</v>
      </c>
      <c r="Z130" s="209" t="e">
        <f t="shared" si="37"/>
        <v>#DIV/0!</v>
      </c>
      <c r="AA130" s="209" t="e">
        <f t="shared" si="37"/>
        <v>#DIV/0!</v>
      </c>
      <c r="AB130" s="209" t="e">
        <f t="shared" si="37"/>
        <v>#DIV/0!</v>
      </c>
      <c r="AC130" s="209" t="e">
        <f t="shared" si="37"/>
        <v>#DIV/0!</v>
      </c>
      <c r="AD130" s="209" t="e">
        <f t="shared" si="37"/>
        <v>#DIV/0!</v>
      </c>
      <c r="AE130" s="209" t="e">
        <f t="shared" si="37"/>
        <v>#DIV/0!</v>
      </c>
      <c r="AF130" s="209" t="e">
        <f t="shared" si="37"/>
        <v>#DIV/0!</v>
      </c>
      <c r="AG130" s="209" t="e">
        <f t="shared" si="37"/>
        <v>#DIV/0!</v>
      </c>
      <c r="AH130" s="209" t="e">
        <f t="shared" si="37"/>
        <v>#DIV/0!</v>
      </c>
      <c r="AI130" s="209" t="e">
        <f t="shared" si="37"/>
        <v>#DIV/0!</v>
      </c>
      <c r="AJ130" s="209" t="e">
        <f t="shared" si="37"/>
        <v>#DIV/0!</v>
      </c>
      <c r="AK130" s="209" t="e">
        <f t="shared" si="37"/>
        <v>#DIV/0!</v>
      </c>
      <c r="AL130" s="209" t="e">
        <f t="shared" si="37"/>
        <v>#DIV/0!</v>
      </c>
      <c r="AM130" s="209" t="e">
        <f t="shared" si="37"/>
        <v>#DIV/0!</v>
      </c>
      <c r="AN130" s="209" t="e">
        <f t="shared" si="37"/>
        <v>#DIV/0!</v>
      </c>
    </row>
    <row r="131" spans="2:43" s="30" customFormat="1" x14ac:dyDescent="0.15">
      <c r="B131" s="332"/>
      <c r="C131" s="163" t="s">
        <v>187</v>
      </c>
      <c r="D131" s="204" cm="1">
        <f t="array" ref="D131">SUM(SUMIFS('caseload data'!E:E,'caseload data'!$D:$D,"SPO",'caseload data'!$A:$A,"North East Region",'caseload data'!$B:$B,{"licence","community"}))</f>
        <v>0</v>
      </c>
      <c r="E131" s="204" cm="1">
        <f t="array" ref="E131">SUM(SUMIFS('caseload data'!F:F,'caseload data'!$D:$D,"SPO",'caseload data'!$A:$A,"North East Region",'caseload data'!$B:$B,{"licence","community"}))</f>
        <v>0</v>
      </c>
      <c r="F131" s="204" cm="1">
        <f t="array" ref="F131">SUM(SUMIFS('caseload data'!G:G,'caseload data'!$D:$D,"SPO",'caseload data'!$A:$A,"North East Region",'caseload data'!$B:$B,{"licence","community"}))</f>
        <v>0</v>
      </c>
      <c r="G131" s="204" cm="1">
        <f t="array" ref="G131">SUM(SUMIFS('caseload data'!H:H,'caseload data'!$D:$D,"SPO",'caseload data'!$A:$A,"North East Region",'caseload data'!$B:$B,{"licence","community"}))</f>
        <v>0</v>
      </c>
      <c r="H131" s="204" cm="1">
        <f t="array" ref="H131">SUM(SUMIFS('caseload data'!I:I,'caseload data'!$D:$D,"SPO",'caseload data'!$A:$A,"North East Region",'caseload data'!$B:$B,{"licence","community"}))</f>
        <v>0</v>
      </c>
      <c r="I131" s="204" cm="1">
        <f t="array" ref="I131">SUM(SUMIFS('caseload data'!J:J,'caseload data'!$D:$D,"SPO",'caseload data'!$A:$A,"North East Region",'caseload data'!$B:$B,{"licence","community"}))</f>
        <v>0</v>
      </c>
      <c r="J131" s="204" cm="1">
        <f t="array" ref="J131">SUM(SUMIFS('caseload data'!K:K,'caseload data'!$D:$D,"SPO",'caseload data'!$A:$A,"North East Region",'caseload data'!$B:$B,{"licence","community"}))</f>
        <v>0</v>
      </c>
      <c r="K131" s="204" cm="1">
        <f t="array" ref="K131">SUM(SUMIFS('caseload data'!L:L,'caseload data'!$D:$D,"SPO",'caseload data'!$A:$A,"North East Region",'caseload data'!$B:$B,{"licence","community"}))</f>
        <v>0</v>
      </c>
      <c r="L131" s="204" cm="1">
        <f t="array" ref="L131">SUM(SUMIFS('caseload data'!M:M,'caseload data'!$D:$D,"SPO",'caseload data'!$A:$A,"North East Region",'caseload data'!$B:$B,{"licence","community"}))</f>
        <v>0</v>
      </c>
      <c r="M131" s="204" cm="1">
        <f t="array" ref="M131">SUM(SUMIFS('caseload data'!N:N,'caseload data'!$D:$D,"SPO",'caseload data'!$A:$A,"North East Region",'caseload data'!$B:$B,{"licence","community"}))</f>
        <v>0</v>
      </c>
      <c r="N131" s="204" cm="1">
        <f t="array" ref="N131">SUM(SUMIFS('caseload data'!O:O,'caseload data'!$D:$D,"SPO",'caseload data'!$A:$A,"North East Region",'caseload data'!$B:$B,{"licence","community"}))</f>
        <v>0</v>
      </c>
      <c r="O131" s="204" cm="1">
        <f t="array" ref="O131">SUM(SUMIFS('caseload data'!P:P,'caseload data'!$D:$D,"SPO",'caseload data'!$A:$A,"North East Region",'caseload data'!$B:$B,{"licence","community"}))</f>
        <v>0</v>
      </c>
      <c r="P131" s="204" cm="1">
        <f t="array" ref="P131">SUM(SUMIFS('caseload data'!Q:Q,'caseload data'!$D:$D,"SPO",'caseload data'!$A:$A,"North East Region",'caseload data'!$B:$B,{"licence","community"}))</f>
        <v>0</v>
      </c>
      <c r="Q131" s="204" cm="1">
        <f t="array" ref="Q131">SUM(SUMIFS('caseload data'!R:R,'caseload data'!$D:$D,"SPO",'caseload data'!$A:$A,"North East Region",'caseload data'!$B:$B,{"licence","community"}))</f>
        <v>0</v>
      </c>
      <c r="R131" s="204" cm="1">
        <f t="array" ref="R131">SUM(SUMIFS('caseload data'!S:S,'caseload data'!$D:$D,"SPO",'caseload data'!$A:$A,"North East Region",'caseload data'!$B:$B,{"licence","community"}))</f>
        <v>0</v>
      </c>
      <c r="S131" s="204" cm="1">
        <f t="array" ref="S131">SUM(SUMIFS('caseload data'!T:T,'caseload data'!$D:$D,"SPO",'caseload data'!$A:$A,"North East Region",'caseload data'!$B:$B,{"licence","community"}))</f>
        <v>0</v>
      </c>
      <c r="T131" s="126" cm="1">
        <f t="array" ref="T131">SUM(SUMIFS('caseload data'!V:V,'caseload data'!$D:$D,"SPO",'caseload data'!$A:$A,"North East Region",'caseload data'!$B:$B,{"licence","community"}))</f>
        <v>0</v>
      </c>
      <c r="U131" s="95"/>
      <c r="V131" s="95"/>
      <c r="W131" s="332"/>
      <c r="X131" s="163" t="s">
        <v>187</v>
      </c>
      <c r="Y131" s="209" t="e">
        <f>SUM(D131)/SUM(D$128:D$131)</f>
        <v>#DIV/0!</v>
      </c>
      <c r="Z131" s="209" t="e">
        <f t="shared" si="37"/>
        <v>#DIV/0!</v>
      </c>
      <c r="AA131" s="209" t="e">
        <f t="shared" si="37"/>
        <v>#DIV/0!</v>
      </c>
      <c r="AB131" s="209" t="e">
        <f t="shared" si="37"/>
        <v>#DIV/0!</v>
      </c>
      <c r="AC131" s="209" t="e">
        <f t="shared" si="37"/>
        <v>#DIV/0!</v>
      </c>
      <c r="AD131" s="209" t="e">
        <f t="shared" si="37"/>
        <v>#DIV/0!</v>
      </c>
      <c r="AE131" s="209" t="e">
        <f t="shared" si="37"/>
        <v>#DIV/0!</v>
      </c>
      <c r="AF131" s="209" t="e">
        <f t="shared" si="37"/>
        <v>#DIV/0!</v>
      </c>
      <c r="AG131" s="209" t="e">
        <f t="shared" si="37"/>
        <v>#DIV/0!</v>
      </c>
      <c r="AH131" s="209" t="e">
        <f t="shared" si="37"/>
        <v>#DIV/0!</v>
      </c>
      <c r="AI131" s="209" t="e">
        <f t="shared" si="37"/>
        <v>#DIV/0!</v>
      </c>
      <c r="AJ131" s="209" t="e">
        <f t="shared" si="37"/>
        <v>#DIV/0!</v>
      </c>
      <c r="AK131" s="209" t="e">
        <f t="shared" si="37"/>
        <v>#DIV/0!</v>
      </c>
      <c r="AL131" s="209" t="e">
        <f t="shared" si="37"/>
        <v>#DIV/0!</v>
      </c>
      <c r="AM131" s="209" t="e">
        <f t="shared" si="37"/>
        <v>#DIV/0!</v>
      </c>
      <c r="AN131" s="209" t="e">
        <f t="shared" si="37"/>
        <v>#DIV/0!</v>
      </c>
      <c r="AO131"/>
      <c r="AP131"/>
      <c r="AQ131"/>
    </row>
    <row r="132" spans="2:43" x14ac:dyDescent="0.15">
      <c r="B132" s="329" t="s">
        <v>7</v>
      </c>
      <c r="C132" s="161" t="s">
        <v>184</v>
      </c>
      <c r="D132" s="204" cm="1">
        <f t="array" ref="D132">SUM(SUMIFS('caseload data'!E:E,'caseload data'!$D:$D,"PO",'caseload data'!$A:$A,$B$132,'caseload data'!$B:$B,{"licence","community"}))</f>
        <v>0</v>
      </c>
      <c r="E132" s="204" cm="1">
        <f t="array" ref="E132">SUM(SUMIFS('caseload data'!F:F,'caseload data'!$D:$D,"PO",'caseload data'!$A:$A,$B$132,'caseload data'!$B:$B,{"licence","community"}))</f>
        <v>0</v>
      </c>
      <c r="F132" s="204" cm="1">
        <f t="array" ref="F132">SUM(SUMIFS('caseload data'!G:G,'caseload data'!$D:$D,"PO",'caseload data'!$A:$A,$B$132,'caseload data'!$B:$B,{"licence","community"}))</f>
        <v>0</v>
      </c>
      <c r="G132" s="204" cm="1">
        <f t="array" ref="G132">SUM(SUMIFS('caseload data'!H:H,'caseload data'!$D:$D,"PO",'caseload data'!$A:$A,$B$132,'caseload data'!$B:$B,{"licence","community"}))</f>
        <v>0</v>
      </c>
      <c r="H132" s="204" cm="1">
        <f t="array" ref="H132">SUM(SUMIFS('caseload data'!I:I,'caseload data'!$D:$D,"PO",'caseload data'!$A:$A,$B$132,'caseload data'!$B:$B,{"licence","community"}))</f>
        <v>0</v>
      </c>
      <c r="I132" s="204" cm="1">
        <f t="array" ref="I132">SUM(SUMIFS('caseload data'!J:J,'caseload data'!$D:$D,"PO",'caseload data'!$A:$A,$B$132,'caseload data'!$B:$B,{"licence","community"}))</f>
        <v>0</v>
      </c>
      <c r="J132" s="204" cm="1">
        <f t="array" ref="J132">SUM(SUMIFS('caseload data'!K:K,'caseload data'!$D:$D,"PO",'caseload data'!$A:$A,$B$132,'caseload data'!$B:$B,{"licence","community"}))</f>
        <v>0</v>
      </c>
      <c r="K132" s="204" cm="1">
        <f t="array" ref="K132">SUM(SUMIFS('caseload data'!L:L,'caseload data'!$D:$D,"PO",'caseload data'!$A:$A,$B$132,'caseload data'!$B:$B,{"licence","community"}))</f>
        <v>0</v>
      </c>
      <c r="L132" s="204" cm="1">
        <f t="array" ref="L132">SUM(SUMIFS('caseload data'!M:M,'caseload data'!$D:$D,"PO",'caseload data'!$A:$A,$B$132,'caseload data'!$B:$B,{"licence","community"}))</f>
        <v>0</v>
      </c>
      <c r="M132" s="204" cm="1">
        <f t="array" ref="M132">SUM(SUMIFS('caseload data'!N:N,'caseload data'!$D:$D,"PO",'caseload data'!$A:$A,$B$132,'caseload data'!$B:$B,{"licence","community"}))</f>
        <v>0</v>
      </c>
      <c r="N132" s="204" cm="1">
        <f t="array" ref="N132">SUM(SUMIFS('caseload data'!O:O,'caseload data'!$D:$D,"PO",'caseload data'!$A:$A,$B$132,'caseload data'!$B:$B,{"licence","community"}))</f>
        <v>0</v>
      </c>
      <c r="O132" s="204" cm="1">
        <f t="array" ref="O132">SUM(SUMIFS('caseload data'!P:P,'caseload data'!$D:$D,"PO",'caseload data'!$A:$A,$B$132,'caseload data'!$B:$B,{"licence","community"}))</f>
        <v>0</v>
      </c>
      <c r="P132" s="204" cm="1">
        <f t="array" ref="P132">SUM(SUMIFS('caseload data'!Q:Q,'caseload data'!$D:$D,"PO",'caseload data'!$A:$A,$B$132,'caseload data'!$B:$B,{"licence","community"}))</f>
        <v>0</v>
      </c>
      <c r="Q132" s="204" cm="1">
        <f t="array" ref="Q132">SUM(SUMIFS('caseload data'!R:R,'caseload data'!$D:$D,"PO",'caseload data'!$A:$A,$B$132,'caseload data'!$B:$B,{"licence","community"}))</f>
        <v>0</v>
      </c>
      <c r="R132" s="204" cm="1">
        <f t="array" ref="R132">SUM(SUMIFS('caseload data'!S:S,'caseload data'!$D:$D,"PO",'caseload data'!$A:$A,$B$132,'caseload data'!$B:$B,{"licence","community"}))</f>
        <v>0</v>
      </c>
      <c r="S132" s="204" cm="1">
        <f t="array" ref="S132">SUM(SUMIFS('caseload data'!T:T,'caseload data'!$D:$D,"PO",'caseload data'!$A:$A,$B$132,'caseload data'!$B:$B,{"licence","community"}))</f>
        <v>0</v>
      </c>
      <c r="T132" s="126">
        <f>SUM(SUMIFS('caseload data'!V:V,'caseload data'!D:D,"PO",'caseload data'!A:A,B132,'caseload data'!B:B,{"licence","community"}))</f>
        <v>0</v>
      </c>
      <c r="U132" s="95"/>
      <c r="V132" s="95"/>
      <c r="W132" s="329" t="s">
        <v>7</v>
      </c>
      <c r="X132" s="161" t="s">
        <v>184</v>
      </c>
      <c r="Y132" s="209" t="e">
        <f>SUM(D132)/SUM(D$132:D$135)</f>
        <v>#DIV/0!</v>
      </c>
      <c r="Z132" s="209" t="e">
        <f t="shared" ref="Z132:AN135" si="38">SUM(E132)/SUM(E$132:E$135)</f>
        <v>#DIV/0!</v>
      </c>
      <c r="AA132" s="209" t="e">
        <f t="shared" si="38"/>
        <v>#DIV/0!</v>
      </c>
      <c r="AB132" s="209" t="e">
        <f t="shared" si="38"/>
        <v>#DIV/0!</v>
      </c>
      <c r="AC132" s="209" t="e">
        <f t="shared" si="38"/>
        <v>#DIV/0!</v>
      </c>
      <c r="AD132" s="209" t="e">
        <f t="shared" si="38"/>
        <v>#DIV/0!</v>
      </c>
      <c r="AE132" s="209" t="e">
        <f t="shared" si="38"/>
        <v>#DIV/0!</v>
      </c>
      <c r="AF132" s="209" t="e">
        <f t="shared" si="38"/>
        <v>#DIV/0!</v>
      </c>
      <c r="AG132" s="209" t="e">
        <f t="shared" si="38"/>
        <v>#DIV/0!</v>
      </c>
      <c r="AH132" s="209" t="e">
        <f t="shared" si="38"/>
        <v>#DIV/0!</v>
      </c>
      <c r="AI132" s="209" t="e">
        <f t="shared" si="38"/>
        <v>#DIV/0!</v>
      </c>
      <c r="AJ132" s="209" t="e">
        <f t="shared" si="38"/>
        <v>#DIV/0!</v>
      </c>
      <c r="AK132" s="209" t="e">
        <f t="shared" si="38"/>
        <v>#DIV/0!</v>
      </c>
      <c r="AL132" s="209" t="e">
        <f t="shared" si="38"/>
        <v>#DIV/0!</v>
      </c>
      <c r="AM132" s="209" t="e">
        <f t="shared" si="38"/>
        <v>#DIV/0!</v>
      </c>
      <c r="AN132" s="209" t="e">
        <f t="shared" si="38"/>
        <v>#DIV/0!</v>
      </c>
    </row>
    <row r="133" spans="2:43" x14ac:dyDescent="0.15">
      <c r="B133" s="330"/>
      <c r="C133" s="162" t="s">
        <v>185</v>
      </c>
      <c r="D133" s="204" cm="1">
        <f t="array" ref="D133">SUM(SUMIFS('caseload data'!E:E,'caseload data'!$D:$D,"PSO",'caseload data'!$A:$A,"NPS North West Region",'caseload data'!$B:$B,{"licence","community"}))</f>
        <v>0</v>
      </c>
      <c r="E133" s="204" cm="1">
        <f t="array" ref="E133">SUM(SUMIFS('caseload data'!F:F,'caseload data'!$D:$D,"PSO",'caseload data'!$A:$A,"NPS North West Region",'caseload data'!$B:$B,{"licence","community"}))</f>
        <v>0</v>
      </c>
      <c r="F133" s="204" cm="1">
        <f t="array" ref="F133">SUM(SUMIFS('caseload data'!G:G,'caseload data'!$D:$D,"PSO",'caseload data'!$A:$A,"NPS North West Region",'caseload data'!$B:$B,{"licence","community"}))</f>
        <v>0</v>
      </c>
      <c r="G133" s="204" cm="1">
        <f t="array" ref="G133">SUM(SUMIFS('caseload data'!H:H,'caseload data'!$D:$D,"PSO",'caseload data'!$A:$A,"NPS North West Region",'caseload data'!$B:$B,{"licence","community"}))</f>
        <v>0</v>
      </c>
      <c r="H133" s="204" cm="1">
        <f t="array" ref="H133">SUM(SUMIFS('caseload data'!I:I,'caseload data'!$D:$D,"PSO",'caseload data'!$A:$A,"NPS North West Region",'caseload data'!$B:$B,{"licence","community"}))</f>
        <v>0</v>
      </c>
      <c r="I133" s="204" cm="1">
        <f t="array" ref="I133">SUM(SUMIFS('caseload data'!J:J,'caseload data'!$D:$D,"PSO",'caseload data'!$A:$A,"NPS North West Region",'caseload data'!$B:$B,{"licence","community"}))</f>
        <v>0</v>
      </c>
      <c r="J133" s="204" cm="1">
        <f t="array" ref="J133">SUM(SUMIFS('caseload data'!K:K,'caseload data'!$D:$D,"PSO",'caseload data'!$A:$A,"NPS North West Region",'caseload data'!$B:$B,{"licence","community"}))</f>
        <v>0</v>
      </c>
      <c r="K133" s="204" cm="1">
        <f t="array" ref="K133">SUM(SUMIFS('caseload data'!L:L,'caseload data'!$D:$D,"PSO",'caseload data'!$A:$A,"NPS North West Region",'caseload data'!$B:$B,{"licence","community"}))</f>
        <v>0</v>
      </c>
      <c r="L133" s="204" cm="1">
        <f t="array" ref="L133">SUM(SUMIFS('caseload data'!M:M,'caseload data'!$D:$D,"PSO",'caseload data'!$A:$A,"NPS North West Region",'caseload data'!$B:$B,{"licence","community"}))</f>
        <v>0</v>
      </c>
      <c r="M133" s="204" cm="1">
        <f t="array" ref="M133">SUM(SUMIFS('caseload data'!N:N,'caseload data'!$D:$D,"PSO",'caseload data'!$A:$A,"NPS North West Region",'caseload data'!$B:$B,{"licence","community"}))</f>
        <v>0</v>
      </c>
      <c r="N133" s="204" cm="1">
        <f t="array" ref="N133">SUM(SUMIFS('caseload data'!O:O,'caseload data'!$D:$D,"PSO",'caseload data'!$A:$A,"NPS North West Region",'caseload data'!$B:$B,{"licence","community"}))</f>
        <v>0</v>
      </c>
      <c r="O133" s="204" cm="1">
        <f t="array" ref="O133">SUM(SUMIFS('caseload data'!P:P,'caseload data'!$D:$D,"PSO",'caseload data'!$A:$A,"NPS North West Region",'caseload data'!$B:$B,{"licence","community"}))</f>
        <v>0</v>
      </c>
      <c r="P133" s="204" cm="1">
        <f t="array" ref="P133">SUM(SUMIFS('caseload data'!Q:Q,'caseload data'!$D:$D,"PSO",'caseload data'!$A:$A,"NPS North West Region",'caseload data'!$B:$B,{"licence","community"}))</f>
        <v>0</v>
      </c>
      <c r="Q133" s="204" cm="1">
        <f t="array" ref="Q133">SUM(SUMIFS('caseload data'!R:R,'caseload data'!$D:$D,"PSO",'caseload data'!$A:$A,"NPS North West Region",'caseload data'!$B:$B,{"licence","community"}))</f>
        <v>0</v>
      </c>
      <c r="R133" s="204" cm="1">
        <f t="array" ref="R133">SUM(SUMIFS('caseload data'!S:S,'caseload data'!$D:$D,"PSO",'caseload data'!$A:$A,"NPS North West Region",'caseload data'!$B:$B,{"licence","community"}))</f>
        <v>0</v>
      </c>
      <c r="S133" s="204" cm="1">
        <f t="array" ref="S133">SUM(SUMIFS('caseload data'!T:T,'caseload data'!$D:$D,"PSO",'caseload data'!$A:$A,"NPS North West Region",'caseload data'!$B:$B,{"licence","community"}))</f>
        <v>0</v>
      </c>
      <c r="T133" s="126">
        <f>SUM(SUMIFS('caseload data'!V:V,'caseload data'!D:D,"PSO",'caseload data'!A:A,"NPS North West Region",'caseload data'!B:B,{"licence","community"}))</f>
        <v>0</v>
      </c>
      <c r="U133" s="95"/>
      <c r="V133" s="95"/>
      <c r="W133" s="330"/>
      <c r="X133" s="162" t="s">
        <v>185</v>
      </c>
      <c r="Y133" s="209" t="e">
        <f>SUM(D133)/SUM(D$132:D$135)</f>
        <v>#DIV/0!</v>
      </c>
      <c r="Z133" s="209" t="e">
        <f t="shared" si="38"/>
        <v>#DIV/0!</v>
      </c>
      <c r="AA133" s="209" t="e">
        <f t="shared" si="38"/>
        <v>#DIV/0!</v>
      </c>
      <c r="AB133" s="209" t="e">
        <f t="shared" si="38"/>
        <v>#DIV/0!</v>
      </c>
      <c r="AC133" s="209" t="e">
        <f t="shared" si="38"/>
        <v>#DIV/0!</v>
      </c>
      <c r="AD133" s="209" t="e">
        <f t="shared" si="38"/>
        <v>#DIV/0!</v>
      </c>
      <c r="AE133" s="209" t="e">
        <f t="shared" si="38"/>
        <v>#DIV/0!</v>
      </c>
      <c r="AF133" s="209" t="e">
        <f t="shared" si="38"/>
        <v>#DIV/0!</v>
      </c>
      <c r="AG133" s="209" t="e">
        <f t="shared" si="38"/>
        <v>#DIV/0!</v>
      </c>
      <c r="AH133" s="209" t="e">
        <f t="shared" si="38"/>
        <v>#DIV/0!</v>
      </c>
      <c r="AI133" s="209" t="e">
        <f t="shared" si="38"/>
        <v>#DIV/0!</v>
      </c>
      <c r="AJ133" s="209" t="e">
        <f t="shared" si="38"/>
        <v>#DIV/0!</v>
      </c>
      <c r="AK133" s="209" t="e">
        <f t="shared" si="38"/>
        <v>#DIV/0!</v>
      </c>
      <c r="AL133" s="209" t="e">
        <f t="shared" si="38"/>
        <v>#DIV/0!</v>
      </c>
      <c r="AM133" s="209" t="e">
        <f t="shared" si="38"/>
        <v>#DIV/0!</v>
      </c>
      <c r="AN133" s="209" t="e">
        <f t="shared" si="38"/>
        <v>#DIV/0!</v>
      </c>
    </row>
    <row r="134" spans="2:43" x14ac:dyDescent="0.15">
      <c r="B134" s="330"/>
      <c r="C134" s="162" t="s">
        <v>186</v>
      </c>
      <c r="D134" s="204" cm="1">
        <f t="array" ref="D134">SUM(SUMIFS('caseload data'!E:E,'caseload data'!$D:$D,"TPO",'caseload data'!$A:$A,"NPS North West Region",'caseload data'!$B:$B,{"licence","community"}))</f>
        <v>0</v>
      </c>
      <c r="E134" s="204" cm="1">
        <f t="array" ref="E134">SUM(SUMIFS('caseload data'!F:F,'caseload data'!$D:$D,"TPO",'caseload data'!$A:$A,"NPS North West Region",'caseload data'!$B:$B,{"licence","community"}))</f>
        <v>0</v>
      </c>
      <c r="F134" s="204" cm="1">
        <f t="array" ref="F134">SUM(SUMIFS('caseload data'!G:G,'caseload data'!$D:$D,"TPO",'caseload data'!$A:$A,"NPS North West Region",'caseload data'!$B:$B,{"licence","community"}))</f>
        <v>0</v>
      </c>
      <c r="G134" s="204" cm="1">
        <f t="array" ref="G134">SUM(SUMIFS('caseload data'!H:H,'caseload data'!$D:$D,"TPO",'caseload data'!$A:$A,"NPS North West Region",'caseload data'!$B:$B,{"licence","community"}))</f>
        <v>0</v>
      </c>
      <c r="H134" s="204" cm="1">
        <f t="array" ref="H134">SUM(SUMIFS('caseload data'!I:I,'caseload data'!$D:$D,"TPO",'caseload data'!$A:$A,"NPS North West Region",'caseload data'!$B:$B,{"licence","community"}))</f>
        <v>0</v>
      </c>
      <c r="I134" s="204" cm="1">
        <f t="array" ref="I134">SUM(SUMIFS('caseload data'!J:J,'caseload data'!$D:$D,"TPO",'caseload data'!$A:$A,"NPS North West Region",'caseload data'!$B:$B,{"licence","community"}))</f>
        <v>0</v>
      </c>
      <c r="J134" s="204" cm="1">
        <f t="array" ref="J134">SUM(SUMIFS('caseload data'!K:K,'caseload data'!$D:$D,"TPO",'caseload data'!$A:$A,"NPS North West Region",'caseload data'!$B:$B,{"licence","community"}))</f>
        <v>0</v>
      </c>
      <c r="K134" s="204" cm="1">
        <f t="array" ref="K134">SUM(SUMIFS('caseload data'!L:L,'caseload data'!$D:$D,"TPO",'caseload data'!$A:$A,"NPS North West Region",'caseload data'!$B:$B,{"licence","community"}))</f>
        <v>0</v>
      </c>
      <c r="L134" s="204" cm="1">
        <f t="array" ref="L134">SUM(SUMIFS('caseload data'!M:M,'caseload data'!$D:$D,"TPO",'caseload data'!$A:$A,"NPS North West Region",'caseload data'!$B:$B,{"licence","community"}))</f>
        <v>0</v>
      </c>
      <c r="M134" s="204" cm="1">
        <f t="array" ref="M134">SUM(SUMIFS('caseload data'!N:N,'caseload data'!$D:$D,"TPO",'caseload data'!$A:$A,"NPS North West Region",'caseload data'!$B:$B,{"licence","community"}))</f>
        <v>0</v>
      </c>
      <c r="N134" s="204" cm="1">
        <f t="array" ref="N134">SUM(SUMIFS('caseload data'!O:O,'caseload data'!$D:$D,"TPO",'caseload data'!$A:$A,"NPS North West Region",'caseload data'!$B:$B,{"licence","community"}))</f>
        <v>0</v>
      </c>
      <c r="O134" s="204" cm="1">
        <f t="array" ref="O134">SUM(SUMIFS('caseload data'!P:P,'caseload data'!$D:$D,"TPO",'caseload data'!$A:$A,"NPS North West Region",'caseload data'!$B:$B,{"licence","community"}))</f>
        <v>0</v>
      </c>
      <c r="P134" s="204" cm="1">
        <f t="array" ref="P134">SUM(SUMIFS('caseload data'!Q:Q,'caseload data'!$D:$D,"TPO",'caseload data'!$A:$A,"NPS North West Region",'caseload data'!$B:$B,{"licence","community"}))</f>
        <v>0</v>
      </c>
      <c r="Q134" s="204" cm="1">
        <f t="array" ref="Q134">SUM(SUMIFS('caseload data'!R:R,'caseload data'!$D:$D,"TPO",'caseload data'!$A:$A,"NPS North West Region",'caseload data'!$B:$B,{"licence","community"}))</f>
        <v>0</v>
      </c>
      <c r="R134" s="204" cm="1">
        <f t="array" ref="R134">SUM(SUMIFS('caseload data'!S:S,'caseload data'!$D:$D,"TPO",'caseload data'!$A:$A,"NPS North West Region",'caseload data'!$B:$B,{"licence","community"}))</f>
        <v>0</v>
      </c>
      <c r="S134" s="204" cm="1">
        <f t="array" ref="S134">SUM(SUMIFS('caseload data'!T:T,'caseload data'!$D:$D,"TPO",'caseload data'!$A:$A,"NPS North West Region",'caseload data'!$B:$B,{"licence","community"}))</f>
        <v>0</v>
      </c>
      <c r="T134" s="126">
        <f>SUMIFS('caseload data'!V:V,'caseload data'!D:D,"TPO",'caseload data'!A:A,"NPS North West Region",'caseload data'!B:B,{"licence","community"})</f>
        <v>0</v>
      </c>
      <c r="U134" s="95"/>
      <c r="V134" s="95"/>
      <c r="W134" s="330"/>
      <c r="X134" s="162" t="s">
        <v>186</v>
      </c>
      <c r="Y134" s="209" t="e">
        <f>SUM(D134)/SUM(D$132:D$135)</f>
        <v>#DIV/0!</v>
      </c>
      <c r="Z134" s="209" t="e">
        <f t="shared" si="38"/>
        <v>#DIV/0!</v>
      </c>
      <c r="AA134" s="209" t="e">
        <f t="shared" si="38"/>
        <v>#DIV/0!</v>
      </c>
      <c r="AB134" s="209" t="e">
        <f t="shared" si="38"/>
        <v>#DIV/0!</v>
      </c>
      <c r="AC134" s="209" t="e">
        <f t="shared" si="38"/>
        <v>#DIV/0!</v>
      </c>
      <c r="AD134" s="209" t="e">
        <f t="shared" si="38"/>
        <v>#DIV/0!</v>
      </c>
      <c r="AE134" s="209" t="e">
        <f t="shared" si="38"/>
        <v>#DIV/0!</v>
      </c>
      <c r="AF134" s="209" t="e">
        <f t="shared" si="38"/>
        <v>#DIV/0!</v>
      </c>
      <c r="AG134" s="209" t="e">
        <f t="shared" si="38"/>
        <v>#DIV/0!</v>
      </c>
      <c r="AH134" s="209" t="e">
        <f t="shared" si="38"/>
        <v>#DIV/0!</v>
      </c>
      <c r="AI134" s="209" t="e">
        <f t="shared" si="38"/>
        <v>#DIV/0!</v>
      </c>
      <c r="AJ134" s="209" t="e">
        <f t="shared" si="38"/>
        <v>#DIV/0!</v>
      </c>
      <c r="AK134" s="209" t="e">
        <f t="shared" si="38"/>
        <v>#DIV/0!</v>
      </c>
      <c r="AL134" s="209" t="e">
        <f t="shared" si="38"/>
        <v>#DIV/0!</v>
      </c>
      <c r="AM134" s="209" t="e">
        <f t="shared" si="38"/>
        <v>#DIV/0!</v>
      </c>
      <c r="AN134" s="209" t="e">
        <f t="shared" si="38"/>
        <v>#DIV/0!</v>
      </c>
    </row>
    <row r="135" spans="2:43" s="30" customFormat="1" x14ac:dyDescent="0.15">
      <c r="B135" s="332"/>
      <c r="C135" s="163" t="s">
        <v>187</v>
      </c>
      <c r="D135" s="204">
        <f>SUMIFS('caseload data'!E:E,'caseload data'!$D:$D,"SPO",'caseload data'!$A:$A,"NPS North West Region",'caseload data'!$B:$B,{"licence","community"})</f>
        <v>0</v>
      </c>
      <c r="E135" s="204">
        <f>SUMIFS('caseload data'!F:F,'caseload data'!$D:$D,"SPO",'caseload data'!$A:$A,"NPS North West Region",'caseload data'!$B:$B,{"licence","community"})</f>
        <v>0</v>
      </c>
      <c r="F135" s="204">
        <f>SUMIFS('caseload data'!G:G,'caseload data'!$D:$D,"SPO",'caseload data'!$A:$A,"NPS North West Region",'caseload data'!$B:$B,{"licence","community"})</f>
        <v>0</v>
      </c>
      <c r="G135" s="204">
        <f>SUMIFS('caseload data'!H:H,'caseload data'!$D:$D,"SPO",'caseload data'!$A:$A,"NPS North West Region",'caseload data'!$B:$B,{"licence","community"})</f>
        <v>0</v>
      </c>
      <c r="H135" s="204">
        <f>SUMIFS('caseload data'!I:I,'caseload data'!$D:$D,"SPO",'caseload data'!$A:$A,"NPS North West Region",'caseload data'!$B:$B,{"licence","community"})</f>
        <v>0</v>
      </c>
      <c r="I135" s="204">
        <f>SUMIFS('caseload data'!J:J,'caseload data'!$D:$D,"SPO",'caseload data'!$A:$A,"NPS North West Region",'caseload data'!$B:$B,{"licence","community"})</f>
        <v>0</v>
      </c>
      <c r="J135" s="204">
        <f>SUMIFS('caseload data'!K:K,'caseload data'!$D:$D,"SPO",'caseload data'!$A:$A,"NPS North West Region",'caseload data'!$B:$B,{"licence","community"})</f>
        <v>0</v>
      </c>
      <c r="K135" s="204">
        <f>SUMIFS('caseload data'!L:L,'caseload data'!$D:$D,"SPO",'caseload data'!$A:$A,"NPS North West Region",'caseload data'!$B:$B,{"licence","community"})</f>
        <v>0</v>
      </c>
      <c r="L135" s="204">
        <f>SUMIFS('caseload data'!M:M,'caseload data'!$D:$D,"SPO",'caseload data'!$A:$A,"NPS North West Region",'caseload data'!$B:$B,{"licence","community"})</f>
        <v>0</v>
      </c>
      <c r="M135" s="204">
        <f>SUMIFS('caseload data'!N:N,'caseload data'!$D:$D,"SPO",'caseload data'!$A:$A,"NPS North West Region",'caseload data'!$B:$B,{"licence","community"})</f>
        <v>0</v>
      </c>
      <c r="N135" s="204">
        <f>SUMIFS('caseload data'!O:O,'caseload data'!$D:$D,"SPO",'caseload data'!$A:$A,"NPS North West Region",'caseload data'!$B:$B,{"licence","community"})</f>
        <v>0</v>
      </c>
      <c r="O135" s="204">
        <f>SUMIFS('caseload data'!P:P,'caseload data'!$D:$D,"SPO",'caseload data'!$A:$A,"NPS North West Region",'caseload data'!$B:$B,{"licence","community"})</f>
        <v>0</v>
      </c>
      <c r="P135" s="204">
        <f>SUMIFS('caseload data'!Q:Q,'caseload data'!$D:$D,"SPO",'caseload data'!$A:$A,"NPS North West Region",'caseload data'!$B:$B,{"licence","community"})</f>
        <v>0</v>
      </c>
      <c r="Q135" s="204">
        <f>SUMIFS('caseload data'!R:R,'caseload data'!$D:$D,"SPO",'caseload data'!$A:$A,"NPS North West Region",'caseload data'!$B:$B,{"licence","community"})</f>
        <v>0</v>
      </c>
      <c r="R135" s="204">
        <f>SUMIFS('caseload data'!S:S,'caseload data'!$D:$D,"SPO",'caseload data'!$A:$A,"NPS North West Region",'caseload data'!$B:$B,{"licence","community"})</f>
        <v>0</v>
      </c>
      <c r="S135" s="204">
        <f>SUMIFS('caseload data'!T:T,'caseload data'!$D:$D,"SPO",'caseload data'!$A:$A,"NPS North West Region",'caseload data'!$B:$B,{"licence","community"})</f>
        <v>0</v>
      </c>
      <c r="T135" s="126">
        <f>SUM(SUMIFS('caseload data'!V:V,'caseload data'!$D:$D,"SPO",'caseload data'!$A:$A,"NPS North West Region",'caseload data'!$B:$B,{"licence","community"}))</f>
        <v>0</v>
      </c>
      <c r="U135" s="95"/>
      <c r="V135" s="95"/>
      <c r="W135" s="332"/>
      <c r="X135" s="163" t="s">
        <v>187</v>
      </c>
      <c r="Y135" s="209" t="e">
        <f>SUM(D135)/SUM(D$132:D$135)</f>
        <v>#DIV/0!</v>
      </c>
      <c r="Z135" s="209" t="e">
        <f t="shared" si="38"/>
        <v>#DIV/0!</v>
      </c>
      <c r="AA135" s="209" t="e">
        <f t="shared" si="38"/>
        <v>#DIV/0!</v>
      </c>
      <c r="AB135" s="209" t="e">
        <f t="shared" si="38"/>
        <v>#DIV/0!</v>
      </c>
      <c r="AC135" s="209" t="e">
        <f t="shared" si="38"/>
        <v>#DIV/0!</v>
      </c>
      <c r="AD135" s="209" t="e">
        <f t="shared" si="38"/>
        <v>#DIV/0!</v>
      </c>
      <c r="AE135" s="209" t="e">
        <f t="shared" si="38"/>
        <v>#DIV/0!</v>
      </c>
      <c r="AF135" s="209" t="e">
        <f t="shared" si="38"/>
        <v>#DIV/0!</v>
      </c>
      <c r="AG135" s="209" t="e">
        <f t="shared" si="38"/>
        <v>#DIV/0!</v>
      </c>
      <c r="AH135" s="209" t="e">
        <f t="shared" si="38"/>
        <v>#DIV/0!</v>
      </c>
      <c r="AI135" s="209" t="e">
        <f t="shared" si="38"/>
        <v>#DIV/0!</v>
      </c>
      <c r="AJ135" s="209" t="e">
        <f t="shared" si="38"/>
        <v>#DIV/0!</v>
      </c>
      <c r="AK135" s="209" t="e">
        <f t="shared" si="38"/>
        <v>#DIV/0!</v>
      </c>
      <c r="AL135" s="209" t="e">
        <f t="shared" si="38"/>
        <v>#DIV/0!</v>
      </c>
      <c r="AM135" s="209" t="e">
        <f t="shared" si="38"/>
        <v>#DIV/0!</v>
      </c>
      <c r="AN135" s="209" t="e">
        <f t="shared" si="38"/>
        <v>#DIV/0!</v>
      </c>
      <c r="AO135"/>
      <c r="AP135"/>
      <c r="AQ135"/>
    </row>
    <row r="136" spans="2:43" s="30" customFormat="1" x14ac:dyDescent="0.15">
      <c r="B136" s="329" t="s">
        <v>1132</v>
      </c>
      <c r="C136" s="161" t="s">
        <v>184</v>
      </c>
      <c r="D136" s="204" cm="1">
        <f t="array" ref="D136">SUM(SUMIFS('caseload data'!E:E,'caseload data'!$D:$D,"PO",'caseload data'!$A:$A,$B$136,'caseload data'!$B:$B,{"licence","community"}))</f>
        <v>0</v>
      </c>
      <c r="E136" s="204" cm="1">
        <f t="array" ref="E136">SUM(SUMIFS('caseload data'!F:F,'caseload data'!$D:$D,"PO",'caseload data'!$A:$A,$B$136,'caseload data'!$B:$B,{"licence","community"}))</f>
        <v>0</v>
      </c>
      <c r="F136" s="204" cm="1">
        <f t="array" ref="F136">SUM(SUMIFS('caseload data'!G:G,'caseload data'!$D:$D,"PO",'caseload data'!$A:$A,$B$136,'caseload data'!$B:$B,{"licence","community"}))</f>
        <v>0</v>
      </c>
      <c r="G136" s="204" cm="1">
        <f t="array" ref="G136">SUM(SUMIFS('caseload data'!H:H,'caseload data'!$D:$D,"PO",'caseload data'!$A:$A,$B$136,'caseload data'!$B:$B,{"licence","community"}))</f>
        <v>0</v>
      </c>
      <c r="H136" s="204" cm="1">
        <f t="array" ref="H136">SUM(SUMIFS('caseload data'!I:I,'caseload data'!$D:$D,"PO",'caseload data'!$A:$A,$B$136,'caseload data'!$B:$B,{"licence","community"}))</f>
        <v>0</v>
      </c>
      <c r="I136" s="204" cm="1">
        <f t="array" ref="I136">SUM(SUMIFS('caseload data'!J:J,'caseload data'!$D:$D,"PO",'caseload data'!$A:$A,$B$136,'caseload data'!$B:$B,{"licence","community"}))</f>
        <v>0</v>
      </c>
      <c r="J136" s="204" cm="1">
        <f t="array" ref="J136">SUM(SUMIFS('caseload data'!K:K,'caseload data'!$D:$D,"PO",'caseload data'!$A:$A,$B$136,'caseload data'!$B:$B,{"licence","community"}))</f>
        <v>0</v>
      </c>
      <c r="K136" s="204" cm="1">
        <f t="array" ref="K136">SUM(SUMIFS('caseload data'!L:L,'caseload data'!$D:$D,"PO",'caseload data'!$A:$A,$B$136,'caseload data'!$B:$B,{"licence","community"}))</f>
        <v>0</v>
      </c>
      <c r="L136" s="204" cm="1">
        <f t="array" ref="L136">SUM(SUMIFS('caseload data'!M:M,'caseload data'!$D:$D,"PO",'caseload data'!$A:$A,$B$136,'caseload data'!$B:$B,{"licence","community"}))</f>
        <v>0</v>
      </c>
      <c r="M136" s="204" cm="1">
        <f t="array" ref="M136">SUM(SUMIFS('caseload data'!N:N,'caseload data'!$D:$D,"PO",'caseload data'!$A:$A,$B$136,'caseload data'!$B:$B,{"licence","community"}))</f>
        <v>0</v>
      </c>
      <c r="N136" s="204" cm="1">
        <f t="array" ref="N136">SUM(SUMIFS('caseload data'!O:O,'caseload data'!$D:$D,"PO",'caseload data'!$A:$A,$B$136,'caseload data'!$B:$B,{"licence","community"}))</f>
        <v>0</v>
      </c>
      <c r="O136" s="204" cm="1">
        <f t="array" ref="O136">SUM(SUMIFS('caseload data'!P:P,'caseload data'!$D:$D,"PO",'caseload data'!$A:$A,$B$136,'caseload data'!$B:$B,{"licence","community"}))</f>
        <v>0</v>
      </c>
      <c r="P136" s="204" cm="1">
        <f t="array" ref="P136">SUM(SUMIFS('caseload data'!Q:Q,'caseload data'!$D:$D,"PO",'caseload data'!$A:$A,$B$136,'caseload data'!$B:$B,{"licence","community"}))</f>
        <v>0</v>
      </c>
      <c r="Q136" s="204" cm="1">
        <f t="array" ref="Q136">SUM(SUMIFS('caseload data'!R:R,'caseload data'!$D:$D,"PO",'caseload data'!$A:$A,$B$136,'caseload data'!$B:$B,{"licence","community"}))</f>
        <v>0</v>
      </c>
      <c r="R136" s="204" cm="1">
        <f t="array" ref="R136">SUM(SUMIFS('caseload data'!S:S,'caseload data'!$D:$D,"PO",'caseload data'!$A:$A,$B$136,'caseload data'!$B:$B,{"licence","community"}))</f>
        <v>0</v>
      </c>
      <c r="S136" s="204" cm="1">
        <f t="array" ref="S136">SUM(SUMIFS('caseload data'!T:T,'caseload data'!$D:$D,"PO",'caseload data'!$A:$A,$B$136,'caseload data'!$B:$B,{"licence","community"}))</f>
        <v>0</v>
      </c>
      <c r="T136" s="126">
        <f>SUM(SUMIFS('caseload data'!V:V,'caseload data'!D:D,"PO",'caseload data'!A:A,B136,'caseload data'!B:B,{"licence","community"}))</f>
        <v>0</v>
      </c>
      <c r="U136" s="95"/>
      <c r="V136" s="95"/>
      <c r="W136" s="329" t="s">
        <v>1132</v>
      </c>
      <c r="X136" s="161" t="s">
        <v>184</v>
      </c>
      <c r="Y136" s="209" t="e">
        <f>SUM(D136)/SUM(D$136:D$139)</f>
        <v>#DIV/0!</v>
      </c>
      <c r="Z136" s="209" t="e">
        <f t="shared" ref="Z136:AN139" si="39">SUM(E136)/SUM(E$136:E$139)</f>
        <v>#DIV/0!</v>
      </c>
      <c r="AA136" s="209" t="e">
        <f t="shared" si="39"/>
        <v>#DIV/0!</v>
      </c>
      <c r="AB136" s="209" t="e">
        <f t="shared" si="39"/>
        <v>#DIV/0!</v>
      </c>
      <c r="AC136" s="209" t="e">
        <f t="shared" si="39"/>
        <v>#DIV/0!</v>
      </c>
      <c r="AD136" s="209" t="e">
        <f t="shared" si="39"/>
        <v>#DIV/0!</v>
      </c>
      <c r="AE136" s="209" t="e">
        <f t="shared" si="39"/>
        <v>#DIV/0!</v>
      </c>
      <c r="AF136" s="209" t="e">
        <f t="shared" si="39"/>
        <v>#DIV/0!</v>
      </c>
      <c r="AG136" s="209" t="e">
        <f t="shared" si="39"/>
        <v>#DIV/0!</v>
      </c>
      <c r="AH136" s="209" t="e">
        <f t="shared" si="39"/>
        <v>#DIV/0!</v>
      </c>
      <c r="AI136" s="209" t="e">
        <f t="shared" si="39"/>
        <v>#DIV/0!</v>
      </c>
      <c r="AJ136" s="209" t="e">
        <f t="shared" si="39"/>
        <v>#DIV/0!</v>
      </c>
      <c r="AK136" s="209" t="e">
        <f t="shared" si="39"/>
        <v>#DIV/0!</v>
      </c>
      <c r="AL136" s="209" t="e">
        <f t="shared" si="39"/>
        <v>#DIV/0!</v>
      </c>
      <c r="AM136" s="209" t="e">
        <f t="shared" si="39"/>
        <v>#DIV/0!</v>
      </c>
      <c r="AN136" s="209" t="e">
        <f t="shared" si="39"/>
        <v>#DIV/0!</v>
      </c>
      <c r="AO136"/>
      <c r="AP136"/>
      <c r="AQ136"/>
    </row>
    <row r="137" spans="2:43" s="30" customFormat="1" x14ac:dyDescent="0.15">
      <c r="B137" s="330"/>
      <c r="C137" s="162" t="s">
        <v>185</v>
      </c>
      <c r="D137" s="204" cm="1">
        <f t="array" ref="D137">SUM(SUMIFS('caseload data'!E:E,'caseload data'!$D:$D,"PSO",'caseload data'!$A:$A,"South Central",'caseload data'!$B:$B,{"licence","community"}))</f>
        <v>0</v>
      </c>
      <c r="E137" s="204" cm="1">
        <f t="array" ref="E137">SUM(SUMIFS('caseload data'!F:F,'caseload data'!$D:$D,"PSO",'caseload data'!$A:$A,"South Central",'caseload data'!$B:$B,{"licence","community"}))</f>
        <v>0</v>
      </c>
      <c r="F137" s="204" cm="1">
        <f t="array" ref="F137">SUM(SUMIFS('caseload data'!G:G,'caseload data'!$D:$D,"PSO",'caseload data'!$A:$A,"South Central",'caseload data'!$B:$B,{"licence","community"}))</f>
        <v>0</v>
      </c>
      <c r="G137" s="204" cm="1">
        <f t="array" ref="G137">SUM(SUMIFS('caseload data'!H:H,'caseload data'!$D:$D,"PSO",'caseload data'!$A:$A,"South Central",'caseload data'!$B:$B,{"licence","community"}))</f>
        <v>0</v>
      </c>
      <c r="H137" s="204" cm="1">
        <f t="array" ref="H137">SUM(SUMIFS('caseload data'!I:I,'caseload data'!$D:$D,"PSO",'caseload data'!$A:$A,"South Central",'caseload data'!$B:$B,{"licence","community"}))</f>
        <v>0</v>
      </c>
      <c r="I137" s="204" cm="1">
        <f t="array" ref="I137">SUM(SUMIFS('caseload data'!J:J,'caseload data'!$D:$D,"PSO",'caseload data'!$A:$A,"South Central",'caseload data'!$B:$B,{"licence","community"}))</f>
        <v>0</v>
      </c>
      <c r="J137" s="204" cm="1">
        <f t="array" ref="J137">SUM(SUMIFS('caseload data'!K:K,'caseload data'!$D:$D,"PSO",'caseload data'!$A:$A,"South Central",'caseload data'!$B:$B,{"licence","community"}))</f>
        <v>0</v>
      </c>
      <c r="K137" s="204" cm="1">
        <f t="array" ref="K137">SUM(SUMIFS('caseload data'!L:L,'caseload data'!$D:$D,"PSO",'caseload data'!$A:$A,"South Central",'caseload data'!$B:$B,{"licence","community"}))</f>
        <v>0</v>
      </c>
      <c r="L137" s="204" cm="1">
        <f t="array" ref="L137">SUM(SUMIFS('caseload data'!M:M,'caseload data'!$D:$D,"PSO",'caseload data'!$A:$A,"South Central",'caseload data'!$B:$B,{"licence","community"}))</f>
        <v>0</v>
      </c>
      <c r="M137" s="204" cm="1">
        <f t="array" ref="M137">SUM(SUMIFS('caseload data'!N:N,'caseload data'!$D:$D,"PSO",'caseload data'!$A:$A,"South Central",'caseload data'!$B:$B,{"licence","community"}))</f>
        <v>0</v>
      </c>
      <c r="N137" s="204" cm="1">
        <f t="array" ref="N137">SUM(SUMIFS('caseload data'!O:O,'caseload data'!$D:$D,"PSO",'caseload data'!$A:$A,"South Central",'caseload data'!$B:$B,{"licence","community"}))</f>
        <v>0</v>
      </c>
      <c r="O137" s="204" cm="1">
        <f t="array" ref="O137">SUM(SUMIFS('caseload data'!P:P,'caseload data'!$D:$D,"PSO",'caseload data'!$A:$A,"South Central",'caseload data'!$B:$B,{"licence","community"}))</f>
        <v>0</v>
      </c>
      <c r="P137" s="204" cm="1">
        <f t="array" ref="P137">SUM(SUMIFS('caseload data'!Q:Q,'caseload data'!$D:$D,"PSO",'caseload data'!$A:$A,"South Central",'caseload data'!$B:$B,{"licence","community"}))</f>
        <v>0</v>
      </c>
      <c r="Q137" s="204" cm="1">
        <f t="array" ref="Q137">SUM(SUMIFS('caseload data'!R:R,'caseload data'!$D:$D,"PSO",'caseload data'!$A:$A,"South Central",'caseload data'!$B:$B,{"licence","community"}))</f>
        <v>0</v>
      </c>
      <c r="R137" s="204" cm="1">
        <f t="array" ref="R137">SUM(SUMIFS('caseload data'!S:S,'caseload data'!$D:$D,"PSO",'caseload data'!$A:$A,"South Central",'caseload data'!$B:$B,{"licence","community"}))</f>
        <v>0</v>
      </c>
      <c r="S137" s="204" cm="1">
        <f t="array" ref="S137">SUM(SUMIFS('caseload data'!T:T,'caseload data'!$D:$D,"PSO",'caseload data'!$A:$A,"South Central",'caseload data'!$B:$B,{"licence","community"}))</f>
        <v>0</v>
      </c>
      <c r="T137" s="126" cm="1">
        <f t="array" ref="T137">SUM(SUMIFS('caseload data'!V:V,'caseload data'!D:D,"PSO",'caseload data'!A:A,"South Central",'caseload data'!B:B,{"licence","community"}))</f>
        <v>0</v>
      </c>
      <c r="U137" s="95"/>
      <c r="V137" s="95"/>
      <c r="W137" s="330"/>
      <c r="X137" s="162" t="s">
        <v>185</v>
      </c>
      <c r="Y137" s="209" t="e">
        <f>SUM(D137)/SUM(D$136:D$139)</f>
        <v>#DIV/0!</v>
      </c>
      <c r="Z137" s="209" t="e">
        <f t="shared" si="39"/>
        <v>#DIV/0!</v>
      </c>
      <c r="AA137" s="209" t="e">
        <f t="shared" si="39"/>
        <v>#DIV/0!</v>
      </c>
      <c r="AB137" s="209" t="e">
        <f t="shared" si="39"/>
        <v>#DIV/0!</v>
      </c>
      <c r="AC137" s="209" t="e">
        <f t="shared" si="39"/>
        <v>#DIV/0!</v>
      </c>
      <c r="AD137" s="209" t="e">
        <f t="shared" si="39"/>
        <v>#DIV/0!</v>
      </c>
      <c r="AE137" s="209" t="e">
        <f t="shared" si="39"/>
        <v>#DIV/0!</v>
      </c>
      <c r="AF137" s="209" t="e">
        <f t="shared" si="39"/>
        <v>#DIV/0!</v>
      </c>
      <c r="AG137" s="209" t="e">
        <f t="shared" si="39"/>
        <v>#DIV/0!</v>
      </c>
      <c r="AH137" s="209" t="e">
        <f t="shared" si="39"/>
        <v>#DIV/0!</v>
      </c>
      <c r="AI137" s="209" t="e">
        <f t="shared" si="39"/>
        <v>#DIV/0!</v>
      </c>
      <c r="AJ137" s="209" t="e">
        <f t="shared" si="39"/>
        <v>#DIV/0!</v>
      </c>
      <c r="AK137" s="209" t="e">
        <f t="shared" si="39"/>
        <v>#DIV/0!</v>
      </c>
      <c r="AL137" s="209" t="e">
        <f t="shared" si="39"/>
        <v>#DIV/0!</v>
      </c>
      <c r="AM137" s="209" t="e">
        <f t="shared" si="39"/>
        <v>#DIV/0!</v>
      </c>
      <c r="AN137" s="209" t="e">
        <f t="shared" si="39"/>
        <v>#DIV/0!</v>
      </c>
      <c r="AO137"/>
      <c r="AP137"/>
      <c r="AQ137"/>
    </row>
    <row r="138" spans="2:43" s="30" customFormat="1" x14ac:dyDescent="0.15">
      <c r="B138" s="330"/>
      <c r="C138" s="162" t="s">
        <v>186</v>
      </c>
      <c r="D138" s="204" cm="1">
        <f t="array" ref="D138">SUM(SUMIFS('caseload data'!E:E,'caseload data'!$D:$D,"TPO",'caseload data'!$A:$A,"South Central",'caseload data'!$B:$B,{"licence","community"}))</f>
        <v>0</v>
      </c>
      <c r="E138" s="204" cm="1">
        <f t="array" ref="E138">SUM(SUMIFS('caseload data'!F:F,'caseload data'!$D:$D,"TPO",'caseload data'!$A:$A,"South Central",'caseload data'!$B:$B,{"licence","community"}))</f>
        <v>0</v>
      </c>
      <c r="F138" s="204" cm="1">
        <f t="array" ref="F138">SUM(SUMIFS('caseload data'!G:G,'caseload data'!$D:$D,"TPO",'caseload data'!$A:$A,"South Central",'caseload data'!$B:$B,{"licence","community"}))</f>
        <v>0</v>
      </c>
      <c r="G138" s="204" cm="1">
        <f t="array" ref="G138">SUM(SUMIFS('caseload data'!H:H,'caseload data'!$D:$D,"TPO",'caseload data'!$A:$A,"South Central",'caseload data'!$B:$B,{"licence","community"}))</f>
        <v>0</v>
      </c>
      <c r="H138" s="204" cm="1">
        <f t="array" ref="H138">SUM(SUMIFS('caseload data'!I:I,'caseload data'!$D:$D,"TPO",'caseload data'!$A:$A,"South Central",'caseload data'!$B:$B,{"licence","community"}))</f>
        <v>0</v>
      </c>
      <c r="I138" s="204" cm="1">
        <f t="array" ref="I138">SUM(SUMIFS('caseload data'!J:J,'caseload data'!$D:$D,"TPO",'caseload data'!$A:$A,"South Central",'caseload data'!$B:$B,{"licence","community"}))</f>
        <v>0</v>
      </c>
      <c r="J138" s="204" cm="1">
        <f t="array" ref="J138">SUM(SUMIFS('caseload data'!K:K,'caseload data'!$D:$D,"TPO",'caseload data'!$A:$A,"South Central",'caseload data'!$B:$B,{"licence","community"}))</f>
        <v>0</v>
      </c>
      <c r="K138" s="204" cm="1">
        <f t="array" ref="K138">SUM(SUMIFS('caseload data'!L:L,'caseload data'!$D:$D,"TPO",'caseload data'!$A:$A,"South Central",'caseload data'!$B:$B,{"licence","community"}))</f>
        <v>0</v>
      </c>
      <c r="L138" s="204" cm="1">
        <f t="array" ref="L138">SUM(SUMIFS('caseload data'!M:M,'caseload data'!$D:$D,"TPO",'caseload data'!$A:$A,"South Central",'caseload data'!$B:$B,{"licence","community"}))</f>
        <v>0</v>
      </c>
      <c r="M138" s="204" cm="1">
        <f t="array" ref="M138">SUM(SUMIFS('caseload data'!N:N,'caseload data'!$D:$D,"TPO",'caseload data'!$A:$A,"South Central",'caseload data'!$B:$B,{"licence","community"}))</f>
        <v>0</v>
      </c>
      <c r="N138" s="204" cm="1">
        <f t="array" ref="N138">SUM(SUMIFS('caseload data'!O:O,'caseload data'!$D:$D,"TPO",'caseload data'!$A:$A,"South Central",'caseload data'!$B:$B,{"licence","community"}))</f>
        <v>0</v>
      </c>
      <c r="O138" s="204" cm="1">
        <f t="array" ref="O138">SUM(SUMIFS('caseload data'!P:P,'caseload data'!$D:$D,"TPO",'caseload data'!$A:$A,"South Central",'caseload data'!$B:$B,{"licence","community"}))</f>
        <v>0</v>
      </c>
      <c r="P138" s="204" cm="1">
        <f t="array" ref="P138">SUM(SUMIFS('caseload data'!Q:Q,'caseload data'!$D:$D,"TPO",'caseload data'!$A:$A,"South Central",'caseload data'!$B:$B,{"licence","community"}))</f>
        <v>0</v>
      </c>
      <c r="Q138" s="204" cm="1">
        <f t="array" ref="Q138">SUM(SUMIFS('caseload data'!R:R,'caseload data'!$D:$D,"TPO",'caseload data'!$A:$A,"South Central",'caseload data'!$B:$B,{"licence","community"}))</f>
        <v>0</v>
      </c>
      <c r="R138" s="204" cm="1">
        <f t="array" ref="R138">SUM(SUMIFS('caseload data'!S:S,'caseload data'!$D:$D,"TPO",'caseload data'!$A:$A,"South Central",'caseload data'!$B:$B,{"licence","community"}))</f>
        <v>0</v>
      </c>
      <c r="S138" s="204" cm="1">
        <f t="array" ref="S138">SUM(SUMIFS('caseload data'!T:T,'caseload data'!$D:$D,"TPO",'caseload data'!$A:$A,"South Central",'caseload data'!$B:$B,{"licence","community"}))</f>
        <v>0</v>
      </c>
      <c r="T138" s="126" cm="1">
        <f t="array" ref="T138">SUM(SUMIFS('caseload data'!V:V,'caseload data'!D:D,"TPO",'caseload data'!A:A,"South Central",'caseload data'!B:B,{"licence","community"}))</f>
        <v>0</v>
      </c>
      <c r="U138" s="95"/>
      <c r="V138" s="95"/>
      <c r="W138" s="330"/>
      <c r="X138" s="162" t="s">
        <v>186</v>
      </c>
      <c r="Y138" s="209" t="e">
        <f>SUM(D138)/SUM(D$136:D$139)</f>
        <v>#DIV/0!</v>
      </c>
      <c r="Z138" s="209" t="e">
        <f t="shared" si="39"/>
        <v>#DIV/0!</v>
      </c>
      <c r="AA138" s="209" t="e">
        <f t="shared" si="39"/>
        <v>#DIV/0!</v>
      </c>
      <c r="AB138" s="209" t="e">
        <f t="shared" si="39"/>
        <v>#DIV/0!</v>
      </c>
      <c r="AC138" s="209" t="e">
        <f t="shared" si="39"/>
        <v>#DIV/0!</v>
      </c>
      <c r="AD138" s="209" t="e">
        <f t="shared" si="39"/>
        <v>#DIV/0!</v>
      </c>
      <c r="AE138" s="209" t="e">
        <f t="shared" si="39"/>
        <v>#DIV/0!</v>
      </c>
      <c r="AF138" s="209" t="e">
        <f t="shared" si="39"/>
        <v>#DIV/0!</v>
      </c>
      <c r="AG138" s="209" t="e">
        <f t="shared" si="39"/>
        <v>#DIV/0!</v>
      </c>
      <c r="AH138" s="209" t="e">
        <f t="shared" si="39"/>
        <v>#DIV/0!</v>
      </c>
      <c r="AI138" s="209" t="e">
        <f t="shared" si="39"/>
        <v>#DIV/0!</v>
      </c>
      <c r="AJ138" s="209" t="e">
        <f t="shared" si="39"/>
        <v>#DIV/0!</v>
      </c>
      <c r="AK138" s="209" t="e">
        <f t="shared" si="39"/>
        <v>#DIV/0!</v>
      </c>
      <c r="AL138" s="209" t="e">
        <f t="shared" si="39"/>
        <v>#DIV/0!</v>
      </c>
      <c r="AM138" s="209" t="e">
        <f t="shared" si="39"/>
        <v>#DIV/0!</v>
      </c>
      <c r="AN138" s="209" t="e">
        <f t="shared" si="39"/>
        <v>#DIV/0!</v>
      </c>
      <c r="AO138"/>
      <c r="AP138"/>
      <c r="AQ138"/>
    </row>
    <row r="139" spans="2:43" s="30" customFormat="1" x14ac:dyDescent="0.15">
      <c r="B139" s="332"/>
      <c r="C139" s="163" t="s">
        <v>187</v>
      </c>
      <c r="D139" s="204" cm="1">
        <f t="array" ref="D139">SUM(SUMIFS('caseload data'!E:E,'caseload data'!$D:$D,"SPO",'caseload data'!$A:$A,"South Central",'caseload data'!$B:$B,{"licence","community"}))</f>
        <v>0</v>
      </c>
      <c r="E139" s="204" cm="1">
        <f t="array" ref="E139">SUM(SUMIFS('caseload data'!F:F,'caseload data'!$D:$D,"SPO",'caseload data'!$A:$A,"South Central",'caseload data'!$B:$B,{"licence","community"}))</f>
        <v>0</v>
      </c>
      <c r="F139" s="204" cm="1">
        <f t="array" ref="F139">SUM(SUMIFS('caseload data'!G:G,'caseload data'!$D:$D,"SPO",'caseload data'!$A:$A,"South Central",'caseload data'!$B:$B,{"licence","community"}))</f>
        <v>0</v>
      </c>
      <c r="G139" s="204" cm="1">
        <f t="array" ref="G139">SUM(SUMIFS('caseload data'!H:H,'caseload data'!$D:$D,"SPO",'caseload data'!$A:$A,"South Central",'caseload data'!$B:$B,{"licence","community"}))</f>
        <v>0</v>
      </c>
      <c r="H139" s="204" cm="1">
        <f t="array" ref="H139">SUM(SUMIFS('caseload data'!I:I,'caseload data'!$D:$D,"SPO",'caseload data'!$A:$A,"South Central",'caseload data'!$B:$B,{"licence","community"}))</f>
        <v>0</v>
      </c>
      <c r="I139" s="204" cm="1">
        <f t="array" ref="I139">SUM(SUMIFS('caseload data'!J:J,'caseload data'!$D:$D,"SPO",'caseload data'!$A:$A,"South Central",'caseload data'!$B:$B,{"licence","community"}))</f>
        <v>0</v>
      </c>
      <c r="J139" s="204" cm="1">
        <f t="array" ref="J139">SUM(SUMIFS('caseload data'!K:K,'caseload data'!$D:$D,"SPO",'caseload data'!$A:$A,"South Central",'caseload data'!$B:$B,{"licence","community"}))</f>
        <v>0</v>
      </c>
      <c r="K139" s="204" cm="1">
        <f t="array" ref="K139">SUM(SUMIFS('caseload data'!L:L,'caseload data'!$D:$D,"SPO",'caseload data'!$A:$A,"South Central",'caseload data'!$B:$B,{"licence","community"}))</f>
        <v>0</v>
      </c>
      <c r="L139" s="204" cm="1">
        <f t="array" ref="L139">SUM(SUMIFS('caseload data'!M:M,'caseload data'!$D:$D,"SPO",'caseload data'!$A:$A,"South Central",'caseload data'!$B:$B,{"licence","community"}))</f>
        <v>0</v>
      </c>
      <c r="M139" s="204" cm="1">
        <f t="array" ref="M139">SUM(SUMIFS('caseload data'!N:N,'caseload data'!$D:$D,"SPO",'caseload data'!$A:$A,"South Central",'caseload data'!$B:$B,{"licence","community"}))</f>
        <v>0</v>
      </c>
      <c r="N139" s="204" cm="1">
        <f t="array" ref="N139">SUM(SUMIFS('caseload data'!O:O,'caseload data'!$D:$D,"SPO",'caseload data'!$A:$A,"South Central",'caseload data'!$B:$B,{"licence","community"}))</f>
        <v>0</v>
      </c>
      <c r="O139" s="204" cm="1">
        <f t="array" ref="O139">SUM(SUMIFS('caseload data'!P:P,'caseload data'!$D:$D,"SPO",'caseload data'!$A:$A,"South Central",'caseload data'!$B:$B,{"licence","community"}))</f>
        <v>0</v>
      </c>
      <c r="P139" s="204" cm="1">
        <f t="array" ref="P139">SUM(SUMIFS('caseload data'!Q:Q,'caseload data'!$D:$D,"SPO",'caseload data'!$A:$A,"South Central",'caseload data'!$B:$B,{"licence","community"}))</f>
        <v>0</v>
      </c>
      <c r="Q139" s="204" cm="1">
        <f t="array" ref="Q139">SUM(SUMIFS('caseload data'!R:R,'caseload data'!$D:$D,"SPO",'caseload data'!$A:$A,"South Central",'caseload data'!$B:$B,{"licence","community"}))</f>
        <v>0</v>
      </c>
      <c r="R139" s="204" cm="1">
        <f t="array" ref="R139">SUM(SUMIFS('caseload data'!S:S,'caseload data'!$D:$D,"SPO",'caseload data'!$A:$A,"South Central",'caseload data'!$B:$B,{"licence","community"}))</f>
        <v>0</v>
      </c>
      <c r="S139" s="204" cm="1">
        <f t="array" ref="S139">SUM(SUMIFS('caseload data'!T:T,'caseload data'!$D:$D,"SPO",'caseload data'!$A:$A,"South Central",'caseload data'!$B:$B,{"licence","community"}))</f>
        <v>0</v>
      </c>
      <c r="T139" s="126" cm="1">
        <f t="array" ref="T139">SUM(SUMIFS('caseload data'!V:V,'caseload data'!$D:$D,"SPO",'caseload data'!$A:$A,"South Central",'caseload data'!$B:$B,{"licence","community"}))</f>
        <v>0</v>
      </c>
      <c r="U139" s="95"/>
      <c r="V139" s="95"/>
      <c r="W139" s="332"/>
      <c r="X139" s="163" t="s">
        <v>187</v>
      </c>
      <c r="Y139" s="209" t="e">
        <f>SUM(D139)/SUM(D$136:D$139)</f>
        <v>#DIV/0!</v>
      </c>
      <c r="Z139" s="209" t="e">
        <f t="shared" si="39"/>
        <v>#DIV/0!</v>
      </c>
      <c r="AA139" s="209" t="e">
        <f t="shared" si="39"/>
        <v>#DIV/0!</v>
      </c>
      <c r="AB139" s="209" t="e">
        <f t="shared" si="39"/>
        <v>#DIV/0!</v>
      </c>
      <c r="AC139" s="209" t="e">
        <f t="shared" si="39"/>
        <v>#DIV/0!</v>
      </c>
      <c r="AD139" s="209" t="e">
        <f t="shared" si="39"/>
        <v>#DIV/0!</v>
      </c>
      <c r="AE139" s="209" t="e">
        <f t="shared" si="39"/>
        <v>#DIV/0!</v>
      </c>
      <c r="AF139" s="209" t="e">
        <f t="shared" si="39"/>
        <v>#DIV/0!</v>
      </c>
      <c r="AG139" s="209" t="e">
        <f t="shared" si="39"/>
        <v>#DIV/0!</v>
      </c>
      <c r="AH139" s="209" t="e">
        <f t="shared" si="39"/>
        <v>#DIV/0!</v>
      </c>
      <c r="AI139" s="209" t="e">
        <f t="shared" si="39"/>
        <v>#DIV/0!</v>
      </c>
      <c r="AJ139" s="209" t="e">
        <f t="shared" si="39"/>
        <v>#DIV/0!</v>
      </c>
      <c r="AK139" s="209" t="e">
        <f t="shared" si="39"/>
        <v>#DIV/0!</v>
      </c>
      <c r="AL139" s="209" t="e">
        <f t="shared" si="39"/>
        <v>#DIV/0!</v>
      </c>
      <c r="AM139" s="209" t="e">
        <f t="shared" si="39"/>
        <v>#DIV/0!</v>
      </c>
      <c r="AN139" s="209" t="e">
        <f t="shared" si="39"/>
        <v>#DIV/0!</v>
      </c>
      <c r="AO139"/>
      <c r="AP139"/>
      <c r="AQ139"/>
    </row>
    <row r="140" spans="2:43" x14ac:dyDescent="0.15">
      <c r="B140" s="329" t="s">
        <v>1217</v>
      </c>
      <c r="C140" s="161" t="s">
        <v>184</v>
      </c>
      <c r="D140" s="204" cm="1">
        <f t="array" ref="D140">SUM(SUMIFS('caseload data'!E:E,'caseload data'!$D:$D,"PO",'caseload data'!$A:$A,$B$140,'caseload data'!$B:$B,{"licence","community"}))</f>
        <v>0</v>
      </c>
      <c r="E140" s="204" cm="1">
        <f t="array" ref="E140">SUM(SUMIFS('caseload data'!F:F,'caseload data'!$D:$D,"PO",'caseload data'!$A:$A,$B$140,'caseload data'!$B:$B,{"licence","community"}))</f>
        <v>0</v>
      </c>
      <c r="F140" s="204" cm="1">
        <f t="array" ref="F140">SUM(SUMIFS('caseload data'!G:G,'caseload data'!$D:$D,"PO",'caseload data'!$A:$A,$B$140,'caseload data'!$B:$B,{"licence","community"}))</f>
        <v>0</v>
      </c>
      <c r="G140" s="204" cm="1">
        <f t="array" ref="G140">SUM(SUMIFS('caseload data'!H:H,'caseload data'!$D:$D,"PO",'caseload data'!$A:$A,$B$140,'caseload data'!$B:$B,{"licence","community"}))</f>
        <v>0</v>
      </c>
      <c r="H140" s="204" cm="1">
        <f t="array" ref="H140">SUM(SUMIFS('caseload data'!I:I,'caseload data'!$D:$D,"PO",'caseload data'!$A:$A,$B$140,'caseload data'!$B:$B,{"licence","community"}))</f>
        <v>0</v>
      </c>
      <c r="I140" s="204" cm="1">
        <f t="array" ref="I140">SUM(SUMIFS('caseload data'!J:J,'caseload data'!$D:$D,"PO",'caseload data'!$A:$A,$B$140,'caseload data'!$B:$B,{"licence","community"}))</f>
        <v>0</v>
      </c>
      <c r="J140" s="204" cm="1">
        <f t="array" ref="J140">SUM(SUMIFS('caseload data'!K:K,'caseload data'!$D:$D,"PO",'caseload data'!$A:$A,$B$140,'caseload data'!$B:$B,{"licence","community"}))</f>
        <v>0</v>
      </c>
      <c r="K140" s="204" cm="1">
        <f t="array" ref="K140">SUM(SUMIFS('caseload data'!L:L,'caseload data'!$D:$D,"PO",'caseload data'!$A:$A,$B$140,'caseload data'!$B:$B,{"licence","community"}))</f>
        <v>0</v>
      </c>
      <c r="L140" s="204" cm="1">
        <f t="array" ref="L140">SUM(SUMIFS('caseload data'!M:M,'caseload data'!$D:$D,"PO",'caseload data'!$A:$A,$B$140,'caseload data'!$B:$B,{"licence","community"}))</f>
        <v>0</v>
      </c>
      <c r="M140" s="204" cm="1">
        <f t="array" ref="M140">SUM(SUMIFS('caseload data'!N:N,'caseload data'!$D:$D,"PO",'caseload data'!$A:$A,$B$140,'caseload data'!$B:$B,{"licence","community"}))</f>
        <v>0</v>
      </c>
      <c r="N140" s="204" cm="1">
        <f t="array" ref="N140">SUM(SUMIFS('caseload data'!O:O,'caseload data'!$D:$D,"PO",'caseload data'!$A:$A,$B$140,'caseload data'!$B:$B,{"licence","community"}))</f>
        <v>0</v>
      </c>
      <c r="O140" s="204" cm="1">
        <f t="array" ref="O140">SUM(SUMIFS('caseload data'!P:P,'caseload data'!$D:$D,"PO",'caseload data'!$A:$A,$B$140,'caseload data'!$B:$B,{"licence","community"}))</f>
        <v>0</v>
      </c>
      <c r="P140" s="204" cm="1">
        <f t="array" ref="P140">SUM(SUMIFS('caseload data'!Q:Q,'caseload data'!$D:$D,"PO",'caseload data'!$A:$A,$B$140,'caseload data'!$B:$B,{"licence","community"}))</f>
        <v>0</v>
      </c>
      <c r="Q140" s="204" cm="1">
        <f t="array" ref="Q140">SUM(SUMIFS('caseload data'!R:R,'caseload data'!$D:$D,"PO",'caseload data'!$A:$A,$B$140,'caseload data'!$B:$B,{"licence","community"}))</f>
        <v>0</v>
      </c>
      <c r="R140" s="204" cm="1">
        <f t="array" ref="R140">SUM(SUMIFS('caseload data'!S:S,'caseload data'!$D:$D,"PO",'caseload data'!$A:$A,$B$140,'caseload data'!$B:$B,{"licence","community"}))</f>
        <v>0</v>
      </c>
      <c r="S140" s="204" cm="1">
        <f t="array" ref="S140">SUM(SUMIFS('caseload data'!T:T,'caseload data'!$D:$D,"PO",'caseload data'!$A:$A,$B$140,'caseload data'!$B:$B,{"licence","community"}))</f>
        <v>0</v>
      </c>
      <c r="T140" s="126">
        <f>SUM(SUMIFS('caseload data'!V:V,'caseload data'!D:D,"PO",'caseload data'!A:A,B140,'caseload data'!B:B,{"licence","community"}))</f>
        <v>0</v>
      </c>
      <c r="U140" s="95"/>
      <c r="V140" s="95"/>
      <c r="W140" s="329" t="s">
        <v>1217</v>
      </c>
      <c r="X140" s="161" t="s">
        <v>184</v>
      </c>
      <c r="Y140" s="209" t="e">
        <f>SUM(D140)/SUM(D$140:D$143)</f>
        <v>#DIV/0!</v>
      </c>
      <c r="Z140" s="209" t="e">
        <f t="shared" ref="Z140:AN143" si="40">SUM(E140)/SUM(E$140:E$143)</f>
        <v>#DIV/0!</v>
      </c>
      <c r="AA140" s="209" t="e">
        <f t="shared" si="40"/>
        <v>#DIV/0!</v>
      </c>
      <c r="AB140" s="209" t="e">
        <f t="shared" si="40"/>
        <v>#DIV/0!</v>
      </c>
      <c r="AC140" s="209" t="e">
        <f t="shared" si="40"/>
        <v>#DIV/0!</v>
      </c>
      <c r="AD140" s="209" t="e">
        <f t="shared" si="40"/>
        <v>#DIV/0!</v>
      </c>
      <c r="AE140" s="209" t="e">
        <f t="shared" si="40"/>
        <v>#DIV/0!</v>
      </c>
      <c r="AF140" s="209" t="e">
        <f t="shared" si="40"/>
        <v>#DIV/0!</v>
      </c>
      <c r="AG140" s="209" t="e">
        <f t="shared" si="40"/>
        <v>#DIV/0!</v>
      </c>
      <c r="AH140" s="209" t="e">
        <f t="shared" si="40"/>
        <v>#DIV/0!</v>
      </c>
      <c r="AI140" s="209" t="e">
        <f t="shared" si="40"/>
        <v>#DIV/0!</v>
      </c>
      <c r="AJ140" s="209" t="e">
        <f t="shared" si="40"/>
        <v>#DIV/0!</v>
      </c>
      <c r="AK140" s="209" t="e">
        <f t="shared" si="40"/>
        <v>#DIV/0!</v>
      </c>
      <c r="AL140" s="209" t="e">
        <f t="shared" si="40"/>
        <v>#DIV/0!</v>
      </c>
      <c r="AM140" s="209" t="e">
        <f t="shared" si="40"/>
        <v>#DIV/0!</v>
      </c>
      <c r="AN140" s="209" t="e">
        <f t="shared" si="40"/>
        <v>#DIV/0!</v>
      </c>
    </row>
    <row r="141" spans="2:43" x14ac:dyDescent="0.15">
      <c r="B141" s="330"/>
      <c r="C141" s="162" t="s">
        <v>185</v>
      </c>
      <c r="D141" s="204" cm="1">
        <f t="array" ref="D141">SUM(SUMIFS('caseload data'!E:E,'caseload data'!$D:$D,"PSO",'caseload data'!$A:$A,"South West",'caseload data'!$B:$B,{"licence","community"}))</f>
        <v>0</v>
      </c>
      <c r="E141" s="204" cm="1">
        <f t="array" ref="E141">SUM(SUMIFS('caseload data'!F:F,'caseload data'!$D:$D,"PSO",'caseload data'!$A:$A,"South West",'caseload data'!$B:$B,{"licence","community"}))</f>
        <v>0</v>
      </c>
      <c r="F141" s="204" cm="1">
        <f t="array" ref="F141">SUM(SUMIFS('caseload data'!G:G,'caseload data'!$D:$D,"PSO",'caseload data'!$A:$A,"South West",'caseload data'!$B:$B,{"licence","community"}))</f>
        <v>0</v>
      </c>
      <c r="G141" s="204" cm="1">
        <f t="array" ref="G141">SUM(SUMIFS('caseload data'!H:H,'caseload data'!$D:$D,"PSO",'caseload data'!$A:$A,"South West",'caseload data'!$B:$B,{"licence","community"}))</f>
        <v>0</v>
      </c>
      <c r="H141" s="204" cm="1">
        <f t="array" ref="H141">SUM(SUMIFS('caseload data'!I:I,'caseload data'!$D:$D,"PSO",'caseload data'!$A:$A,"South West",'caseload data'!$B:$B,{"licence","community"}))</f>
        <v>0</v>
      </c>
      <c r="I141" s="204" cm="1">
        <f t="array" ref="I141">SUM(SUMIFS('caseload data'!J:J,'caseload data'!$D:$D,"PSO",'caseload data'!$A:$A,"South West",'caseload data'!$B:$B,{"licence","community"}))</f>
        <v>0</v>
      </c>
      <c r="J141" s="204" cm="1">
        <f t="array" ref="J141">SUM(SUMIFS('caseload data'!K:K,'caseload data'!$D:$D,"PSO",'caseload data'!$A:$A,"South West",'caseload data'!$B:$B,{"licence","community"}))</f>
        <v>0</v>
      </c>
      <c r="K141" s="204" cm="1">
        <f t="array" ref="K141">SUM(SUMIFS('caseload data'!L:L,'caseload data'!$D:$D,"PSO",'caseload data'!$A:$A,"South West",'caseload data'!$B:$B,{"licence","community"}))</f>
        <v>0</v>
      </c>
      <c r="L141" s="204" cm="1">
        <f t="array" ref="L141">SUM(SUMIFS('caseload data'!M:M,'caseload data'!$D:$D,"PSO",'caseload data'!$A:$A,"South West",'caseload data'!$B:$B,{"licence","community"}))</f>
        <v>0</v>
      </c>
      <c r="M141" s="204" cm="1">
        <f t="array" ref="M141">SUM(SUMIFS('caseload data'!N:N,'caseload data'!$D:$D,"PSO",'caseload data'!$A:$A,"South West",'caseload data'!$B:$B,{"licence","community"}))</f>
        <v>0</v>
      </c>
      <c r="N141" s="204" cm="1">
        <f t="array" ref="N141">SUM(SUMIFS('caseload data'!O:O,'caseload data'!$D:$D,"PSO",'caseload data'!$A:$A,"South West",'caseload data'!$B:$B,{"licence","community"}))</f>
        <v>0</v>
      </c>
      <c r="O141" s="204" cm="1">
        <f t="array" ref="O141">SUM(SUMIFS('caseload data'!P:P,'caseload data'!$D:$D,"PSO",'caseload data'!$A:$A,"South West",'caseload data'!$B:$B,{"licence","community"}))</f>
        <v>0</v>
      </c>
      <c r="P141" s="204" cm="1">
        <f t="array" ref="P141">SUM(SUMIFS('caseload data'!Q:Q,'caseload data'!$D:$D,"PSO",'caseload data'!$A:$A,"South West",'caseload data'!$B:$B,{"licence","community"}))</f>
        <v>0</v>
      </c>
      <c r="Q141" s="204" cm="1">
        <f t="array" ref="Q141">SUM(SUMIFS('caseload data'!R:R,'caseload data'!$D:$D,"PSO",'caseload data'!$A:$A,"South West",'caseload data'!$B:$B,{"licence","community"}))</f>
        <v>0</v>
      </c>
      <c r="R141" s="204" cm="1">
        <f t="array" ref="R141">SUM(SUMIFS('caseload data'!S:S,'caseload data'!$D:$D,"PSO",'caseload data'!$A:$A,"South West",'caseload data'!$B:$B,{"licence","community"}))</f>
        <v>0</v>
      </c>
      <c r="S141" s="204" cm="1">
        <f t="array" ref="S141">SUM(SUMIFS('caseload data'!T:T,'caseload data'!$D:$D,"PSO",'caseload data'!$A:$A,"South West",'caseload data'!$B:$B,{"licence","community"}))</f>
        <v>0</v>
      </c>
      <c r="T141" s="126" cm="1">
        <f t="array" ref="T141">SUM(SUMIFS('caseload data'!V:V,'caseload data'!D:D,"PSO",'caseload data'!A:A,"South West",'caseload data'!B:B,{"licence","community"}))</f>
        <v>0</v>
      </c>
      <c r="U141" s="95"/>
      <c r="V141" s="95"/>
      <c r="W141" s="330"/>
      <c r="X141" s="162" t="s">
        <v>185</v>
      </c>
      <c r="Y141" s="209" t="e">
        <f>SUM(D141)/SUM(D$140:D$143)</f>
        <v>#DIV/0!</v>
      </c>
      <c r="Z141" s="209" t="e">
        <f t="shared" si="40"/>
        <v>#DIV/0!</v>
      </c>
      <c r="AA141" s="209" t="e">
        <f t="shared" si="40"/>
        <v>#DIV/0!</v>
      </c>
      <c r="AB141" s="209" t="e">
        <f t="shared" si="40"/>
        <v>#DIV/0!</v>
      </c>
      <c r="AC141" s="209" t="e">
        <f t="shared" si="40"/>
        <v>#DIV/0!</v>
      </c>
      <c r="AD141" s="209" t="e">
        <f t="shared" si="40"/>
        <v>#DIV/0!</v>
      </c>
      <c r="AE141" s="209" t="e">
        <f t="shared" si="40"/>
        <v>#DIV/0!</v>
      </c>
      <c r="AF141" s="209" t="e">
        <f t="shared" si="40"/>
        <v>#DIV/0!</v>
      </c>
      <c r="AG141" s="209" t="e">
        <f t="shared" si="40"/>
        <v>#DIV/0!</v>
      </c>
      <c r="AH141" s="209" t="e">
        <f t="shared" si="40"/>
        <v>#DIV/0!</v>
      </c>
      <c r="AI141" s="209" t="e">
        <f t="shared" si="40"/>
        <v>#DIV/0!</v>
      </c>
      <c r="AJ141" s="209" t="e">
        <f t="shared" si="40"/>
        <v>#DIV/0!</v>
      </c>
      <c r="AK141" s="209" t="e">
        <f t="shared" si="40"/>
        <v>#DIV/0!</v>
      </c>
      <c r="AL141" s="209" t="e">
        <f t="shared" si="40"/>
        <v>#DIV/0!</v>
      </c>
      <c r="AM141" s="209" t="e">
        <f t="shared" si="40"/>
        <v>#DIV/0!</v>
      </c>
      <c r="AN141" s="209" t="e">
        <f t="shared" si="40"/>
        <v>#DIV/0!</v>
      </c>
    </row>
    <row r="142" spans="2:43" x14ac:dyDescent="0.15">
      <c r="B142" s="330"/>
      <c r="C142" s="162" t="s">
        <v>186</v>
      </c>
      <c r="D142" s="204" cm="1">
        <f t="array" ref="D142">SUM(SUMIFS('caseload data'!E:E,'caseload data'!$D:$D,"TPO",'caseload data'!$A:$A,"South West",'caseload data'!$B:$B,{"licence","community"}))</f>
        <v>0</v>
      </c>
      <c r="E142" s="204" cm="1">
        <f t="array" ref="E142">SUM(SUMIFS('caseload data'!F:F,'caseload data'!$D:$D,"TPO",'caseload data'!$A:$A,"South West",'caseload data'!$B:$B,{"licence","community"}))</f>
        <v>0</v>
      </c>
      <c r="F142" s="204" cm="1">
        <f t="array" ref="F142">SUM(SUMIFS('caseload data'!G:G,'caseload data'!$D:$D,"TPO",'caseload data'!$A:$A,"South West",'caseload data'!$B:$B,{"licence","community"}))</f>
        <v>0</v>
      </c>
      <c r="G142" s="204" cm="1">
        <f t="array" ref="G142">SUM(SUMIFS('caseload data'!H:H,'caseload data'!$D:$D,"TPO",'caseload data'!$A:$A,"South West",'caseload data'!$B:$B,{"licence","community"}))</f>
        <v>0</v>
      </c>
      <c r="H142" s="204" cm="1">
        <f t="array" ref="H142">SUM(SUMIFS('caseload data'!I:I,'caseload data'!$D:$D,"TPO",'caseload data'!$A:$A,"South West",'caseload data'!$B:$B,{"licence","community"}))</f>
        <v>0</v>
      </c>
      <c r="I142" s="204" cm="1">
        <f t="array" ref="I142">SUM(SUMIFS('caseload data'!J:J,'caseload data'!$D:$D,"TPO",'caseload data'!$A:$A,"South West",'caseload data'!$B:$B,{"licence","community"}))</f>
        <v>0</v>
      </c>
      <c r="J142" s="204" cm="1">
        <f t="array" ref="J142">SUM(SUMIFS('caseload data'!K:K,'caseload data'!$D:$D,"TPO",'caseload data'!$A:$A,"South West",'caseload data'!$B:$B,{"licence","community"}))</f>
        <v>0</v>
      </c>
      <c r="K142" s="204" cm="1">
        <f t="array" ref="K142">SUM(SUMIFS('caseload data'!L:L,'caseload data'!$D:$D,"TPO",'caseload data'!$A:$A,"South West",'caseload data'!$B:$B,{"licence","community"}))</f>
        <v>0</v>
      </c>
      <c r="L142" s="204" cm="1">
        <f t="array" ref="L142">SUM(SUMIFS('caseload data'!M:M,'caseload data'!$D:$D,"TPO",'caseload data'!$A:$A,"South West",'caseload data'!$B:$B,{"licence","community"}))</f>
        <v>0</v>
      </c>
      <c r="M142" s="204" cm="1">
        <f t="array" ref="M142">SUM(SUMIFS('caseload data'!N:N,'caseload data'!$D:$D,"TPO",'caseload data'!$A:$A,"South West",'caseload data'!$B:$B,{"licence","community"}))</f>
        <v>0</v>
      </c>
      <c r="N142" s="204" cm="1">
        <f t="array" ref="N142">SUM(SUMIFS('caseload data'!O:O,'caseload data'!$D:$D,"TPO",'caseload data'!$A:$A,"South West",'caseload data'!$B:$B,{"licence","community"}))</f>
        <v>0</v>
      </c>
      <c r="O142" s="204" cm="1">
        <f t="array" ref="O142">SUM(SUMIFS('caseload data'!P:P,'caseload data'!$D:$D,"TPO",'caseload data'!$A:$A,"South West",'caseload data'!$B:$B,{"licence","community"}))</f>
        <v>0</v>
      </c>
      <c r="P142" s="204" cm="1">
        <f t="array" ref="P142">SUM(SUMIFS('caseload data'!Q:Q,'caseload data'!$D:$D,"TPO",'caseload data'!$A:$A,"South West",'caseload data'!$B:$B,{"licence","community"}))</f>
        <v>0</v>
      </c>
      <c r="Q142" s="204" cm="1">
        <f t="array" ref="Q142">SUM(SUMIFS('caseload data'!R:R,'caseload data'!$D:$D,"TPO",'caseload data'!$A:$A,"South West",'caseload data'!$B:$B,{"licence","community"}))</f>
        <v>0</v>
      </c>
      <c r="R142" s="204" cm="1">
        <f t="array" ref="R142">SUM(SUMIFS('caseload data'!S:S,'caseload data'!$D:$D,"TPO",'caseload data'!$A:$A,"South West",'caseload data'!$B:$B,{"licence","community"}))</f>
        <v>0</v>
      </c>
      <c r="S142" s="204" cm="1">
        <f t="array" ref="S142">SUM(SUMIFS('caseload data'!T:T,'caseload data'!$D:$D,"TPO",'caseload data'!$A:$A,"South West",'caseload data'!$B:$B,{"licence","community"}))</f>
        <v>0</v>
      </c>
      <c r="T142" s="126" cm="1">
        <f t="array" ref="T142">SUM(SUMIFS('caseload data'!V:V,'caseload data'!D:D,"TPO",'caseload data'!A:A,"South West",'caseload data'!B:B,{"licence","community"}))</f>
        <v>0</v>
      </c>
      <c r="U142" s="95"/>
      <c r="V142" s="95"/>
      <c r="W142" s="330"/>
      <c r="X142" s="162" t="s">
        <v>186</v>
      </c>
      <c r="Y142" s="209" t="e">
        <f>SUM(D142)/SUM(D$140:D$143)</f>
        <v>#DIV/0!</v>
      </c>
      <c r="Z142" s="209" t="e">
        <f t="shared" si="40"/>
        <v>#DIV/0!</v>
      </c>
      <c r="AA142" s="209" t="e">
        <f t="shared" si="40"/>
        <v>#DIV/0!</v>
      </c>
      <c r="AB142" s="209" t="e">
        <f t="shared" si="40"/>
        <v>#DIV/0!</v>
      </c>
      <c r="AC142" s="209" t="e">
        <f t="shared" si="40"/>
        <v>#DIV/0!</v>
      </c>
      <c r="AD142" s="209" t="e">
        <f t="shared" si="40"/>
        <v>#DIV/0!</v>
      </c>
      <c r="AE142" s="209" t="e">
        <f t="shared" si="40"/>
        <v>#DIV/0!</v>
      </c>
      <c r="AF142" s="209" t="e">
        <f t="shared" si="40"/>
        <v>#DIV/0!</v>
      </c>
      <c r="AG142" s="209" t="e">
        <f t="shared" si="40"/>
        <v>#DIV/0!</v>
      </c>
      <c r="AH142" s="209" t="e">
        <f t="shared" si="40"/>
        <v>#DIV/0!</v>
      </c>
      <c r="AI142" s="209" t="e">
        <f t="shared" si="40"/>
        <v>#DIV/0!</v>
      </c>
      <c r="AJ142" s="209" t="e">
        <f t="shared" si="40"/>
        <v>#DIV/0!</v>
      </c>
      <c r="AK142" s="209" t="e">
        <f t="shared" si="40"/>
        <v>#DIV/0!</v>
      </c>
      <c r="AL142" s="209" t="e">
        <f t="shared" si="40"/>
        <v>#DIV/0!</v>
      </c>
      <c r="AM142" s="209" t="e">
        <f t="shared" si="40"/>
        <v>#DIV/0!</v>
      </c>
      <c r="AN142" s="209" t="e">
        <f t="shared" si="40"/>
        <v>#DIV/0!</v>
      </c>
    </row>
    <row r="143" spans="2:43" s="30" customFormat="1" x14ac:dyDescent="0.15">
      <c r="B143" s="332"/>
      <c r="C143" s="163" t="s">
        <v>187</v>
      </c>
      <c r="D143" s="204" cm="1">
        <f t="array" ref="D143">SUM(SUMIFS('caseload data'!E:E,'caseload data'!$D:$D,"SPO",'caseload data'!$A:$A,"South West",'caseload data'!$B:$B,{"licence","community"}))</f>
        <v>0</v>
      </c>
      <c r="E143" s="204" cm="1">
        <f t="array" ref="E143">SUM(SUMIFS('caseload data'!F:F,'caseload data'!$D:$D,"SPO",'caseload data'!$A:$A,"South West",'caseload data'!$B:$B,{"licence","community"}))</f>
        <v>0</v>
      </c>
      <c r="F143" s="204" cm="1">
        <f t="array" ref="F143">SUM(SUMIFS('caseload data'!G:G,'caseload data'!$D:$D,"SPO",'caseload data'!$A:$A,"South West",'caseload data'!$B:$B,{"licence","community"}))</f>
        <v>0</v>
      </c>
      <c r="G143" s="204" cm="1">
        <f t="array" ref="G143">SUM(SUMIFS('caseload data'!H:H,'caseload data'!$D:$D,"SPO",'caseload data'!$A:$A,"South West",'caseload data'!$B:$B,{"licence","community"}))</f>
        <v>0</v>
      </c>
      <c r="H143" s="204" cm="1">
        <f t="array" ref="H143">SUM(SUMIFS('caseload data'!I:I,'caseload data'!$D:$D,"SPO",'caseload data'!$A:$A,"South West",'caseload data'!$B:$B,{"licence","community"}))</f>
        <v>0</v>
      </c>
      <c r="I143" s="204" cm="1">
        <f t="array" ref="I143">SUM(SUMIFS('caseload data'!J:J,'caseload data'!$D:$D,"SPO",'caseload data'!$A:$A,"South West",'caseload data'!$B:$B,{"licence","community"}))</f>
        <v>0</v>
      </c>
      <c r="J143" s="204" cm="1">
        <f t="array" ref="J143">SUM(SUMIFS('caseload data'!K:K,'caseload data'!$D:$D,"SPO",'caseload data'!$A:$A,"South West",'caseload data'!$B:$B,{"licence","community"}))</f>
        <v>0</v>
      </c>
      <c r="K143" s="204" cm="1">
        <f t="array" ref="K143">SUM(SUMIFS('caseload data'!L:L,'caseload data'!$D:$D,"SPO",'caseload data'!$A:$A,"South West",'caseload data'!$B:$B,{"licence","community"}))</f>
        <v>0</v>
      </c>
      <c r="L143" s="204" cm="1">
        <f t="array" ref="L143">SUM(SUMIFS('caseload data'!M:M,'caseload data'!$D:$D,"SPO",'caseload data'!$A:$A,"South West",'caseload data'!$B:$B,{"licence","community"}))</f>
        <v>0</v>
      </c>
      <c r="M143" s="204" cm="1">
        <f t="array" ref="M143">SUM(SUMIFS('caseload data'!N:N,'caseload data'!$D:$D,"SPO",'caseload data'!$A:$A,"South West",'caseload data'!$B:$B,{"licence","community"}))</f>
        <v>0</v>
      </c>
      <c r="N143" s="204" cm="1">
        <f t="array" ref="N143">SUM(SUMIFS('caseload data'!O:O,'caseload data'!$D:$D,"SPO",'caseload data'!$A:$A,"South West",'caseload data'!$B:$B,{"licence","community"}))</f>
        <v>0</v>
      </c>
      <c r="O143" s="204" cm="1">
        <f t="array" ref="O143">SUM(SUMIFS('caseload data'!P:P,'caseload data'!$D:$D,"SPO",'caseload data'!$A:$A,"South West",'caseload data'!$B:$B,{"licence","community"}))</f>
        <v>0</v>
      </c>
      <c r="P143" s="204" cm="1">
        <f t="array" ref="P143">SUM(SUMIFS('caseload data'!Q:Q,'caseload data'!$D:$D,"SPO",'caseload data'!$A:$A,"South West",'caseload data'!$B:$B,{"licence","community"}))</f>
        <v>0</v>
      </c>
      <c r="Q143" s="204" cm="1">
        <f t="array" ref="Q143">SUM(SUMIFS('caseload data'!R:R,'caseload data'!$D:$D,"SPO",'caseload data'!$A:$A,"South West",'caseload data'!$B:$B,{"licence","community"}))</f>
        <v>0</v>
      </c>
      <c r="R143" s="204" cm="1">
        <f t="array" ref="R143">SUM(SUMIFS('caseload data'!S:S,'caseload data'!$D:$D,"SPO",'caseload data'!$A:$A,"South West",'caseload data'!$B:$B,{"licence","community"}))</f>
        <v>0</v>
      </c>
      <c r="S143" s="204" cm="1">
        <f t="array" ref="S143">SUM(SUMIFS('caseload data'!T:T,'caseload data'!$D:$D,"SPO",'caseload data'!$A:$A,"South West",'caseload data'!$B:$B,{"licence","community"}))</f>
        <v>0</v>
      </c>
      <c r="T143" s="126" cm="1">
        <f t="array" ref="T143">SUM(SUMIFS('caseload data'!V:V,'caseload data'!$D:$D,"SPO",'caseload data'!$A:$A,"South West",'caseload data'!$B:$B,{"licence","community"}))</f>
        <v>0</v>
      </c>
      <c r="U143" s="95"/>
      <c r="V143" s="95"/>
      <c r="W143" s="332"/>
      <c r="X143" s="163" t="s">
        <v>187</v>
      </c>
      <c r="Y143" s="209" t="e">
        <f>SUM(D143)/SUM(D$140:D$143)</f>
        <v>#DIV/0!</v>
      </c>
      <c r="Z143" s="209" t="e">
        <f t="shared" si="40"/>
        <v>#DIV/0!</v>
      </c>
      <c r="AA143" s="209" t="e">
        <f t="shared" si="40"/>
        <v>#DIV/0!</v>
      </c>
      <c r="AB143" s="209" t="e">
        <f t="shared" si="40"/>
        <v>#DIV/0!</v>
      </c>
      <c r="AC143" s="209" t="e">
        <f t="shared" si="40"/>
        <v>#DIV/0!</v>
      </c>
      <c r="AD143" s="209" t="e">
        <f t="shared" si="40"/>
        <v>#DIV/0!</v>
      </c>
      <c r="AE143" s="209" t="e">
        <f t="shared" si="40"/>
        <v>#DIV/0!</v>
      </c>
      <c r="AF143" s="209" t="e">
        <f t="shared" si="40"/>
        <v>#DIV/0!</v>
      </c>
      <c r="AG143" s="209" t="e">
        <f t="shared" si="40"/>
        <v>#DIV/0!</v>
      </c>
      <c r="AH143" s="209" t="e">
        <f t="shared" si="40"/>
        <v>#DIV/0!</v>
      </c>
      <c r="AI143" s="209" t="e">
        <f t="shared" si="40"/>
        <v>#DIV/0!</v>
      </c>
      <c r="AJ143" s="209" t="e">
        <f t="shared" si="40"/>
        <v>#DIV/0!</v>
      </c>
      <c r="AK143" s="209" t="e">
        <f t="shared" si="40"/>
        <v>#DIV/0!</v>
      </c>
      <c r="AL143" s="209" t="e">
        <f t="shared" si="40"/>
        <v>#DIV/0!</v>
      </c>
      <c r="AM143" s="209" t="e">
        <f t="shared" si="40"/>
        <v>#DIV/0!</v>
      </c>
      <c r="AN143" s="209" t="e">
        <f t="shared" si="40"/>
        <v>#DIV/0!</v>
      </c>
      <c r="AO143"/>
      <c r="AP143"/>
      <c r="AQ143"/>
    </row>
    <row r="144" spans="2:43" x14ac:dyDescent="0.15">
      <c r="B144" s="329" t="s">
        <v>382</v>
      </c>
      <c r="C144" s="161" t="s">
        <v>184</v>
      </c>
      <c r="D144" s="204" cm="1">
        <f t="array" ref="D144">SUM(SUMIFS('caseload data'!E:E,'caseload data'!$D:$D,"PO",'caseload data'!$A:$A,$B$144,'caseload data'!$B:$B,{"licence","community"}))</f>
        <v>0</v>
      </c>
      <c r="E144" s="204" cm="1">
        <f t="array" ref="E144">SUM(SUMIFS('caseload data'!F:F,'caseload data'!$D:$D,"PO",'caseload data'!$A:$A,$B$144,'caseload data'!$B:$B,{"licence","community"}))</f>
        <v>0</v>
      </c>
      <c r="F144" s="204" cm="1">
        <f t="array" ref="F144">SUM(SUMIFS('caseload data'!G:G,'caseload data'!$D:$D,"PO",'caseload data'!$A:$A,$B$144,'caseload data'!$B:$B,{"licence","community"}))</f>
        <v>0</v>
      </c>
      <c r="G144" s="204" cm="1">
        <f t="array" ref="G144">SUM(SUMIFS('caseload data'!H:H,'caseload data'!$D:$D,"PO",'caseload data'!$A:$A,$B$144,'caseload data'!$B:$B,{"licence","community"}))</f>
        <v>0</v>
      </c>
      <c r="H144" s="204" cm="1">
        <f t="array" ref="H144">SUM(SUMIFS('caseload data'!I:I,'caseload data'!$D:$D,"PO",'caseload data'!$A:$A,$B$144,'caseload data'!$B:$B,{"licence","community"}))</f>
        <v>0</v>
      </c>
      <c r="I144" s="204" cm="1">
        <f t="array" ref="I144">SUM(SUMIFS('caseload data'!J:J,'caseload data'!$D:$D,"PO",'caseload data'!$A:$A,$B$144,'caseload data'!$B:$B,{"licence","community"}))</f>
        <v>0</v>
      </c>
      <c r="J144" s="204" cm="1">
        <f t="array" ref="J144">SUM(SUMIFS('caseload data'!K:K,'caseload data'!$D:$D,"PO",'caseload data'!$A:$A,$B$144,'caseload data'!$B:$B,{"licence","community"}))</f>
        <v>0</v>
      </c>
      <c r="K144" s="204" cm="1">
        <f t="array" ref="K144">SUM(SUMIFS('caseload data'!L:L,'caseload data'!$D:$D,"PO",'caseload data'!$A:$A,$B$144,'caseload data'!$B:$B,{"licence","community"}))</f>
        <v>0</v>
      </c>
      <c r="L144" s="204" cm="1">
        <f t="array" ref="L144">SUM(SUMIFS('caseload data'!M:M,'caseload data'!$D:$D,"PO",'caseload data'!$A:$A,$B$144,'caseload data'!$B:$B,{"licence","community"}))</f>
        <v>0</v>
      </c>
      <c r="M144" s="204" cm="1">
        <f t="array" ref="M144">SUM(SUMIFS('caseload data'!N:N,'caseload data'!$D:$D,"PO",'caseload data'!$A:$A,$B$144,'caseload data'!$B:$B,{"licence","community"}))</f>
        <v>0</v>
      </c>
      <c r="N144" s="204" cm="1">
        <f t="array" ref="N144">SUM(SUMIFS('caseload data'!O:O,'caseload data'!$D:$D,"PO",'caseload data'!$A:$A,$B$144,'caseload data'!$B:$B,{"licence","community"}))</f>
        <v>0</v>
      </c>
      <c r="O144" s="204" cm="1">
        <f t="array" ref="O144">SUM(SUMIFS('caseload data'!P:P,'caseload data'!$D:$D,"PO",'caseload data'!$A:$A,$B$144,'caseload data'!$B:$B,{"licence","community"}))</f>
        <v>0</v>
      </c>
      <c r="P144" s="204" cm="1">
        <f t="array" ref="P144">SUM(SUMIFS('caseload data'!Q:Q,'caseload data'!$D:$D,"PO",'caseload data'!$A:$A,$B$144,'caseload data'!$B:$B,{"licence","community"}))</f>
        <v>0</v>
      </c>
      <c r="Q144" s="204" cm="1">
        <f t="array" ref="Q144">SUM(SUMIFS('caseload data'!R:R,'caseload data'!$D:$D,"PO",'caseload data'!$A:$A,$B$144,'caseload data'!$B:$B,{"licence","community"}))</f>
        <v>0</v>
      </c>
      <c r="R144" s="204" cm="1">
        <f t="array" ref="R144">SUM(SUMIFS('caseload data'!S:S,'caseload data'!$D:$D,"PO",'caseload data'!$A:$A,$B$144,'caseload data'!$B:$B,{"licence","community"}))</f>
        <v>0</v>
      </c>
      <c r="S144" s="204" cm="1">
        <f t="array" ref="S144">SUM(SUMIFS('caseload data'!T:T,'caseload data'!$D:$D,"PO",'caseload data'!$A:$A,$B$144,'caseload data'!$B:$B,{"licence","community"}))</f>
        <v>0</v>
      </c>
      <c r="T144" s="126" cm="1">
        <f t="array" ref="T144">SUM(SUMIFS('caseload data'!V:V,'caseload data'!D:D,"PO",'caseload data'!A:A,B144,'caseload data'!B:B,{"licence","community"}))</f>
        <v>0</v>
      </c>
      <c r="U144" s="95"/>
      <c r="V144" s="95"/>
      <c r="W144" s="329" t="s">
        <v>382</v>
      </c>
      <c r="X144" s="161" t="s">
        <v>184</v>
      </c>
      <c r="Y144" s="209" t="e">
        <f>SUM(D144)/SUM(D$144:D$147)</f>
        <v>#DIV/0!</v>
      </c>
      <c r="Z144" s="209" t="e">
        <f t="shared" ref="Z144:AN147" si="41">SUM(E144)/SUM(E$144:E$147)</f>
        <v>#DIV/0!</v>
      </c>
      <c r="AA144" s="209" t="e">
        <f t="shared" si="41"/>
        <v>#DIV/0!</v>
      </c>
      <c r="AB144" s="209" t="e">
        <f t="shared" si="41"/>
        <v>#DIV/0!</v>
      </c>
      <c r="AC144" s="209" t="e">
        <f t="shared" si="41"/>
        <v>#DIV/0!</v>
      </c>
      <c r="AD144" s="209" t="e">
        <f t="shared" si="41"/>
        <v>#DIV/0!</v>
      </c>
      <c r="AE144" s="209" t="e">
        <f t="shared" si="41"/>
        <v>#DIV/0!</v>
      </c>
      <c r="AF144" s="209" t="e">
        <f t="shared" si="41"/>
        <v>#DIV/0!</v>
      </c>
      <c r="AG144" s="209" t="e">
        <f t="shared" si="41"/>
        <v>#DIV/0!</v>
      </c>
      <c r="AH144" s="209" t="e">
        <f t="shared" si="41"/>
        <v>#DIV/0!</v>
      </c>
      <c r="AI144" s="209" t="e">
        <f t="shared" si="41"/>
        <v>#DIV/0!</v>
      </c>
      <c r="AJ144" s="209" t="e">
        <f t="shared" si="41"/>
        <v>#DIV/0!</v>
      </c>
      <c r="AK144" s="209" t="e">
        <f t="shared" si="41"/>
        <v>#DIV/0!</v>
      </c>
      <c r="AL144" s="209" t="e">
        <f t="shared" si="41"/>
        <v>#DIV/0!</v>
      </c>
      <c r="AM144" s="209" t="e">
        <f t="shared" si="41"/>
        <v>#DIV/0!</v>
      </c>
      <c r="AN144" s="209" t="e">
        <f t="shared" si="41"/>
        <v>#DIV/0!</v>
      </c>
    </row>
    <row r="145" spans="2:43" x14ac:dyDescent="0.15">
      <c r="B145" s="330"/>
      <c r="C145" s="162" t="s">
        <v>185</v>
      </c>
      <c r="D145" s="204" cm="1">
        <f t="array" ref="D145">SUM(SUMIFS('caseload data'!E:E,'caseload data'!$D:$D,"PSO",'caseload data'!$A:$A,"Wales",'caseload data'!$B:$B,{"licence","community"}))</f>
        <v>0</v>
      </c>
      <c r="E145" s="204" cm="1">
        <f t="array" ref="E145">SUM(SUMIFS('caseload data'!F:F,'caseload data'!$D:$D,"PSO",'caseload data'!$A:$A,"Wales",'caseload data'!$B:$B,{"licence","community"}))</f>
        <v>0</v>
      </c>
      <c r="F145" s="204" cm="1">
        <f t="array" ref="F145">SUM(SUMIFS('caseload data'!G:G,'caseload data'!$D:$D,"PSO",'caseload data'!$A:$A,"Wales",'caseload data'!$B:$B,{"licence","community"}))</f>
        <v>0</v>
      </c>
      <c r="G145" s="204" cm="1">
        <f t="array" ref="G145">SUM(SUMIFS('caseload data'!H:H,'caseload data'!$D:$D,"PSO",'caseload data'!$A:$A,"Wales",'caseload data'!$B:$B,{"licence","community"}))</f>
        <v>0</v>
      </c>
      <c r="H145" s="204" cm="1">
        <f t="array" ref="H145">SUM(SUMIFS('caseload data'!I:I,'caseload data'!$D:$D,"PSO",'caseload data'!$A:$A,"Wales",'caseload data'!$B:$B,{"licence","community"}))</f>
        <v>0</v>
      </c>
      <c r="I145" s="204" cm="1">
        <f t="array" ref="I145">SUM(SUMIFS('caseload data'!J:J,'caseload data'!$D:$D,"PSO",'caseload data'!$A:$A,"Wales",'caseload data'!$B:$B,{"licence","community"}))</f>
        <v>0</v>
      </c>
      <c r="J145" s="204" cm="1">
        <f t="array" ref="J145">SUM(SUMIFS('caseload data'!K:K,'caseload data'!$D:$D,"PSO",'caseload data'!$A:$A,"Wales",'caseload data'!$B:$B,{"licence","community"}))</f>
        <v>0</v>
      </c>
      <c r="K145" s="204" cm="1">
        <f t="array" ref="K145">SUM(SUMIFS('caseload data'!L:L,'caseload data'!$D:$D,"PSO",'caseload data'!$A:$A,"Wales",'caseload data'!$B:$B,{"licence","community"}))</f>
        <v>0</v>
      </c>
      <c r="L145" s="204" cm="1">
        <f t="array" ref="L145">SUM(SUMIFS('caseload data'!M:M,'caseload data'!$D:$D,"PSO",'caseload data'!$A:$A,"Wales",'caseload data'!$B:$B,{"licence","community"}))</f>
        <v>0</v>
      </c>
      <c r="M145" s="204" cm="1">
        <f t="array" ref="M145">SUM(SUMIFS('caseload data'!N:N,'caseload data'!$D:$D,"PSO",'caseload data'!$A:$A,"Wales",'caseload data'!$B:$B,{"licence","community"}))</f>
        <v>0</v>
      </c>
      <c r="N145" s="204" cm="1">
        <f t="array" ref="N145">SUM(SUMIFS('caseload data'!O:O,'caseload data'!$D:$D,"PSO",'caseload data'!$A:$A,"Wales",'caseload data'!$B:$B,{"licence","community"}))</f>
        <v>0</v>
      </c>
      <c r="O145" s="204" cm="1">
        <f t="array" ref="O145">SUM(SUMIFS('caseload data'!P:P,'caseload data'!$D:$D,"PSO",'caseload data'!$A:$A,"Wales",'caseload data'!$B:$B,{"licence","community"}))</f>
        <v>0</v>
      </c>
      <c r="P145" s="204" cm="1">
        <f t="array" ref="P145">SUM(SUMIFS('caseload data'!Q:Q,'caseload data'!$D:$D,"PSO",'caseload data'!$A:$A,"Wales",'caseload data'!$B:$B,{"licence","community"}))</f>
        <v>0</v>
      </c>
      <c r="Q145" s="204" cm="1">
        <f t="array" ref="Q145">SUM(SUMIFS('caseload data'!R:R,'caseload data'!$D:$D,"PSO",'caseload data'!$A:$A,"Wales",'caseload data'!$B:$B,{"licence","community"}))</f>
        <v>0</v>
      </c>
      <c r="R145" s="204" cm="1">
        <f t="array" ref="R145">SUM(SUMIFS('caseload data'!S:S,'caseload data'!$D:$D,"PSO",'caseload data'!$A:$A,"Wales",'caseload data'!$B:$B,{"licence","community"}))</f>
        <v>0</v>
      </c>
      <c r="S145" s="204" cm="1">
        <f t="array" ref="S145">SUM(SUMIFS('caseload data'!T:T,'caseload data'!$D:$D,"PSO",'caseload data'!$A:$A,"Wales",'caseload data'!$B:$B,{"licence","community"}))</f>
        <v>0</v>
      </c>
      <c r="T145" s="126" cm="1">
        <f t="array" ref="T145">SUM(SUMIFS('caseload data'!V:V,'caseload data'!$D:$D,"PSO",'caseload data'!$A:$A,"Wales",'caseload data'!$B:$B,{"licence","community"}))</f>
        <v>0</v>
      </c>
      <c r="U145" s="95"/>
      <c r="V145" s="95"/>
      <c r="W145" s="330"/>
      <c r="X145" s="162" t="s">
        <v>185</v>
      </c>
      <c r="Y145" s="209" t="e">
        <f>SUM(D145)/SUM(D$144:D$147)</f>
        <v>#DIV/0!</v>
      </c>
      <c r="Z145" s="209" t="e">
        <f t="shared" si="41"/>
        <v>#DIV/0!</v>
      </c>
      <c r="AA145" s="209" t="e">
        <f t="shared" si="41"/>
        <v>#DIV/0!</v>
      </c>
      <c r="AB145" s="209" t="e">
        <f t="shared" si="41"/>
        <v>#DIV/0!</v>
      </c>
      <c r="AC145" s="209" t="e">
        <f t="shared" si="41"/>
        <v>#DIV/0!</v>
      </c>
      <c r="AD145" s="209" t="e">
        <f t="shared" si="41"/>
        <v>#DIV/0!</v>
      </c>
      <c r="AE145" s="209" t="e">
        <f t="shared" si="41"/>
        <v>#DIV/0!</v>
      </c>
      <c r="AF145" s="209" t="e">
        <f t="shared" si="41"/>
        <v>#DIV/0!</v>
      </c>
      <c r="AG145" s="209" t="e">
        <f t="shared" si="41"/>
        <v>#DIV/0!</v>
      </c>
      <c r="AH145" s="209" t="e">
        <f t="shared" si="41"/>
        <v>#DIV/0!</v>
      </c>
      <c r="AI145" s="209" t="e">
        <f t="shared" si="41"/>
        <v>#DIV/0!</v>
      </c>
      <c r="AJ145" s="209" t="e">
        <f t="shared" si="41"/>
        <v>#DIV/0!</v>
      </c>
      <c r="AK145" s="209" t="e">
        <f t="shared" si="41"/>
        <v>#DIV/0!</v>
      </c>
      <c r="AL145" s="209" t="e">
        <f t="shared" si="41"/>
        <v>#DIV/0!</v>
      </c>
      <c r="AM145" s="209" t="e">
        <f t="shared" si="41"/>
        <v>#DIV/0!</v>
      </c>
      <c r="AN145" s="209" t="e">
        <f t="shared" si="41"/>
        <v>#DIV/0!</v>
      </c>
    </row>
    <row r="146" spans="2:43" x14ac:dyDescent="0.15">
      <c r="B146" s="330"/>
      <c r="C146" s="162" t="s">
        <v>186</v>
      </c>
      <c r="D146" s="204" cm="1">
        <f t="array" ref="D146">SUM(SUMIFS('caseload data'!E:E,'caseload data'!$D:$D,"TPO",'caseload data'!$A:$A,"Wales",'caseload data'!$B:$B,{"licence","community"}))</f>
        <v>0</v>
      </c>
      <c r="E146" s="204" cm="1">
        <f t="array" ref="E146">SUM(SUMIFS('caseload data'!F:F,'caseload data'!$D:$D,"TPO",'caseload data'!$A:$A,"Wales",'caseload data'!$B:$B,{"licence","community"}))</f>
        <v>0</v>
      </c>
      <c r="F146" s="204" cm="1">
        <f t="array" ref="F146">SUM(SUMIFS('caseload data'!G:G,'caseload data'!$D:$D,"TPO",'caseload data'!$A:$A,"Wales",'caseload data'!$B:$B,{"licence","community"}))</f>
        <v>0</v>
      </c>
      <c r="G146" s="204" cm="1">
        <f t="array" ref="G146">SUM(SUMIFS('caseload data'!H:H,'caseload data'!$D:$D,"TPO",'caseload data'!$A:$A,"Wales",'caseload data'!$B:$B,{"licence","community"}))</f>
        <v>0</v>
      </c>
      <c r="H146" s="204" cm="1">
        <f t="array" ref="H146">SUM(SUMIFS('caseload data'!I:I,'caseload data'!$D:$D,"TPO",'caseload data'!$A:$A,"Wales",'caseload data'!$B:$B,{"licence","community"}))</f>
        <v>0</v>
      </c>
      <c r="I146" s="204" cm="1">
        <f t="array" ref="I146">SUM(SUMIFS('caseload data'!J:J,'caseload data'!$D:$D,"TPO",'caseload data'!$A:$A,"Wales",'caseload data'!$B:$B,{"licence","community"}))</f>
        <v>0</v>
      </c>
      <c r="J146" s="204" cm="1">
        <f t="array" ref="J146">SUM(SUMIFS('caseload data'!K:K,'caseload data'!$D:$D,"TPO",'caseload data'!$A:$A,"Wales",'caseload data'!$B:$B,{"licence","community"}))</f>
        <v>0</v>
      </c>
      <c r="K146" s="204" cm="1">
        <f t="array" ref="K146">SUM(SUMIFS('caseload data'!L:L,'caseload data'!$D:$D,"TPO",'caseload data'!$A:$A,"Wales",'caseload data'!$B:$B,{"licence","community"}))</f>
        <v>0</v>
      </c>
      <c r="L146" s="204" cm="1">
        <f t="array" ref="L146">SUM(SUMIFS('caseload data'!M:M,'caseload data'!$D:$D,"TPO",'caseload data'!$A:$A,"Wales",'caseload data'!$B:$B,{"licence","community"}))</f>
        <v>0</v>
      </c>
      <c r="M146" s="204" cm="1">
        <f t="array" ref="M146">SUM(SUMIFS('caseload data'!N:N,'caseload data'!$D:$D,"TPO",'caseload data'!$A:$A,"Wales",'caseload data'!$B:$B,{"licence","community"}))</f>
        <v>0</v>
      </c>
      <c r="N146" s="204" cm="1">
        <f t="array" ref="N146">SUM(SUMIFS('caseload data'!O:O,'caseload data'!$D:$D,"TPO",'caseload data'!$A:$A,"Wales",'caseload data'!$B:$B,{"licence","community"}))</f>
        <v>0</v>
      </c>
      <c r="O146" s="204" cm="1">
        <f t="array" ref="O146">SUM(SUMIFS('caseload data'!P:P,'caseload data'!$D:$D,"TPO",'caseload data'!$A:$A,"Wales",'caseload data'!$B:$B,{"licence","community"}))</f>
        <v>0</v>
      </c>
      <c r="P146" s="204" cm="1">
        <f t="array" ref="P146">SUM(SUMIFS('caseload data'!Q:Q,'caseload data'!$D:$D,"TPO",'caseload data'!$A:$A,"Wales",'caseload data'!$B:$B,{"licence","community"}))</f>
        <v>0</v>
      </c>
      <c r="Q146" s="204" cm="1">
        <f t="array" ref="Q146">SUM(SUMIFS('caseload data'!R:R,'caseload data'!$D:$D,"TPO",'caseload data'!$A:$A,"Wales",'caseload data'!$B:$B,{"licence","community"}))</f>
        <v>0</v>
      </c>
      <c r="R146" s="204" cm="1">
        <f t="array" ref="R146">SUM(SUMIFS('caseload data'!S:S,'caseload data'!$D:$D,"TPO",'caseload data'!$A:$A,"Wales",'caseload data'!$B:$B,{"licence","community"}))</f>
        <v>0</v>
      </c>
      <c r="S146" s="204" cm="1">
        <f t="array" ref="S146">SUM(SUMIFS('caseload data'!T:T,'caseload data'!$D:$D,"TPO",'caseload data'!$A:$A,"Wales",'caseload data'!$B:$B,{"licence","community"}))</f>
        <v>0</v>
      </c>
      <c r="T146" s="126" cm="1">
        <f t="array" ref="T146">SUM(SUMIFS('caseload data'!V:V,'caseload data'!D:D,"TPO",'caseload data'!A:A,"Wales",'caseload data'!B:B,{"licence","community"}))</f>
        <v>0</v>
      </c>
      <c r="U146" s="95"/>
      <c r="V146" s="95"/>
      <c r="W146" s="330"/>
      <c r="X146" s="162" t="s">
        <v>186</v>
      </c>
      <c r="Y146" s="209" t="e">
        <f>SUM(D146)/SUM(D$144:D$147)</f>
        <v>#DIV/0!</v>
      </c>
      <c r="Z146" s="209" t="e">
        <f t="shared" si="41"/>
        <v>#DIV/0!</v>
      </c>
      <c r="AA146" s="209" t="e">
        <f t="shared" si="41"/>
        <v>#DIV/0!</v>
      </c>
      <c r="AB146" s="209" t="e">
        <f t="shared" si="41"/>
        <v>#DIV/0!</v>
      </c>
      <c r="AC146" s="209" t="e">
        <f t="shared" si="41"/>
        <v>#DIV/0!</v>
      </c>
      <c r="AD146" s="209" t="e">
        <f t="shared" si="41"/>
        <v>#DIV/0!</v>
      </c>
      <c r="AE146" s="209" t="e">
        <f t="shared" si="41"/>
        <v>#DIV/0!</v>
      </c>
      <c r="AF146" s="209" t="e">
        <f t="shared" si="41"/>
        <v>#DIV/0!</v>
      </c>
      <c r="AG146" s="209" t="e">
        <f t="shared" si="41"/>
        <v>#DIV/0!</v>
      </c>
      <c r="AH146" s="209" t="e">
        <f t="shared" si="41"/>
        <v>#DIV/0!</v>
      </c>
      <c r="AI146" s="209" t="e">
        <f t="shared" si="41"/>
        <v>#DIV/0!</v>
      </c>
      <c r="AJ146" s="209" t="e">
        <f t="shared" si="41"/>
        <v>#DIV/0!</v>
      </c>
      <c r="AK146" s="209" t="e">
        <f t="shared" si="41"/>
        <v>#DIV/0!</v>
      </c>
      <c r="AL146" s="209" t="e">
        <f t="shared" si="41"/>
        <v>#DIV/0!</v>
      </c>
      <c r="AM146" s="209" t="e">
        <f t="shared" si="41"/>
        <v>#DIV/0!</v>
      </c>
      <c r="AN146" s="209" t="e">
        <f t="shared" si="41"/>
        <v>#DIV/0!</v>
      </c>
    </row>
    <row r="147" spans="2:43" s="30" customFormat="1" x14ac:dyDescent="0.15">
      <c r="B147" s="332"/>
      <c r="C147" s="163" t="s">
        <v>187</v>
      </c>
      <c r="D147" s="204" cm="1">
        <f t="array" ref="D147">SUM(SUMIFS('caseload data'!E:E,'caseload data'!$D:$D,"SPO",'caseload data'!$A:$A,"Wales",'caseload data'!$B:$B,{"licence","community"}))</f>
        <v>0</v>
      </c>
      <c r="E147" s="204" cm="1">
        <f t="array" ref="E147">SUM(SUMIFS('caseload data'!F:F,'caseload data'!$D:$D,"SPO",'caseload data'!$A:$A,"Wales",'caseload data'!$B:$B,{"licence","community"}))</f>
        <v>0</v>
      </c>
      <c r="F147" s="204" cm="1">
        <f t="array" ref="F147">SUM(SUMIFS('caseload data'!G:G,'caseload data'!$D:$D,"SPO",'caseload data'!$A:$A,"Wales",'caseload data'!$B:$B,{"licence","community"}))</f>
        <v>0</v>
      </c>
      <c r="G147" s="204" cm="1">
        <f t="array" ref="G147">SUM(SUMIFS('caseload data'!H:H,'caseload data'!$D:$D,"SPO",'caseload data'!$A:$A,"Wales",'caseload data'!$B:$B,{"licence","community"}))</f>
        <v>0</v>
      </c>
      <c r="H147" s="204" cm="1">
        <f t="array" ref="H147">SUM(SUMIFS('caseload data'!I:I,'caseload data'!$D:$D,"SPO",'caseload data'!$A:$A,"Wales",'caseload data'!$B:$B,{"licence","community"}))</f>
        <v>0</v>
      </c>
      <c r="I147" s="204" cm="1">
        <f t="array" ref="I147">SUM(SUMIFS('caseload data'!J:J,'caseload data'!$D:$D,"SPO",'caseload data'!$A:$A,"Wales",'caseload data'!$B:$B,{"licence","community"}))</f>
        <v>0</v>
      </c>
      <c r="J147" s="204" cm="1">
        <f t="array" ref="J147">SUM(SUMIFS('caseload data'!K:K,'caseload data'!$D:$D,"SPO",'caseload data'!$A:$A,"Wales",'caseload data'!$B:$B,{"licence","community"}))</f>
        <v>0</v>
      </c>
      <c r="K147" s="204" cm="1">
        <f t="array" ref="K147">SUM(SUMIFS('caseload data'!L:L,'caseload data'!$D:$D,"SPO",'caseload data'!$A:$A,"Wales",'caseload data'!$B:$B,{"licence","community"}))</f>
        <v>0</v>
      </c>
      <c r="L147" s="204" cm="1">
        <f t="array" ref="L147">SUM(SUMIFS('caseload data'!M:M,'caseload data'!$D:$D,"SPO",'caseload data'!$A:$A,"Wales",'caseload data'!$B:$B,{"licence","community"}))</f>
        <v>0</v>
      </c>
      <c r="M147" s="204" cm="1">
        <f t="array" ref="M147">SUM(SUMIFS('caseload data'!N:N,'caseload data'!$D:$D,"SPO",'caseload data'!$A:$A,"Wales",'caseload data'!$B:$B,{"licence","community"}))</f>
        <v>0</v>
      </c>
      <c r="N147" s="204" cm="1">
        <f t="array" ref="N147">SUM(SUMIFS('caseload data'!O:O,'caseload data'!$D:$D,"SPO",'caseload data'!$A:$A,"Wales",'caseload data'!$B:$B,{"licence","community"}))</f>
        <v>0</v>
      </c>
      <c r="O147" s="204" cm="1">
        <f t="array" ref="O147">SUM(SUMIFS('caseload data'!P:P,'caseload data'!$D:$D,"SPO",'caseload data'!$A:$A,"Wales",'caseload data'!$B:$B,{"licence","community"}))</f>
        <v>0</v>
      </c>
      <c r="P147" s="204" cm="1">
        <f t="array" ref="P147">SUM(SUMIFS('caseload data'!Q:Q,'caseload data'!$D:$D,"SPO",'caseload data'!$A:$A,"Wales",'caseload data'!$B:$B,{"licence","community"}))</f>
        <v>0</v>
      </c>
      <c r="Q147" s="204" cm="1">
        <f t="array" ref="Q147">SUM(SUMIFS('caseload data'!R:R,'caseload data'!$D:$D,"SPO",'caseload data'!$A:$A,"Wales",'caseload data'!$B:$B,{"licence","community"}))</f>
        <v>0</v>
      </c>
      <c r="R147" s="204" cm="1">
        <f t="array" ref="R147">SUM(SUMIFS('caseload data'!S:S,'caseload data'!$D:$D,"SPO",'caseload data'!$A:$A,"Wales",'caseload data'!$B:$B,{"licence","community"}))</f>
        <v>0</v>
      </c>
      <c r="S147" s="204" cm="1">
        <f t="array" ref="S147">SUM(SUMIFS('caseload data'!T:T,'caseload data'!$D:$D,"SPO",'caseload data'!$A:$A,"Wales",'caseload data'!$B:$B,{"licence","community"}))</f>
        <v>0</v>
      </c>
      <c r="T147" s="126" cm="1">
        <f t="array" ref="T147">SUM(SUMIFS('caseload data'!V:V,'caseload data'!$D:$D,"SPO",'caseload data'!$A:$A,"Wales",'caseload data'!$B:$B,{"licence","community"}))</f>
        <v>0</v>
      </c>
      <c r="U147" s="95"/>
      <c r="V147" s="95"/>
      <c r="W147" s="332"/>
      <c r="X147" s="163" t="s">
        <v>187</v>
      </c>
      <c r="Y147" s="209" t="e">
        <f>SUM(D147)/SUM(D$144:D$147)</f>
        <v>#DIV/0!</v>
      </c>
      <c r="Z147" s="209" t="e">
        <f t="shared" si="41"/>
        <v>#DIV/0!</v>
      </c>
      <c r="AA147" s="209" t="e">
        <f t="shared" si="41"/>
        <v>#DIV/0!</v>
      </c>
      <c r="AB147" s="209" t="e">
        <f t="shared" si="41"/>
        <v>#DIV/0!</v>
      </c>
      <c r="AC147" s="209" t="e">
        <f t="shared" si="41"/>
        <v>#DIV/0!</v>
      </c>
      <c r="AD147" s="209" t="e">
        <f t="shared" si="41"/>
        <v>#DIV/0!</v>
      </c>
      <c r="AE147" s="209" t="e">
        <f t="shared" si="41"/>
        <v>#DIV/0!</v>
      </c>
      <c r="AF147" s="209" t="e">
        <f t="shared" si="41"/>
        <v>#DIV/0!</v>
      </c>
      <c r="AG147" s="209" t="e">
        <f t="shared" si="41"/>
        <v>#DIV/0!</v>
      </c>
      <c r="AH147" s="209" t="e">
        <f t="shared" si="41"/>
        <v>#DIV/0!</v>
      </c>
      <c r="AI147" s="209" t="e">
        <f t="shared" si="41"/>
        <v>#DIV/0!</v>
      </c>
      <c r="AJ147" s="209" t="e">
        <f t="shared" si="41"/>
        <v>#DIV/0!</v>
      </c>
      <c r="AK147" s="209" t="e">
        <f t="shared" si="41"/>
        <v>#DIV/0!</v>
      </c>
      <c r="AL147" s="209" t="e">
        <f t="shared" si="41"/>
        <v>#DIV/0!</v>
      </c>
      <c r="AM147" s="209" t="e">
        <f t="shared" si="41"/>
        <v>#DIV/0!</v>
      </c>
      <c r="AN147" s="209" t="e">
        <f t="shared" si="41"/>
        <v>#DIV/0!</v>
      </c>
      <c r="AO147"/>
      <c r="AP147"/>
      <c r="AQ147"/>
    </row>
    <row r="148" spans="2:43" s="30" customFormat="1" x14ac:dyDescent="0.15">
      <c r="B148" s="329" t="s">
        <v>8</v>
      </c>
      <c r="C148" s="161" t="s">
        <v>184</v>
      </c>
      <c r="D148" s="204" cm="1">
        <f t="array" ref="D148">SUM(SUMIFS('caseload data'!E:E,'caseload data'!$D:$D,"PO",'caseload data'!$A:$A,$B$148,'caseload data'!$B:$B,{"licence","community"}))</f>
        <v>0</v>
      </c>
      <c r="E148" s="204" cm="1">
        <f t="array" ref="E148">SUM(SUMIFS('caseload data'!F:F,'caseload data'!$D:$D,"PO",'caseload data'!$A:$A,$B$148,'caseload data'!$B:$B,{"licence","community"}))</f>
        <v>0</v>
      </c>
      <c r="F148" s="204" cm="1">
        <f t="array" ref="F148">SUM(SUMIFS('caseload data'!G:G,'caseload data'!$D:$D,"PO",'caseload data'!$A:$A,$B$148,'caseload data'!$B:$B,{"licence","community"}))</f>
        <v>0</v>
      </c>
      <c r="G148" s="204" cm="1">
        <f t="array" ref="G148">SUM(SUMIFS('caseload data'!H:H,'caseload data'!$D:$D,"PO",'caseload data'!$A:$A,$B$148,'caseload data'!$B:$B,{"licence","community"}))</f>
        <v>0</v>
      </c>
      <c r="H148" s="204" cm="1">
        <f t="array" ref="H148">SUM(SUMIFS('caseload data'!I:I,'caseload data'!$D:$D,"PO",'caseload data'!$A:$A,$B$148,'caseload data'!$B:$B,{"licence","community"}))</f>
        <v>0</v>
      </c>
      <c r="I148" s="204" cm="1">
        <f t="array" ref="I148">SUM(SUMIFS('caseload data'!J:J,'caseload data'!$D:$D,"PO",'caseload data'!$A:$A,$B$148,'caseload data'!$B:$B,{"licence","community"}))</f>
        <v>0</v>
      </c>
      <c r="J148" s="204" cm="1">
        <f t="array" ref="J148">SUM(SUMIFS('caseload data'!K:K,'caseload data'!$D:$D,"PO",'caseload data'!$A:$A,$B$148,'caseload data'!$B:$B,{"licence","community"}))</f>
        <v>0</v>
      </c>
      <c r="K148" s="204" cm="1">
        <f t="array" ref="K148">SUM(SUMIFS('caseload data'!L:L,'caseload data'!$D:$D,"PO",'caseload data'!$A:$A,$B$148,'caseload data'!$B:$B,{"licence","community"}))</f>
        <v>0</v>
      </c>
      <c r="L148" s="204" cm="1">
        <f t="array" ref="L148">SUM(SUMIFS('caseload data'!M:M,'caseload data'!$D:$D,"PO",'caseload data'!$A:$A,$B$148,'caseload data'!$B:$B,{"licence","community"}))</f>
        <v>0</v>
      </c>
      <c r="M148" s="204" cm="1">
        <f t="array" ref="M148">SUM(SUMIFS('caseload data'!N:N,'caseload data'!$D:$D,"PO",'caseload data'!$A:$A,$B$148,'caseload data'!$B:$B,{"licence","community"}))</f>
        <v>0</v>
      </c>
      <c r="N148" s="204" cm="1">
        <f t="array" ref="N148">SUM(SUMIFS('caseload data'!O:O,'caseload data'!$D:$D,"PO",'caseload data'!$A:$A,$B$148,'caseload data'!$B:$B,{"licence","community"}))</f>
        <v>0</v>
      </c>
      <c r="O148" s="204" cm="1">
        <f t="array" ref="O148">SUM(SUMIFS('caseload data'!P:P,'caseload data'!$D:$D,"PO",'caseload data'!$A:$A,$B$148,'caseload data'!$B:$B,{"licence","community"}))</f>
        <v>0</v>
      </c>
      <c r="P148" s="204" cm="1">
        <f t="array" ref="P148">SUM(SUMIFS('caseload data'!Q:Q,'caseload data'!$D:$D,"PO",'caseload data'!$A:$A,$B$148,'caseload data'!$B:$B,{"licence","community"}))</f>
        <v>0</v>
      </c>
      <c r="Q148" s="204" cm="1">
        <f t="array" ref="Q148">SUM(SUMIFS('caseload data'!R:R,'caseload data'!$D:$D,"PO",'caseload data'!$A:$A,$B$148,'caseload data'!$B:$B,{"licence","community"}))</f>
        <v>0</v>
      </c>
      <c r="R148" s="204" cm="1">
        <f t="array" ref="R148">SUM(SUMIFS('caseload data'!S:S,'caseload data'!$D:$D,"PO",'caseload data'!$A:$A,$B$148,'caseload data'!$B:$B,{"licence","community"}))</f>
        <v>0</v>
      </c>
      <c r="S148" s="204" cm="1">
        <f t="array" ref="S148">SUM(SUMIFS('caseload data'!T:T,'caseload data'!$D:$D,"PO",'caseload data'!$A:$A,$B$148,'caseload data'!$B:$B,{"licence","community"}))</f>
        <v>0</v>
      </c>
      <c r="T148" s="126">
        <f>SUM(SUMIFS('caseload data'!V:V,'caseload data'!D:D,"PO",'caseload data'!A:A,B148,'caseload data'!B:B,{"licence","community"}))</f>
        <v>0</v>
      </c>
      <c r="U148" s="95"/>
      <c r="V148" s="95"/>
      <c r="W148" s="329" t="s">
        <v>8</v>
      </c>
      <c r="X148" s="161" t="s">
        <v>184</v>
      </c>
      <c r="Y148" s="209" t="e">
        <f>SUM(D148)/SUM(D$148:D$151)</f>
        <v>#DIV/0!</v>
      </c>
      <c r="Z148" s="209" t="e">
        <f t="shared" ref="Z148:AN151" si="42">SUM(E148)/SUM(E$148:E$151)</f>
        <v>#DIV/0!</v>
      </c>
      <c r="AA148" s="209" t="e">
        <f t="shared" si="42"/>
        <v>#DIV/0!</v>
      </c>
      <c r="AB148" s="209" t="e">
        <f t="shared" si="42"/>
        <v>#DIV/0!</v>
      </c>
      <c r="AC148" s="209" t="e">
        <f t="shared" si="42"/>
        <v>#DIV/0!</v>
      </c>
      <c r="AD148" s="209" t="e">
        <f t="shared" si="42"/>
        <v>#DIV/0!</v>
      </c>
      <c r="AE148" s="209" t="e">
        <f t="shared" si="42"/>
        <v>#DIV/0!</v>
      </c>
      <c r="AF148" s="209" t="e">
        <f t="shared" si="42"/>
        <v>#DIV/0!</v>
      </c>
      <c r="AG148" s="209" t="e">
        <f t="shared" si="42"/>
        <v>#DIV/0!</v>
      </c>
      <c r="AH148" s="209" t="e">
        <f t="shared" si="42"/>
        <v>#DIV/0!</v>
      </c>
      <c r="AI148" s="209" t="e">
        <f t="shared" si="42"/>
        <v>#DIV/0!</v>
      </c>
      <c r="AJ148" s="209" t="e">
        <f t="shared" si="42"/>
        <v>#DIV/0!</v>
      </c>
      <c r="AK148" s="209" t="e">
        <f t="shared" si="42"/>
        <v>#DIV/0!</v>
      </c>
      <c r="AL148" s="209" t="e">
        <f t="shared" si="42"/>
        <v>#DIV/0!</v>
      </c>
      <c r="AM148" s="209" t="e">
        <f t="shared" si="42"/>
        <v>#DIV/0!</v>
      </c>
      <c r="AN148" s="209" t="e">
        <f t="shared" si="42"/>
        <v>#DIV/0!</v>
      </c>
      <c r="AO148"/>
      <c r="AP148"/>
      <c r="AQ148"/>
    </row>
    <row r="149" spans="2:43" s="30" customFormat="1" x14ac:dyDescent="0.15">
      <c r="B149" s="330"/>
      <c r="C149" s="162" t="s">
        <v>185</v>
      </c>
      <c r="D149" s="204">
        <f>SUM(SUMIFS('caseload data'!E:E,'caseload data'!$D:$D,"PSO",'caseload data'!$A:$A,"NPS West Midlands Region",'caseload data'!$B:$B,{"licence","community"}))</f>
        <v>0</v>
      </c>
      <c r="E149" s="204">
        <f>SUM(SUMIFS('caseload data'!F:F,'caseload data'!$D:$D,"PSO",'caseload data'!$A:$A,"NPS West Midlands Region",'caseload data'!$B:$B,{"licence","community"}))</f>
        <v>0</v>
      </c>
      <c r="F149" s="204">
        <f>SUM(SUMIFS('caseload data'!G:G,'caseload data'!$D:$D,"PSO",'caseload data'!$A:$A,"NPS West Midlands Region",'caseload data'!$B:$B,{"licence","community"}))</f>
        <v>0</v>
      </c>
      <c r="G149" s="204">
        <f>SUM(SUMIFS('caseload data'!H:H,'caseload data'!$D:$D,"PSO",'caseload data'!$A:$A,"NPS West Midlands Region",'caseload data'!$B:$B,{"licence","community"}))</f>
        <v>0</v>
      </c>
      <c r="H149" s="204">
        <f>SUM(SUMIFS('caseload data'!I:I,'caseload data'!$D:$D,"PSO",'caseload data'!$A:$A,"NPS West Midlands Region",'caseload data'!$B:$B,{"licence","community"}))</f>
        <v>0</v>
      </c>
      <c r="I149" s="204">
        <f>SUM(SUMIFS('caseload data'!J:J,'caseload data'!$D:$D,"PSO",'caseload data'!$A:$A,"NPS West Midlands Region",'caseload data'!$B:$B,{"licence","community"}))</f>
        <v>0</v>
      </c>
      <c r="J149" s="204">
        <f>SUM(SUMIFS('caseload data'!K:K,'caseload data'!$D:$D,"PSO",'caseload data'!$A:$A,"NPS West Midlands Region",'caseload data'!$B:$B,{"licence","community"}))</f>
        <v>0</v>
      </c>
      <c r="K149" s="204">
        <f>SUM(SUMIFS('caseload data'!L:L,'caseload data'!$D:$D,"PSO",'caseload data'!$A:$A,"NPS West Midlands Region",'caseload data'!$B:$B,{"licence","community"}))</f>
        <v>0</v>
      </c>
      <c r="L149" s="204">
        <f>SUM(SUMIFS('caseload data'!M:M,'caseload data'!$D:$D,"PSO",'caseload data'!$A:$A,"NPS West Midlands Region",'caseload data'!$B:$B,{"licence","community"}))</f>
        <v>0</v>
      </c>
      <c r="M149" s="204">
        <f>SUM(SUMIFS('caseload data'!N:N,'caseload data'!$D:$D,"PSO",'caseload data'!$A:$A,"NPS West Midlands Region",'caseload data'!$B:$B,{"licence","community"}))</f>
        <v>0</v>
      </c>
      <c r="N149" s="204">
        <f>SUM(SUMIFS('caseload data'!O:O,'caseload data'!$D:$D,"PSO",'caseload data'!$A:$A,"NPS West Midlands Region",'caseload data'!$B:$B,{"licence","community"}))</f>
        <v>0</v>
      </c>
      <c r="O149" s="204">
        <f>SUM(SUMIFS('caseload data'!P:P,'caseload data'!$D:$D,"PSO",'caseload data'!$A:$A,"NPS West Midlands Region",'caseload data'!$B:$B,{"licence","community"}))</f>
        <v>0</v>
      </c>
      <c r="P149" s="204">
        <f>SUM(SUMIFS('caseload data'!Q:Q,'caseload data'!$D:$D,"PSO",'caseload data'!$A:$A,"NPS West Midlands Region",'caseload data'!$B:$B,{"licence","community"}))</f>
        <v>0</v>
      </c>
      <c r="Q149" s="204">
        <f>SUM(SUMIFS('caseload data'!R:R,'caseload data'!$D:$D,"PSO",'caseload data'!$A:$A,"NPS West Midlands Region",'caseload data'!$B:$B,{"licence","community"}))</f>
        <v>0</v>
      </c>
      <c r="R149" s="204">
        <f>SUM(SUMIFS('caseload data'!S:S,'caseload data'!$D:$D,"PSO",'caseload data'!$A:$A,"NPS West Midlands Region",'caseload data'!$B:$B,{"licence","community"}))</f>
        <v>0</v>
      </c>
      <c r="S149" s="204">
        <f>SUM(SUMIFS('caseload data'!T:T,'caseload data'!$D:$D,"PSO",'caseload data'!$A:$A,"NPS West Midlands Region",'caseload data'!$B:$B,{"licence","community"}))</f>
        <v>0</v>
      </c>
      <c r="T149" s="126">
        <f>SUM(SUMIFS('caseload data'!V:V,'caseload data'!$D:$D,"PSO",'caseload data'!$A:$A,"NPS West Midlands Region",'caseload data'!$B:$B,{"licence","community"}))</f>
        <v>0</v>
      </c>
      <c r="U149" s="95"/>
      <c r="V149" s="95"/>
      <c r="W149" s="330"/>
      <c r="X149" s="162" t="s">
        <v>185</v>
      </c>
      <c r="Y149" s="209" t="e">
        <f>SUM(D149)/SUM(D$148:D$151)</f>
        <v>#DIV/0!</v>
      </c>
      <c r="Z149" s="209" t="e">
        <f t="shared" si="42"/>
        <v>#DIV/0!</v>
      </c>
      <c r="AA149" s="209" t="e">
        <f t="shared" si="42"/>
        <v>#DIV/0!</v>
      </c>
      <c r="AB149" s="209" t="e">
        <f t="shared" si="42"/>
        <v>#DIV/0!</v>
      </c>
      <c r="AC149" s="209" t="e">
        <f t="shared" si="42"/>
        <v>#DIV/0!</v>
      </c>
      <c r="AD149" s="209" t="e">
        <f t="shared" si="42"/>
        <v>#DIV/0!</v>
      </c>
      <c r="AE149" s="209" t="e">
        <f t="shared" si="42"/>
        <v>#DIV/0!</v>
      </c>
      <c r="AF149" s="209" t="e">
        <f t="shared" si="42"/>
        <v>#DIV/0!</v>
      </c>
      <c r="AG149" s="209" t="e">
        <f t="shared" si="42"/>
        <v>#DIV/0!</v>
      </c>
      <c r="AH149" s="209" t="e">
        <f t="shared" si="42"/>
        <v>#DIV/0!</v>
      </c>
      <c r="AI149" s="209" t="e">
        <f t="shared" si="42"/>
        <v>#DIV/0!</v>
      </c>
      <c r="AJ149" s="209" t="e">
        <f t="shared" si="42"/>
        <v>#DIV/0!</v>
      </c>
      <c r="AK149" s="209" t="e">
        <f t="shared" si="42"/>
        <v>#DIV/0!</v>
      </c>
      <c r="AL149" s="209" t="e">
        <f t="shared" si="42"/>
        <v>#DIV/0!</v>
      </c>
      <c r="AM149" s="209" t="e">
        <f t="shared" si="42"/>
        <v>#DIV/0!</v>
      </c>
      <c r="AN149" s="209" t="e">
        <f t="shared" si="42"/>
        <v>#DIV/0!</v>
      </c>
      <c r="AO149"/>
      <c r="AP149"/>
      <c r="AQ149"/>
    </row>
    <row r="150" spans="2:43" s="30" customFormat="1" x14ac:dyDescent="0.15">
      <c r="B150" s="330"/>
      <c r="C150" s="162" t="s">
        <v>186</v>
      </c>
      <c r="D150" s="204" cm="1">
        <f t="array" ref="D150">SUM(SUMIFS('caseload data'!E:E,'caseload data'!$D:$D,"TPO",'caseload data'!$A:$A,"NPS West Midlands Region",'caseload data'!$B:$B,{"licence","community"}))</f>
        <v>0</v>
      </c>
      <c r="E150" s="204" cm="1">
        <f t="array" ref="E150">SUM(SUMIFS('caseload data'!F:F,'caseload data'!$D:$D,"TPO",'caseload data'!$A:$A,"NPS West Midlands Region",'caseload data'!$B:$B,{"licence","community"}))</f>
        <v>0</v>
      </c>
      <c r="F150" s="204" cm="1">
        <f t="array" ref="F150">SUM(SUMIFS('caseload data'!G:G,'caseload data'!$D:$D,"TPO",'caseload data'!$A:$A,"NPS West Midlands Region",'caseload data'!$B:$B,{"licence","community"}))</f>
        <v>0</v>
      </c>
      <c r="G150" s="204" cm="1">
        <f t="array" ref="G150">SUM(SUMIFS('caseload data'!H:H,'caseload data'!$D:$D,"TPO",'caseload data'!$A:$A,"NPS West Midlands Region",'caseload data'!$B:$B,{"licence","community"}))</f>
        <v>0</v>
      </c>
      <c r="H150" s="204" cm="1">
        <f t="array" ref="H150">SUM(SUMIFS('caseload data'!I:I,'caseload data'!$D:$D,"TPO",'caseload data'!$A:$A,"NPS West Midlands Region",'caseload data'!$B:$B,{"licence","community"}))</f>
        <v>0</v>
      </c>
      <c r="I150" s="204" cm="1">
        <f t="array" ref="I150">SUM(SUMIFS('caseload data'!J:J,'caseload data'!$D:$D,"TPO",'caseload data'!$A:$A,"NPS West Midlands Region",'caseload data'!$B:$B,{"licence","community"}))</f>
        <v>0</v>
      </c>
      <c r="J150" s="204" cm="1">
        <f t="array" ref="J150">SUM(SUMIFS('caseload data'!K:K,'caseload data'!$D:$D,"TPO",'caseload data'!$A:$A,"NPS West Midlands Region",'caseload data'!$B:$B,{"licence","community"}))</f>
        <v>0</v>
      </c>
      <c r="K150" s="204" cm="1">
        <f t="array" ref="K150">SUM(SUMIFS('caseload data'!L:L,'caseload data'!$D:$D,"TPO",'caseload data'!$A:$A,"NPS West Midlands Region",'caseload data'!$B:$B,{"licence","community"}))</f>
        <v>0</v>
      </c>
      <c r="L150" s="204" cm="1">
        <f t="array" ref="L150">SUM(SUMIFS('caseload data'!M:M,'caseload data'!$D:$D,"TPO",'caseload data'!$A:$A,"NPS West Midlands Region",'caseload data'!$B:$B,{"licence","community"}))</f>
        <v>0</v>
      </c>
      <c r="M150" s="204" cm="1">
        <f t="array" ref="M150">SUM(SUMIFS('caseload data'!N:N,'caseload data'!$D:$D,"TPO",'caseload data'!$A:$A,"NPS West Midlands Region",'caseload data'!$B:$B,{"licence","community"}))</f>
        <v>0</v>
      </c>
      <c r="N150" s="204" cm="1">
        <f t="array" ref="N150">SUM(SUMIFS('caseload data'!O:O,'caseload data'!$D:$D,"TPO",'caseload data'!$A:$A,"NPS West Midlands Region",'caseload data'!$B:$B,{"licence","community"}))</f>
        <v>0</v>
      </c>
      <c r="O150" s="204" cm="1">
        <f t="array" ref="O150">SUM(SUMIFS('caseload data'!P:P,'caseload data'!$D:$D,"TPO",'caseload data'!$A:$A,"NPS West Midlands Region",'caseload data'!$B:$B,{"licence","community"}))</f>
        <v>0</v>
      </c>
      <c r="P150" s="204" cm="1">
        <f t="array" ref="P150">SUM(SUMIFS('caseload data'!Q:Q,'caseload data'!$D:$D,"TPO",'caseload data'!$A:$A,"NPS West Midlands Region",'caseload data'!$B:$B,{"licence","community"}))</f>
        <v>0</v>
      </c>
      <c r="Q150" s="204" cm="1">
        <f t="array" ref="Q150">SUM(SUMIFS('caseload data'!R:R,'caseload data'!$D:$D,"TPO",'caseload data'!$A:$A,"NPS West Midlands Region",'caseload data'!$B:$B,{"licence","community"}))</f>
        <v>0</v>
      </c>
      <c r="R150" s="204" cm="1">
        <f t="array" ref="R150">SUM(SUMIFS('caseload data'!S:S,'caseload data'!$D:$D,"TPO",'caseload data'!$A:$A,"NPS West Midlands Region",'caseload data'!$B:$B,{"licence","community"}))</f>
        <v>0</v>
      </c>
      <c r="S150" s="204" cm="1">
        <f t="array" ref="S150">SUM(SUMIFS('caseload data'!T:T,'caseload data'!$D:$D,"TPO",'caseload data'!$A:$A,"NPS West Midlands Region",'caseload data'!$B:$B,{"licence","community"}))</f>
        <v>0</v>
      </c>
      <c r="T150" s="126">
        <f>SUM(SUMIFS('caseload data'!V:V,'caseload data'!D:D,"TPO",'caseload data'!A:A,"NPS West Midlands Region",'caseload data'!B:B,{"licence","community"}))</f>
        <v>0</v>
      </c>
      <c r="U150" s="95"/>
      <c r="V150" s="95"/>
      <c r="W150" s="330"/>
      <c r="X150" s="162" t="s">
        <v>186</v>
      </c>
      <c r="Y150" s="209" t="e">
        <f>SUM(D150)/SUM(D$148:D$151)</f>
        <v>#DIV/0!</v>
      </c>
      <c r="Z150" s="209" t="e">
        <f t="shared" si="42"/>
        <v>#DIV/0!</v>
      </c>
      <c r="AA150" s="209" t="e">
        <f t="shared" si="42"/>
        <v>#DIV/0!</v>
      </c>
      <c r="AB150" s="209" t="e">
        <f t="shared" si="42"/>
        <v>#DIV/0!</v>
      </c>
      <c r="AC150" s="209" t="e">
        <f t="shared" si="42"/>
        <v>#DIV/0!</v>
      </c>
      <c r="AD150" s="209" t="e">
        <f t="shared" si="42"/>
        <v>#DIV/0!</v>
      </c>
      <c r="AE150" s="209" t="e">
        <f t="shared" si="42"/>
        <v>#DIV/0!</v>
      </c>
      <c r="AF150" s="209" t="e">
        <f t="shared" si="42"/>
        <v>#DIV/0!</v>
      </c>
      <c r="AG150" s="209" t="e">
        <f t="shared" si="42"/>
        <v>#DIV/0!</v>
      </c>
      <c r="AH150" s="209" t="e">
        <f t="shared" si="42"/>
        <v>#DIV/0!</v>
      </c>
      <c r="AI150" s="209" t="e">
        <f t="shared" si="42"/>
        <v>#DIV/0!</v>
      </c>
      <c r="AJ150" s="209" t="e">
        <f t="shared" si="42"/>
        <v>#DIV/0!</v>
      </c>
      <c r="AK150" s="209" t="e">
        <f t="shared" si="42"/>
        <v>#DIV/0!</v>
      </c>
      <c r="AL150" s="209" t="e">
        <f t="shared" si="42"/>
        <v>#DIV/0!</v>
      </c>
      <c r="AM150" s="209" t="e">
        <f t="shared" si="42"/>
        <v>#DIV/0!</v>
      </c>
      <c r="AN150" s="209" t="e">
        <f t="shared" si="42"/>
        <v>#DIV/0!</v>
      </c>
      <c r="AO150"/>
      <c r="AP150"/>
      <c r="AQ150"/>
    </row>
    <row r="151" spans="2:43" s="30" customFormat="1" x14ac:dyDescent="0.15">
      <c r="B151" s="332"/>
      <c r="C151" s="163" t="s">
        <v>187</v>
      </c>
      <c r="D151" s="204">
        <f>SUM(SUMIFS('caseload data'!E:E,'caseload data'!$D:$D,"SPO",'caseload data'!$A:$A,"NPS West Midlands Region",'caseload data'!$B:$B,{"licence","community"}))</f>
        <v>0</v>
      </c>
      <c r="E151" s="204">
        <f>SUM(SUMIFS('caseload data'!F:F,'caseload data'!$D:$D,"SPO",'caseload data'!$A:$A,"NPS West Midlands Region",'caseload data'!$B:$B,{"licence","community"}))</f>
        <v>0</v>
      </c>
      <c r="F151" s="204">
        <f>SUM(SUMIFS('caseload data'!G:G,'caseload data'!$D:$D,"SPO",'caseload data'!$A:$A,"NPS West Midlands Region",'caseload data'!$B:$B,{"licence","community"}))</f>
        <v>0</v>
      </c>
      <c r="G151" s="204">
        <f>SUM(SUMIFS('caseload data'!H:H,'caseload data'!$D:$D,"SPO",'caseload data'!$A:$A,"NPS West Midlands Region",'caseload data'!$B:$B,{"licence","community"}))</f>
        <v>0</v>
      </c>
      <c r="H151" s="204">
        <f>SUM(SUMIFS('caseload data'!I:I,'caseload data'!$D:$D,"SPO",'caseload data'!$A:$A,"NPS West Midlands Region",'caseload data'!$B:$B,{"licence","community"}))</f>
        <v>0</v>
      </c>
      <c r="I151" s="204">
        <f>SUM(SUMIFS('caseload data'!J:J,'caseload data'!$D:$D,"SPO",'caseload data'!$A:$A,"NPS West Midlands Region",'caseload data'!$B:$B,{"licence","community"}))</f>
        <v>0</v>
      </c>
      <c r="J151" s="204">
        <f>SUM(SUMIFS('caseload data'!K:K,'caseload data'!$D:$D,"SPO",'caseload data'!$A:$A,"NPS West Midlands Region",'caseload data'!$B:$B,{"licence","community"}))</f>
        <v>0</v>
      </c>
      <c r="K151" s="204">
        <f>SUM(SUMIFS('caseload data'!L:L,'caseload data'!$D:$D,"SPO",'caseload data'!$A:$A,"NPS West Midlands Region",'caseload data'!$B:$B,{"licence","community"}))</f>
        <v>0</v>
      </c>
      <c r="L151" s="204">
        <f>SUM(SUMIFS('caseload data'!M:M,'caseload data'!$D:$D,"SPO",'caseload data'!$A:$A,"NPS West Midlands Region",'caseload data'!$B:$B,{"licence","community"}))</f>
        <v>0</v>
      </c>
      <c r="M151" s="204">
        <f>SUM(SUMIFS('caseload data'!N:N,'caseload data'!$D:$D,"SPO",'caseload data'!$A:$A,"NPS West Midlands Region",'caseload data'!$B:$B,{"licence","community"}))</f>
        <v>0</v>
      </c>
      <c r="N151" s="204">
        <f>SUM(SUMIFS('caseload data'!O:O,'caseload data'!$D:$D,"SPO",'caseload data'!$A:$A,"NPS West Midlands Region",'caseload data'!$B:$B,{"licence","community"}))</f>
        <v>0</v>
      </c>
      <c r="O151" s="204">
        <f>SUM(SUMIFS('caseload data'!P:P,'caseload data'!$D:$D,"SPO",'caseload data'!$A:$A,"NPS West Midlands Region",'caseload data'!$B:$B,{"licence","community"}))</f>
        <v>0</v>
      </c>
      <c r="P151" s="204">
        <f>SUM(SUMIFS('caseload data'!Q:Q,'caseload data'!$D:$D,"SPO",'caseload data'!$A:$A,"NPS West Midlands Region",'caseload data'!$B:$B,{"licence","community"}))</f>
        <v>0</v>
      </c>
      <c r="Q151" s="204">
        <f>SUM(SUMIFS('caseload data'!R:R,'caseload data'!$D:$D,"SPO",'caseload data'!$A:$A,"NPS West Midlands Region",'caseload data'!$B:$B,{"licence","community"}))</f>
        <v>0</v>
      </c>
      <c r="R151" s="204">
        <f>SUM(SUMIFS('caseload data'!S:S,'caseload data'!$D:$D,"SPO",'caseload data'!$A:$A,"NPS West Midlands Region",'caseload data'!$B:$B,{"licence","community"}))</f>
        <v>0</v>
      </c>
      <c r="S151" s="204">
        <f>SUM(SUMIFS('caseload data'!T:T,'caseload data'!$D:$D,"SPO",'caseload data'!$A:$A,"NPS West Midlands Region",'caseload data'!$B:$B,{"licence","community"}))</f>
        <v>0</v>
      </c>
      <c r="T151" s="126">
        <f>SUM(SUMIFS('caseload data'!V:V,'caseload data'!$D:$D,"SPO",'caseload data'!$A:$A,"NPS West Midlands Region",'caseload data'!$B:$B,{"licence","community"}))</f>
        <v>0</v>
      </c>
      <c r="U151" s="95"/>
      <c r="V151" s="95"/>
      <c r="W151" s="332"/>
      <c r="X151" s="163" t="s">
        <v>187</v>
      </c>
      <c r="Y151" s="209" t="e">
        <f>SUM(D151)/SUM(D$148:D$151)</f>
        <v>#DIV/0!</v>
      </c>
      <c r="Z151" s="209" t="e">
        <f t="shared" si="42"/>
        <v>#DIV/0!</v>
      </c>
      <c r="AA151" s="209" t="e">
        <f t="shared" si="42"/>
        <v>#DIV/0!</v>
      </c>
      <c r="AB151" s="209" t="e">
        <f t="shared" si="42"/>
        <v>#DIV/0!</v>
      </c>
      <c r="AC151" s="209" t="e">
        <f t="shared" si="42"/>
        <v>#DIV/0!</v>
      </c>
      <c r="AD151" s="209" t="e">
        <f t="shared" si="42"/>
        <v>#DIV/0!</v>
      </c>
      <c r="AE151" s="209" t="e">
        <f t="shared" si="42"/>
        <v>#DIV/0!</v>
      </c>
      <c r="AF151" s="209" t="e">
        <f t="shared" si="42"/>
        <v>#DIV/0!</v>
      </c>
      <c r="AG151" s="209" t="e">
        <f t="shared" si="42"/>
        <v>#DIV/0!</v>
      </c>
      <c r="AH151" s="209" t="e">
        <f t="shared" si="42"/>
        <v>#DIV/0!</v>
      </c>
      <c r="AI151" s="209" t="e">
        <f t="shared" si="42"/>
        <v>#DIV/0!</v>
      </c>
      <c r="AJ151" s="209" t="e">
        <f t="shared" si="42"/>
        <v>#DIV/0!</v>
      </c>
      <c r="AK151" s="209" t="e">
        <f t="shared" si="42"/>
        <v>#DIV/0!</v>
      </c>
      <c r="AL151" s="209" t="e">
        <f t="shared" si="42"/>
        <v>#DIV/0!</v>
      </c>
      <c r="AM151" s="209" t="e">
        <f t="shared" si="42"/>
        <v>#DIV/0!</v>
      </c>
      <c r="AN151" s="209" t="e">
        <f t="shared" si="42"/>
        <v>#DIV/0!</v>
      </c>
      <c r="AO151"/>
      <c r="AP151"/>
      <c r="AQ151"/>
    </row>
    <row r="152" spans="2:43" s="30" customFormat="1" x14ac:dyDescent="0.15">
      <c r="B152" s="329" t="s">
        <v>9</v>
      </c>
      <c r="C152" s="161" t="s">
        <v>184</v>
      </c>
      <c r="D152" s="204" cm="1">
        <f t="array" ref="D152">SUM(SUMIFS('caseload data'!E:E,'caseload data'!$D:$D,"PO",'caseload data'!$A:$A,$B$152,'caseload data'!$B:$B,{"licence","community"}))</f>
        <v>0</v>
      </c>
      <c r="E152" s="204" cm="1">
        <f t="array" ref="E152">SUM(SUMIFS('caseload data'!F:F,'caseload data'!$D:$D,"PO",'caseload data'!$A:$A,$B$152,'caseload data'!$B:$B,{"licence","community"}))</f>
        <v>0</v>
      </c>
      <c r="F152" s="204" cm="1">
        <f t="array" ref="F152">SUM(SUMIFS('caseload data'!G:G,'caseload data'!$D:$D,"PO",'caseload data'!$A:$A,$B$152,'caseload data'!$B:$B,{"licence","community"}))</f>
        <v>0</v>
      </c>
      <c r="G152" s="204" cm="1">
        <f t="array" ref="G152">SUM(SUMIFS('caseload data'!H:H,'caseload data'!$D:$D,"PO",'caseload data'!$A:$A,$B$152,'caseload data'!$B:$B,{"licence","community"}))</f>
        <v>0</v>
      </c>
      <c r="H152" s="204" cm="1">
        <f t="array" ref="H152">SUM(SUMIFS('caseload data'!I:I,'caseload data'!$D:$D,"PO",'caseload data'!$A:$A,$B$152,'caseload data'!$B:$B,{"licence","community"}))</f>
        <v>0</v>
      </c>
      <c r="I152" s="204" cm="1">
        <f t="array" ref="I152">SUM(SUMIFS('caseload data'!J:J,'caseload data'!$D:$D,"PO",'caseload data'!$A:$A,$B$152,'caseload data'!$B:$B,{"licence","community"}))</f>
        <v>0</v>
      </c>
      <c r="J152" s="204" cm="1">
        <f t="array" ref="J152">SUM(SUMIFS('caseload data'!K:K,'caseload data'!$D:$D,"PO",'caseload data'!$A:$A,$B$152,'caseload data'!$B:$B,{"licence","community"}))</f>
        <v>0</v>
      </c>
      <c r="K152" s="204" cm="1">
        <f t="array" ref="K152">SUM(SUMIFS('caseload data'!L:L,'caseload data'!$D:$D,"PO",'caseload data'!$A:$A,$B$152,'caseload data'!$B:$B,{"licence","community"}))</f>
        <v>0</v>
      </c>
      <c r="L152" s="204" cm="1">
        <f t="array" ref="L152">SUM(SUMIFS('caseload data'!M:M,'caseload data'!$D:$D,"PO",'caseload data'!$A:$A,$B$152,'caseload data'!$B:$B,{"licence","community"}))</f>
        <v>0</v>
      </c>
      <c r="M152" s="204" cm="1">
        <f t="array" ref="M152">SUM(SUMIFS('caseload data'!N:N,'caseload data'!$D:$D,"PO",'caseload data'!$A:$A,$B$152,'caseload data'!$B:$B,{"licence","community"}))</f>
        <v>0</v>
      </c>
      <c r="N152" s="204" cm="1">
        <f t="array" ref="N152">SUM(SUMIFS('caseload data'!O:O,'caseload data'!$D:$D,"PO",'caseload data'!$A:$A,$B$152,'caseload data'!$B:$B,{"licence","community"}))</f>
        <v>0</v>
      </c>
      <c r="O152" s="204" cm="1">
        <f t="array" ref="O152">SUM(SUMIFS('caseload data'!P:P,'caseload data'!$D:$D,"PO",'caseload data'!$A:$A,$B$152,'caseload data'!$B:$B,{"licence","community"}))</f>
        <v>0</v>
      </c>
      <c r="P152" s="204" cm="1">
        <f t="array" ref="P152">SUM(SUMIFS('caseload data'!Q:Q,'caseload data'!$D:$D,"PO",'caseload data'!$A:$A,$B$152,'caseload data'!$B:$B,{"licence","community"}))</f>
        <v>0</v>
      </c>
      <c r="Q152" s="204" cm="1">
        <f t="array" ref="Q152">SUM(SUMIFS('caseload data'!R:R,'caseload data'!$D:$D,"PO",'caseload data'!$A:$A,$B$152,'caseload data'!$B:$B,{"licence","community"}))</f>
        <v>0</v>
      </c>
      <c r="R152" s="204" cm="1">
        <f t="array" ref="R152">SUM(SUMIFS('caseload data'!S:S,'caseload data'!$D:$D,"PO",'caseload data'!$A:$A,$B$152,'caseload data'!$B:$B,{"licence","community"}))</f>
        <v>0</v>
      </c>
      <c r="S152" s="204" cm="1">
        <f t="array" ref="S152">SUM(SUMIFS('caseload data'!T:T,'caseload data'!$D:$D,"PO",'caseload data'!$A:$A,$B$152,'caseload data'!$B:$B,{"licence","community"}))</f>
        <v>0</v>
      </c>
      <c r="T152" s="126">
        <f>SUM(SUMIFS('caseload data'!V:V,'caseload data'!D:D,"PO",'caseload data'!A:A,B152,'caseload data'!B:B,{"licence","community"}))</f>
        <v>0</v>
      </c>
      <c r="U152" s="95"/>
      <c r="V152" s="95"/>
      <c r="W152" s="329" t="s">
        <v>9</v>
      </c>
      <c r="X152" s="161" t="s">
        <v>184</v>
      </c>
      <c r="Y152" s="209" t="e">
        <f>SUM(D152)/SUM(D$152:D$155)</f>
        <v>#DIV/0!</v>
      </c>
      <c r="Z152" s="209" t="e">
        <f t="shared" ref="Z152:AN155" si="43">SUM(E152)/SUM(E$152:E$155)</f>
        <v>#DIV/0!</v>
      </c>
      <c r="AA152" s="209" t="e">
        <f t="shared" si="43"/>
        <v>#DIV/0!</v>
      </c>
      <c r="AB152" s="209" t="e">
        <f t="shared" si="43"/>
        <v>#DIV/0!</v>
      </c>
      <c r="AC152" s="209" t="e">
        <f t="shared" si="43"/>
        <v>#DIV/0!</v>
      </c>
      <c r="AD152" s="209" t="e">
        <f t="shared" si="43"/>
        <v>#DIV/0!</v>
      </c>
      <c r="AE152" s="209" t="e">
        <f t="shared" si="43"/>
        <v>#DIV/0!</v>
      </c>
      <c r="AF152" s="209" t="e">
        <f t="shared" si="43"/>
        <v>#DIV/0!</v>
      </c>
      <c r="AG152" s="209" t="e">
        <f t="shared" si="43"/>
        <v>#DIV/0!</v>
      </c>
      <c r="AH152" s="209" t="e">
        <f t="shared" si="43"/>
        <v>#DIV/0!</v>
      </c>
      <c r="AI152" s="209" t="e">
        <f t="shared" si="43"/>
        <v>#DIV/0!</v>
      </c>
      <c r="AJ152" s="209" t="e">
        <f t="shared" si="43"/>
        <v>#DIV/0!</v>
      </c>
      <c r="AK152" s="209" t="e">
        <f t="shared" si="43"/>
        <v>#DIV/0!</v>
      </c>
      <c r="AL152" s="209" t="e">
        <f t="shared" si="43"/>
        <v>#DIV/0!</v>
      </c>
      <c r="AM152" s="209" t="e">
        <f t="shared" si="43"/>
        <v>#DIV/0!</v>
      </c>
      <c r="AN152" s="209" t="e">
        <f t="shared" si="43"/>
        <v>#DIV/0!</v>
      </c>
      <c r="AO152"/>
      <c r="AP152"/>
      <c r="AQ152"/>
    </row>
    <row r="153" spans="2:43" s="30" customFormat="1" x14ac:dyDescent="0.15">
      <c r="B153" s="330"/>
      <c r="C153" s="162" t="s">
        <v>185</v>
      </c>
      <c r="D153" s="204">
        <f>SUM(SUMIFS('caseload data'!E:E,'caseload data'!$D:$D,"PSO",'caseload data'!$A:$A,"NPS Yorkshire and The Humber",'caseload data'!$B:$B,{"licence","community"}))</f>
        <v>0</v>
      </c>
      <c r="E153" s="204">
        <f>SUM(SUMIFS('caseload data'!F:F,'caseload data'!$D:$D,"PSO",'caseload data'!$A:$A,"NPS Yorkshire and The Humber",'caseload data'!$B:$B,{"licence","community"}))</f>
        <v>0</v>
      </c>
      <c r="F153" s="204">
        <f>SUM(SUMIFS('caseload data'!G:G,'caseload data'!$D:$D,"PSO",'caseload data'!$A:$A,"NPS Yorkshire and The Humber",'caseload data'!$B:$B,{"licence","community"}))</f>
        <v>0</v>
      </c>
      <c r="G153" s="204">
        <f>SUM(SUMIFS('caseload data'!H:H,'caseload data'!$D:$D,"PSO",'caseload data'!$A:$A,"NPS Yorkshire and The Humber",'caseload data'!$B:$B,{"licence","community"}))</f>
        <v>0</v>
      </c>
      <c r="H153" s="204">
        <f>SUM(SUMIFS('caseload data'!I:I,'caseload data'!$D:$D,"PSO",'caseload data'!$A:$A,"NPS Yorkshire and The Humber",'caseload data'!$B:$B,{"licence","community"}))</f>
        <v>0</v>
      </c>
      <c r="I153" s="204">
        <f>SUM(SUMIFS('caseload data'!J:J,'caseload data'!$D:$D,"PSO",'caseload data'!$A:$A,"NPS Yorkshire and The Humber",'caseload data'!$B:$B,{"licence","community"}))</f>
        <v>0</v>
      </c>
      <c r="J153" s="204">
        <f>SUM(SUMIFS('caseload data'!K:K,'caseload data'!$D:$D,"PSO",'caseload data'!$A:$A,"NPS Yorkshire and The Humber",'caseload data'!$B:$B,{"licence","community"}))</f>
        <v>0</v>
      </c>
      <c r="K153" s="204">
        <f>SUM(SUMIFS('caseload data'!L:L,'caseload data'!$D:$D,"PSO",'caseload data'!$A:$A,"NPS Yorkshire and The Humber",'caseload data'!$B:$B,{"licence","community"}))</f>
        <v>0</v>
      </c>
      <c r="L153" s="204">
        <f>SUM(SUMIFS('caseload data'!M:M,'caseload data'!$D:$D,"PSO",'caseload data'!$A:$A,"NPS Yorkshire and The Humber",'caseload data'!$B:$B,{"licence","community"}))</f>
        <v>0</v>
      </c>
      <c r="M153" s="204">
        <f>SUM(SUMIFS('caseload data'!N:N,'caseload data'!$D:$D,"PSO",'caseload data'!$A:$A,"NPS Yorkshire and The Humber",'caseload data'!$B:$B,{"licence","community"}))</f>
        <v>0</v>
      </c>
      <c r="N153" s="204">
        <f>SUM(SUMIFS('caseload data'!O:O,'caseload data'!$D:$D,"PSO",'caseload data'!$A:$A,"NPS Yorkshire and The Humber",'caseload data'!$B:$B,{"licence","community"}))</f>
        <v>0</v>
      </c>
      <c r="O153" s="204">
        <f>SUM(SUMIFS('caseload data'!P:P,'caseload data'!$D:$D,"PSO",'caseload data'!$A:$A,"NPS Yorkshire and The Humber",'caseload data'!$B:$B,{"licence","community"}))</f>
        <v>0</v>
      </c>
      <c r="P153" s="204">
        <f>SUM(SUMIFS('caseload data'!Q:Q,'caseload data'!$D:$D,"PSO",'caseload data'!$A:$A,"NPS Yorkshire and The Humber",'caseload data'!$B:$B,{"licence","community"}))</f>
        <v>0</v>
      </c>
      <c r="Q153" s="204">
        <f>SUM(SUMIFS('caseload data'!R:R,'caseload data'!$D:$D,"PSO",'caseload data'!$A:$A,"NPS Yorkshire and The Humber",'caseload data'!$B:$B,{"licence","community"}))</f>
        <v>0</v>
      </c>
      <c r="R153" s="204">
        <f>SUM(SUMIFS('caseload data'!S:S,'caseload data'!$D:$D,"PSO",'caseload data'!$A:$A,"NPS Yorkshire and The Humber",'caseload data'!$B:$B,{"licence","community"}))</f>
        <v>0</v>
      </c>
      <c r="S153" s="204">
        <f>SUM(SUMIFS('caseload data'!T:T,'caseload data'!$D:$D,"PSO",'caseload data'!$A:$A,"NPS Yorkshire and The Humber",'caseload data'!$B:$B,{"licence","community"}))</f>
        <v>0</v>
      </c>
      <c r="T153" s="126">
        <f>SUM(SUMIFS('caseload data'!V:V,'caseload data'!$D:$D,"PSO",'caseload data'!$A:$A,"NPS Yorkshire and The Humber",'caseload data'!$B:$B,{"licence","community"}))</f>
        <v>0</v>
      </c>
      <c r="U153" s="95"/>
      <c r="V153" s="95"/>
      <c r="W153" s="330"/>
      <c r="X153" s="162" t="s">
        <v>185</v>
      </c>
      <c r="Y153" s="209" t="e">
        <f>SUM(D153)/SUM(D$152:D$155)</f>
        <v>#DIV/0!</v>
      </c>
      <c r="Z153" s="209" t="e">
        <f t="shared" si="43"/>
        <v>#DIV/0!</v>
      </c>
      <c r="AA153" s="209" t="e">
        <f t="shared" si="43"/>
        <v>#DIV/0!</v>
      </c>
      <c r="AB153" s="209" t="e">
        <f t="shared" si="43"/>
        <v>#DIV/0!</v>
      </c>
      <c r="AC153" s="209" t="e">
        <f t="shared" si="43"/>
        <v>#DIV/0!</v>
      </c>
      <c r="AD153" s="209" t="e">
        <f t="shared" si="43"/>
        <v>#DIV/0!</v>
      </c>
      <c r="AE153" s="209" t="e">
        <f t="shared" si="43"/>
        <v>#DIV/0!</v>
      </c>
      <c r="AF153" s="209" t="e">
        <f t="shared" si="43"/>
        <v>#DIV/0!</v>
      </c>
      <c r="AG153" s="209" t="e">
        <f t="shared" si="43"/>
        <v>#DIV/0!</v>
      </c>
      <c r="AH153" s="209" t="e">
        <f t="shared" si="43"/>
        <v>#DIV/0!</v>
      </c>
      <c r="AI153" s="209" t="e">
        <f t="shared" si="43"/>
        <v>#DIV/0!</v>
      </c>
      <c r="AJ153" s="209" t="e">
        <f t="shared" si="43"/>
        <v>#DIV/0!</v>
      </c>
      <c r="AK153" s="209" t="e">
        <f t="shared" si="43"/>
        <v>#DIV/0!</v>
      </c>
      <c r="AL153" s="209" t="e">
        <f t="shared" si="43"/>
        <v>#DIV/0!</v>
      </c>
      <c r="AM153" s="209" t="e">
        <f t="shared" si="43"/>
        <v>#DIV/0!</v>
      </c>
      <c r="AN153" s="209" t="e">
        <f t="shared" si="43"/>
        <v>#DIV/0!</v>
      </c>
      <c r="AO153"/>
      <c r="AP153"/>
      <c r="AQ153"/>
    </row>
    <row r="154" spans="2:43" s="30" customFormat="1" x14ac:dyDescent="0.15">
      <c r="B154" s="330"/>
      <c r="C154" s="162" t="s">
        <v>186</v>
      </c>
      <c r="D154" s="204" cm="1">
        <f t="array" ref="D154">SUM(SUMIFS('caseload data'!E:E,'caseload data'!$D:$D,"TPO",'caseload data'!$A:$A,"NPS Yorkshire and The Humber",'caseload data'!$B:$B,{"licence","community"}))</f>
        <v>0</v>
      </c>
      <c r="E154" s="204" cm="1">
        <f t="array" ref="E154">SUM(SUMIFS('caseload data'!F:F,'caseload data'!$D:$D,"TPO",'caseload data'!$A:$A,"NPS Yorkshire and The Humber",'caseload data'!$B:$B,{"licence","community"}))</f>
        <v>0</v>
      </c>
      <c r="F154" s="204" cm="1">
        <f t="array" ref="F154">SUM(SUMIFS('caseload data'!G:G,'caseload data'!$D:$D,"TPO",'caseload data'!$A:$A,"NPS Yorkshire and The Humber",'caseload data'!$B:$B,{"licence","community"}))</f>
        <v>0</v>
      </c>
      <c r="G154" s="204" cm="1">
        <f t="array" ref="G154">SUM(SUMIFS('caseload data'!H:H,'caseload data'!$D:$D,"TPO",'caseload data'!$A:$A,"NPS Yorkshire and The Humber",'caseload data'!$B:$B,{"licence","community"}))</f>
        <v>0</v>
      </c>
      <c r="H154" s="204" cm="1">
        <f t="array" ref="H154">SUM(SUMIFS('caseload data'!I:I,'caseload data'!$D:$D,"TPO",'caseload data'!$A:$A,"NPS Yorkshire and The Humber",'caseload data'!$B:$B,{"licence","community"}))</f>
        <v>0</v>
      </c>
      <c r="I154" s="204" cm="1">
        <f t="array" ref="I154">SUM(SUMIFS('caseload data'!J:J,'caseload data'!$D:$D,"TPO",'caseload data'!$A:$A,"NPS Yorkshire and The Humber",'caseload data'!$B:$B,{"licence","community"}))</f>
        <v>0</v>
      </c>
      <c r="J154" s="204" cm="1">
        <f t="array" ref="J154">SUM(SUMIFS('caseload data'!K:K,'caseload data'!$D:$D,"TPO",'caseload data'!$A:$A,"NPS Yorkshire and The Humber",'caseload data'!$B:$B,{"licence","community"}))</f>
        <v>0</v>
      </c>
      <c r="K154" s="204" cm="1">
        <f t="array" ref="K154">SUM(SUMIFS('caseload data'!L:L,'caseload data'!$D:$D,"TPO",'caseload data'!$A:$A,"NPS Yorkshire and The Humber",'caseload data'!$B:$B,{"licence","community"}))</f>
        <v>0</v>
      </c>
      <c r="L154" s="204" cm="1">
        <f t="array" ref="L154">SUM(SUMIFS('caseload data'!M:M,'caseload data'!$D:$D,"TPO",'caseload data'!$A:$A,"NPS Yorkshire and The Humber",'caseload data'!$B:$B,{"licence","community"}))</f>
        <v>0</v>
      </c>
      <c r="M154" s="204" cm="1">
        <f t="array" ref="M154">SUM(SUMIFS('caseload data'!N:N,'caseload data'!$D:$D,"TPO",'caseload data'!$A:$A,"NPS Yorkshire and The Humber",'caseload data'!$B:$B,{"licence","community"}))</f>
        <v>0</v>
      </c>
      <c r="N154" s="204" cm="1">
        <f t="array" ref="N154">SUM(SUMIFS('caseload data'!O:O,'caseload data'!$D:$D,"TPO",'caseload data'!$A:$A,"NPS Yorkshire and The Humber",'caseload data'!$B:$B,{"licence","community"}))</f>
        <v>0</v>
      </c>
      <c r="O154" s="204" cm="1">
        <f t="array" ref="O154">SUM(SUMIFS('caseload data'!P:P,'caseload data'!$D:$D,"TPO",'caseload data'!$A:$A,"NPS Yorkshire and The Humber",'caseload data'!$B:$B,{"licence","community"}))</f>
        <v>0</v>
      </c>
      <c r="P154" s="204" cm="1">
        <f t="array" ref="P154">SUM(SUMIFS('caseload data'!Q:Q,'caseload data'!$D:$D,"TPO",'caseload data'!$A:$A,"NPS Yorkshire and The Humber",'caseload data'!$B:$B,{"licence","community"}))</f>
        <v>0</v>
      </c>
      <c r="Q154" s="204" cm="1">
        <f t="array" ref="Q154">SUM(SUMIFS('caseload data'!R:R,'caseload data'!$D:$D,"TPO",'caseload data'!$A:$A,"NPS Yorkshire and The Humber",'caseload data'!$B:$B,{"licence","community"}))</f>
        <v>0</v>
      </c>
      <c r="R154" s="204" cm="1">
        <f t="array" ref="R154">SUM(SUMIFS('caseload data'!S:S,'caseload data'!$D:$D,"TPO",'caseload data'!$A:$A,"NPS Yorkshire and The Humber",'caseload data'!$B:$B,{"licence","community"}))</f>
        <v>0</v>
      </c>
      <c r="S154" s="204" cm="1">
        <f t="array" ref="S154">SUM(SUMIFS('caseload data'!T:T,'caseload data'!$D:$D,"TPO",'caseload data'!$A:$A,"NPS Yorkshire and The Humber",'caseload data'!$B:$B,{"licence","community"}))</f>
        <v>0</v>
      </c>
      <c r="T154" s="126">
        <f>SUM(SUMIFS('caseload data'!V:V,'caseload data'!D:D,"TPO",'caseload data'!A:A,"NPS Yorkshire and The Humber",'caseload data'!B:B,{"licence","community"}))</f>
        <v>0</v>
      </c>
      <c r="U154" s="95"/>
      <c r="V154" s="95"/>
      <c r="W154" s="330"/>
      <c r="X154" s="162" t="s">
        <v>186</v>
      </c>
      <c r="Y154" s="209" t="e">
        <f>SUM(D154)/SUM(D$152:D$155)</f>
        <v>#DIV/0!</v>
      </c>
      <c r="Z154" s="209" t="e">
        <f t="shared" si="43"/>
        <v>#DIV/0!</v>
      </c>
      <c r="AA154" s="209" t="e">
        <f t="shared" si="43"/>
        <v>#DIV/0!</v>
      </c>
      <c r="AB154" s="209" t="e">
        <f t="shared" si="43"/>
        <v>#DIV/0!</v>
      </c>
      <c r="AC154" s="209" t="e">
        <f t="shared" si="43"/>
        <v>#DIV/0!</v>
      </c>
      <c r="AD154" s="209" t="e">
        <f t="shared" si="43"/>
        <v>#DIV/0!</v>
      </c>
      <c r="AE154" s="209" t="e">
        <f t="shared" si="43"/>
        <v>#DIV/0!</v>
      </c>
      <c r="AF154" s="209" t="e">
        <f t="shared" si="43"/>
        <v>#DIV/0!</v>
      </c>
      <c r="AG154" s="209" t="e">
        <f t="shared" si="43"/>
        <v>#DIV/0!</v>
      </c>
      <c r="AH154" s="209" t="e">
        <f t="shared" si="43"/>
        <v>#DIV/0!</v>
      </c>
      <c r="AI154" s="209" t="e">
        <f t="shared" si="43"/>
        <v>#DIV/0!</v>
      </c>
      <c r="AJ154" s="209" t="e">
        <f t="shared" si="43"/>
        <v>#DIV/0!</v>
      </c>
      <c r="AK154" s="209" t="e">
        <f t="shared" si="43"/>
        <v>#DIV/0!</v>
      </c>
      <c r="AL154" s="209" t="e">
        <f t="shared" si="43"/>
        <v>#DIV/0!</v>
      </c>
      <c r="AM154" s="209" t="e">
        <f t="shared" si="43"/>
        <v>#DIV/0!</v>
      </c>
      <c r="AN154" s="209" t="e">
        <f t="shared" si="43"/>
        <v>#DIV/0!</v>
      </c>
      <c r="AO154"/>
      <c r="AP154"/>
      <c r="AQ154"/>
    </row>
    <row r="155" spans="2:43" s="30" customFormat="1" x14ac:dyDescent="0.15">
      <c r="B155" s="332"/>
      <c r="C155" s="163" t="s">
        <v>187</v>
      </c>
      <c r="D155" s="204">
        <f>SUM(SUMIFS('caseload data'!E:E,'caseload data'!$D:$D,"SPO",'caseload data'!$A:$A,"NPS Yorkshire and The Humber",'caseload data'!$B:$B,{"licence","community"}))</f>
        <v>0</v>
      </c>
      <c r="E155" s="204">
        <f>SUM(SUMIFS('caseload data'!F:F,'caseload data'!$D:$D,"SPO",'caseload data'!$A:$A,"NPS Yorkshire and The Humber",'caseload data'!$B:$B,{"licence","community"}))</f>
        <v>0</v>
      </c>
      <c r="F155" s="204">
        <f>SUM(SUMIFS('caseload data'!G:G,'caseload data'!$D:$D,"SPO",'caseload data'!$A:$A,"NPS Yorkshire and The Humber",'caseload data'!$B:$B,{"licence","community"}))</f>
        <v>0</v>
      </c>
      <c r="G155" s="204">
        <f>SUM(SUMIFS('caseload data'!H:H,'caseload data'!$D:$D,"SPO",'caseload data'!$A:$A,"NPS Yorkshire and The Humber",'caseload data'!$B:$B,{"licence","community"}))</f>
        <v>0</v>
      </c>
      <c r="H155" s="204">
        <f>SUM(SUMIFS('caseload data'!I:I,'caseload data'!$D:$D,"SPO",'caseload data'!$A:$A,"NPS Yorkshire and The Humber",'caseload data'!$B:$B,{"licence","community"}))</f>
        <v>0</v>
      </c>
      <c r="I155" s="204">
        <f>SUM(SUMIFS('caseload data'!J:J,'caseload data'!$D:$D,"SPO",'caseload data'!$A:$A,"NPS Yorkshire and The Humber",'caseload data'!$B:$B,{"licence","community"}))</f>
        <v>0</v>
      </c>
      <c r="J155" s="204">
        <f>SUM(SUMIFS('caseload data'!K:K,'caseload data'!$D:$D,"SPO",'caseload data'!$A:$A,"NPS Yorkshire and The Humber",'caseload data'!$B:$B,{"licence","community"}))</f>
        <v>0</v>
      </c>
      <c r="K155" s="204">
        <f>SUM(SUMIFS('caseload data'!L:L,'caseload data'!$D:$D,"SPO",'caseload data'!$A:$A,"NPS Yorkshire and The Humber",'caseload data'!$B:$B,{"licence","community"}))</f>
        <v>0</v>
      </c>
      <c r="L155" s="204">
        <f>SUM(SUMIFS('caseload data'!M:M,'caseload data'!$D:$D,"SPO",'caseload data'!$A:$A,"NPS Yorkshire and The Humber",'caseload data'!$B:$B,{"licence","community"}))</f>
        <v>0</v>
      </c>
      <c r="M155" s="204">
        <f>SUM(SUMIFS('caseload data'!N:N,'caseload data'!$D:$D,"SPO",'caseload data'!$A:$A,"NPS Yorkshire and The Humber",'caseload data'!$B:$B,{"licence","community"}))</f>
        <v>0</v>
      </c>
      <c r="N155" s="204">
        <f>SUM(SUMIFS('caseload data'!O:O,'caseload data'!$D:$D,"SPO",'caseload data'!$A:$A,"NPS Yorkshire and The Humber",'caseload data'!$B:$B,{"licence","community"}))</f>
        <v>0</v>
      </c>
      <c r="O155" s="204">
        <f>SUM(SUMIFS('caseload data'!P:P,'caseload data'!$D:$D,"SPO",'caseload data'!$A:$A,"NPS Yorkshire and The Humber",'caseload data'!$B:$B,{"licence","community"}))</f>
        <v>0</v>
      </c>
      <c r="P155" s="204">
        <f>SUM(SUMIFS('caseload data'!Q:Q,'caseload data'!$D:$D,"SPO",'caseload data'!$A:$A,"NPS Yorkshire and The Humber",'caseload data'!$B:$B,{"licence","community"}))</f>
        <v>0</v>
      </c>
      <c r="Q155" s="204">
        <f>SUM(SUMIFS('caseload data'!R:R,'caseload data'!$D:$D,"SPO",'caseload data'!$A:$A,"NPS Yorkshire and The Humber",'caseload data'!$B:$B,{"licence","community"}))</f>
        <v>0</v>
      </c>
      <c r="R155" s="204">
        <f>SUM(SUMIFS('caseload data'!S:S,'caseload data'!$D:$D,"SPO",'caseload data'!$A:$A,"NPS Yorkshire and The Humber",'caseload data'!$B:$B,{"licence","community"}))</f>
        <v>0</v>
      </c>
      <c r="S155" s="204">
        <f>SUM(SUMIFS('caseload data'!T:T,'caseload data'!$D:$D,"SPO",'caseload data'!$A:$A,"NPS Yorkshire and The Humber",'caseload data'!$B:$B,{"licence","community"}))</f>
        <v>0</v>
      </c>
      <c r="T155" s="126">
        <f>SUM(SUMIFS('caseload data'!V:V,'caseload data'!$D:$D,"SPO",'caseload data'!$A:$A,"NPS Yorkshire and The Humber",'caseload data'!$B:$B,{"licence","community"}))</f>
        <v>0</v>
      </c>
      <c r="U155" s="95"/>
      <c r="V155" s="95"/>
      <c r="W155" s="332"/>
      <c r="X155" s="163" t="s">
        <v>187</v>
      </c>
      <c r="Y155" s="209" t="e">
        <f>SUM(D155)/SUM(D$152:D$155)</f>
        <v>#DIV/0!</v>
      </c>
      <c r="Z155" s="209" t="e">
        <f t="shared" si="43"/>
        <v>#DIV/0!</v>
      </c>
      <c r="AA155" s="209" t="e">
        <f t="shared" si="43"/>
        <v>#DIV/0!</v>
      </c>
      <c r="AB155" s="209" t="e">
        <f t="shared" si="43"/>
        <v>#DIV/0!</v>
      </c>
      <c r="AC155" s="209" t="e">
        <f t="shared" si="43"/>
        <v>#DIV/0!</v>
      </c>
      <c r="AD155" s="209" t="e">
        <f t="shared" si="43"/>
        <v>#DIV/0!</v>
      </c>
      <c r="AE155" s="209" t="e">
        <f t="shared" si="43"/>
        <v>#DIV/0!</v>
      </c>
      <c r="AF155" s="209" t="e">
        <f t="shared" si="43"/>
        <v>#DIV/0!</v>
      </c>
      <c r="AG155" s="209" t="e">
        <f t="shared" si="43"/>
        <v>#DIV/0!</v>
      </c>
      <c r="AH155" s="209" t="e">
        <f t="shared" si="43"/>
        <v>#DIV/0!</v>
      </c>
      <c r="AI155" s="209" t="e">
        <f t="shared" si="43"/>
        <v>#DIV/0!</v>
      </c>
      <c r="AJ155" s="209" t="e">
        <f t="shared" si="43"/>
        <v>#DIV/0!</v>
      </c>
      <c r="AK155" s="209" t="e">
        <f t="shared" si="43"/>
        <v>#DIV/0!</v>
      </c>
      <c r="AL155" s="209" t="e">
        <f t="shared" si="43"/>
        <v>#DIV/0!</v>
      </c>
      <c r="AM155" s="209" t="e">
        <f t="shared" si="43"/>
        <v>#DIV/0!</v>
      </c>
      <c r="AN155" s="209" t="e">
        <f t="shared" si="43"/>
        <v>#DIV/0!</v>
      </c>
      <c r="AO155"/>
      <c r="AP155"/>
      <c r="AQ155"/>
    </row>
    <row r="156" spans="2:43" s="30" customFormat="1" x14ac:dyDescent="0.15">
      <c r="B156" s="329" t="s">
        <v>514</v>
      </c>
      <c r="C156" s="161" t="s">
        <v>184</v>
      </c>
      <c r="D156" s="204" cm="1">
        <f t="array" ref="D156">SUM(SUMIFS('caseload data'!E:E,'caseload data'!$D:$D,"PO",'caseload data'!$A:$A,$B156,'caseload data'!$B:$B,{"licence","community"}))</f>
        <v>0</v>
      </c>
      <c r="E156" s="204" cm="1">
        <f t="array" ref="E156">SUM(SUMIFS('caseload data'!F:F,'caseload data'!$D:$D,"PO",'caseload data'!$A:$A,$B156,'caseload data'!$B:$B,{"licence","community"}))</f>
        <v>0</v>
      </c>
      <c r="F156" s="204" cm="1">
        <f t="array" ref="F156">SUM(SUMIFS('caseload data'!G:G,'caseload data'!$D:$D,"PO",'caseload data'!$A:$A,$B156,'caseload data'!$B:$B,{"licence","community"}))</f>
        <v>0</v>
      </c>
      <c r="G156" s="204" cm="1">
        <f t="array" ref="G156">SUM(SUMIFS('caseload data'!H:H,'caseload data'!$D:$D,"PO",'caseload data'!$A:$A,$B156,'caseload data'!$B:$B,{"licence","community"}))</f>
        <v>0</v>
      </c>
      <c r="H156" s="204" cm="1">
        <f t="array" ref="H156">SUM(SUMIFS('caseload data'!I:I,'caseload data'!$D:$D,"PO",'caseload data'!$A:$A,$B156,'caseload data'!$B:$B,{"licence","community"}))</f>
        <v>0</v>
      </c>
      <c r="I156" s="204" cm="1">
        <f t="array" ref="I156">SUM(SUMIFS('caseload data'!J:J,'caseload data'!$D:$D,"PO",'caseload data'!$A:$A,$B156,'caseload data'!$B:$B,{"licence","community"}))</f>
        <v>0</v>
      </c>
      <c r="J156" s="204" cm="1">
        <f t="array" ref="J156">SUM(SUMIFS('caseload data'!K:K,'caseload data'!$D:$D,"PO",'caseload data'!$A:$A,$B156,'caseload data'!$B:$B,{"licence","community"}))</f>
        <v>0</v>
      </c>
      <c r="K156" s="204" cm="1">
        <f t="array" ref="K156">SUM(SUMIFS('caseload data'!L:L,'caseload data'!$D:$D,"PO",'caseload data'!$A:$A,$B156,'caseload data'!$B:$B,{"licence","community"}))</f>
        <v>0</v>
      </c>
      <c r="L156" s="204" cm="1">
        <f t="array" ref="L156">SUM(SUMIFS('caseload data'!M:M,'caseload data'!$D:$D,"PO",'caseload data'!$A:$A,$B156,'caseload data'!$B:$B,{"licence","community"}))</f>
        <v>0</v>
      </c>
      <c r="M156" s="204" cm="1">
        <f t="array" ref="M156">SUM(SUMIFS('caseload data'!N:N,'caseload data'!$D:$D,"PO",'caseload data'!$A:$A,$B156,'caseload data'!$B:$B,{"licence","community"}))</f>
        <v>0</v>
      </c>
      <c r="N156" s="204" cm="1">
        <f t="array" ref="N156">SUM(SUMIFS('caseload data'!O:O,'caseload data'!$D:$D,"PO",'caseload data'!$A:$A,$B156,'caseload data'!$B:$B,{"licence","community"}))</f>
        <v>0</v>
      </c>
      <c r="O156" s="204" cm="1">
        <f t="array" ref="O156">SUM(SUMIFS('caseload data'!P:P,'caseload data'!$D:$D,"PO",'caseload data'!$A:$A,$B156,'caseload data'!$B:$B,{"licence","community"}))</f>
        <v>0</v>
      </c>
      <c r="P156" s="204" cm="1">
        <f t="array" ref="P156">SUM(SUMIFS('caseload data'!Q:Q,'caseload data'!$D:$D,"PO",'caseload data'!$A:$A,$B156,'caseload data'!$B:$B,{"licence","community"}))</f>
        <v>0</v>
      </c>
      <c r="Q156" s="204" cm="1">
        <f t="array" ref="Q156">SUM(SUMIFS('caseload data'!R:R,'caseload data'!$D:$D,"PO",'caseload data'!$A:$A,$B156,'caseload data'!$B:$B,{"licence","community"}))</f>
        <v>0</v>
      </c>
      <c r="R156" s="204" cm="1">
        <f t="array" ref="R156">SUM(SUMIFS('caseload data'!S:S,'caseload data'!$D:$D,"PO",'caseload data'!$A:$A,$B156,'caseload data'!$B:$B,{"licence","community"}))</f>
        <v>0</v>
      </c>
      <c r="S156" s="204" cm="1">
        <f t="array" ref="S156">SUM(SUMIFS('caseload data'!T:T,'caseload data'!$D:$D,"PO",'caseload data'!$A:$A,$B156,'caseload data'!$B:$B,{"licence","community"}))</f>
        <v>0</v>
      </c>
      <c r="T156" s="204" cm="1">
        <f t="array" ref="T156">SUM(SUMIFS('caseload data'!V:V,'caseload data'!$D:$D,"PO",'caseload data'!$A:$A,$B156,'caseload data'!$B:$B,{"licence","community"}))</f>
        <v>0</v>
      </c>
      <c r="U156" s="95"/>
      <c r="V156" s="95"/>
      <c r="W156" s="329" t="s">
        <v>514</v>
      </c>
      <c r="X156" s="161" t="s">
        <v>184</v>
      </c>
      <c r="Y156" s="209" t="e">
        <f>SUM(D156)/SUM(D$156:D$159)</f>
        <v>#DIV/0!</v>
      </c>
      <c r="Z156" s="209" t="e">
        <f t="shared" ref="Z156:AN159" si="44">SUM(E156)/SUM(E$156:E$159)</f>
        <v>#DIV/0!</v>
      </c>
      <c r="AA156" s="209" t="e">
        <f t="shared" si="44"/>
        <v>#DIV/0!</v>
      </c>
      <c r="AB156" s="209" t="e">
        <f t="shared" si="44"/>
        <v>#DIV/0!</v>
      </c>
      <c r="AC156" s="209" t="e">
        <f t="shared" si="44"/>
        <v>#DIV/0!</v>
      </c>
      <c r="AD156" s="209" t="e">
        <f t="shared" si="44"/>
        <v>#DIV/0!</v>
      </c>
      <c r="AE156" s="209" t="e">
        <f t="shared" si="44"/>
        <v>#DIV/0!</v>
      </c>
      <c r="AF156" s="209" t="e">
        <f t="shared" si="44"/>
        <v>#DIV/0!</v>
      </c>
      <c r="AG156" s="209" t="e">
        <f t="shared" si="44"/>
        <v>#DIV/0!</v>
      </c>
      <c r="AH156" s="209" t="e">
        <f t="shared" si="44"/>
        <v>#DIV/0!</v>
      </c>
      <c r="AI156" s="209" t="e">
        <f t="shared" si="44"/>
        <v>#DIV/0!</v>
      </c>
      <c r="AJ156" s="209" t="e">
        <f t="shared" si="44"/>
        <v>#DIV/0!</v>
      </c>
      <c r="AK156" s="209" t="e">
        <f t="shared" si="44"/>
        <v>#DIV/0!</v>
      </c>
      <c r="AL156" s="209" t="e">
        <f t="shared" si="44"/>
        <v>#DIV/0!</v>
      </c>
      <c r="AM156" s="209" t="e">
        <f t="shared" si="44"/>
        <v>#DIV/0!</v>
      </c>
      <c r="AN156" s="209" t="e">
        <f t="shared" si="44"/>
        <v>#DIV/0!</v>
      </c>
    </row>
    <row r="157" spans="2:43" s="30" customFormat="1" x14ac:dyDescent="0.15">
      <c r="B157" s="330"/>
      <c r="C157" s="162" t="s">
        <v>185</v>
      </c>
      <c r="D157" s="204" cm="1">
        <f t="array" ref="D157">SUM(SUMIFS('caseload data'!E:E,'caseload data'!$D:$D,"PSO",'caseload data'!$A:$A,$B156,'caseload data'!$B:$B,{"licence","community"}))</f>
        <v>0</v>
      </c>
      <c r="E157" s="204" cm="1">
        <f t="array" ref="E157">SUM(SUMIFS('caseload data'!F:F,'caseload data'!$D:$D,"PSO",'caseload data'!$A:$A,$B156,'caseload data'!$B:$B,{"licence","community"}))</f>
        <v>0</v>
      </c>
      <c r="F157" s="204" cm="1">
        <f t="array" ref="F157">SUM(SUMIFS('caseload data'!G:G,'caseload data'!$D:$D,"PSO",'caseload data'!$A:$A,$B156,'caseload data'!$B:$B,{"licence","community"}))</f>
        <v>0</v>
      </c>
      <c r="G157" s="204" cm="1">
        <f t="array" ref="G157">SUM(SUMIFS('caseload data'!H:H,'caseload data'!$D:$D,"PSO",'caseload data'!$A:$A,$B156,'caseload data'!$B:$B,{"licence","community"}))</f>
        <v>0</v>
      </c>
      <c r="H157" s="204" cm="1">
        <f t="array" ref="H157">SUM(SUMIFS('caseload data'!I:I,'caseload data'!$D:$D,"PSO",'caseload data'!$A:$A,$B156,'caseload data'!$B:$B,{"licence","community"}))</f>
        <v>0</v>
      </c>
      <c r="I157" s="204" cm="1">
        <f t="array" ref="I157">SUM(SUMIFS('caseload data'!J:J,'caseload data'!$D:$D,"PSO",'caseload data'!$A:$A,$B156,'caseload data'!$B:$B,{"licence","community"}))</f>
        <v>0</v>
      </c>
      <c r="J157" s="204" cm="1">
        <f t="array" ref="J157">SUM(SUMIFS('caseload data'!K:K,'caseload data'!$D:$D,"PSO",'caseload data'!$A:$A,$B156,'caseload data'!$B:$B,{"licence","community"}))</f>
        <v>0</v>
      </c>
      <c r="K157" s="204" cm="1">
        <f t="array" ref="K157">SUM(SUMIFS('caseload data'!L:L,'caseload data'!$D:$D,"PSO",'caseload data'!$A:$A,$B156,'caseload data'!$B:$B,{"licence","community"}))</f>
        <v>0</v>
      </c>
      <c r="L157" s="204" cm="1">
        <f t="array" ref="L157">SUM(SUMIFS('caseload data'!M:M,'caseload data'!$D:$D,"PSO",'caseload data'!$A:$A,$B156,'caseload data'!$B:$B,{"licence","community"}))</f>
        <v>0</v>
      </c>
      <c r="M157" s="204" cm="1">
        <f t="array" ref="M157">SUM(SUMIFS('caseload data'!N:N,'caseload data'!$D:$D,"PSO",'caseload data'!$A:$A,$B156,'caseload data'!$B:$B,{"licence","community"}))</f>
        <v>0</v>
      </c>
      <c r="N157" s="204" cm="1">
        <f t="array" ref="N157">SUM(SUMIFS('caseload data'!O:O,'caseload data'!$D:$D,"PSO",'caseload data'!$A:$A,$B156,'caseload data'!$B:$B,{"licence","community"}))</f>
        <v>0</v>
      </c>
      <c r="O157" s="204" cm="1">
        <f t="array" ref="O157">SUM(SUMIFS('caseload data'!P:P,'caseload data'!$D:$D,"PSO",'caseload data'!$A:$A,$B156,'caseload data'!$B:$B,{"licence","community"}))</f>
        <v>0</v>
      </c>
      <c r="P157" s="204" cm="1">
        <f t="array" ref="P157">SUM(SUMIFS('caseload data'!Q:Q,'caseload data'!$D:$D,"PSO",'caseload data'!$A:$A,$B156,'caseload data'!$B:$B,{"licence","community"}))</f>
        <v>0</v>
      </c>
      <c r="Q157" s="204" cm="1">
        <f t="array" ref="Q157">SUM(SUMIFS('caseload data'!R:R,'caseload data'!$D:$D,"PSO",'caseload data'!$A:$A,$B156,'caseload data'!$B:$B,{"licence","community"}))</f>
        <v>0</v>
      </c>
      <c r="R157" s="204" cm="1">
        <f t="array" ref="R157">SUM(SUMIFS('caseload data'!S:S,'caseload data'!$D:$D,"PSO",'caseload data'!$A:$A,$B156,'caseload data'!$B:$B,{"licence","community"}))</f>
        <v>0</v>
      </c>
      <c r="S157" s="204" cm="1">
        <f t="array" ref="S157">SUM(SUMIFS('caseload data'!T:T,'caseload data'!$D:$D,"PSO",'caseload data'!$A:$A,$B156,'caseload data'!$B:$B,{"licence","community"}))</f>
        <v>0</v>
      </c>
      <c r="T157" s="204" cm="1">
        <f t="array" ref="T157">SUM(SUMIFS('caseload data'!V:V,'caseload data'!$D:$D,"PSO",'caseload data'!$A:$A,$B156,'caseload data'!$B:$B,{"licence","community"}))</f>
        <v>0</v>
      </c>
      <c r="U157" s="95"/>
      <c r="V157" s="95"/>
      <c r="W157" s="330"/>
      <c r="X157" s="162" t="s">
        <v>185</v>
      </c>
      <c r="Y157" s="209" t="e">
        <f t="shared" ref="Y157:Y159" si="45">SUM(D157)/SUM(D$156:D$159)</f>
        <v>#DIV/0!</v>
      </c>
      <c r="Z157" s="209" t="e">
        <f t="shared" si="44"/>
        <v>#DIV/0!</v>
      </c>
      <c r="AA157" s="209" t="e">
        <f t="shared" si="44"/>
        <v>#DIV/0!</v>
      </c>
      <c r="AB157" s="209" t="e">
        <f t="shared" si="44"/>
        <v>#DIV/0!</v>
      </c>
      <c r="AC157" s="209" t="e">
        <f t="shared" si="44"/>
        <v>#DIV/0!</v>
      </c>
      <c r="AD157" s="209" t="e">
        <f t="shared" si="44"/>
        <v>#DIV/0!</v>
      </c>
      <c r="AE157" s="209" t="e">
        <f t="shared" si="44"/>
        <v>#DIV/0!</v>
      </c>
      <c r="AF157" s="209" t="e">
        <f t="shared" si="44"/>
        <v>#DIV/0!</v>
      </c>
      <c r="AG157" s="209" t="e">
        <f t="shared" si="44"/>
        <v>#DIV/0!</v>
      </c>
      <c r="AH157" s="209" t="e">
        <f t="shared" si="44"/>
        <v>#DIV/0!</v>
      </c>
      <c r="AI157" s="209" t="e">
        <f t="shared" si="44"/>
        <v>#DIV/0!</v>
      </c>
      <c r="AJ157" s="209" t="e">
        <f t="shared" si="44"/>
        <v>#DIV/0!</v>
      </c>
      <c r="AK157" s="209" t="e">
        <f t="shared" si="44"/>
        <v>#DIV/0!</v>
      </c>
      <c r="AL157" s="209" t="e">
        <f t="shared" si="44"/>
        <v>#DIV/0!</v>
      </c>
      <c r="AM157" s="209" t="e">
        <f t="shared" si="44"/>
        <v>#DIV/0!</v>
      </c>
      <c r="AN157" s="209" t="e">
        <f t="shared" si="44"/>
        <v>#DIV/0!</v>
      </c>
    </row>
    <row r="158" spans="2:43" s="30" customFormat="1" x14ac:dyDescent="0.15">
      <c r="B158" s="330"/>
      <c r="C158" s="162" t="s">
        <v>186</v>
      </c>
      <c r="D158" s="204" cm="1">
        <f t="array" ref="D158">SUM(SUMIFS('caseload data'!E:E,'caseload data'!$D:$D,"TPO",'caseload data'!$A:$A,$B156,'caseload data'!$B:$B,{"licence","community"}))</f>
        <v>0</v>
      </c>
      <c r="E158" s="204" cm="1">
        <f t="array" ref="E158">SUM(SUMIFS('caseload data'!F:F,'caseload data'!$D:$D,"TPO",'caseload data'!$A:$A,$B156,'caseload data'!$B:$B,{"licence","community"}))</f>
        <v>0</v>
      </c>
      <c r="F158" s="204" cm="1">
        <f t="array" ref="F158">SUM(SUMIFS('caseload data'!G:G,'caseload data'!$D:$D,"TPO",'caseload data'!$A:$A,$B156,'caseload data'!$B:$B,{"licence","community"}))</f>
        <v>0</v>
      </c>
      <c r="G158" s="204" cm="1">
        <f t="array" ref="G158">SUM(SUMIFS('caseload data'!H:H,'caseload data'!$D:$D,"TPO",'caseload data'!$A:$A,$B156,'caseload data'!$B:$B,{"licence","community"}))</f>
        <v>0</v>
      </c>
      <c r="H158" s="204" cm="1">
        <f t="array" ref="H158">SUM(SUMIFS('caseload data'!I:I,'caseload data'!$D:$D,"TPO",'caseload data'!$A:$A,$B156,'caseload data'!$B:$B,{"licence","community"}))</f>
        <v>0</v>
      </c>
      <c r="I158" s="204" cm="1">
        <f t="array" ref="I158">SUM(SUMIFS('caseload data'!J:J,'caseload data'!$D:$D,"TPO",'caseload data'!$A:$A,$B156,'caseload data'!$B:$B,{"licence","community"}))</f>
        <v>0</v>
      </c>
      <c r="J158" s="204" cm="1">
        <f t="array" ref="J158">SUM(SUMIFS('caseload data'!K:K,'caseload data'!$D:$D,"TPO",'caseload data'!$A:$A,$B156,'caseload data'!$B:$B,{"licence","community"}))</f>
        <v>0</v>
      </c>
      <c r="K158" s="204" cm="1">
        <f t="array" ref="K158">SUM(SUMIFS('caseload data'!L:L,'caseload data'!$D:$D,"TPO",'caseload data'!$A:$A,$B156,'caseload data'!$B:$B,{"licence","community"}))</f>
        <v>0</v>
      </c>
      <c r="L158" s="204" cm="1">
        <f t="array" ref="L158">SUM(SUMIFS('caseload data'!M:M,'caseload data'!$D:$D,"TPO",'caseload data'!$A:$A,$B156,'caseload data'!$B:$B,{"licence","community"}))</f>
        <v>0</v>
      </c>
      <c r="M158" s="204" cm="1">
        <f t="array" ref="M158">SUM(SUMIFS('caseload data'!N:N,'caseload data'!$D:$D,"TPO",'caseload data'!$A:$A,$B156,'caseload data'!$B:$B,{"licence","community"}))</f>
        <v>0</v>
      </c>
      <c r="N158" s="204" cm="1">
        <f t="array" ref="N158">SUM(SUMIFS('caseload data'!O:O,'caseload data'!$D:$D,"TPO",'caseload data'!$A:$A,$B156,'caseload data'!$B:$B,{"licence","community"}))</f>
        <v>0</v>
      </c>
      <c r="O158" s="204" cm="1">
        <f t="array" ref="O158">SUM(SUMIFS('caseload data'!P:P,'caseload data'!$D:$D,"TPO",'caseload data'!$A:$A,$B156,'caseload data'!$B:$B,{"licence","community"}))</f>
        <v>0</v>
      </c>
      <c r="P158" s="204" cm="1">
        <f t="array" ref="P158">SUM(SUMIFS('caseload data'!Q:Q,'caseload data'!$D:$D,"TPO",'caseload data'!$A:$A,$B156,'caseload data'!$B:$B,{"licence","community"}))</f>
        <v>0</v>
      </c>
      <c r="Q158" s="204" cm="1">
        <f t="array" ref="Q158">SUM(SUMIFS('caseload data'!R:R,'caseload data'!$D:$D,"TPO",'caseload data'!$A:$A,$B156,'caseload data'!$B:$B,{"licence","community"}))</f>
        <v>0</v>
      </c>
      <c r="R158" s="204" cm="1">
        <f t="array" ref="R158">SUM(SUMIFS('caseload data'!S:S,'caseload data'!$D:$D,"TPO",'caseload data'!$A:$A,$B156,'caseload data'!$B:$B,{"licence","community"}))</f>
        <v>0</v>
      </c>
      <c r="S158" s="204" cm="1">
        <f t="array" ref="S158">SUM(SUMIFS('caseload data'!T:T,'caseload data'!$D:$D,"TPO",'caseload data'!$A:$A,$B156,'caseload data'!$B:$B,{"licence","community"}))</f>
        <v>0</v>
      </c>
      <c r="T158" s="204" cm="1">
        <f t="array" ref="T158">SUM(SUMIFS('caseload data'!V:V,'caseload data'!$D:$D,"TPO",'caseload data'!$A:$A,$B156,'caseload data'!$B:$B,{"licence","community"}))</f>
        <v>0</v>
      </c>
      <c r="U158" s="95"/>
      <c r="V158" s="95"/>
      <c r="W158" s="330"/>
      <c r="X158" s="162" t="s">
        <v>186</v>
      </c>
      <c r="Y158" s="209" t="e">
        <f t="shared" si="45"/>
        <v>#DIV/0!</v>
      </c>
      <c r="Z158" s="209" t="e">
        <f t="shared" si="44"/>
        <v>#DIV/0!</v>
      </c>
      <c r="AA158" s="209" t="e">
        <f t="shared" si="44"/>
        <v>#DIV/0!</v>
      </c>
      <c r="AB158" s="209" t="e">
        <f t="shared" si="44"/>
        <v>#DIV/0!</v>
      </c>
      <c r="AC158" s="209" t="e">
        <f t="shared" si="44"/>
        <v>#DIV/0!</v>
      </c>
      <c r="AD158" s="209" t="e">
        <f t="shared" si="44"/>
        <v>#DIV/0!</v>
      </c>
      <c r="AE158" s="209" t="e">
        <f t="shared" si="44"/>
        <v>#DIV/0!</v>
      </c>
      <c r="AF158" s="209" t="e">
        <f t="shared" si="44"/>
        <v>#DIV/0!</v>
      </c>
      <c r="AG158" s="209" t="e">
        <f t="shared" si="44"/>
        <v>#DIV/0!</v>
      </c>
      <c r="AH158" s="209" t="e">
        <f t="shared" si="44"/>
        <v>#DIV/0!</v>
      </c>
      <c r="AI158" s="209" t="e">
        <f t="shared" si="44"/>
        <v>#DIV/0!</v>
      </c>
      <c r="AJ158" s="209" t="e">
        <f t="shared" si="44"/>
        <v>#DIV/0!</v>
      </c>
      <c r="AK158" s="209" t="e">
        <f t="shared" si="44"/>
        <v>#DIV/0!</v>
      </c>
      <c r="AL158" s="209" t="e">
        <f t="shared" si="44"/>
        <v>#DIV/0!</v>
      </c>
      <c r="AM158" s="209" t="e">
        <f t="shared" si="44"/>
        <v>#DIV/0!</v>
      </c>
      <c r="AN158" s="209" t="e">
        <f t="shared" si="44"/>
        <v>#DIV/0!</v>
      </c>
    </row>
    <row r="159" spans="2:43" s="30" customFormat="1" x14ac:dyDescent="0.15">
      <c r="B159" s="331"/>
      <c r="C159" s="163" t="s">
        <v>187</v>
      </c>
      <c r="D159" s="204" cm="1">
        <f t="array" ref="D159">SUM(SUMIFS('caseload data'!E:E,'caseload data'!$D:$D,"SPO",'caseload data'!$A:$A,$B156,'caseload data'!$B:$B,{"licence","community"}))</f>
        <v>0</v>
      </c>
      <c r="E159" s="204" cm="1">
        <f t="array" ref="E159">SUM(SUMIFS('caseload data'!F:F,'caseload data'!$D:$D,"SPO",'caseload data'!$A:$A,$B156,'caseload data'!$B:$B,{"licence","community"}))</f>
        <v>0</v>
      </c>
      <c r="F159" s="204" cm="1">
        <f t="array" ref="F159">SUM(SUMIFS('caseload data'!G:G,'caseload data'!$D:$D,"SPO",'caseload data'!$A:$A,$B156,'caseload data'!$B:$B,{"licence","community"}))</f>
        <v>0</v>
      </c>
      <c r="G159" s="204" cm="1">
        <f t="array" ref="G159">SUM(SUMIFS('caseload data'!H:H,'caseload data'!$D:$D,"SPO",'caseload data'!$A:$A,$B156,'caseload data'!$B:$B,{"licence","community"}))</f>
        <v>0</v>
      </c>
      <c r="H159" s="204" cm="1">
        <f t="array" ref="H159">SUM(SUMIFS('caseload data'!I:I,'caseload data'!$D:$D,"SPO",'caseload data'!$A:$A,$B156,'caseload data'!$B:$B,{"licence","community"}))</f>
        <v>0</v>
      </c>
      <c r="I159" s="204" cm="1">
        <f t="array" ref="I159">SUM(SUMIFS('caseload data'!J:J,'caseload data'!$D:$D,"SPO",'caseload data'!$A:$A,$B156,'caseload data'!$B:$B,{"licence","community"}))</f>
        <v>0</v>
      </c>
      <c r="J159" s="204" cm="1">
        <f t="array" ref="J159">SUM(SUMIFS('caseload data'!K:K,'caseload data'!$D:$D,"SPO",'caseload data'!$A:$A,$B156,'caseload data'!$B:$B,{"licence","community"}))</f>
        <v>0</v>
      </c>
      <c r="K159" s="204" cm="1">
        <f t="array" ref="K159">SUM(SUMIFS('caseload data'!L:L,'caseload data'!$D:$D,"SPO",'caseload data'!$A:$A,$B156,'caseload data'!$B:$B,{"licence","community"}))</f>
        <v>0</v>
      </c>
      <c r="L159" s="204" cm="1">
        <f t="array" ref="L159">SUM(SUMIFS('caseload data'!M:M,'caseload data'!$D:$D,"SPO",'caseload data'!$A:$A,$B156,'caseload data'!$B:$B,{"licence","community"}))</f>
        <v>0</v>
      </c>
      <c r="M159" s="204" cm="1">
        <f t="array" ref="M159">SUM(SUMIFS('caseload data'!N:N,'caseload data'!$D:$D,"SPO",'caseload data'!$A:$A,$B156,'caseload data'!$B:$B,{"licence","community"}))</f>
        <v>0</v>
      </c>
      <c r="N159" s="204" cm="1">
        <f t="array" ref="N159">SUM(SUMIFS('caseload data'!O:O,'caseload data'!$D:$D,"SPO",'caseload data'!$A:$A,$B156,'caseload data'!$B:$B,{"licence","community"}))</f>
        <v>0</v>
      </c>
      <c r="O159" s="204" cm="1">
        <f t="array" ref="O159">SUM(SUMIFS('caseload data'!P:P,'caseload data'!$D:$D,"SPO",'caseload data'!$A:$A,$B156,'caseload data'!$B:$B,{"licence","community"}))</f>
        <v>0</v>
      </c>
      <c r="P159" s="204" cm="1">
        <f t="array" ref="P159">SUM(SUMIFS('caseload data'!Q:Q,'caseload data'!$D:$D,"SPO",'caseload data'!$A:$A,$B156,'caseload data'!$B:$B,{"licence","community"}))</f>
        <v>0</v>
      </c>
      <c r="Q159" s="204" cm="1">
        <f t="array" ref="Q159">SUM(SUMIFS('caseload data'!R:R,'caseload data'!$D:$D,"SPO",'caseload data'!$A:$A,$B156,'caseload data'!$B:$B,{"licence","community"}))</f>
        <v>0</v>
      </c>
      <c r="R159" s="204" cm="1">
        <f t="array" ref="R159">SUM(SUMIFS('caseload data'!S:S,'caseload data'!$D:$D,"SPO",'caseload data'!$A:$A,$B156,'caseload data'!$B:$B,{"licence","community"}))</f>
        <v>0</v>
      </c>
      <c r="S159" s="204" cm="1">
        <f t="array" ref="S159">SUM(SUMIFS('caseload data'!T:T,'caseload data'!$D:$D,"SPO",'caseload data'!$A:$A,$B156,'caseload data'!$B:$B,{"licence","community"}))</f>
        <v>0</v>
      </c>
      <c r="T159" s="204" cm="1">
        <f t="array" ref="T159">SUM(SUMIFS('caseload data'!V:V,'caseload data'!$D:$D,"SPO",'caseload data'!$A:$A,$B156,'caseload data'!$B:$B,{"licence","community"}))</f>
        <v>0</v>
      </c>
      <c r="U159" s="95"/>
      <c r="V159" s="95"/>
      <c r="W159" s="331"/>
      <c r="X159" s="163" t="s">
        <v>187</v>
      </c>
      <c r="Y159" s="209" t="e">
        <f t="shared" si="45"/>
        <v>#DIV/0!</v>
      </c>
      <c r="Z159" s="209" t="e">
        <f t="shared" si="44"/>
        <v>#DIV/0!</v>
      </c>
      <c r="AA159" s="209" t="e">
        <f t="shared" si="44"/>
        <v>#DIV/0!</v>
      </c>
      <c r="AB159" s="209" t="e">
        <f t="shared" si="44"/>
        <v>#DIV/0!</v>
      </c>
      <c r="AC159" s="209" t="e">
        <f t="shared" si="44"/>
        <v>#DIV/0!</v>
      </c>
      <c r="AD159" s="209" t="e">
        <f t="shared" si="44"/>
        <v>#DIV/0!</v>
      </c>
      <c r="AE159" s="209" t="e">
        <f t="shared" si="44"/>
        <v>#DIV/0!</v>
      </c>
      <c r="AF159" s="209" t="e">
        <f t="shared" si="44"/>
        <v>#DIV/0!</v>
      </c>
      <c r="AG159" s="209" t="e">
        <f t="shared" si="44"/>
        <v>#DIV/0!</v>
      </c>
      <c r="AH159" s="209" t="e">
        <f t="shared" si="44"/>
        <v>#DIV/0!</v>
      </c>
      <c r="AI159" s="209" t="e">
        <f t="shared" si="44"/>
        <v>#DIV/0!</v>
      </c>
      <c r="AJ159" s="209" t="e">
        <f t="shared" si="44"/>
        <v>#DIV/0!</v>
      </c>
      <c r="AK159" s="209" t="e">
        <f t="shared" si="44"/>
        <v>#DIV/0!</v>
      </c>
      <c r="AL159" s="209" t="e">
        <f t="shared" si="44"/>
        <v>#DIV/0!</v>
      </c>
      <c r="AM159" s="209" t="e">
        <f t="shared" si="44"/>
        <v>#DIV/0!</v>
      </c>
      <c r="AN159" s="209" t="e">
        <f t="shared" si="44"/>
        <v>#DIV/0!</v>
      </c>
    </row>
    <row r="160" spans="2:43" s="30" customFormat="1" x14ac:dyDescent="0.15">
      <c r="B160" s="329" t="s">
        <v>515</v>
      </c>
      <c r="C160" s="161" t="s">
        <v>184</v>
      </c>
      <c r="D160" s="204" cm="1">
        <f t="array" ref="D160">SUM(SUMIFS('caseload data'!E:E,'caseload data'!$D:$D,"PO",'caseload data'!$A:$A,$B160,'caseload data'!$B:$B,{"licence","community"}))</f>
        <v>0</v>
      </c>
      <c r="E160" s="204" cm="1">
        <f t="array" ref="E160">SUM(SUMIFS('caseload data'!F:F,'caseload data'!$D:$D,"PO",'caseload data'!$A:$A,$B160,'caseload data'!$B:$B,{"licence","community"}))</f>
        <v>0</v>
      </c>
      <c r="F160" s="204" cm="1">
        <f t="array" ref="F160">SUM(SUMIFS('caseload data'!G:G,'caseload data'!$D:$D,"PO",'caseload data'!$A:$A,$B160,'caseload data'!$B:$B,{"licence","community"}))</f>
        <v>0</v>
      </c>
      <c r="G160" s="204" cm="1">
        <f t="array" ref="G160">SUM(SUMIFS('caseload data'!H:H,'caseload data'!$D:$D,"PO",'caseload data'!$A:$A,$B160,'caseload data'!$B:$B,{"licence","community"}))</f>
        <v>0</v>
      </c>
      <c r="H160" s="204" cm="1">
        <f t="array" ref="H160">SUM(SUMIFS('caseload data'!I:I,'caseload data'!$D:$D,"PO",'caseload data'!$A:$A,$B160,'caseload data'!$B:$B,{"licence","community"}))</f>
        <v>0</v>
      </c>
      <c r="I160" s="204" cm="1">
        <f t="array" ref="I160">SUM(SUMIFS('caseload data'!J:J,'caseload data'!$D:$D,"PO",'caseload data'!$A:$A,$B160,'caseload data'!$B:$B,{"licence","community"}))</f>
        <v>0</v>
      </c>
      <c r="J160" s="204" cm="1">
        <f t="array" ref="J160">SUM(SUMIFS('caseload data'!K:K,'caseload data'!$D:$D,"PO",'caseload data'!$A:$A,$B160,'caseload data'!$B:$B,{"licence","community"}))</f>
        <v>0</v>
      </c>
      <c r="K160" s="204" cm="1">
        <f t="array" ref="K160">SUM(SUMIFS('caseload data'!L:L,'caseload data'!$D:$D,"PO",'caseload data'!$A:$A,$B160,'caseload data'!$B:$B,{"licence","community"}))</f>
        <v>0</v>
      </c>
      <c r="L160" s="204" cm="1">
        <f t="array" ref="L160">SUM(SUMIFS('caseload data'!M:M,'caseload data'!$D:$D,"PO",'caseload data'!$A:$A,$B160,'caseload data'!$B:$B,{"licence","community"}))</f>
        <v>0</v>
      </c>
      <c r="M160" s="204" cm="1">
        <f t="array" ref="M160">SUM(SUMIFS('caseload data'!N:N,'caseload data'!$D:$D,"PO",'caseload data'!$A:$A,$B160,'caseload data'!$B:$B,{"licence","community"}))</f>
        <v>0</v>
      </c>
      <c r="N160" s="204" cm="1">
        <f t="array" ref="N160">SUM(SUMIFS('caseload data'!O:O,'caseload data'!$D:$D,"PO",'caseload data'!$A:$A,$B160,'caseload data'!$B:$B,{"licence","community"}))</f>
        <v>0</v>
      </c>
      <c r="O160" s="204" cm="1">
        <f t="array" ref="O160">SUM(SUMIFS('caseload data'!P:P,'caseload data'!$D:$D,"PO",'caseload data'!$A:$A,$B160,'caseload data'!$B:$B,{"licence","community"}))</f>
        <v>0</v>
      </c>
      <c r="P160" s="204" cm="1">
        <f t="array" ref="P160">SUM(SUMIFS('caseload data'!Q:Q,'caseload data'!$D:$D,"PO",'caseload data'!$A:$A,$B160,'caseload data'!$B:$B,{"licence","community"}))</f>
        <v>0</v>
      </c>
      <c r="Q160" s="204" cm="1">
        <f t="array" ref="Q160">SUM(SUMIFS('caseload data'!R:R,'caseload data'!$D:$D,"PO",'caseload data'!$A:$A,$B160,'caseload data'!$B:$B,{"licence","community"}))</f>
        <v>0</v>
      </c>
      <c r="R160" s="204" cm="1">
        <f t="array" ref="R160">SUM(SUMIFS('caseload data'!S:S,'caseload data'!$D:$D,"PO",'caseload data'!$A:$A,$B160,'caseload data'!$B:$B,{"licence","community"}))</f>
        <v>0</v>
      </c>
      <c r="S160" s="204" cm="1">
        <f t="array" ref="S160">SUM(SUMIFS('caseload data'!T:T,'caseload data'!$D:$D,"PO",'caseload data'!$A:$A,$B160,'caseload data'!$B:$B,{"licence","community"}))</f>
        <v>0</v>
      </c>
      <c r="T160" s="204" cm="1">
        <f t="array" ref="T160">SUM(SUMIFS('caseload data'!V:V,'caseload data'!$D:$D,"PO",'caseload data'!$A:$A,$B160,'caseload data'!$B:$B,{"licence","community"}))</f>
        <v>0</v>
      </c>
      <c r="U160" s="95"/>
      <c r="V160" s="95"/>
      <c r="W160" s="329" t="s">
        <v>515</v>
      </c>
      <c r="X160" s="161" t="s">
        <v>184</v>
      </c>
      <c r="Y160" s="209" t="e">
        <f>SUM(D160)/SUM(D$160:D$163)</f>
        <v>#DIV/0!</v>
      </c>
      <c r="Z160" s="209" t="e">
        <f t="shared" ref="Z160:AN163" si="46">SUM(E160)/SUM(E$160:E$163)</f>
        <v>#DIV/0!</v>
      </c>
      <c r="AA160" s="209" t="e">
        <f t="shared" si="46"/>
        <v>#DIV/0!</v>
      </c>
      <c r="AB160" s="209" t="e">
        <f t="shared" si="46"/>
        <v>#DIV/0!</v>
      </c>
      <c r="AC160" s="209" t="e">
        <f t="shared" si="46"/>
        <v>#DIV/0!</v>
      </c>
      <c r="AD160" s="209" t="e">
        <f t="shared" si="46"/>
        <v>#DIV/0!</v>
      </c>
      <c r="AE160" s="209" t="e">
        <f t="shared" si="46"/>
        <v>#DIV/0!</v>
      </c>
      <c r="AF160" s="209" t="e">
        <f t="shared" si="46"/>
        <v>#DIV/0!</v>
      </c>
      <c r="AG160" s="209" t="e">
        <f t="shared" si="46"/>
        <v>#DIV/0!</v>
      </c>
      <c r="AH160" s="209" t="e">
        <f t="shared" si="46"/>
        <v>#DIV/0!</v>
      </c>
      <c r="AI160" s="209" t="e">
        <f t="shared" si="46"/>
        <v>#DIV/0!</v>
      </c>
      <c r="AJ160" s="209" t="e">
        <f t="shared" si="46"/>
        <v>#DIV/0!</v>
      </c>
      <c r="AK160" s="209" t="e">
        <f t="shared" si="46"/>
        <v>#DIV/0!</v>
      </c>
      <c r="AL160" s="209" t="e">
        <f t="shared" si="46"/>
        <v>#DIV/0!</v>
      </c>
      <c r="AM160" s="209" t="e">
        <f t="shared" si="46"/>
        <v>#DIV/0!</v>
      </c>
      <c r="AN160" s="209" t="e">
        <f t="shared" si="46"/>
        <v>#DIV/0!</v>
      </c>
    </row>
    <row r="161" spans="2:40" s="30" customFormat="1" x14ac:dyDescent="0.15">
      <c r="B161" s="330"/>
      <c r="C161" s="162" t="s">
        <v>185</v>
      </c>
      <c r="D161" s="204" cm="1">
        <f t="array" ref="D161">SUM(SUMIFS('caseload data'!E:E,'caseload data'!$D:$D,"PSO",'caseload data'!$A:$A,$B160,'caseload data'!$B:$B,{"licence","community"}))</f>
        <v>0</v>
      </c>
      <c r="E161" s="204" cm="1">
        <f t="array" ref="E161">SUM(SUMIFS('caseload data'!F:F,'caseload data'!$D:$D,"PSO",'caseload data'!$A:$A,$B160,'caseload data'!$B:$B,{"licence","community"}))</f>
        <v>0</v>
      </c>
      <c r="F161" s="204" cm="1">
        <f t="array" ref="F161">SUM(SUMIFS('caseload data'!G:G,'caseload data'!$D:$D,"PSO",'caseload data'!$A:$A,$B160,'caseload data'!$B:$B,{"licence","community"}))</f>
        <v>0</v>
      </c>
      <c r="G161" s="204" cm="1">
        <f t="array" ref="G161">SUM(SUMIFS('caseload data'!H:H,'caseload data'!$D:$D,"PSO",'caseload data'!$A:$A,$B160,'caseload data'!$B:$B,{"licence","community"}))</f>
        <v>0</v>
      </c>
      <c r="H161" s="204" cm="1">
        <f t="array" ref="H161">SUM(SUMIFS('caseload data'!I:I,'caseload data'!$D:$D,"PSO",'caseload data'!$A:$A,$B160,'caseload data'!$B:$B,{"licence","community"}))</f>
        <v>0</v>
      </c>
      <c r="I161" s="204" cm="1">
        <f t="array" ref="I161">SUM(SUMIFS('caseload data'!J:J,'caseload data'!$D:$D,"PSO",'caseload data'!$A:$A,$B160,'caseload data'!$B:$B,{"licence","community"}))</f>
        <v>0</v>
      </c>
      <c r="J161" s="204" cm="1">
        <f t="array" ref="J161">SUM(SUMIFS('caseload data'!K:K,'caseload data'!$D:$D,"PSO",'caseload data'!$A:$A,$B160,'caseload data'!$B:$B,{"licence","community"}))</f>
        <v>0</v>
      </c>
      <c r="K161" s="204" cm="1">
        <f t="array" ref="K161">SUM(SUMIFS('caseload data'!L:L,'caseload data'!$D:$D,"PSO",'caseload data'!$A:$A,$B160,'caseload data'!$B:$B,{"licence","community"}))</f>
        <v>0</v>
      </c>
      <c r="L161" s="204" cm="1">
        <f t="array" ref="L161">SUM(SUMIFS('caseload data'!M:M,'caseload data'!$D:$D,"PSO",'caseload data'!$A:$A,$B160,'caseload data'!$B:$B,{"licence","community"}))</f>
        <v>0</v>
      </c>
      <c r="M161" s="204" cm="1">
        <f t="array" ref="M161">SUM(SUMIFS('caseload data'!N:N,'caseload data'!$D:$D,"PSO",'caseload data'!$A:$A,$B160,'caseload data'!$B:$B,{"licence","community"}))</f>
        <v>0</v>
      </c>
      <c r="N161" s="204" cm="1">
        <f t="array" ref="N161">SUM(SUMIFS('caseload data'!O:O,'caseload data'!$D:$D,"PSO",'caseload data'!$A:$A,$B160,'caseload data'!$B:$B,{"licence","community"}))</f>
        <v>0</v>
      </c>
      <c r="O161" s="204" cm="1">
        <f t="array" ref="O161">SUM(SUMIFS('caseload data'!P:P,'caseload data'!$D:$D,"PSO",'caseload data'!$A:$A,$B160,'caseload data'!$B:$B,{"licence","community"}))</f>
        <v>0</v>
      </c>
      <c r="P161" s="204" cm="1">
        <f t="array" ref="P161">SUM(SUMIFS('caseload data'!Q:Q,'caseload data'!$D:$D,"PSO",'caseload data'!$A:$A,$B160,'caseload data'!$B:$B,{"licence","community"}))</f>
        <v>0</v>
      </c>
      <c r="Q161" s="204" cm="1">
        <f t="array" ref="Q161">SUM(SUMIFS('caseload data'!R:R,'caseload data'!$D:$D,"PSO",'caseload data'!$A:$A,$B160,'caseload data'!$B:$B,{"licence","community"}))</f>
        <v>0</v>
      </c>
      <c r="R161" s="204" cm="1">
        <f t="array" ref="R161">SUM(SUMIFS('caseload data'!S:S,'caseload data'!$D:$D,"PSO",'caseload data'!$A:$A,$B160,'caseload data'!$B:$B,{"licence","community"}))</f>
        <v>0</v>
      </c>
      <c r="S161" s="204" cm="1">
        <f t="array" ref="S161">SUM(SUMIFS('caseload data'!T:T,'caseload data'!$D:$D,"PSO",'caseload data'!$A:$A,$B160,'caseload data'!$B:$B,{"licence","community"}))</f>
        <v>0</v>
      </c>
      <c r="T161" s="204" cm="1">
        <f t="array" ref="T161">SUM(SUMIFS('caseload data'!V:V,'caseload data'!$D:$D,"PSO",'caseload data'!$A:$A,$B160,'caseload data'!$B:$B,{"licence","community"}))</f>
        <v>0</v>
      </c>
      <c r="U161" s="95"/>
      <c r="V161" s="95"/>
      <c r="W161" s="330"/>
      <c r="X161" s="162" t="s">
        <v>185</v>
      </c>
      <c r="Y161" s="209" t="e">
        <f t="shared" ref="Y161:Y163" si="47">SUM(D161)/SUM(D$160:D$163)</f>
        <v>#DIV/0!</v>
      </c>
      <c r="Z161" s="209" t="e">
        <f t="shared" si="46"/>
        <v>#DIV/0!</v>
      </c>
      <c r="AA161" s="209" t="e">
        <f t="shared" si="46"/>
        <v>#DIV/0!</v>
      </c>
      <c r="AB161" s="209" t="e">
        <f t="shared" si="46"/>
        <v>#DIV/0!</v>
      </c>
      <c r="AC161" s="209" t="e">
        <f t="shared" si="46"/>
        <v>#DIV/0!</v>
      </c>
      <c r="AD161" s="209" t="e">
        <f t="shared" si="46"/>
        <v>#DIV/0!</v>
      </c>
      <c r="AE161" s="209" t="e">
        <f t="shared" si="46"/>
        <v>#DIV/0!</v>
      </c>
      <c r="AF161" s="209" t="e">
        <f t="shared" si="46"/>
        <v>#DIV/0!</v>
      </c>
      <c r="AG161" s="209" t="e">
        <f t="shared" si="46"/>
        <v>#DIV/0!</v>
      </c>
      <c r="AH161" s="209" t="e">
        <f t="shared" si="46"/>
        <v>#DIV/0!</v>
      </c>
      <c r="AI161" s="209" t="e">
        <f t="shared" si="46"/>
        <v>#DIV/0!</v>
      </c>
      <c r="AJ161" s="209" t="e">
        <f t="shared" si="46"/>
        <v>#DIV/0!</v>
      </c>
      <c r="AK161" s="209" t="e">
        <f t="shared" si="46"/>
        <v>#DIV/0!</v>
      </c>
      <c r="AL161" s="209" t="e">
        <f t="shared" si="46"/>
        <v>#DIV/0!</v>
      </c>
      <c r="AM161" s="209" t="e">
        <f t="shared" si="46"/>
        <v>#DIV/0!</v>
      </c>
      <c r="AN161" s="209" t="e">
        <f t="shared" si="46"/>
        <v>#DIV/0!</v>
      </c>
    </row>
    <row r="162" spans="2:40" s="30" customFormat="1" x14ac:dyDescent="0.15">
      <c r="B162" s="330"/>
      <c r="C162" s="162" t="s">
        <v>186</v>
      </c>
      <c r="D162" s="204" cm="1">
        <f t="array" ref="D162">SUM(SUMIFS('caseload data'!E:E,'caseload data'!$D:$D,"TPO",'caseload data'!$A:$A,$B160,'caseload data'!$B:$B,{"licence","community"}))</f>
        <v>0</v>
      </c>
      <c r="E162" s="204" cm="1">
        <f t="array" ref="E162">SUM(SUMIFS('caseload data'!F:F,'caseload data'!$D:$D,"TPO",'caseload data'!$A:$A,$B160,'caseload data'!$B:$B,{"licence","community"}))</f>
        <v>0</v>
      </c>
      <c r="F162" s="204" cm="1">
        <f t="array" ref="F162">SUM(SUMIFS('caseload data'!G:G,'caseload data'!$D:$D,"TPO",'caseload data'!$A:$A,$B160,'caseload data'!$B:$B,{"licence","community"}))</f>
        <v>0</v>
      </c>
      <c r="G162" s="204" cm="1">
        <f t="array" ref="G162">SUM(SUMIFS('caseload data'!H:H,'caseload data'!$D:$D,"TPO",'caseload data'!$A:$A,$B160,'caseload data'!$B:$B,{"licence","community"}))</f>
        <v>0</v>
      </c>
      <c r="H162" s="204" cm="1">
        <f t="array" ref="H162">SUM(SUMIFS('caseload data'!I:I,'caseload data'!$D:$D,"TPO",'caseload data'!$A:$A,$B160,'caseload data'!$B:$B,{"licence","community"}))</f>
        <v>0</v>
      </c>
      <c r="I162" s="204" cm="1">
        <f t="array" ref="I162">SUM(SUMIFS('caseload data'!J:J,'caseload data'!$D:$D,"TPO",'caseload data'!$A:$A,$B160,'caseload data'!$B:$B,{"licence","community"}))</f>
        <v>0</v>
      </c>
      <c r="J162" s="204" cm="1">
        <f t="array" ref="J162">SUM(SUMIFS('caseload data'!K:K,'caseload data'!$D:$D,"TPO",'caseload data'!$A:$A,$B160,'caseload data'!$B:$B,{"licence","community"}))</f>
        <v>0</v>
      </c>
      <c r="K162" s="204" cm="1">
        <f t="array" ref="K162">SUM(SUMIFS('caseload data'!L:L,'caseload data'!$D:$D,"TPO",'caseload data'!$A:$A,$B160,'caseload data'!$B:$B,{"licence","community"}))</f>
        <v>0</v>
      </c>
      <c r="L162" s="204" cm="1">
        <f t="array" ref="L162">SUM(SUMIFS('caseload data'!M:M,'caseload data'!$D:$D,"TPO",'caseload data'!$A:$A,$B160,'caseload data'!$B:$B,{"licence","community"}))</f>
        <v>0</v>
      </c>
      <c r="M162" s="204" cm="1">
        <f t="array" ref="M162">SUM(SUMIFS('caseload data'!N:N,'caseload data'!$D:$D,"TPO",'caseload data'!$A:$A,$B160,'caseload data'!$B:$B,{"licence","community"}))</f>
        <v>0</v>
      </c>
      <c r="N162" s="204" cm="1">
        <f t="array" ref="N162">SUM(SUMIFS('caseload data'!O:O,'caseload data'!$D:$D,"TPO",'caseload data'!$A:$A,$B160,'caseload data'!$B:$B,{"licence","community"}))</f>
        <v>0</v>
      </c>
      <c r="O162" s="204" cm="1">
        <f t="array" ref="O162">SUM(SUMIFS('caseload data'!P:P,'caseload data'!$D:$D,"TPO",'caseload data'!$A:$A,$B160,'caseload data'!$B:$B,{"licence","community"}))</f>
        <v>0</v>
      </c>
      <c r="P162" s="204" cm="1">
        <f t="array" ref="P162">SUM(SUMIFS('caseload data'!Q:Q,'caseload data'!$D:$D,"TPO",'caseload data'!$A:$A,$B160,'caseload data'!$B:$B,{"licence","community"}))</f>
        <v>0</v>
      </c>
      <c r="Q162" s="204" cm="1">
        <f t="array" ref="Q162">SUM(SUMIFS('caseload data'!R:R,'caseload data'!$D:$D,"TPO",'caseload data'!$A:$A,$B160,'caseload data'!$B:$B,{"licence","community"}))</f>
        <v>0</v>
      </c>
      <c r="R162" s="204" cm="1">
        <f t="array" ref="R162">SUM(SUMIFS('caseload data'!S:S,'caseload data'!$D:$D,"TPO",'caseload data'!$A:$A,$B160,'caseload data'!$B:$B,{"licence","community"}))</f>
        <v>0</v>
      </c>
      <c r="S162" s="204" cm="1">
        <f t="array" ref="S162">SUM(SUMIFS('caseload data'!T:T,'caseload data'!$D:$D,"TPO",'caseload data'!$A:$A,$B160,'caseload data'!$B:$B,{"licence","community"}))</f>
        <v>0</v>
      </c>
      <c r="T162" s="204" cm="1">
        <f t="array" ref="T162">SUM(SUMIFS('caseload data'!V:V,'caseload data'!$D:$D,"TPO",'caseload data'!$A:$A,$B160,'caseload data'!$B:$B,{"licence","community"}))</f>
        <v>0</v>
      </c>
      <c r="U162" s="95"/>
      <c r="V162" s="95"/>
      <c r="W162" s="330"/>
      <c r="X162" s="162" t="s">
        <v>186</v>
      </c>
      <c r="Y162" s="209" t="e">
        <f t="shared" si="47"/>
        <v>#DIV/0!</v>
      </c>
      <c r="Z162" s="209" t="e">
        <f t="shared" si="46"/>
        <v>#DIV/0!</v>
      </c>
      <c r="AA162" s="209" t="e">
        <f t="shared" si="46"/>
        <v>#DIV/0!</v>
      </c>
      <c r="AB162" s="209" t="e">
        <f t="shared" si="46"/>
        <v>#DIV/0!</v>
      </c>
      <c r="AC162" s="209" t="e">
        <f t="shared" si="46"/>
        <v>#DIV/0!</v>
      </c>
      <c r="AD162" s="209" t="e">
        <f t="shared" si="46"/>
        <v>#DIV/0!</v>
      </c>
      <c r="AE162" s="209" t="e">
        <f t="shared" si="46"/>
        <v>#DIV/0!</v>
      </c>
      <c r="AF162" s="209" t="e">
        <f t="shared" si="46"/>
        <v>#DIV/0!</v>
      </c>
      <c r="AG162" s="209" t="e">
        <f t="shared" si="46"/>
        <v>#DIV/0!</v>
      </c>
      <c r="AH162" s="209" t="e">
        <f t="shared" si="46"/>
        <v>#DIV/0!</v>
      </c>
      <c r="AI162" s="209" t="e">
        <f t="shared" si="46"/>
        <v>#DIV/0!</v>
      </c>
      <c r="AJ162" s="209" t="e">
        <f t="shared" si="46"/>
        <v>#DIV/0!</v>
      </c>
      <c r="AK162" s="209" t="e">
        <f t="shared" si="46"/>
        <v>#DIV/0!</v>
      </c>
      <c r="AL162" s="209" t="e">
        <f t="shared" si="46"/>
        <v>#DIV/0!</v>
      </c>
      <c r="AM162" s="209" t="e">
        <f t="shared" si="46"/>
        <v>#DIV/0!</v>
      </c>
      <c r="AN162" s="209" t="e">
        <f t="shared" si="46"/>
        <v>#DIV/0!</v>
      </c>
    </row>
    <row r="163" spans="2:40" s="30" customFormat="1" x14ac:dyDescent="0.15">
      <c r="B163" s="331"/>
      <c r="C163" s="163" t="s">
        <v>187</v>
      </c>
      <c r="D163" s="204" cm="1">
        <f t="array" ref="D163">SUM(SUMIFS('caseload data'!E:E,'caseload data'!$D:$D,"SPO",'caseload data'!$A:$A,$B160,'caseload data'!$B:$B,{"licence","community"}))</f>
        <v>0</v>
      </c>
      <c r="E163" s="204" cm="1">
        <f t="array" ref="E163">SUM(SUMIFS('caseload data'!F:F,'caseload data'!$D:$D,"SPO",'caseload data'!$A:$A,$B160,'caseload data'!$B:$B,{"licence","community"}))</f>
        <v>0</v>
      </c>
      <c r="F163" s="204" cm="1">
        <f t="array" ref="F163">SUM(SUMIFS('caseload data'!G:G,'caseload data'!$D:$D,"SPO",'caseload data'!$A:$A,$B160,'caseload data'!$B:$B,{"licence","community"}))</f>
        <v>0</v>
      </c>
      <c r="G163" s="204" cm="1">
        <f t="array" ref="G163">SUM(SUMIFS('caseload data'!H:H,'caseload data'!$D:$D,"SPO",'caseload data'!$A:$A,$B160,'caseload data'!$B:$B,{"licence","community"}))</f>
        <v>0</v>
      </c>
      <c r="H163" s="204" cm="1">
        <f t="array" ref="H163">SUM(SUMIFS('caseload data'!I:I,'caseload data'!$D:$D,"SPO",'caseload data'!$A:$A,$B160,'caseload data'!$B:$B,{"licence","community"}))</f>
        <v>0</v>
      </c>
      <c r="I163" s="204" cm="1">
        <f t="array" ref="I163">SUM(SUMIFS('caseload data'!J:J,'caseload data'!$D:$D,"SPO",'caseload data'!$A:$A,$B160,'caseload data'!$B:$B,{"licence","community"}))</f>
        <v>0</v>
      </c>
      <c r="J163" s="204" cm="1">
        <f t="array" ref="J163">SUM(SUMIFS('caseload data'!K:K,'caseload data'!$D:$D,"SPO",'caseload data'!$A:$A,$B160,'caseload data'!$B:$B,{"licence","community"}))</f>
        <v>0</v>
      </c>
      <c r="K163" s="204" cm="1">
        <f t="array" ref="K163">SUM(SUMIFS('caseload data'!L:L,'caseload data'!$D:$D,"SPO",'caseload data'!$A:$A,$B160,'caseload data'!$B:$B,{"licence","community"}))</f>
        <v>0</v>
      </c>
      <c r="L163" s="204" cm="1">
        <f t="array" ref="L163">SUM(SUMIFS('caseload data'!M:M,'caseload data'!$D:$D,"SPO",'caseload data'!$A:$A,$B160,'caseload data'!$B:$B,{"licence","community"}))</f>
        <v>0</v>
      </c>
      <c r="M163" s="204" cm="1">
        <f t="array" ref="M163">SUM(SUMIFS('caseload data'!N:N,'caseload data'!$D:$D,"SPO",'caseload data'!$A:$A,$B160,'caseload data'!$B:$B,{"licence","community"}))</f>
        <v>0</v>
      </c>
      <c r="N163" s="204" cm="1">
        <f t="array" ref="N163">SUM(SUMIFS('caseload data'!O:O,'caseload data'!$D:$D,"SPO",'caseload data'!$A:$A,$B160,'caseload data'!$B:$B,{"licence","community"}))</f>
        <v>0</v>
      </c>
      <c r="O163" s="204" cm="1">
        <f t="array" ref="O163">SUM(SUMIFS('caseload data'!P:P,'caseload data'!$D:$D,"SPO",'caseload data'!$A:$A,$B160,'caseload data'!$B:$B,{"licence","community"}))</f>
        <v>0</v>
      </c>
      <c r="P163" s="204" cm="1">
        <f t="array" ref="P163">SUM(SUMIFS('caseload data'!Q:Q,'caseload data'!$D:$D,"SPO",'caseload data'!$A:$A,$B160,'caseload data'!$B:$B,{"licence","community"}))</f>
        <v>0</v>
      </c>
      <c r="Q163" s="204" cm="1">
        <f t="array" ref="Q163">SUM(SUMIFS('caseload data'!R:R,'caseload data'!$D:$D,"SPO",'caseload data'!$A:$A,$B160,'caseload data'!$B:$B,{"licence","community"}))</f>
        <v>0</v>
      </c>
      <c r="R163" s="204" cm="1">
        <f t="array" ref="R163">SUM(SUMIFS('caseload data'!S:S,'caseload data'!$D:$D,"SPO",'caseload data'!$A:$A,$B160,'caseload data'!$B:$B,{"licence","community"}))</f>
        <v>0</v>
      </c>
      <c r="S163" s="204" cm="1">
        <f t="array" ref="S163">SUM(SUMIFS('caseload data'!T:T,'caseload data'!$D:$D,"SPO",'caseload data'!$A:$A,$B160,'caseload data'!$B:$B,{"licence","community"}))</f>
        <v>0</v>
      </c>
      <c r="T163" s="204" cm="1">
        <f t="array" ref="T163">SUM(SUMIFS('caseload data'!V:V,'caseload data'!$D:$D,"SPO",'caseload data'!$A:$A,$B160,'caseload data'!$B:$B,{"licence","community"}))</f>
        <v>0</v>
      </c>
      <c r="U163" s="95"/>
      <c r="V163" s="95"/>
      <c r="W163" s="331"/>
      <c r="X163" s="163" t="s">
        <v>187</v>
      </c>
      <c r="Y163" s="209" t="e">
        <f t="shared" si="47"/>
        <v>#DIV/0!</v>
      </c>
      <c r="Z163" s="209" t="e">
        <f t="shared" si="46"/>
        <v>#DIV/0!</v>
      </c>
      <c r="AA163" s="209" t="e">
        <f t="shared" si="46"/>
        <v>#DIV/0!</v>
      </c>
      <c r="AB163" s="209" t="e">
        <f t="shared" si="46"/>
        <v>#DIV/0!</v>
      </c>
      <c r="AC163" s="209" t="e">
        <f t="shared" si="46"/>
        <v>#DIV/0!</v>
      </c>
      <c r="AD163" s="209" t="e">
        <f t="shared" si="46"/>
        <v>#DIV/0!</v>
      </c>
      <c r="AE163" s="209" t="e">
        <f t="shared" si="46"/>
        <v>#DIV/0!</v>
      </c>
      <c r="AF163" s="209" t="e">
        <f t="shared" si="46"/>
        <v>#DIV/0!</v>
      </c>
      <c r="AG163" s="209" t="e">
        <f t="shared" si="46"/>
        <v>#DIV/0!</v>
      </c>
      <c r="AH163" s="209" t="e">
        <f t="shared" si="46"/>
        <v>#DIV/0!</v>
      </c>
      <c r="AI163" s="209" t="e">
        <f t="shared" si="46"/>
        <v>#DIV/0!</v>
      </c>
      <c r="AJ163" s="209" t="e">
        <f t="shared" si="46"/>
        <v>#DIV/0!</v>
      </c>
      <c r="AK163" s="209" t="e">
        <f t="shared" si="46"/>
        <v>#DIV/0!</v>
      </c>
      <c r="AL163" s="209" t="e">
        <f t="shared" si="46"/>
        <v>#DIV/0!</v>
      </c>
      <c r="AM163" s="209" t="e">
        <f t="shared" si="46"/>
        <v>#DIV/0!</v>
      </c>
      <c r="AN163" s="209" t="e">
        <f t="shared" si="46"/>
        <v>#DIV/0!</v>
      </c>
    </row>
    <row r="164" spans="2:40" s="30" customFormat="1" x14ac:dyDescent="0.15">
      <c r="B164" s="329" t="s">
        <v>516</v>
      </c>
      <c r="C164" s="161" t="s">
        <v>184</v>
      </c>
      <c r="D164" s="204" cm="1">
        <f t="array" ref="D164">SUM(SUMIFS('caseload data'!E:E,'caseload data'!$D:$D,"PO",'caseload data'!$A:$A,$B164,'caseload data'!$B:$B,{"licence","community"}))</f>
        <v>0</v>
      </c>
      <c r="E164" s="204" cm="1">
        <f t="array" ref="E164">SUM(SUMIFS('caseload data'!F:F,'caseload data'!$D:$D,"PO",'caseload data'!$A:$A,$B164,'caseload data'!$B:$B,{"licence","community"}))</f>
        <v>0</v>
      </c>
      <c r="F164" s="204" cm="1">
        <f t="array" ref="F164">SUM(SUMIFS('caseload data'!G:G,'caseload data'!$D:$D,"PO",'caseload data'!$A:$A,$B164,'caseload data'!$B:$B,{"licence","community"}))</f>
        <v>0</v>
      </c>
      <c r="G164" s="204" cm="1">
        <f t="array" ref="G164">SUM(SUMIFS('caseload data'!H:H,'caseload data'!$D:$D,"PO",'caseload data'!$A:$A,$B164,'caseload data'!$B:$B,{"licence","community"}))</f>
        <v>0</v>
      </c>
      <c r="H164" s="204" cm="1">
        <f t="array" ref="H164">SUM(SUMIFS('caseload data'!I:I,'caseload data'!$D:$D,"PO",'caseload data'!$A:$A,$B164,'caseload data'!$B:$B,{"licence","community"}))</f>
        <v>0</v>
      </c>
      <c r="I164" s="204" cm="1">
        <f t="array" ref="I164">SUM(SUMIFS('caseload data'!J:J,'caseload data'!$D:$D,"PO",'caseload data'!$A:$A,$B164,'caseload data'!$B:$B,{"licence","community"}))</f>
        <v>0</v>
      </c>
      <c r="J164" s="204" cm="1">
        <f t="array" ref="J164">SUM(SUMIFS('caseload data'!K:K,'caseload data'!$D:$D,"PO",'caseload data'!$A:$A,$B164,'caseload data'!$B:$B,{"licence","community"}))</f>
        <v>0</v>
      </c>
      <c r="K164" s="204" cm="1">
        <f t="array" ref="K164">SUM(SUMIFS('caseload data'!L:L,'caseload data'!$D:$D,"PO",'caseload data'!$A:$A,$B164,'caseload data'!$B:$B,{"licence","community"}))</f>
        <v>0</v>
      </c>
      <c r="L164" s="204" cm="1">
        <f t="array" ref="L164">SUM(SUMIFS('caseload data'!M:M,'caseload data'!$D:$D,"PO",'caseload data'!$A:$A,$B164,'caseload data'!$B:$B,{"licence","community"}))</f>
        <v>0</v>
      </c>
      <c r="M164" s="204" cm="1">
        <f t="array" ref="M164">SUM(SUMIFS('caseload data'!N:N,'caseload data'!$D:$D,"PO",'caseload data'!$A:$A,$B164,'caseload data'!$B:$B,{"licence","community"}))</f>
        <v>0</v>
      </c>
      <c r="N164" s="204" cm="1">
        <f t="array" ref="N164">SUM(SUMIFS('caseload data'!O:O,'caseload data'!$D:$D,"PO",'caseload data'!$A:$A,$B164,'caseload data'!$B:$B,{"licence","community"}))</f>
        <v>0</v>
      </c>
      <c r="O164" s="204" cm="1">
        <f t="array" ref="O164">SUM(SUMIFS('caseload data'!P:P,'caseload data'!$D:$D,"PO",'caseload data'!$A:$A,$B164,'caseload data'!$B:$B,{"licence","community"}))</f>
        <v>0</v>
      </c>
      <c r="P164" s="204" cm="1">
        <f t="array" ref="P164">SUM(SUMIFS('caseload data'!Q:Q,'caseload data'!$D:$D,"PO",'caseload data'!$A:$A,$B164,'caseload data'!$B:$B,{"licence","community"}))</f>
        <v>0</v>
      </c>
      <c r="Q164" s="204" cm="1">
        <f t="array" ref="Q164">SUM(SUMIFS('caseload data'!R:R,'caseload data'!$D:$D,"PO",'caseload data'!$A:$A,$B164,'caseload data'!$B:$B,{"licence","community"}))</f>
        <v>0</v>
      </c>
      <c r="R164" s="204" cm="1">
        <f t="array" ref="R164">SUM(SUMIFS('caseload data'!S:S,'caseload data'!$D:$D,"PO",'caseload data'!$A:$A,$B164,'caseload data'!$B:$B,{"licence","community"}))</f>
        <v>0</v>
      </c>
      <c r="S164" s="204" cm="1">
        <f t="array" ref="S164">SUM(SUMIFS('caseload data'!T:T,'caseload data'!$D:$D,"PO",'caseload data'!$A:$A,$B164,'caseload data'!$B:$B,{"licence","community"}))</f>
        <v>0</v>
      </c>
      <c r="T164" s="204" cm="1">
        <f t="array" ref="T164">SUM(SUMIFS('caseload data'!V:V,'caseload data'!$D:$D,"PO",'caseload data'!$A:$A,$B164,'caseload data'!$B:$B,{"licence","community"}))</f>
        <v>0</v>
      </c>
      <c r="U164" s="95"/>
      <c r="V164" s="95"/>
      <c r="W164" s="329" t="s">
        <v>516</v>
      </c>
      <c r="X164" s="161" t="s">
        <v>184</v>
      </c>
      <c r="Y164" s="209" t="e">
        <f>SUM(D164)/SUM(D$164:D$167)</f>
        <v>#DIV/0!</v>
      </c>
      <c r="Z164" s="209" t="e">
        <f t="shared" ref="Z164:AN167" si="48">SUM(E164)/SUM(E$164:E$167)</f>
        <v>#DIV/0!</v>
      </c>
      <c r="AA164" s="209" t="e">
        <f t="shared" si="48"/>
        <v>#DIV/0!</v>
      </c>
      <c r="AB164" s="209" t="e">
        <f t="shared" si="48"/>
        <v>#DIV/0!</v>
      </c>
      <c r="AC164" s="209" t="e">
        <f t="shared" si="48"/>
        <v>#DIV/0!</v>
      </c>
      <c r="AD164" s="209" t="e">
        <f t="shared" si="48"/>
        <v>#DIV/0!</v>
      </c>
      <c r="AE164" s="209" t="e">
        <f t="shared" si="48"/>
        <v>#DIV/0!</v>
      </c>
      <c r="AF164" s="209" t="e">
        <f t="shared" si="48"/>
        <v>#DIV/0!</v>
      </c>
      <c r="AG164" s="209" t="e">
        <f t="shared" si="48"/>
        <v>#DIV/0!</v>
      </c>
      <c r="AH164" s="209" t="e">
        <f t="shared" si="48"/>
        <v>#DIV/0!</v>
      </c>
      <c r="AI164" s="209" t="e">
        <f t="shared" si="48"/>
        <v>#DIV/0!</v>
      </c>
      <c r="AJ164" s="209" t="e">
        <f t="shared" si="48"/>
        <v>#DIV/0!</v>
      </c>
      <c r="AK164" s="209" t="e">
        <f t="shared" si="48"/>
        <v>#DIV/0!</v>
      </c>
      <c r="AL164" s="209" t="e">
        <f t="shared" si="48"/>
        <v>#DIV/0!</v>
      </c>
      <c r="AM164" s="209" t="e">
        <f t="shared" si="48"/>
        <v>#DIV/0!</v>
      </c>
      <c r="AN164" s="209" t="e">
        <f t="shared" si="48"/>
        <v>#DIV/0!</v>
      </c>
    </row>
    <row r="165" spans="2:40" s="30" customFormat="1" x14ac:dyDescent="0.15">
      <c r="B165" s="330"/>
      <c r="C165" s="162" t="s">
        <v>185</v>
      </c>
      <c r="D165" s="204" cm="1">
        <f t="array" ref="D165">SUM(SUMIFS('caseload data'!E:E,'caseload data'!$D:$D,"PSO",'caseload data'!$A:$A,$B164,'caseload data'!$B:$B,{"licence","community"}))</f>
        <v>0</v>
      </c>
      <c r="E165" s="204" cm="1">
        <f t="array" ref="E165">SUM(SUMIFS('caseload data'!F:F,'caseload data'!$D:$D,"PSO",'caseload data'!$A:$A,$B164,'caseload data'!$B:$B,{"licence","community"}))</f>
        <v>0</v>
      </c>
      <c r="F165" s="204" cm="1">
        <f t="array" ref="F165">SUM(SUMIFS('caseload data'!G:G,'caseload data'!$D:$D,"PSO",'caseload data'!$A:$A,$B164,'caseload data'!$B:$B,{"licence","community"}))</f>
        <v>0</v>
      </c>
      <c r="G165" s="204" cm="1">
        <f t="array" ref="G165">SUM(SUMIFS('caseload data'!H:H,'caseload data'!$D:$D,"PSO",'caseload data'!$A:$A,$B164,'caseload data'!$B:$B,{"licence","community"}))</f>
        <v>0</v>
      </c>
      <c r="H165" s="204" cm="1">
        <f t="array" ref="H165">SUM(SUMIFS('caseload data'!I:I,'caseload data'!$D:$D,"PSO",'caseload data'!$A:$A,$B164,'caseload data'!$B:$B,{"licence","community"}))</f>
        <v>0</v>
      </c>
      <c r="I165" s="204" cm="1">
        <f t="array" ref="I165">SUM(SUMIFS('caseload data'!J:J,'caseload data'!$D:$D,"PSO",'caseload data'!$A:$A,$B164,'caseload data'!$B:$B,{"licence","community"}))</f>
        <v>0</v>
      </c>
      <c r="J165" s="204" cm="1">
        <f t="array" ref="J165">SUM(SUMIFS('caseload data'!K:K,'caseload data'!$D:$D,"PSO",'caseload data'!$A:$A,$B164,'caseload data'!$B:$B,{"licence","community"}))</f>
        <v>0</v>
      </c>
      <c r="K165" s="204" cm="1">
        <f t="array" ref="K165">SUM(SUMIFS('caseload data'!L:L,'caseload data'!$D:$D,"PSO",'caseload data'!$A:$A,$B164,'caseload data'!$B:$B,{"licence","community"}))</f>
        <v>0</v>
      </c>
      <c r="L165" s="204" cm="1">
        <f t="array" ref="L165">SUM(SUMIFS('caseload data'!M:M,'caseload data'!$D:$D,"PSO",'caseload data'!$A:$A,$B164,'caseload data'!$B:$B,{"licence","community"}))</f>
        <v>0</v>
      </c>
      <c r="M165" s="204" cm="1">
        <f t="array" ref="M165">SUM(SUMIFS('caseload data'!N:N,'caseload data'!$D:$D,"PSO",'caseload data'!$A:$A,$B164,'caseload data'!$B:$B,{"licence","community"}))</f>
        <v>0</v>
      </c>
      <c r="N165" s="204" cm="1">
        <f t="array" ref="N165">SUM(SUMIFS('caseload data'!O:O,'caseload data'!$D:$D,"PSO",'caseload data'!$A:$A,$B164,'caseload data'!$B:$B,{"licence","community"}))</f>
        <v>0</v>
      </c>
      <c r="O165" s="204" cm="1">
        <f t="array" ref="O165">SUM(SUMIFS('caseload data'!P:P,'caseload data'!$D:$D,"PSO",'caseload data'!$A:$A,$B164,'caseload data'!$B:$B,{"licence","community"}))</f>
        <v>0</v>
      </c>
      <c r="P165" s="204" cm="1">
        <f t="array" ref="P165">SUM(SUMIFS('caseload data'!Q:Q,'caseload data'!$D:$D,"PSO",'caseload data'!$A:$A,$B164,'caseload data'!$B:$B,{"licence","community"}))</f>
        <v>0</v>
      </c>
      <c r="Q165" s="204" cm="1">
        <f t="array" ref="Q165">SUM(SUMIFS('caseload data'!R:R,'caseload data'!$D:$D,"PSO",'caseload data'!$A:$A,$B164,'caseload data'!$B:$B,{"licence","community"}))</f>
        <v>0</v>
      </c>
      <c r="R165" s="204" cm="1">
        <f t="array" ref="R165">SUM(SUMIFS('caseload data'!S:S,'caseload data'!$D:$D,"PSO",'caseload data'!$A:$A,$B164,'caseload data'!$B:$B,{"licence","community"}))</f>
        <v>0</v>
      </c>
      <c r="S165" s="204" cm="1">
        <f t="array" ref="S165">SUM(SUMIFS('caseload data'!T:T,'caseload data'!$D:$D,"PSO",'caseload data'!$A:$A,$B164,'caseload data'!$B:$B,{"licence","community"}))</f>
        <v>0</v>
      </c>
      <c r="T165" s="204" cm="1">
        <f t="array" ref="T165">SUM(SUMIFS('caseload data'!V:V,'caseload data'!$D:$D,"PSO",'caseload data'!$A:$A,$B164,'caseload data'!$B:$B,{"licence","community"}))</f>
        <v>0</v>
      </c>
      <c r="U165" s="95"/>
      <c r="V165" s="95"/>
      <c r="W165" s="330"/>
      <c r="X165" s="162" t="s">
        <v>185</v>
      </c>
      <c r="Y165" s="209" t="e">
        <f t="shared" ref="Y165:Y167" si="49">SUM(D165)/SUM(D$164:D$167)</f>
        <v>#DIV/0!</v>
      </c>
      <c r="Z165" s="209" t="e">
        <f t="shared" si="48"/>
        <v>#DIV/0!</v>
      </c>
      <c r="AA165" s="209" t="e">
        <f t="shared" si="48"/>
        <v>#DIV/0!</v>
      </c>
      <c r="AB165" s="209" t="e">
        <f t="shared" si="48"/>
        <v>#DIV/0!</v>
      </c>
      <c r="AC165" s="209" t="e">
        <f t="shared" si="48"/>
        <v>#DIV/0!</v>
      </c>
      <c r="AD165" s="209" t="e">
        <f t="shared" si="48"/>
        <v>#DIV/0!</v>
      </c>
      <c r="AE165" s="209" t="e">
        <f t="shared" si="48"/>
        <v>#DIV/0!</v>
      </c>
      <c r="AF165" s="209" t="e">
        <f t="shared" si="48"/>
        <v>#DIV/0!</v>
      </c>
      <c r="AG165" s="209" t="e">
        <f t="shared" si="48"/>
        <v>#DIV/0!</v>
      </c>
      <c r="AH165" s="209" t="e">
        <f t="shared" si="48"/>
        <v>#DIV/0!</v>
      </c>
      <c r="AI165" s="209" t="e">
        <f t="shared" si="48"/>
        <v>#DIV/0!</v>
      </c>
      <c r="AJ165" s="209" t="e">
        <f t="shared" si="48"/>
        <v>#DIV/0!</v>
      </c>
      <c r="AK165" s="209" t="e">
        <f t="shared" si="48"/>
        <v>#DIV/0!</v>
      </c>
      <c r="AL165" s="209" t="e">
        <f t="shared" si="48"/>
        <v>#DIV/0!</v>
      </c>
      <c r="AM165" s="209" t="e">
        <f t="shared" si="48"/>
        <v>#DIV/0!</v>
      </c>
      <c r="AN165" s="209" t="e">
        <f t="shared" si="48"/>
        <v>#DIV/0!</v>
      </c>
    </row>
    <row r="166" spans="2:40" s="30" customFormat="1" x14ac:dyDescent="0.15">
      <c r="B166" s="330"/>
      <c r="C166" s="162" t="s">
        <v>186</v>
      </c>
      <c r="D166" s="204" cm="1">
        <f t="array" ref="D166">SUM(SUMIFS('caseload data'!E:E,'caseload data'!$D:$D,"TPO",'caseload data'!$A:$A,$B164,'caseload data'!$B:$B,{"licence","community"}))</f>
        <v>0</v>
      </c>
      <c r="E166" s="204" cm="1">
        <f t="array" ref="E166">SUM(SUMIFS('caseload data'!F:F,'caseload data'!$D:$D,"TPO",'caseload data'!$A:$A,$B164,'caseload data'!$B:$B,{"licence","community"}))</f>
        <v>0</v>
      </c>
      <c r="F166" s="204" cm="1">
        <f t="array" ref="F166">SUM(SUMIFS('caseload data'!G:G,'caseload data'!$D:$D,"TPO",'caseload data'!$A:$A,$B164,'caseload data'!$B:$B,{"licence","community"}))</f>
        <v>0</v>
      </c>
      <c r="G166" s="204" cm="1">
        <f t="array" ref="G166">SUM(SUMIFS('caseload data'!H:H,'caseload data'!$D:$D,"TPO",'caseload data'!$A:$A,$B164,'caseload data'!$B:$B,{"licence","community"}))</f>
        <v>0</v>
      </c>
      <c r="H166" s="204" cm="1">
        <f t="array" ref="H166">SUM(SUMIFS('caseload data'!I:I,'caseload data'!$D:$D,"TPO",'caseload data'!$A:$A,$B164,'caseload data'!$B:$B,{"licence","community"}))</f>
        <v>0</v>
      </c>
      <c r="I166" s="204" cm="1">
        <f t="array" ref="I166">SUM(SUMIFS('caseload data'!J:J,'caseload data'!$D:$D,"TPO",'caseload data'!$A:$A,$B164,'caseload data'!$B:$B,{"licence","community"}))</f>
        <v>0</v>
      </c>
      <c r="J166" s="204" cm="1">
        <f t="array" ref="J166">SUM(SUMIFS('caseload data'!K:K,'caseload data'!$D:$D,"TPO",'caseload data'!$A:$A,$B164,'caseload data'!$B:$B,{"licence","community"}))</f>
        <v>0</v>
      </c>
      <c r="K166" s="204" cm="1">
        <f t="array" ref="K166">SUM(SUMIFS('caseload data'!L:L,'caseload data'!$D:$D,"TPO",'caseload data'!$A:$A,$B164,'caseload data'!$B:$B,{"licence","community"}))</f>
        <v>0</v>
      </c>
      <c r="L166" s="204" cm="1">
        <f t="array" ref="L166">SUM(SUMIFS('caseload data'!M:M,'caseload data'!$D:$D,"TPO",'caseload data'!$A:$A,$B164,'caseload data'!$B:$B,{"licence","community"}))</f>
        <v>0</v>
      </c>
      <c r="M166" s="204" cm="1">
        <f t="array" ref="M166">SUM(SUMIFS('caseload data'!N:N,'caseload data'!$D:$D,"TPO",'caseload data'!$A:$A,$B164,'caseload data'!$B:$B,{"licence","community"}))</f>
        <v>0</v>
      </c>
      <c r="N166" s="204" cm="1">
        <f t="array" ref="N166">SUM(SUMIFS('caseload data'!O:O,'caseload data'!$D:$D,"TPO",'caseload data'!$A:$A,$B164,'caseload data'!$B:$B,{"licence","community"}))</f>
        <v>0</v>
      </c>
      <c r="O166" s="204" cm="1">
        <f t="array" ref="O166">SUM(SUMIFS('caseload data'!P:P,'caseload data'!$D:$D,"TPO",'caseload data'!$A:$A,$B164,'caseload data'!$B:$B,{"licence","community"}))</f>
        <v>0</v>
      </c>
      <c r="P166" s="204" cm="1">
        <f t="array" ref="P166">SUM(SUMIFS('caseload data'!Q:Q,'caseload data'!$D:$D,"TPO",'caseload data'!$A:$A,$B164,'caseload data'!$B:$B,{"licence","community"}))</f>
        <v>0</v>
      </c>
      <c r="Q166" s="204" cm="1">
        <f t="array" ref="Q166">SUM(SUMIFS('caseload data'!R:R,'caseload data'!$D:$D,"TPO",'caseload data'!$A:$A,$B164,'caseload data'!$B:$B,{"licence","community"}))</f>
        <v>0</v>
      </c>
      <c r="R166" s="204" cm="1">
        <f t="array" ref="R166">SUM(SUMIFS('caseload data'!S:S,'caseload data'!$D:$D,"TPO",'caseload data'!$A:$A,$B164,'caseload data'!$B:$B,{"licence","community"}))</f>
        <v>0</v>
      </c>
      <c r="S166" s="204" cm="1">
        <f t="array" ref="S166">SUM(SUMIFS('caseload data'!T:T,'caseload data'!$D:$D,"TPO",'caseload data'!$A:$A,$B164,'caseload data'!$B:$B,{"licence","community"}))</f>
        <v>0</v>
      </c>
      <c r="T166" s="204" cm="1">
        <f t="array" ref="T166">SUM(SUMIFS('caseload data'!V:V,'caseload data'!$D:$D,"TPO",'caseload data'!$A:$A,$B164,'caseload data'!$B:$B,{"licence","community"}))</f>
        <v>0</v>
      </c>
      <c r="U166" s="95"/>
      <c r="V166" s="95"/>
      <c r="W166" s="330"/>
      <c r="X166" s="162" t="s">
        <v>186</v>
      </c>
      <c r="Y166" s="209" t="e">
        <f t="shared" si="49"/>
        <v>#DIV/0!</v>
      </c>
      <c r="Z166" s="209" t="e">
        <f t="shared" si="48"/>
        <v>#DIV/0!</v>
      </c>
      <c r="AA166" s="209" t="e">
        <f t="shared" si="48"/>
        <v>#DIV/0!</v>
      </c>
      <c r="AB166" s="209" t="e">
        <f t="shared" si="48"/>
        <v>#DIV/0!</v>
      </c>
      <c r="AC166" s="209" t="e">
        <f t="shared" si="48"/>
        <v>#DIV/0!</v>
      </c>
      <c r="AD166" s="209" t="e">
        <f t="shared" si="48"/>
        <v>#DIV/0!</v>
      </c>
      <c r="AE166" s="209" t="e">
        <f t="shared" si="48"/>
        <v>#DIV/0!</v>
      </c>
      <c r="AF166" s="209" t="e">
        <f t="shared" si="48"/>
        <v>#DIV/0!</v>
      </c>
      <c r="AG166" s="209" t="e">
        <f t="shared" si="48"/>
        <v>#DIV/0!</v>
      </c>
      <c r="AH166" s="209" t="e">
        <f t="shared" si="48"/>
        <v>#DIV/0!</v>
      </c>
      <c r="AI166" s="209" t="e">
        <f t="shared" si="48"/>
        <v>#DIV/0!</v>
      </c>
      <c r="AJ166" s="209" t="e">
        <f t="shared" si="48"/>
        <v>#DIV/0!</v>
      </c>
      <c r="AK166" s="209" t="e">
        <f t="shared" si="48"/>
        <v>#DIV/0!</v>
      </c>
      <c r="AL166" s="209" t="e">
        <f t="shared" si="48"/>
        <v>#DIV/0!</v>
      </c>
      <c r="AM166" s="209" t="e">
        <f t="shared" si="48"/>
        <v>#DIV/0!</v>
      </c>
      <c r="AN166" s="209" t="e">
        <f t="shared" si="48"/>
        <v>#DIV/0!</v>
      </c>
    </row>
    <row r="167" spans="2:40" s="30" customFormat="1" x14ac:dyDescent="0.15">
      <c r="B167" s="331"/>
      <c r="C167" s="163" t="s">
        <v>187</v>
      </c>
      <c r="D167" s="204" cm="1">
        <f t="array" ref="D167">SUM(SUMIFS('caseload data'!E:E,'caseload data'!$D:$D,"SPO",'caseload data'!$A:$A,$B164,'caseload data'!$B:$B,{"licence","community"}))</f>
        <v>0</v>
      </c>
      <c r="E167" s="204" cm="1">
        <f t="array" ref="E167">SUM(SUMIFS('caseload data'!F:F,'caseload data'!$D:$D,"SPO",'caseload data'!$A:$A,$B164,'caseload data'!$B:$B,{"licence","community"}))</f>
        <v>0</v>
      </c>
      <c r="F167" s="204" cm="1">
        <f t="array" ref="F167">SUM(SUMIFS('caseload data'!G:G,'caseload data'!$D:$D,"SPO",'caseload data'!$A:$A,$B164,'caseload data'!$B:$B,{"licence","community"}))</f>
        <v>0</v>
      </c>
      <c r="G167" s="204" cm="1">
        <f t="array" ref="G167">SUM(SUMIFS('caseload data'!H:H,'caseload data'!$D:$D,"SPO",'caseload data'!$A:$A,$B164,'caseload data'!$B:$B,{"licence","community"}))</f>
        <v>0</v>
      </c>
      <c r="H167" s="204" cm="1">
        <f t="array" ref="H167">SUM(SUMIFS('caseload data'!I:I,'caseload data'!$D:$D,"SPO",'caseload data'!$A:$A,$B164,'caseload data'!$B:$B,{"licence","community"}))</f>
        <v>0</v>
      </c>
      <c r="I167" s="204" cm="1">
        <f t="array" ref="I167">SUM(SUMIFS('caseload data'!J:J,'caseload data'!$D:$D,"SPO",'caseload data'!$A:$A,$B164,'caseload data'!$B:$B,{"licence","community"}))</f>
        <v>0</v>
      </c>
      <c r="J167" s="204" cm="1">
        <f t="array" ref="J167">SUM(SUMIFS('caseload data'!K:K,'caseload data'!$D:$D,"SPO",'caseload data'!$A:$A,$B164,'caseload data'!$B:$B,{"licence","community"}))</f>
        <v>0</v>
      </c>
      <c r="K167" s="204" cm="1">
        <f t="array" ref="K167">SUM(SUMIFS('caseload data'!L:L,'caseload data'!$D:$D,"SPO",'caseload data'!$A:$A,$B164,'caseload data'!$B:$B,{"licence","community"}))</f>
        <v>0</v>
      </c>
      <c r="L167" s="204" cm="1">
        <f t="array" ref="L167">SUM(SUMIFS('caseload data'!M:M,'caseload data'!$D:$D,"SPO",'caseload data'!$A:$A,$B164,'caseload data'!$B:$B,{"licence","community"}))</f>
        <v>0</v>
      </c>
      <c r="M167" s="204" cm="1">
        <f t="array" ref="M167">SUM(SUMIFS('caseload data'!N:N,'caseload data'!$D:$D,"SPO",'caseload data'!$A:$A,$B164,'caseload data'!$B:$B,{"licence","community"}))</f>
        <v>0</v>
      </c>
      <c r="N167" s="204" cm="1">
        <f t="array" ref="N167">SUM(SUMIFS('caseload data'!O:O,'caseload data'!$D:$D,"SPO",'caseload data'!$A:$A,$B164,'caseload data'!$B:$B,{"licence","community"}))</f>
        <v>0</v>
      </c>
      <c r="O167" s="204" cm="1">
        <f t="array" ref="O167">SUM(SUMIFS('caseload data'!P:P,'caseload data'!$D:$D,"SPO",'caseload data'!$A:$A,$B164,'caseload data'!$B:$B,{"licence","community"}))</f>
        <v>0</v>
      </c>
      <c r="P167" s="204" cm="1">
        <f t="array" ref="P167">SUM(SUMIFS('caseload data'!Q:Q,'caseload data'!$D:$D,"SPO",'caseload data'!$A:$A,$B164,'caseload data'!$B:$B,{"licence","community"}))</f>
        <v>0</v>
      </c>
      <c r="Q167" s="204" cm="1">
        <f t="array" ref="Q167">SUM(SUMIFS('caseload data'!R:R,'caseload data'!$D:$D,"SPO",'caseload data'!$A:$A,$B164,'caseload data'!$B:$B,{"licence","community"}))</f>
        <v>0</v>
      </c>
      <c r="R167" s="204" cm="1">
        <f t="array" ref="R167">SUM(SUMIFS('caseload data'!S:S,'caseload data'!$D:$D,"SPO",'caseload data'!$A:$A,$B164,'caseload data'!$B:$B,{"licence","community"}))</f>
        <v>0</v>
      </c>
      <c r="S167" s="204" cm="1">
        <f t="array" ref="S167">SUM(SUMIFS('caseload data'!T:T,'caseload data'!$D:$D,"SPO",'caseload data'!$A:$A,$B164,'caseload data'!$B:$B,{"licence","community"}))</f>
        <v>0</v>
      </c>
      <c r="T167" s="204" cm="1">
        <f t="array" ref="T167">SUM(SUMIFS('caseload data'!V:V,'caseload data'!$D:$D,"SPO",'caseload data'!$A:$A,$B164,'caseload data'!$B:$B,{"licence","community"}))</f>
        <v>0</v>
      </c>
      <c r="U167" s="95"/>
      <c r="V167" s="95"/>
      <c r="W167" s="331"/>
      <c r="X167" s="163" t="s">
        <v>187</v>
      </c>
      <c r="Y167" s="209" t="e">
        <f t="shared" si="49"/>
        <v>#DIV/0!</v>
      </c>
      <c r="Z167" s="209" t="e">
        <f t="shared" si="48"/>
        <v>#DIV/0!</v>
      </c>
      <c r="AA167" s="209" t="e">
        <f t="shared" si="48"/>
        <v>#DIV/0!</v>
      </c>
      <c r="AB167" s="209" t="e">
        <f t="shared" si="48"/>
        <v>#DIV/0!</v>
      </c>
      <c r="AC167" s="209" t="e">
        <f t="shared" si="48"/>
        <v>#DIV/0!</v>
      </c>
      <c r="AD167" s="209" t="e">
        <f t="shared" si="48"/>
        <v>#DIV/0!</v>
      </c>
      <c r="AE167" s="209" t="e">
        <f t="shared" si="48"/>
        <v>#DIV/0!</v>
      </c>
      <c r="AF167" s="209" t="e">
        <f t="shared" si="48"/>
        <v>#DIV/0!</v>
      </c>
      <c r="AG167" s="209" t="e">
        <f t="shared" si="48"/>
        <v>#DIV/0!</v>
      </c>
      <c r="AH167" s="209" t="e">
        <f t="shared" si="48"/>
        <v>#DIV/0!</v>
      </c>
      <c r="AI167" s="209" t="e">
        <f t="shared" si="48"/>
        <v>#DIV/0!</v>
      </c>
      <c r="AJ167" s="209" t="e">
        <f t="shared" si="48"/>
        <v>#DIV/0!</v>
      </c>
      <c r="AK167" s="209" t="e">
        <f t="shared" si="48"/>
        <v>#DIV/0!</v>
      </c>
      <c r="AL167" s="209" t="e">
        <f t="shared" si="48"/>
        <v>#DIV/0!</v>
      </c>
      <c r="AM167" s="209" t="e">
        <f t="shared" si="48"/>
        <v>#DIV/0!</v>
      </c>
      <c r="AN167" s="209" t="e">
        <f t="shared" si="48"/>
        <v>#DIV/0!</v>
      </c>
    </row>
    <row r="168" spans="2:40" s="30" customFormat="1" x14ac:dyDescent="0.15">
      <c r="B168" s="329" t="s">
        <v>517</v>
      </c>
      <c r="C168" s="161" t="s">
        <v>184</v>
      </c>
      <c r="D168" s="204" cm="1">
        <f t="array" ref="D168">SUM(SUMIFS('caseload data'!E:E,'caseload data'!$D:$D,"PO",'caseload data'!$A:$A,$B168,'caseload data'!$B:$B,{"licence","community"}))</f>
        <v>0</v>
      </c>
      <c r="E168" s="204" cm="1">
        <f t="array" ref="E168">SUM(SUMIFS('caseload data'!F:F,'caseload data'!$D:$D,"PO",'caseload data'!$A:$A,$B168,'caseload data'!$B:$B,{"licence","community"}))</f>
        <v>0</v>
      </c>
      <c r="F168" s="204" cm="1">
        <f t="array" ref="F168">SUM(SUMIFS('caseload data'!G:G,'caseload data'!$D:$D,"PO",'caseload data'!$A:$A,$B168,'caseload data'!$B:$B,{"licence","community"}))</f>
        <v>0</v>
      </c>
      <c r="G168" s="204" cm="1">
        <f t="array" ref="G168">SUM(SUMIFS('caseload data'!H:H,'caseload data'!$D:$D,"PO",'caseload data'!$A:$A,$B168,'caseload data'!$B:$B,{"licence","community"}))</f>
        <v>0</v>
      </c>
      <c r="H168" s="204" cm="1">
        <f t="array" ref="H168">SUM(SUMIFS('caseload data'!I:I,'caseload data'!$D:$D,"PO",'caseload data'!$A:$A,$B168,'caseload data'!$B:$B,{"licence","community"}))</f>
        <v>0</v>
      </c>
      <c r="I168" s="204" cm="1">
        <f t="array" ref="I168">SUM(SUMIFS('caseload data'!J:J,'caseload data'!$D:$D,"PO",'caseload data'!$A:$A,$B168,'caseload data'!$B:$B,{"licence","community"}))</f>
        <v>0</v>
      </c>
      <c r="J168" s="204" cm="1">
        <f t="array" ref="J168">SUM(SUMIFS('caseload data'!K:K,'caseload data'!$D:$D,"PO",'caseload data'!$A:$A,$B168,'caseload data'!$B:$B,{"licence","community"}))</f>
        <v>0</v>
      </c>
      <c r="K168" s="204" cm="1">
        <f t="array" ref="K168">SUM(SUMIFS('caseload data'!L:L,'caseload data'!$D:$D,"PO",'caseload data'!$A:$A,$B168,'caseload data'!$B:$B,{"licence","community"}))</f>
        <v>0</v>
      </c>
      <c r="L168" s="204" cm="1">
        <f t="array" ref="L168">SUM(SUMIFS('caseload data'!M:M,'caseload data'!$D:$D,"PO",'caseload data'!$A:$A,$B168,'caseload data'!$B:$B,{"licence","community"}))</f>
        <v>0</v>
      </c>
      <c r="M168" s="204" cm="1">
        <f t="array" ref="M168">SUM(SUMIFS('caseload data'!N:N,'caseload data'!$D:$D,"PO",'caseload data'!$A:$A,$B168,'caseload data'!$B:$B,{"licence","community"}))</f>
        <v>0</v>
      </c>
      <c r="N168" s="204" cm="1">
        <f t="array" ref="N168">SUM(SUMIFS('caseload data'!O:O,'caseload data'!$D:$D,"PO",'caseload data'!$A:$A,$B168,'caseload data'!$B:$B,{"licence","community"}))</f>
        <v>0</v>
      </c>
      <c r="O168" s="204" cm="1">
        <f t="array" ref="O168">SUM(SUMIFS('caseload data'!P:P,'caseload data'!$D:$D,"PO",'caseload data'!$A:$A,$B168,'caseload data'!$B:$B,{"licence","community"}))</f>
        <v>0</v>
      </c>
      <c r="P168" s="204" cm="1">
        <f t="array" ref="P168">SUM(SUMIFS('caseload data'!Q:Q,'caseload data'!$D:$D,"PO",'caseload data'!$A:$A,$B168,'caseload data'!$B:$B,{"licence","community"}))</f>
        <v>0</v>
      </c>
      <c r="Q168" s="204" cm="1">
        <f t="array" ref="Q168">SUM(SUMIFS('caseload data'!R:R,'caseload data'!$D:$D,"PO",'caseload data'!$A:$A,$B168,'caseload data'!$B:$B,{"licence","community"}))</f>
        <v>0</v>
      </c>
      <c r="R168" s="204" cm="1">
        <f t="array" ref="R168">SUM(SUMIFS('caseload data'!S:S,'caseload data'!$D:$D,"PO",'caseload data'!$A:$A,$B168,'caseload data'!$B:$B,{"licence","community"}))</f>
        <v>0</v>
      </c>
      <c r="S168" s="204" cm="1">
        <f t="array" ref="S168">SUM(SUMIFS('caseload data'!T:T,'caseload data'!$D:$D,"PO",'caseload data'!$A:$A,$B168,'caseload data'!$B:$B,{"licence","community"}))</f>
        <v>0</v>
      </c>
      <c r="T168" s="204" cm="1">
        <f t="array" ref="T168">SUM(SUMIFS('caseload data'!V:V,'caseload data'!$D:$D,"PO",'caseload data'!$A:$A,$B168,'caseload data'!$B:$B,{"licence","community"}))</f>
        <v>0</v>
      </c>
      <c r="U168" s="95"/>
      <c r="V168" s="95"/>
      <c r="W168" s="329" t="s">
        <v>517</v>
      </c>
      <c r="X168" s="161" t="s">
        <v>184</v>
      </c>
      <c r="Y168" s="209" t="e">
        <f>SUM(D168)/SUM(D$168:D$171)</f>
        <v>#DIV/0!</v>
      </c>
      <c r="Z168" s="209" t="e">
        <f t="shared" ref="Z168:AN171" si="50">SUM(E168)/SUM(E$168:E$171)</f>
        <v>#DIV/0!</v>
      </c>
      <c r="AA168" s="209" t="e">
        <f t="shared" si="50"/>
        <v>#DIV/0!</v>
      </c>
      <c r="AB168" s="209" t="e">
        <f t="shared" si="50"/>
        <v>#DIV/0!</v>
      </c>
      <c r="AC168" s="209" t="e">
        <f t="shared" si="50"/>
        <v>#DIV/0!</v>
      </c>
      <c r="AD168" s="209" t="e">
        <f t="shared" si="50"/>
        <v>#DIV/0!</v>
      </c>
      <c r="AE168" s="209" t="e">
        <f t="shared" si="50"/>
        <v>#DIV/0!</v>
      </c>
      <c r="AF168" s="209" t="e">
        <f t="shared" si="50"/>
        <v>#DIV/0!</v>
      </c>
      <c r="AG168" s="209" t="e">
        <f t="shared" si="50"/>
        <v>#DIV/0!</v>
      </c>
      <c r="AH168" s="209" t="e">
        <f t="shared" si="50"/>
        <v>#DIV/0!</v>
      </c>
      <c r="AI168" s="209" t="e">
        <f t="shared" si="50"/>
        <v>#DIV/0!</v>
      </c>
      <c r="AJ168" s="209" t="e">
        <f t="shared" si="50"/>
        <v>#DIV/0!</v>
      </c>
      <c r="AK168" s="209" t="e">
        <f t="shared" si="50"/>
        <v>#DIV/0!</v>
      </c>
      <c r="AL168" s="209" t="e">
        <f t="shared" si="50"/>
        <v>#DIV/0!</v>
      </c>
      <c r="AM168" s="209" t="e">
        <f t="shared" si="50"/>
        <v>#DIV/0!</v>
      </c>
      <c r="AN168" s="209" t="e">
        <f t="shared" si="50"/>
        <v>#DIV/0!</v>
      </c>
    </row>
    <row r="169" spans="2:40" s="30" customFormat="1" x14ac:dyDescent="0.15">
      <c r="B169" s="330"/>
      <c r="C169" s="162" t="s">
        <v>185</v>
      </c>
      <c r="D169" s="204" cm="1">
        <f t="array" ref="D169">SUM(SUMIFS('caseload data'!E:E,'caseload data'!$D:$D,"PSO",'caseload data'!$A:$A,$B168,'caseload data'!$B:$B,{"licence","community"}))</f>
        <v>0</v>
      </c>
      <c r="E169" s="204" cm="1">
        <f t="array" ref="E169">SUM(SUMIFS('caseload data'!F:F,'caseload data'!$D:$D,"PSO",'caseload data'!$A:$A,$B168,'caseload data'!$B:$B,{"licence","community"}))</f>
        <v>0</v>
      </c>
      <c r="F169" s="204" cm="1">
        <f t="array" ref="F169">SUM(SUMIFS('caseload data'!G:G,'caseload data'!$D:$D,"PSO",'caseload data'!$A:$A,$B168,'caseload data'!$B:$B,{"licence","community"}))</f>
        <v>0</v>
      </c>
      <c r="G169" s="204" cm="1">
        <f t="array" ref="G169">SUM(SUMIFS('caseload data'!H:H,'caseload data'!$D:$D,"PSO",'caseload data'!$A:$A,$B168,'caseload data'!$B:$B,{"licence","community"}))</f>
        <v>0</v>
      </c>
      <c r="H169" s="204" cm="1">
        <f t="array" ref="H169">SUM(SUMIFS('caseload data'!I:I,'caseload data'!$D:$D,"PSO",'caseload data'!$A:$A,$B168,'caseload data'!$B:$B,{"licence","community"}))</f>
        <v>0</v>
      </c>
      <c r="I169" s="204" cm="1">
        <f t="array" ref="I169">SUM(SUMIFS('caseload data'!J:J,'caseload data'!$D:$D,"PSO",'caseload data'!$A:$A,$B168,'caseload data'!$B:$B,{"licence","community"}))</f>
        <v>0</v>
      </c>
      <c r="J169" s="204" cm="1">
        <f t="array" ref="J169">SUM(SUMIFS('caseload data'!K:K,'caseload data'!$D:$D,"PSO",'caseload data'!$A:$A,$B168,'caseload data'!$B:$B,{"licence","community"}))</f>
        <v>0</v>
      </c>
      <c r="K169" s="204" cm="1">
        <f t="array" ref="K169">SUM(SUMIFS('caseload data'!L:L,'caseload data'!$D:$D,"PSO",'caseload data'!$A:$A,$B168,'caseload data'!$B:$B,{"licence","community"}))</f>
        <v>0</v>
      </c>
      <c r="L169" s="204" cm="1">
        <f t="array" ref="L169">SUM(SUMIFS('caseload data'!M:M,'caseload data'!$D:$D,"PSO",'caseload data'!$A:$A,$B168,'caseload data'!$B:$B,{"licence","community"}))</f>
        <v>0</v>
      </c>
      <c r="M169" s="204" cm="1">
        <f t="array" ref="M169">SUM(SUMIFS('caseload data'!N:N,'caseload data'!$D:$D,"PSO",'caseload data'!$A:$A,$B168,'caseload data'!$B:$B,{"licence","community"}))</f>
        <v>0</v>
      </c>
      <c r="N169" s="204" cm="1">
        <f t="array" ref="N169">SUM(SUMIFS('caseload data'!O:O,'caseload data'!$D:$D,"PSO",'caseload data'!$A:$A,$B168,'caseload data'!$B:$B,{"licence","community"}))</f>
        <v>0</v>
      </c>
      <c r="O169" s="204" cm="1">
        <f t="array" ref="O169">SUM(SUMIFS('caseload data'!P:P,'caseload data'!$D:$D,"PSO",'caseload data'!$A:$A,$B168,'caseload data'!$B:$B,{"licence","community"}))</f>
        <v>0</v>
      </c>
      <c r="P169" s="204" cm="1">
        <f t="array" ref="P169">SUM(SUMIFS('caseload data'!Q:Q,'caseload data'!$D:$D,"PSO",'caseload data'!$A:$A,$B168,'caseload data'!$B:$B,{"licence","community"}))</f>
        <v>0</v>
      </c>
      <c r="Q169" s="204" cm="1">
        <f t="array" ref="Q169">SUM(SUMIFS('caseload data'!R:R,'caseload data'!$D:$D,"PSO",'caseload data'!$A:$A,$B168,'caseload data'!$B:$B,{"licence","community"}))</f>
        <v>0</v>
      </c>
      <c r="R169" s="204" cm="1">
        <f t="array" ref="R169">SUM(SUMIFS('caseload data'!S:S,'caseload data'!$D:$D,"PSO",'caseload data'!$A:$A,$B168,'caseload data'!$B:$B,{"licence","community"}))</f>
        <v>0</v>
      </c>
      <c r="S169" s="204" cm="1">
        <f t="array" ref="S169">SUM(SUMIFS('caseload data'!T:T,'caseload data'!$D:$D,"PSO",'caseload data'!$A:$A,$B168,'caseload data'!$B:$B,{"licence","community"}))</f>
        <v>0</v>
      </c>
      <c r="T169" s="204" cm="1">
        <f t="array" ref="T169">SUM(SUMIFS('caseload data'!V:V,'caseload data'!$D:$D,"PSO",'caseload data'!$A:$A,$B168,'caseload data'!$B:$B,{"licence","community"}))</f>
        <v>0</v>
      </c>
      <c r="U169" s="95"/>
      <c r="V169" s="95"/>
      <c r="W169" s="330"/>
      <c r="X169" s="162" t="s">
        <v>185</v>
      </c>
      <c r="Y169" s="209" t="e">
        <f t="shared" ref="Y169:Y171" si="51">SUM(D169)/SUM(D$168:D$171)</f>
        <v>#DIV/0!</v>
      </c>
      <c r="Z169" s="209" t="e">
        <f t="shared" si="50"/>
        <v>#DIV/0!</v>
      </c>
      <c r="AA169" s="209" t="e">
        <f t="shared" si="50"/>
        <v>#DIV/0!</v>
      </c>
      <c r="AB169" s="209" t="e">
        <f t="shared" si="50"/>
        <v>#DIV/0!</v>
      </c>
      <c r="AC169" s="209" t="e">
        <f t="shared" si="50"/>
        <v>#DIV/0!</v>
      </c>
      <c r="AD169" s="209" t="e">
        <f t="shared" si="50"/>
        <v>#DIV/0!</v>
      </c>
      <c r="AE169" s="209" t="e">
        <f t="shared" si="50"/>
        <v>#DIV/0!</v>
      </c>
      <c r="AF169" s="209" t="e">
        <f t="shared" si="50"/>
        <v>#DIV/0!</v>
      </c>
      <c r="AG169" s="209" t="e">
        <f t="shared" si="50"/>
        <v>#DIV/0!</v>
      </c>
      <c r="AH169" s="209" t="e">
        <f t="shared" si="50"/>
        <v>#DIV/0!</v>
      </c>
      <c r="AI169" s="209" t="e">
        <f t="shared" si="50"/>
        <v>#DIV/0!</v>
      </c>
      <c r="AJ169" s="209" t="e">
        <f t="shared" si="50"/>
        <v>#DIV/0!</v>
      </c>
      <c r="AK169" s="209" t="e">
        <f t="shared" si="50"/>
        <v>#DIV/0!</v>
      </c>
      <c r="AL169" s="209" t="e">
        <f t="shared" si="50"/>
        <v>#DIV/0!</v>
      </c>
      <c r="AM169" s="209" t="e">
        <f t="shared" si="50"/>
        <v>#DIV/0!</v>
      </c>
      <c r="AN169" s="209" t="e">
        <f t="shared" si="50"/>
        <v>#DIV/0!</v>
      </c>
    </row>
    <row r="170" spans="2:40" s="30" customFormat="1" x14ac:dyDescent="0.15">
      <c r="B170" s="330"/>
      <c r="C170" s="162" t="s">
        <v>186</v>
      </c>
      <c r="D170" s="204" cm="1">
        <f t="array" ref="D170">SUM(SUMIFS('caseload data'!E:E,'caseload data'!$D:$D,"TPO",'caseload data'!$A:$A,$B168,'caseload data'!$B:$B,{"licence","community"}))</f>
        <v>0</v>
      </c>
      <c r="E170" s="204" cm="1">
        <f t="array" ref="E170">SUM(SUMIFS('caseload data'!F:F,'caseload data'!$D:$D,"TPO",'caseload data'!$A:$A,$B168,'caseload data'!$B:$B,{"licence","community"}))</f>
        <v>0</v>
      </c>
      <c r="F170" s="204" cm="1">
        <f t="array" ref="F170">SUM(SUMIFS('caseload data'!G:G,'caseload data'!$D:$D,"TPO",'caseload data'!$A:$A,$B168,'caseload data'!$B:$B,{"licence","community"}))</f>
        <v>0</v>
      </c>
      <c r="G170" s="204" cm="1">
        <f t="array" ref="G170">SUM(SUMIFS('caseload data'!H:H,'caseload data'!$D:$D,"TPO",'caseload data'!$A:$A,$B168,'caseload data'!$B:$B,{"licence","community"}))</f>
        <v>0</v>
      </c>
      <c r="H170" s="204" cm="1">
        <f t="array" ref="H170">SUM(SUMIFS('caseload data'!I:I,'caseload data'!$D:$D,"TPO",'caseload data'!$A:$A,$B168,'caseload data'!$B:$B,{"licence","community"}))</f>
        <v>0</v>
      </c>
      <c r="I170" s="204" cm="1">
        <f t="array" ref="I170">SUM(SUMIFS('caseload data'!J:J,'caseload data'!$D:$D,"TPO",'caseload data'!$A:$A,$B168,'caseload data'!$B:$B,{"licence","community"}))</f>
        <v>0</v>
      </c>
      <c r="J170" s="204" cm="1">
        <f t="array" ref="J170">SUM(SUMIFS('caseload data'!K:K,'caseload data'!$D:$D,"TPO",'caseload data'!$A:$A,$B168,'caseload data'!$B:$B,{"licence","community"}))</f>
        <v>0</v>
      </c>
      <c r="K170" s="204" cm="1">
        <f t="array" ref="K170">SUM(SUMIFS('caseload data'!L:L,'caseload data'!$D:$D,"TPO",'caseload data'!$A:$A,$B168,'caseload data'!$B:$B,{"licence","community"}))</f>
        <v>0</v>
      </c>
      <c r="L170" s="204" cm="1">
        <f t="array" ref="L170">SUM(SUMIFS('caseload data'!M:M,'caseload data'!$D:$D,"TPO",'caseload data'!$A:$A,$B168,'caseload data'!$B:$B,{"licence","community"}))</f>
        <v>0</v>
      </c>
      <c r="M170" s="204" cm="1">
        <f t="array" ref="M170">SUM(SUMIFS('caseload data'!N:N,'caseload data'!$D:$D,"TPO",'caseload data'!$A:$A,$B168,'caseload data'!$B:$B,{"licence","community"}))</f>
        <v>0</v>
      </c>
      <c r="N170" s="204" cm="1">
        <f t="array" ref="N170">SUM(SUMIFS('caseload data'!O:O,'caseload data'!$D:$D,"TPO",'caseload data'!$A:$A,$B168,'caseload data'!$B:$B,{"licence","community"}))</f>
        <v>0</v>
      </c>
      <c r="O170" s="204" cm="1">
        <f t="array" ref="O170">SUM(SUMIFS('caseload data'!P:P,'caseload data'!$D:$D,"TPO",'caseload data'!$A:$A,$B168,'caseload data'!$B:$B,{"licence","community"}))</f>
        <v>0</v>
      </c>
      <c r="P170" s="204" cm="1">
        <f t="array" ref="P170">SUM(SUMIFS('caseload data'!Q:Q,'caseload data'!$D:$D,"TPO",'caseload data'!$A:$A,$B168,'caseload data'!$B:$B,{"licence","community"}))</f>
        <v>0</v>
      </c>
      <c r="Q170" s="204" cm="1">
        <f t="array" ref="Q170">SUM(SUMIFS('caseload data'!R:R,'caseload data'!$D:$D,"TPO",'caseload data'!$A:$A,$B168,'caseload data'!$B:$B,{"licence","community"}))</f>
        <v>0</v>
      </c>
      <c r="R170" s="204" cm="1">
        <f t="array" ref="R170">SUM(SUMIFS('caseload data'!S:S,'caseload data'!$D:$D,"TPO",'caseload data'!$A:$A,$B168,'caseload data'!$B:$B,{"licence","community"}))</f>
        <v>0</v>
      </c>
      <c r="S170" s="204" cm="1">
        <f t="array" ref="S170">SUM(SUMIFS('caseload data'!T:T,'caseload data'!$D:$D,"TPO",'caseload data'!$A:$A,$B168,'caseload data'!$B:$B,{"licence","community"}))</f>
        <v>0</v>
      </c>
      <c r="T170" s="204" cm="1">
        <f t="array" ref="T170">SUM(SUMIFS('caseload data'!V:V,'caseload data'!$D:$D,"TPO",'caseload data'!$A:$A,$B168,'caseload data'!$B:$B,{"licence","community"}))</f>
        <v>0</v>
      </c>
      <c r="U170" s="95"/>
      <c r="V170" s="95"/>
      <c r="W170" s="330"/>
      <c r="X170" s="162" t="s">
        <v>186</v>
      </c>
      <c r="Y170" s="209" t="e">
        <f t="shared" si="51"/>
        <v>#DIV/0!</v>
      </c>
      <c r="Z170" s="209" t="e">
        <f t="shared" si="50"/>
        <v>#DIV/0!</v>
      </c>
      <c r="AA170" s="209" t="e">
        <f t="shared" si="50"/>
        <v>#DIV/0!</v>
      </c>
      <c r="AB170" s="209" t="e">
        <f t="shared" si="50"/>
        <v>#DIV/0!</v>
      </c>
      <c r="AC170" s="209" t="e">
        <f t="shared" si="50"/>
        <v>#DIV/0!</v>
      </c>
      <c r="AD170" s="209" t="e">
        <f t="shared" si="50"/>
        <v>#DIV/0!</v>
      </c>
      <c r="AE170" s="209" t="e">
        <f t="shared" si="50"/>
        <v>#DIV/0!</v>
      </c>
      <c r="AF170" s="209" t="e">
        <f t="shared" si="50"/>
        <v>#DIV/0!</v>
      </c>
      <c r="AG170" s="209" t="e">
        <f t="shared" si="50"/>
        <v>#DIV/0!</v>
      </c>
      <c r="AH170" s="209" t="e">
        <f t="shared" si="50"/>
        <v>#DIV/0!</v>
      </c>
      <c r="AI170" s="209" t="e">
        <f t="shared" si="50"/>
        <v>#DIV/0!</v>
      </c>
      <c r="AJ170" s="209" t="e">
        <f t="shared" si="50"/>
        <v>#DIV/0!</v>
      </c>
      <c r="AK170" s="209" t="e">
        <f t="shared" si="50"/>
        <v>#DIV/0!</v>
      </c>
      <c r="AL170" s="209" t="e">
        <f t="shared" si="50"/>
        <v>#DIV/0!</v>
      </c>
      <c r="AM170" s="209" t="e">
        <f t="shared" si="50"/>
        <v>#DIV/0!</v>
      </c>
      <c r="AN170" s="209" t="e">
        <f t="shared" si="50"/>
        <v>#DIV/0!</v>
      </c>
    </row>
    <row r="171" spans="2:40" s="30" customFormat="1" x14ac:dyDescent="0.15">
      <c r="B171" s="331"/>
      <c r="C171" s="163" t="s">
        <v>187</v>
      </c>
      <c r="D171" s="204" cm="1">
        <f t="array" ref="D171">SUM(SUMIFS('caseload data'!E:E,'caseload data'!$D:$D,"SPO",'caseload data'!$A:$A,$B168,'caseload data'!$B:$B,{"licence","community"}))</f>
        <v>0</v>
      </c>
      <c r="E171" s="204" cm="1">
        <f t="array" ref="E171">SUM(SUMIFS('caseload data'!F:F,'caseload data'!$D:$D,"SPO",'caseload data'!$A:$A,$B168,'caseload data'!$B:$B,{"licence","community"}))</f>
        <v>0</v>
      </c>
      <c r="F171" s="204" cm="1">
        <f t="array" ref="F171">SUM(SUMIFS('caseload data'!G:G,'caseload data'!$D:$D,"SPO",'caseload data'!$A:$A,$B168,'caseload data'!$B:$B,{"licence","community"}))</f>
        <v>0</v>
      </c>
      <c r="G171" s="204" cm="1">
        <f t="array" ref="G171">SUM(SUMIFS('caseload data'!H:H,'caseload data'!$D:$D,"SPO",'caseload data'!$A:$A,$B168,'caseload data'!$B:$B,{"licence","community"}))</f>
        <v>0</v>
      </c>
      <c r="H171" s="204" cm="1">
        <f t="array" ref="H171">SUM(SUMIFS('caseload data'!I:I,'caseload data'!$D:$D,"SPO",'caseload data'!$A:$A,$B168,'caseload data'!$B:$B,{"licence","community"}))</f>
        <v>0</v>
      </c>
      <c r="I171" s="204" cm="1">
        <f t="array" ref="I171">SUM(SUMIFS('caseload data'!J:J,'caseload data'!$D:$D,"SPO",'caseload data'!$A:$A,$B168,'caseload data'!$B:$B,{"licence","community"}))</f>
        <v>0</v>
      </c>
      <c r="J171" s="204" cm="1">
        <f t="array" ref="J171">SUM(SUMIFS('caseload data'!K:K,'caseload data'!$D:$D,"SPO",'caseload data'!$A:$A,$B168,'caseload data'!$B:$B,{"licence","community"}))</f>
        <v>0</v>
      </c>
      <c r="K171" s="204" cm="1">
        <f t="array" ref="K171">SUM(SUMIFS('caseload data'!L:L,'caseload data'!$D:$D,"SPO",'caseload data'!$A:$A,$B168,'caseload data'!$B:$B,{"licence","community"}))</f>
        <v>0</v>
      </c>
      <c r="L171" s="204" cm="1">
        <f t="array" ref="L171">SUM(SUMIFS('caseload data'!M:M,'caseload data'!$D:$D,"SPO",'caseload data'!$A:$A,$B168,'caseload data'!$B:$B,{"licence","community"}))</f>
        <v>0</v>
      </c>
      <c r="M171" s="204" cm="1">
        <f t="array" ref="M171">SUM(SUMIFS('caseload data'!N:N,'caseload data'!$D:$D,"SPO",'caseload data'!$A:$A,$B168,'caseload data'!$B:$B,{"licence","community"}))</f>
        <v>0</v>
      </c>
      <c r="N171" s="204" cm="1">
        <f t="array" ref="N171">SUM(SUMIFS('caseload data'!O:O,'caseload data'!$D:$D,"SPO",'caseload data'!$A:$A,$B168,'caseload data'!$B:$B,{"licence","community"}))</f>
        <v>0</v>
      </c>
      <c r="O171" s="204" cm="1">
        <f t="array" ref="O171">SUM(SUMIFS('caseload data'!P:P,'caseload data'!$D:$D,"SPO",'caseload data'!$A:$A,$B168,'caseload data'!$B:$B,{"licence","community"}))</f>
        <v>0</v>
      </c>
      <c r="P171" s="204" cm="1">
        <f t="array" ref="P171">SUM(SUMIFS('caseload data'!Q:Q,'caseload data'!$D:$D,"SPO",'caseload data'!$A:$A,$B168,'caseload data'!$B:$B,{"licence","community"}))</f>
        <v>0</v>
      </c>
      <c r="Q171" s="204" cm="1">
        <f t="array" ref="Q171">SUM(SUMIFS('caseload data'!R:R,'caseload data'!$D:$D,"SPO",'caseload data'!$A:$A,$B168,'caseload data'!$B:$B,{"licence","community"}))</f>
        <v>0</v>
      </c>
      <c r="R171" s="204" cm="1">
        <f t="array" ref="R171">SUM(SUMIFS('caseload data'!S:S,'caseload data'!$D:$D,"SPO",'caseload data'!$A:$A,$B168,'caseload data'!$B:$B,{"licence","community"}))</f>
        <v>0</v>
      </c>
      <c r="S171" s="204" cm="1">
        <f t="array" ref="S171">SUM(SUMIFS('caseload data'!T:T,'caseload data'!$D:$D,"SPO",'caseload data'!$A:$A,$B168,'caseload data'!$B:$B,{"licence","community"}))</f>
        <v>0</v>
      </c>
      <c r="T171" s="204" cm="1">
        <f t="array" ref="T171">SUM(SUMIFS('caseload data'!V:V,'caseload data'!$D:$D,"SPO",'caseload data'!$A:$A,$B168,'caseload data'!$B:$B,{"licence","community"}))</f>
        <v>0</v>
      </c>
      <c r="U171" s="95"/>
      <c r="V171" s="95"/>
      <c r="W171" s="331"/>
      <c r="X171" s="163" t="s">
        <v>187</v>
      </c>
      <c r="Y171" s="209" t="e">
        <f t="shared" si="51"/>
        <v>#DIV/0!</v>
      </c>
      <c r="Z171" s="209" t="e">
        <f t="shared" si="50"/>
        <v>#DIV/0!</v>
      </c>
      <c r="AA171" s="209" t="e">
        <f t="shared" si="50"/>
        <v>#DIV/0!</v>
      </c>
      <c r="AB171" s="209" t="e">
        <f t="shared" si="50"/>
        <v>#DIV/0!</v>
      </c>
      <c r="AC171" s="209" t="e">
        <f t="shared" si="50"/>
        <v>#DIV/0!</v>
      </c>
      <c r="AD171" s="209" t="e">
        <f t="shared" si="50"/>
        <v>#DIV/0!</v>
      </c>
      <c r="AE171" s="209" t="e">
        <f t="shared" si="50"/>
        <v>#DIV/0!</v>
      </c>
      <c r="AF171" s="209" t="e">
        <f t="shared" si="50"/>
        <v>#DIV/0!</v>
      </c>
      <c r="AG171" s="209" t="e">
        <f t="shared" si="50"/>
        <v>#DIV/0!</v>
      </c>
      <c r="AH171" s="209" t="e">
        <f t="shared" si="50"/>
        <v>#DIV/0!</v>
      </c>
      <c r="AI171" s="209" t="e">
        <f t="shared" si="50"/>
        <v>#DIV/0!</v>
      </c>
      <c r="AJ171" s="209" t="e">
        <f t="shared" si="50"/>
        <v>#DIV/0!</v>
      </c>
      <c r="AK171" s="209" t="e">
        <f t="shared" si="50"/>
        <v>#DIV/0!</v>
      </c>
      <c r="AL171" s="209" t="e">
        <f t="shared" si="50"/>
        <v>#DIV/0!</v>
      </c>
      <c r="AM171" s="209" t="e">
        <f t="shared" si="50"/>
        <v>#DIV/0!</v>
      </c>
      <c r="AN171" s="209" t="e">
        <f t="shared" si="50"/>
        <v>#DIV/0!</v>
      </c>
    </row>
    <row r="172" spans="2:40" s="30" customFormat="1" x14ac:dyDescent="0.15">
      <c r="B172" s="329" t="s">
        <v>518</v>
      </c>
      <c r="C172" s="161" t="s">
        <v>184</v>
      </c>
      <c r="D172" s="204" cm="1">
        <f t="array" ref="D172">SUM(SUMIFS('caseload data'!E:E,'caseload data'!$D:$D,"PO",'caseload data'!$A:$A,$B172,'caseload data'!$B:$B,{"licence","community"}))</f>
        <v>0</v>
      </c>
      <c r="E172" s="204" cm="1">
        <f t="array" ref="E172">SUM(SUMIFS('caseload data'!F:F,'caseload data'!$D:$D,"PO",'caseload data'!$A:$A,$B172,'caseload data'!$B:$B,{"licence","community"}))</f>
        <v>0</v>
      </c>
      <c r="F172" s="204" cm="1">
        <f t="array" ref="F172">SUM(SUMIFS('caseload data'!G:G,'caseload data'!$D:$D,"PO",'caseload data'!$A:$A,$B172,'caseload data'!$B:$B,{"licence","community"}))</f>
        <v>0</v>
      </c>
      <c r="G172" s="204" cm="1">
        <f t="array" ref="G172">SUM(SUMIFS('caseload data'!H:H,'caseload data'!$D:$D,"PO",'caseload data'!$A:$A,$B172,'caseload data'!$B:$B,{"licence","community"}))</f>
        <v>0</v>
      </c>
      <c r="H172" s="204" cm="1">
        <f t="array" ref="H172">SUM(SUMIFS('caseload data'!I:I,'caseload data'!$D:$D,"PO",'caseload data'!$A:$A,$B172,'caseload data'!$B:$B,{"licence","community"}))</f>
        <v>0</v>
      </c>
      <c r="I172" s="204" cm="1">
        <f t="array" ref="I172">SUM(SUMIFS('caseload data'!J:J,'caseload data'!$D:$D,"PO",'caseload data'!$A:$A,$B172,'caseload data'!$B:$B,{"licence","community"}))</f>
        <v>0</v>
      </c>
      <c r="J172" s="204" cm="1">
        <f t="array" ref="J172">SUM(SUMIFS('caseload data'!K:K,'caseload data'!$D:$D,"PO",'caseload data'!$A:$A,$B172,'caseload data'!$B:$B,{"licence","community"}))</f>
        <v>0</v>
      </c>
      <c r="K172" s="204" cm="1">
        <f t="array" ref="K172">SUM(SUMIFS('caseload data'!L:L,'caseload data'!$D:$D,"PO",'caseload data'!$A:$A,$B172,'caseload data'!$B:$B,{"licence","community"}))</f>
        <v>0</v>
      </c>
      <c r="L172" s="204" cm="1">
        <f t="array" ref="L172">SUM(SUMIFS('caseload data'!M:M,'caseload data'!$D:$D,"PO",'caseload data'!$A:$A,$B172,'caseload data'!$B:$B,{"licence","community"}))</f>
        <v>0</v>
      </c>
      <c r="M172" s="204" cm="1">
        <f t="array" ref="M172">SUM(SUMIFS('caseload data'!N:N,'caseload data'!$D:$D,"PO",'caseload data'!$A:$A,$B172,'caseload data'!$B:$B,{"licence","community"}))</f>
        <v>0</v>
      </c>
      <c r="N172" s="204" cm="1">
        <f t="array" ref="N172">SUM(SUMIFS('caseload data'!O:O,'caseload data'!$D:$D,"PO",'caseload data'!$A:$A,$B172,'caseload data'!$B:$B,{"licence","community"}))</f>
        <v>0</v>
      </c>
      <c r="O172" s="204" cm="1">
        <f t="array" ref="O172">SUM(SUMIFS('caseload data'!P:P,'caseload data'!$D:$D,"PO",'caseload data'!$A:$A,$B172,'caseload data'!$B:$B,{"licence","community"}))</f>
        <v>0</v>
      </c>
      <c r="P172" s="204" cm="1">
        <f t="array" ref="P172">SUM(SUMIFS('caseload data'!Q:Q,'caseload data'!$D:$D,"PO",'caseload data'!$A:$A,$B172,'caseload data'!$B:$B,{"licence","community"}))</f>
        <v>0</v>
      </c>
      <c r="Q172" s="204" cm="1">
        <f t="array" ref="Q172">SUM(SUMIFS('caseload data'!R:R,'caseload data'!$D:$D,"PO",'caseload data'!$A:$A,$B172,'caseload data'!$B:$B,{"licence","community"}))</f>
        <v>0</v>
      </c>
      <c r="R172" s="204" cm="1">
        <f t="array" ref="R172">SUM(SUMIFS('caseload data'!S:S,'caseload data'!$D:$D,"PO",'caseload data'!$A:$A,$B172,'caseload data'!$B:$B,{"licence","community"}))</f>
        <v>0</v>
      </c>
      <c r="S172" s="204" cm="1">
        <f t="array" ref="S172">SUM(SUMIFS('caseload data'!T:T,'caseload data'!$D:$D,"PO",'caseload data'!$A:$A,$B172,'caseload data'!$B:$B,{"licence","community"}))</f>
        <v>0</v>
      </c>
      <c r="T172" s="204" cm="1">
        <f t="array" ref="T172">SUM(SUMIFS('caseload data'!V:V,'caseload data'!$D:$D,"PO",'caseload data'!$A:$A,$B172,'caseload data'!$B:$B,{"licence","community"}))</f>
        <v>0</v>
      </c>
      <c r="U172" s="95"/>
      <c r="V172" s="95"/>
      <c r="W172" s="329" t="s">
        <v>518</v>
      </c>
      <c r="X172" s="161" t="s">
        <v>184</v>
      </c>
      <c r="Y172" s="209" t="e">
        <f>SUM(D172)/SUM(D$172:D$175)</f>
        <v>#DIV/0!</v>
      </c>
      <c r="Z172" s="209" t="e">
        <f t="shared" ref="Z172:AN175" si="52">SUM(E172)/SUM(E$172:E$175)</f>
        <v>#DIV/0!</v>
      </c>
      <c r="AA172" s="209" t="e">
        <f t="shared" si="52"/>
        <v>#DIV/0!</v>
      </c>
      <c r="AB172" s="209" t="e">
        <f t="shared" si="52"/>
        <v>#DIV/0!</v>
      </c>
      <c r="AC172" s="209" t="e">
        <f t="shared" si="52"/>
        <v>#DIV/0!</v>
      </c>
      <c r="AD172" s="209" t="e">
        <f t="shared" si="52"/>
        <v>#DIV/0!</v>
      </c>
      <c r="AE172" s="209" t="e">
        <f t="shared" si="52"/>
        <v>#DIV/0!</v>
      </c>
      <c r="AF172" s="209" t="e">
        <f t="shared" si="52"/>
        <v>#DIV/0!</v>
      </c>
      <c r="AG172" s="209" t="e">
        <f t="shared" si="52"/>
        <v>#DIV/0!</v>
      </c>
      <c r="AH172" s="209" t="e">
        <f t="shared" si="52"/>
        <v>#DIV/0!</v>
      </c>
      <c r="AI172" s="209" t="e">
        <f t="shared" si="52"/>
        <v>#DIV/0!</v>
      </c>
      <c r="AJ172" s="209" t="e">
        <f t="shared" si="52"/>
        <v>#DIV/0!</v>
      </c>
      <c r="AK172" s="209" t="e">
        <f t="shared" si="52"/>
        <v>#DIV/0!</v>
      </c>
      <c r="AL172" s="209" t="e">
        <f t="shared" si="52"/>
        <v>#DIV/0!</v>
      </c>
      <c r="AM172" s="209" t="e">
        <f t="shared" si="52"/>
        <v>#DIV/0!</v>
      </c>
      <c r="AN172" s="209" t="e">
        <f t="shared" si="52"/>
        <v>#DIV/0!</v>
      </c>
    </row>
    <row r="173" spans="2:40" s="30" customFormat="1" x14ac:dyDescent="0.15">
      <c r="B173" s="330"/>
      <c r="C173" s="162" t="s">
        <v>185</v>
      </c>
      <c r="D173" s="204" cm="1">
        <f t="array" ref="D173">SUM(SUMIFS('caseload data'!E:E,'caseload data'!$D:$D,"PSO",'caseload data'!$A:$A,$B172,'caseload data'!$B:$B,{"licence","community"}))</f>
        <v>0</v>
      </c>
      <c r="E173" s="204" cm="1">
        <f t="array" ref="E173">SUM(SUMIFS('caseload data'!F:F,'caseload data'!$D:$D,"PSO",'caseload data'!$A:$A,$B172,'caseload data'!$B:$B,{"licence","community"}))</f>
        <v>0</v>
      </c>
      <c r="F173" s="204" cm="1">
        <f t="array" ref="F173">SUM(SUMIFS('caseload data'!G:G,'caseload data'!$D:$D,"PSO",'caseload data'!$A:$A,$B172,'caseload data'!$B:$B,{"licence","community"}))</f>
        <v>0</v>
      </c>
      <c r="G173" s="204" cm="1">
        <f t="array" ref="G173">SUM(SUMIFS('caseload data'!H:H,'caseload data'!$D:$D,"PSO",'caseload data'!$A:$A,$B172,'caseload data'!$B:$B,{"licence","community"}))</f>
        <v>0</v>
      </c>
      <c r="H173" s="204" cm="1">
        <f t="array" ref="H173">SUM(SUMIFS('caseload data'!I:I,'caseload data'!$D:$D,"PSO",'caseload data'!$A:$A,$B172,'caseload data'!$B:$B,{"licence","community"}))</f>
        <v>0</v>
      </c>
      <c r="I173" s="204" cm="1">
        <f t="array" ref="I173">SUM(SUMIFS('caseload data'!J:J,'caseload data'!$D:$D,"PSO",'caseload data'!$A:$A,$B172,'caseload data'!$B:$B,{"licence","community"}))</f>
        <v>0</v>
      </c>
      <c r="J173" s="204" cm="1">
        <f t="array" ref="J173">SUM(SUMIFS('caseload data'!K:K,'caseload data'!$D:$D,"PSO",'caseload data'!$A:$A,$B172,'caseload data'!$B:$B,{"licence","community"}))</f>
        <v>0</v>
      </c>
      <c r="K173" s="204" cm="1">
        <f t="array" ref="K173">SUM(SUMIFS('caseload data'!L:L,'caseload data'!$D:$D,"PSO",'caseload data'!$A:$A,$B172,'caseload data'!$B:$B,{"licence","community"}))</f>
        <v>0</v>
      </c>
      <c r="L173" s="204" cm="1">
        <f t="array" ref="L173">SUM(SUMIFS('caseload data'!M:M,'caseload data'!$D:$D,"PSO",'caseload data'!$A:$A,$B172,'caseload data'!$B:$B,{"licence","community"}))</f>
        <v>0</v>
      </c>
      <c r="M173" s="204" cm="1">
        <f t="array" ref="M173">SUM(SUMIFS('caseload data'!N:N,'caseload data'!$D:$D,"PSO",'caseload data'!$A:$A,$B172,'caseload data'!$B:$B,{"licence","community"}))</f>
        <v>0</v>
      </c>
      <c r="N173" s="204" cm="1">
        <f t="array" ref="N173">SUM(SUMIFS('caseload data'!O:O,'caseload data'!$D:$D,"PSO",'caseload data'!$A:$A,$B172,'caseload data'!$B:$B,{"licence","community"}))</f>
        <v>0</v>
      </c>
      <c r="O173" s="204" cm="1">
        <f t="array" ref="O173">SUM(SUMIFS('caseload data'!P:P,'caseload data'!$D:$D,"PSO",'caseload data'!$A:$A,$B172,'caseload data'!$B:$B,{"licence","community"}))</f>
        <v>0</v>
      </c>
      <c r="P173" s="204" cm="1">
        <f t="array" ref="P173">SUM(SUMIFS('caseload data'!Q:Q,'caseload data'!$D:$D,"PSO",'caseload data'!$A:$A,$B172,'caseload data'!$B:$B,{"licence","community"}))</f>
        <v>0</v>
      </c>
      <c r="Q173" s="204" cm="1">
        <f t="array" ref="Q173">SUM(SUMIFS('caseload data'!R:R,'caseload data'!$D:$D,"PSO",'caseload data'!$A:$A,$B172,'caseload data'!$B:$B,{"licence","community"}))</f>
        <v>0</v>
      </c>
      <c r="R173" s="204" cm="1">
        <f t="array" ref="R173">SUM(SUMIFS('caseload data'!S:S,'caseload data'!$D:$D,"PSO",'caseload data'!$A:$A,$B172,'caseload data'!$B:$B,{"licence","community"}))</f>
        <v>0</v>
      </c>
      <c r="S173" s="204" cm="1">
        <f t="array" ref="S173">SUM(SUMIFS('caseload data'!T:T,'caseload data'!$D:$D,"PSO",'caseload data'!$A:$A,$B172,'caseload data'!$B:$B,{"licence","community"}))</f>
        <v>0</v>
      </c>
      <c r="T173" s="204" cm="1">
        <f t="array" ref="T173">SUM(SUMIFS('caseload data'!V:V,'caseload data'!$D:$D,"PSO",'caseload data'!$A:$A,$B172,'caseload data'!$B:$B,{"licence","community"}))</f>
        <v>0</v>
      </c>
      <c r="U173" s="95"/>
      <c r="V173" s="95"/>
      <c r="W173" s="330"/>
      <c r="X173" s="162" t="s">
        <v>185</v>
      </c>
      <c r="Y173" s="209" t="e">
        <f t="shared" ref="Y173:Y175" si="53">SUM(D173)/SUM(D$172:D$175)</f>
        <v>#DIV/0!</v>
      </c>
      <c r="Z173" s="209" t="e">
        <f t="shared" si="52"/>
        <v>#DIV/0!</v>
      </c>
      <c r="AA173" s="209" t="e">
        <f t="shared" si="52"/>
        <v>#DIV/0!</v>
      </c>
      <c r="AB173" s="209" t="e">
        <f t="shared" si="52"/>
        <v>#DIV/0!</v>
      </c>
      <c r="AC173" s="209" t="e">
        <f t="shared" si="52"/>
        <v>#DIV/0!</v>
      </c>
      <c r="AD173" s="209" t="e">
        <f t="shared" si="52"/>
        <v>#DIV/0!</v>
      </c>
      <c r="AE173" s="209" t="e">
        <f t="shared" si="52"/>
        <v>#DIV/0!</v>
      </c>
      <c r="AF173" s="209" t="e">
        <f t="shared" si="52"/>
        <v>#DIV/0!</v>
      </c>
      <c r="AG173" s="209" t="e">
        <f t="shared" si="52"/>
        <v>#DIV/0!</v>
      </c>
      <c r="AH173" s="209" t="e">
        <f t="shared" si="52"/>
        <v>#DIV/0!</v>
      </c>
      <c r="AI173" s="209" t="e">
        <f t="shared" si="52"/>
        <v>#DIV/0!</v>
      </c>
      <c r="AJ173" s="209" t="e">
        <f t="shared" si="52"/>
        <v>#DIV/0!</v>
      </c>
      <c r="AK173" s="209" t="e">
        <f t="shared" si="52"/>
        <v>#DIV/0!</v>
      </c>
      <c r="AL173" s="209" t="e">
        <f t="shared" si="52"/>
        <v>#DIV/0!</v>
      </c>
      <c r="AM173" s="209" t="e">
        <f t="shared" si="52"/>
        <v>#DIV/0!</v>
      </c>
      <c r="AN173" s="209" t="e">
        <f t="shared" si="52"/>
        <v>#DIV/0!</v>
      </c>
    </row>
    <row r="174" spans="2:40" s="30" customFormat="1" x14ac:dyDescent="0.15">
      <c r="B174" s="330"/>
      <c r="C174" s="162" t="s">
        <v>186</v>
      </c>
      <c r="D174" s="204" cm="1">
        <f t="array" ref="D174">SUM(SUMIFS('caseload data'!E:E,'caseload data'!$D:$D,"TPO",'caseload data'!$A:$A,$B172,'caseload data'!$B:$B,{"licence","community"}))</f>
        <v>0</v>
      </c>
      <c r="E174" s="204" cm="1">
        <f t="array" ref="E174">SUM(SUMIFS('caseload data'!F:F,'caseload data'!$D:$D,"TPO",'caseload data'!$A:$A,$B172,'caseload data'!$B:$B,{"licence","community"}))</f>
        <v>0</v>
      </c>
      <c r="F174" s="204" cm="1">
        <f t="array" ref="F174">SUM(SUMIFS('caseload data'!G:G,'caseload data'!$D:$D,"TPO",'caseload data'!$A:$A,$B172,'caseload data'!$B:$B,{"licence","community"}))</f>
        <v>0</v>
      </c>
      <c r="G174" s="204" cm="1">
        <f t="array" ref="G174">SUM(SUMIFS('caseload data'!H:H,'caseload data'!$D:$D,"TPO",'caseload data'!$A:$A,$B172,'caseload data'!$B:$B,{"licence","community"}))</f>
        <v>0</v>
      </c>
      <c r="H174" s="204" cm="1">
        <f t="array" ref="H174">SUM(SUMIFS('caseload data'!I:I,'caseload data'!$D:$D,"TPO",'caseload data'!$A:$A,$B172,'caseload data'!$B:$B,{"licence","community"}))</f>
        <v>0</v>
      </c>
      <c r="I174" s="204" cm="1">
        <f t="array" ref="I174">SUM(SUMIFS('caseload data'!J:J,'caseload data'!$D:$D,"TPO",'caseload data'!$A:$A,$B172,'caseload data'!$B:$B,{"licence","community"}))</f>
        <v>0</v>
      </c>
      <c r="J174" s="204" cm="1">
        <f t="array" ref="J174">SUM(SUMIFS('caseload data'!K:K,'caseload data'!$D:$D,"TPO",'caseload data'!$A:$A,$B172,'caseload data'!$B:$B,{"licence","community"}))</f>
        <v>0</v>
      </c>
      <c r="K174" s="204" cm="1">
        <f t="array" ref="K174">SUM(SUMIFS('caseload data'!L:L,'caseload data'!$D:$D,"TPO",'caseload data'!$A:$A,$B172,'caseload data'!$B:$B,{"licence","community"}))</f>
        <v>0</v>
      </c>
      <c r="L174" s="204" cm="1">
        <f t="array" ref="L174">SUM(SUMIFS('caseload data'!M:M,'caseload data'!$D:$D,"TPO",'caseload data'!$A:$A,$B172,'caseload data'!$B:$B,{"licence","community"}))</f>
        <v>0</v>
      </c>
      <c r="M174" s="204" cm="1">
        <f t="array" ref="M174">SUM(SUMIFS('caseload data'!N:N,'caseload data'!$D:$D,"TPO",'caseload data'!$A:$A,$B172,'caseload data'!$B:$B,{"licence","community"}))</f>
        <v>0</v>
      </c>
      <c r="N174" s="204" cm="1">
        <f t="array" ref="N174">SUM(SUMIFS('caseload data'!O:O,'caseload data'!$D:$D,"TPO",'caseload data'!$A:$A,$B172,'caseload data'!$B:$B,{"licence","community"}))</f>
        <v>0</v>
      </c>
      <c r="O174" s="204" cm="1">
        <f t="array" ref="O174">SUM(SUMIFS('caseload data'!P:P,'caseload data'!$D:$D,"TPO",'caseload data'!$A:$A,$B172,'caseload data'!$B:$B,{"licence","community"}))</f>
        <v>0</v>
      </c>
      <c r="P174" s="204" cm="1">
        <f t="array" ref="P174">SUM(SUMIFS('caseload data'!Q:Q,'caseload data'!$D:$D,"TPO",'caseload data'!$A:$A,$B172,'caseload data'!$B:$B,{"licence","community"}))</f>
        <v>0</v>
      </c>
      <c r="Q174" s="204" cm="1">
        <f t="array" ref="Q174">SUM(SUMIFS('caseload data'!R:R,'caseload data'!$D:$D,"TPO",'caseload data'!$A:$A,$B172,'caseload data'!$B:$B,{"licence","community"}))</f>
        <v>0</v>
      </c>
      <c r="R174" s="204" cm="1">
        <f t="array" ref="R174">SUM(SUMIFS('caseload data'!S:S,'caseload data'!$D:$D,"TPO",'caseload data'!$A:$A,$B172,'caseload data'!$B:$B,{"licence","community"}))</f>
        <v>0</v>
      </c>
      <c r="S174" s="204" cm="1">
        <f t="array" ref="S174">SUM(SUMIFS('caseload data'!T:T,'caseload data'!$D:$D,"TPO",'caseload data'!$A:$A,$B172,'caseload data'!$B:$B,{"licence","community"}))</f>
        <v>0</v>
      </c>
      <c r="T174" s="204" cm="1">
        <f t="array" ref="T174">SUM(SUMIFS('caseload data'!V:V,'caseload data'!$D:$D,"TPO",'caseload data'!$A:$A,$B172,'caseload data'!$B:$B,{"licence","community"}))</f>
        <v>0</v>
      </c>
      <c r="U174" s="95"/>
      <c r="V174" s="95"/>
      <c r="W174" s="330"/>
      <c r="X174" s="162" t="s">
        <v>186</v>
      </c>
      <c r="Y174" s="209" t="e">
        <f t="shared" si="53"/>
        <v>#DIV/0!</v>
      </c>
      <c r="Z174" s="209" t="e">
        <f t="shared" si="52"/>
        <v>#DIV/0!</v>
      </c>
      <c r="AA174" s="209" t="e">
        <f t="shared" si="52"/>
        <v>#DIV/0!</v>
      </c>
      <c r="AB174" s="209" t="e">
        <f t="shared" si="52"/>
        <v>#DIV/0!</v>
      </c>
      <c r="AC174" s="209" t="e">
        <f t="shared" si="52"/>
        <v>#DIV/0!</v>
      </c>
      <c r="AD174" s="209" t="e">
        <f t="shared" si="52"/>
        <v>#DIV/0!</v>
      </c>
      <c r="AE174" s="209" t="e">
        <f t="shared" si="52"/>
        <v>#DIV/0!</v>
      </c>
      <c r="AF174" s="209" t="e">
        <f t="shared" si="52"/>
        <v>#DIV/0!</v>
      </c>
      <c r="AG174" s="209" t="e">
        <f t="shared" si="52"/>
        <v>#DIV/0!</v>
      </c>
      <c r="AH174" s="209" t="e">
        <f t="shared" si="52"/>
        <v>#DIV/0!</v>
      </c>
      <c r="AI174" s="209" t="e">
        <f t="shared" si="52"/>
        <v>#DIV/0!</v>
      </c>
      <c r="AJ174" s="209" t="e">
        <f t="shared" si="52"/>
        <v>#DIV/0!</v>
      </c>
      <c r="AK174" s="209" t="e">
        <f t="shared" si="52"/>
        <v>#DIV/0!</v>
      </c>
      <c r="AL174" s="209" t="e">
        <f t="shared" si="52"/>
        <v>#DIV/0!</v>
      </c>
      <c r="AM174" s="209" t="e">
        <f t="shared" si="52"/>
        <v>#DIV/0!</v>
      </c>
      <c r="AN174" s="209" t="e">
        <f t="shared" si="52"/>
        <v>#DIV/0!</v>
      </c>
    </row>
    <row r="175" spans="2:40" s="30" customFormat="1" x14ac:dyDescent="0.15">
      <c r="B175" s="331"/>
      <c r="C175" s="163" t="s">
        <v>187</v>
      </c>
      <c r="D175" s="204" cm="1">
        <f t="array" ref="D175">SUM(SUMIFS('caseload data'!E:E,'caseload data'!$D:$D,"SPO",'caseload data'!$A:$A,$B172,'caseload data'!$B:$B,{"licence","community"}))</f>
        <v>0</v>
      </c>
      <c r="E175" s="204" cm="1">
        <f t="array" ref="E175">SUM(SUMIFS('caseload data'!F:F,'caseload data'!$D:$D,"SPO",'caseload data'!$A:$A,$B172,'caseload data'!$B:$B,{"licence","community"}))</f>
        <v>0</v>
      </c>
      <c r="F175" s="204" cm="1">
        <f t="array" ref="F175">SUM(SUMIFS('caseload data'!G:G,'caseload data'!$D:$D,"SPO",'caseload data'!$A:$A,$B172,'caseload data'!$B:$B,{"licence","community"}))</f>
        <v>0</v>
      </c>
      <c r="G175" s="204" cm="1">
        <f t="array" ref="G175">SUM(SUMIFS('caseload data'!H:H,'caseload data'!$D:$D,"SPO",'caseload data'!$A:$A,$B172,'caseload data'!$B:$B,{"licence","community"}))</f>
        <v>0</v>
      </c>
      <c r="H175" s="204" cm="1">
        <f t="array" ref="H175">SUM(SUMIFS('caseload data'!I:I,'caseload data'!$D:$D,"SPO",'caseload data'!$A:$A,$B172,'caseload data'!$B:$B,{"licence","community"}))</f>
        <v>0</v>
      </c>
      <c r="I175" s="204" cm="1">
        <f t="array" ref="I175">SUM(SUMIFS('caseload data'!J:J,'caseload data'!$D:$D,"SPO",'caseload data'!$A:$A,$B172,'caseload data'!$B:$B,{"licence","community"}))</f>
        <v>0</v>
      </c>
      <c r="J175" s="204" cm="1">
        <f t="array" ref="J175">SUM(SUMIFS('caseload data'!K:K,'caseload data'!$D:$D,"SPO",'caseload data'!$A:$A,$B172,'caseload data'!$B:$B,{"licence","community"}))</f>
        <v>0</v>
      </c>
      <c r="K175" s="204" cm="1">
        <f t="array" ref="K175">SUM(SUMIFS('caseload data'!L:L,'caseload data'!$D:$D,"SPO",'caseload data'!$A:$A,$B172,'caseload data'!$B:$B,{"licence","community"}))</f>
        <v>0</v>
      </c>
      <c r="L175" s="204" cm="1">
        <f t="array" ref="L175">SUM(SUMIFS('caseload data'!M:M,'caseload data'!$D:$D,"SPO",'caseload data'!$A:$A,$B172,'caseload data'!$B:$B,{"licence","community"}))</f>
        <v>0</v>
      </c>
      <c r="M175" s="204" cm="1">
        <f t="array" ref="M175">SUM(SUMIFS('caseload data'!N:N,'caseload data'!$D:$D,"SPO",'caseload data'!$A:$A,$B172,'caseload data'!$B:$B,{"licence","community"}))</f>
        <v>0</v>
      </c>
      <c r="N175" s="204" cm="1">
        <f t="array" ref="N175">SUM(SUMIFS('caseload data'!O:O,'caseload data'!$D:$D,"SPO",'caseload data'!$A:$A,$B172,'caseload data'!$B:$B,{"licence","community"}))</f>
        <v>0</v>
      </c>
      <c r="O175" s="204" cm="1">
        <f t="array" ref="O175">SUM(SUMIFS('caseload data'!P:P,'caseload data'!$D:$D,"SPO",'caseload data'!$A:$A,$B172,'caseload data'!$B:$B,{"licence","community"}))</f>
        <v>0</v>
      </c>
      <c r="P175" s="204" cm="1">
        <f t="array" ref="P175">SUM(SUMIFS('caseload data'!Q:Q,'caseload data'!$D:$D,"SPO",'caseload data'!$A:$A,$B172,'caseload data'!$B:$B,{"licence","community"}))</f>
        <v>0</v>
      </c>
      <c r="Q175" s="204" cm="1">
        <f t="array" ref="Q175">SUM(SUMIFS('caseload data'!R:R,'caseload data'!$D:$D,"SPO",'caseload data'!$A:$A,$B172,'caseload data'!$B:$B,{"licence","community"}))</f>
        <v>0</v>
      </c>
      <c r="R175" s="204" cm="1">
        <f t="array" ref="R175">SUM(SUMIFS('caseload data'!S:S,'caseload data'!$D:$D,"SPO",'caseload data'!$A:$A,$B172,'caseload data'!$B:$B,{"licence","community"}))</f>
        <v>0</v>
      </c>
      <c r="S175" s="204" cm="1">
        <f t="array" ref="S175">SUM(SUMIFS('caseload data'!T:T,'caseload data'!$D:$D,"SPO",'caseload data'!$A:$A,$B172,'caseload data'!$B:$B,{"licence","community"}))</f>
        <v>0</v>
      </c>
      <c r="T175" s="204" cm="1">
        <f t="array" ref="T175">SUM(SUMIFS('caseload data'!V:V,'caseload data'!$D:$D,"SPO",'caseload data'!$A:$A,$B172,'caseload data'!$B:$B,{"licence","community"}))</f>
        <v>0</v>
      </c>
      <c r="U175" s="95"/>
      <c r="V175" s="95"/>
      <c r="W175" s="331"/>
      <c r="X175" s="163" t="s">
        <v>187</v>
      </c>
      <c r="Y175" s="209" t="e">
        <f t="shared" si="53"/>
        <v>#DIV/0!</v>
      </c>
      <c r="Z175" s="209" t="e">
        <f t="shared" si="52"/>
        <v>#DIV/0!</v>
      </c>
      <c r="AA175" s="209" t="e">
        <f t="shared" si="52"/>
        <v>#DIV/0!</v>
      </c>
      <c r="AB175" s="209" t="e">
        <f t="shared" si="52"/>
        <v>#DIV/0!</v>
      </c>
      <c r="AC175" s="209" t="e">
        <f t="shared" si="52"/>
        <v>#DIV/0!</v>
      </c>
      <c r="AD175" s="209" t="e">
        <f t="shared" si="52"/>
        <v>#DIV/0!</v>
      </c>
      <c r="AE175" s="209" t="e">
        <f t="shared" si="52"/>
        <v>#DIV/0!</v>
      </c>
      <c r="AF175" s="209" t="e">
        <f t="shared" si="52"/>
        <v>#DIV/0!</v>
      </c>
      <c r="AG175" s="209" t="e">
        <f t="shared" si="52"/>
        <v>#DIV/0!</v>
      </c>
      <c r="AH175" s="209" t="e">
        <f t="shared" si="52"/>
        <v>#DIV/0!</v>
      </c>
      <c r="AI175" s="209" t="e">
        <f t="shared" si="52"/>
        <v>#DIV/0!</v>
      </c>
      <c r="AJ175" s="209" t="e">
        <f t="shared" si="52"/>
        <v>#DIV/0!</v>
      </c>
      <c r="AK175" s="209" t="e">
        <f t="shared" si="52"/>
        <v>#DIV/0!</v>
      </c>
      <c r="AL175" s="209" t="e">
        <f t="shared" si="52"/>
        <v>#DIV/0!</v>
      </c>
      <c r="AM175" s="209" t="e">
        <f t="shared" si="52"/>
        <v>#DIV/0!</v>
      </c>
      <c r="AN175" s="209" t="e">
        <f t="shared" si="52"/>
        <v>#DIV/0!</v>
      </c>
    </row>
    <row r="176" spans="2:40" s="30" customFormat="1" x14ac:dyDescent="0.15">
      <c r="B176" s="329" t="s">
        <v>519</v>
      </c>
      <c r="C176" s="161" t="s">
        <v>184</v>
      </c>
      <c r="D176" s="204" cm="1">
        <f t="array" ref="D176">SUM(SUMIFS('caseload data'!E:E,'caseload data'!$D:$D,"PO",'caseload data'!$A:$A,$B176,'caseload data'!$B:$B,{"licence","community"}))</f>
        <v>0</v>
      </c>
      <c r="E176" s="204" cm="1">
        <f t="array" ref="E176">SUM(SUMIFS('caseload data'!F:F,'caseload data'!$D:$D,"PO",'caseload data'!$A:$A,$B176,'caseload data'!$B:$B,{"licence","community"}))</f>
        <v>0</v>
      </c>
      <c r="F176" s="204" cm="1">
        <f t="array" ref="F176">SUM(SUMIFS('caseload data'!G:G,'caseload data'!$D:$D,"PO",'caseload data'!$A:$A,$B176,'caseload data'!$B:$B,{"licence","community"}))</f>
        <v>0</v>
      </c>
      <c r="G176" s="204" cm="1">
        <f t="array" ref="G176">SUM(SUMIFS('caseload data'!H:H,'caseload data'!$D:$D,"PO",'caseload data'!$A:$A,$B176,'caseload data'!$B:$B,{"licence","community"}))</f>
        <v>0</v>
      </c>
      <c r="H176" s="204" cm="1">
        <f t="array" ref="H176">SUM(SUMIFS('caseload data'!I:I,'caseload data'!$D:$D,"PO",'caseload data'!$A:$A,$B176,'caseload data'!$B:$B,{"licence","community"}))</f>
        <v>0</v>
      </c>
      <c r="I176" s="204" cm="1">
        <f t="array" ref="I176">SUM(SUMIFS('caseload data'!J:J,'caseload data'!$D:$D,"PO",'caseload data'!$A:$A,$B176,'caseload data'!$B:$B,{"licence","community"}))</f>
        <v>0</v>
      </c>
      <c r="J176" s="204" cm="1">
        <f t="array" ref="J176">SUM(SUMIFS('caseload data'!K:K,'caseload data'!$D:$D,"PO",'caseload data'!$A:$A,$B176,'caseload data'!$B:$B,{"licence","community"}))</f>
        <v>0</v>
      </c>
      <c r="K176" s="204" cm="1">
        <f t="array" ref="K176">SUM(SUMIFS('caseload data'!L:L,'caseload data'!$D:$D,"PO",'caseload data'!$A:$A,$B176,'caseload data'!$B:$B,{"licence","community"}))</f>
        <v>0</v>
      </c>
      <c r="L176" s="204" cm="1">
        <f t="array" ref="L176">SUM(SUMIFS('caseload data'!M:M,'caseload data'!$D:$D,"PO",'caseload data'!$A:$A,$B176,'caseload data'!$B:$B,{"licence","community"}))</f>
        <v>0</v>
      </c>
      <c r="M176" s="204" cm="1">
        <f t="array" ref="M176">SUM(SUMIFS('caseload data'!N:N,'caseload data'!$D:$D,"PO",'caseload data'!$A:$A,$B176,'caseload data'!$B:$B,{"licence","community"}))</f>
        <v>0</v>
      </c>
      <c r="N176" s="204" cm="1">
        <f t="array" ref="N176">SUM(SUMIFS('caseload data'!O:O,'caseload data'!$D:$D,"PO",'caseload data'!$A:$A,$B176,'caseload data'!$B:$B,{"licence","community"}))</f>
        <v>0</v>
      </c>
      <c r="O176" s="204" cm="1">
        <f t="array" ref="O176">SUM(SUMIFS('caseload data'!P:P,'caseload data'!$D:$D,"PO",'caseload data'!$A:$A,$B176,'caseload data'!$B:$B,{"licence","community"}))</f>
        <v>0</v>
      </c>
      <c r="P176" s="204" cm="1">
        <f t="array" ref="P176">SUM(SUMIFS('caseload data'!Q:Q,'caseload data'!$D:$D,"PO",'caseload data'!$A:$A,$B176,'caseload data'!$B:$B,{"licence","community"}))</f>
        <v>0</v>
      </c>
      <c r="Q176" s="204" cm="1">
        <f t="array" ref="Q176">SUM(SUMIFS('caseload data'!R:R,'caseload data'!$D:$D,"PO",'caseload data'!$A:$A,$B176,'caseload data'!$B:$B,{"licence","community"}))</f>
        <v>0</v>
      </c>
      <c r="R176" s="204" cm="1">
        <f t="array" ref="R176">SUM(SUMIFS('caseload data'!S:S,'caseload data'!$D:$D,"PO",'caseload data'!$A:$A,$B176,'caseload data'!$B:$B,{"licence","community"}))</f>
        <v>0</v>
      </c>
      <c r="S176" s="204" cm="1">
        <f t="array" ref="S176">SUM(SUMIFS('caseload data'!T:T,'caseload data'!$D:$D,"PO",'caseload data'!$A:$A,$B176,'caseload data'!$B:$B,{"licence","community"}))</f>
        <v>0</v>
      </c>
      <c r="T176" s="204" cm="1">
        <f t="array" ref="T176">SUM(SUMIFS('caseload data'!V:V,'caseload data'!$D:$D,"PO",'caseload data'!$A:$A,$B176,'caseload data'!$B:$B,{"licence","community"}))</f>
        <v>0</v>
      </c>
      <c r="U176" s="95"/>
      <c r="V176" s="95"/>
      <c r="W176" s="329" t="s">
        <v>519</v>
      </c>
      <c r="X176" s="161" t="s">
        <v>184</v>
      </c>
      <c r="Y176" s="209" t="e">
        <f>SUM(D176)/SUM(D$176:D$179)</f>
        <v>#DIV/0!</v>
      </c>
      <c r="Z176" s="209" t="e">
        <f t="shared" ref="Z176:AN179" si="54">SUM(E176)/SUM(E$176:E$179)</f>
        <v>#DIV/0!</v>
      </c>
      <c r="AA176" s="209" t="e">
        <f t="shared" si="54"/>
        <v>#DIV/0!</v>
      </c>
      <c r="AB176" s="209" t="e">
        <f t="shared" si="54"/>
        <v>#DIV/0!</v>
      </c>
      <c r="AC176" s="209" t="e">
        <f t="shared" si="54"/>
        <v>#DIV/0!</v>
      </c>
      <c r="AD176" s="209" t="e">
        <f t="shared" si="54"/>
        <v>#DIV/0!</v>
      </c>
      <c r="AE176" s="209" t="e">
        <f t="shared" si="54"/>
        <v>#DIV/0!</v>
      </c>
      <c r="AF176" s="209" t="e">
        <f t="shared" si="54"/>
        <v>#DIV/0!</v>
      </c>
      <c r="AG176" s="209" t="e">
        <f t="shared" si="54"/>
        <v>#DIV/0!</v>
      </c>
      <c r="AH176" s="209" t="e">
        <f t="shared" si="54"/>
        <v>#DIV/0!</v>
      </c>
      <c r="AI176" s="209" t="e">
        <f t="shared" si="54"/>
        <v>#DIV/0!</v>
      </c>
      <c r="AJ176" s="209" t="e">
        <f t="shared" si="54"/>
        <v>#DIV/0!</v>
      </c>
      <c r="AK176" s="209" t="e">
        <f t="shared" si="54"/>
        <v>#DIV/0!</v>
      </c>
      <c r="AL176" s="209" t="e">
        <f t="shared" si="54"/>
        <v>#DIV/0!</v>
      </c>
      <c r="AM176" s="209" t="e">
        <f t="shared" si="54"/>
        <v>#DIV/0!</v>
      </c>
      <c r="AN176" s="209" t="e">
        <f t="shared" si="54"/>
        <v>#DIV/0!</v>
      </c>
    </row>
    <row r="177" spans="2:40" s="30" customFormat="1" x14ac:dyDescent="0.15">
      <c r="B177" s="330"/>
      <c r="C177" s="162" t="s">
        <v>185</v>
      </c>
      <c r="D177" s="204" cm="1">
        <f t="array" ref="D177">SUM(SUMIFS('caseload data'!E:E,'caseload data'!$D:$D,"PSO",'caseload data'!$A:$A,$B176,'caseload data'!$B:$B,{"licence","community"}))</f>
        <v>0</v>
      </c>
      <c r="E177" s="204" cm="1">
        <f t="array" ref="E177">SUM(SUMIFS('caseload data'!F:F,'caseload data'!$D:$D,"PSO",'caseload data'!$A:$A,$B176,'caseload data'!$B:$B,{"licence","community"}))</f>
        <v>0</v>
      </c>
      <c r="F177" s="204" cm="1">
        <f t="array" ref="F177">SUM(SUMIFS('caseload data'!G:G,'caseload data'!$D:$D,"PSO",'caseload data'!$A:$A,$B176,'caseload data'!$B:$B,{"licence","community"}))</f>
        <v>0</v>
      </c>
      <c r="G177" s="204" cm="1">
        <f t="array" ref="G177">SUM(SUMIFS('caseload data'!H:H,'caseload data'!$D:$D,"PSO",'caseload data'!$A:$A,$B176,'caseload data'!$B:$B,{"licence","community"}))</f>
        <v>0</v>
      </c>
      <c r="H177" s="204" cm="1">
        <f t="array" ref="H177">SUM(SUMIFS('caseload data'!I:I,'caseload data'!$D:$D,"PSO",'caseload data'!$A:$A,$B176,'caseload data'!$B:$B,{"licence","community"}))</f>
        <v>0</v>
      </c>
      <c r="I177" s="204" cm="1">
        <f t="array" ref="I177">SUM(SUMIFS('caseload data'!J:J,'caseload data'!$D:$D,"PSO",'caseload data'!$A:$A,$B176,'caseload data'!$B:$B,{"licence","community"}))</f>
        <v>0</v>
      </c>
      <c r="J177" s="204" cm="1">
        <f t="array" ref="J177">SUM(SUMIFS('caseload data'!K:K,'caseload data'!$D:$D,"PSO",'caseload data'!$A:$A,$B176,'caseload data'!$B:$B,{"licence","community"}))</f>
        <v>0</v>
      </c>
      <c r="K177" s="204" cm="1">
        <f t="array" ref="K177">SUM(SUMIFS('caseload data'!L:L,'caseload data'!$D:$D,"PSO",'caseload data'!$A:$A,$B176,'caseload data'!$B:$B,{"licence","community"}))</f>
        <v>0</v>
      </c>
      <c r="L177" s="204" cm="1">
        <f t="array" ref="L177">SUM(SUMIFS('caseload data'!M:M,'caseload data'!$D:$D,"PSO",'caseload data'!$A:$A,$B176,'caseload data'!$B:$B,{"licence","community"}))</f>
        <v>0</v>
      </c>
      <c r="M177" s="204" cm="1">
        <f t="array" ref="M177">SUM(SUMIFS('caseload data'!N:N,'caseload data'!$D:$D,"PSO",'caseload data'!$A:$A,$B176,'caseload data'!$B:$B,{"licence","community"}))</f>
        <v>0</v>
      </c>
      <c r="N177" s="204" cm="1">
        <f t="array" ref="N177">SUM(SUMIFS('caseload data'!O:O,'caseload data'!$D:$D,"PSO",'caseload data'!$A:$A,$B176,'caseload data'!$B:$B,{"licence","community"}))</f>
        <v>0</v>
      </c>
      <c r="O177" s="204" cm="1">
        <f t="array" ref="O177">SUM(SUMIFS('caseload data'!P:P,'caseload data'!$D:$D,"PSO",'caseload data'!$A:$A,$B176,'caseload data'!$B:$B,{"licence","community"}))</f>
        <v>0</v>
      </c>
      <c r="P177" s="204" cm="1">
        <f t="array" ref="P177">SUM(SUMIFS('caseload data'!Q:Q,'caseload data'!$D:$D,"PSO",'caseload data'!$A:$A,$B176,'caseload data'!$B:$B,{"licence","community"}))</f>
        <v>0</v>
      </c>
      <c r="Q177" s="204" cm="1">
        <f t="array" ref="Q177">SUM(SUMIFS('caseload data'!R:R,'caseload data'!$D:$D,"PSO",'caseload data'!$A:$A,$B176,'caseload data'!$B:$B,{"licence","community"}))</f>
        <v>0</v>
      </c>
      <c r="R177" s="204" cm="1">
        <f t="array" ref="R177">SUM(SUMIFS('caseload data'!S:S,'caseload data'!$D:$D,"PSO",'caseload data'!$A:$A,$B176,'caseload data'!$B:$B,{"licence","community"}))</f>
        <v>0</v>
      </c>
      <c r="S177" s="204" cm="1">
        <f t="array" ref="S177">SUM(SUMIFS('caseload data'!T:T,'caseload data'!$D:$D,"PSO",'caseload data'!$A:$A,$B176,'caseload data'!$B:$B,{"licence","community"}))</f>
        <v>0</v>
      </c>
      <c r="T177" s="204" cm="1">
        <f t="array" ref="T177">SUM(SUMIFS('caseload data'!V:V,'caseload data'!$D:$D,"PSO",'caseload data'!$A:$A,$B176,'caseload data'!$B:$B,{"licence","community"}))</f>
        <v>0</v>
      </c>
      <c r="U177" s="95"/>
      <c r="V177" s="95"/>
      <c r="W177" s="330"/>
      <c r="X177" s="162" t="s">
        <v>185</v>
      </c>
      <c r="Y177" s="209" t="e">
        <f t="shared" ref="Y177:Y179" si="55">SUM(D177)/SUM(D$176:D$179)</f>
        <v>#DIV/0!</v>
      </c>
      <c r="Z177" s="209" t="e">
        <f t="shared" si="54"/>
        <v>#DIV/0!</v>
      </c>
      <c r="AA177" s="209" t="e">
        <f t="shared" si="54"/>
        <v>#DIV/0!</v>
      </c>
      <c r="AB177" s="209" t="e">
        <f t="shared" si="54"/>
        <v>#DIV/0!</v>
      </c>
      <c r="AC177" s="209" t="e">
        <f t="shared" si="54"/>
        <v>#DIV/0!</v>
      </c>
      <c r="AD177" s="209" t="e">
        <f t="shared" si="54"/>
        <v>#DIV/0!</v>
      </c>
      <c r="AE177" s="209" t="e">
        <f t="shared" si="54"/>
        <v>#DIV/0!</v>
      </c>
      <c r="AF177" s="209" t="e">
        <f t="shared" si="54"/>
        <v>#DIV/0!</v>
      </c>
      <c r="AG177" s="209" t="e">
        <f t="shared" si="54"/>
        <v>#DIV/0!</v>
      </c>
      <c r="AH177" s="209" t="e">
        <f t="shared" si="54"/>
        <v>#DIV/0!</v>
      </c>
      <c r="AI177" s="209" t="e">
        <f t="shared" si="54"/>
        <v>#DIV/0!</v>
      </c>
      <c r="AJ177" s="209" t="e">
        <f t="shared" si="54"/>
        <v>#DIV/0!</v>
      </c>
      <c r="AK177" s="209" t="e">
        <f t="shared" si="54"/>
        <v>#DIV/0!</v>
      </c>
      <c r="AL177" s="209" t="e">
        <f t="shared" si="54"/>
        <v>#DIV/0!</v>
      </c>
      <c r="AM177" s="209" t="e">
        <f t="shared" si="54"/>
        <v>#DIV/0!</v>
      </c>
      <c r="AN177" s="209" t="e">
        <f t="shared" si="54"/>
        <v>#DIV/0!</v>
      </c>
    </row>
    <row r="178" spans="2:40" s="30" customFormat="1" x14ac:dyDescent="0.15">
      <c r="B178" s="330"/>
      <c r="C178" s="162" t="s">
        <v>186</v>
      </c>
      <c r="D178" s="204" cm="1">
        <f t="array" ref="D178">SUM(SUMIFS('caseload data'!E:E,'caseload data'!$D:$D,"TPO",'caseload data'!$A:$A,$B176,'caseload data'!$B:$B,{"licence","community"}))</f>
        <v>0</v>
      </c>
      <c r="E178" s="204" cm="1">
        <f t="array" ref="E178">SUM(SUMIFS('caseload data'!F:F,'caseload data'!$D:$D,"TPO",'caseload data'!$A:$A,$B176,'caseload data'!$B:$B,{"licence","community"}))</f>
        <v>0</v>
      </c>
      <c r="F178" s="204" cm="1">
        <f t="array" ref="F178">SUM(SUMIFS('caseload data'!G:G,'caseload data'!$D:$D,"TPO",'caseload data'!$A:$A,$B176,'caseload data'!$B:$B,{"licence","community"}))</f>
        <v>0</v>
      </c>
      <c r="G178" s="204" cm="1">
        <f t="array" ref="G178">SUM(SUMIFS('caseload data'!H:H,'caseload data'!$D:$D,"TPO",'caseload data'!$A:$A,$B176,'caseload data'!$B:$B,{"licence","community"}))</f>
        <v>0</v>
      </c>
      <c r="H178" s="204" cm="1">
        <f t="array" ref="H178">SUM(SUMIFS('caseload data'!I:I,'caseload data'!$D:$D,"TPO",'caseload data'!$A:$A,$B176,'caseload data'!$B:$B,{"licence","community"}))</f>
        <v>0</v>
      </c>
      <c r="I178" s="204" cm="1">
        <f t="array" ref="I178">SUM(SUMIFS('caseload data'!J:J,'caseload data'!$D:$D,"TPO",'caseload data'!$A:$A,$B176,'caseload data'!$B:$B,{"licence","community"}))</f>
        <v>0</v>
      </c>
      <c r="J178" s="204" cm="1">
        <f t="array" ref="J178">SUM(SUMIFS('caseload data'!K:K,'caseload data'!$D:$D,"TPO",'caseload data'!$A:$A,$B176,'caseload data'!$B:$B,{"licence","community"}))</f>
        <v>0</v>
      </c>
      <c r="K178" s="204" cm="1">
        <f t="array" ref="K178">SUM(SUMIFS('caseload data'!L:L,'caseload data'!$D:$D,"TPO",'caseload data'!$A:$A,$B176,'caseload data'!$B:$B,{"licence","community"}))</f>
        <v>0</v>
      </c>
      <c r="L178" s="204" cm="1">
        <f t="array" ref="L178">SUM(SUMIFS('caseload data'!M:M,'caseload data'!$D:$D,"TPO",'caseload data'!$A:$A,$B176,'caseload data'!$B:$B,{"licence","community"}))</f>
        <v>0</v>
      </c>
      <c r="M178" s="204" cm="1">
        <f t="array" ref="M178">SUM(SUMIFS('caseload data'!N:N,'caseload data'!$D:$D,"TPO",'caseload data'!$A:$A,$B176,'caseload data'!$B:$B,{"licence","community"}))</f>
        <v>0</v>
      </c>
      <c r="N178" s="204" cm="1">
        <f t="array" ref="N178">SUM(SUMIFS('caseload data'!O:O,'caseload data'!$D:$D,"TPO",'caseload data'!$A:$A,$B176,'caseload data'!$B:$B,{"licence","community"}))</f>
        <v>0</v>
      </c>
      <c r="O178" s="204" cm="1">
        <f t="array" ref="O178">SUM(SUMIFS('caseload data'!P:P,'caseload data'!$D:$D,"TPO",'caseload data'!$A:$A,$B176,'caseload data'!$B:$B,{"licence","community"}))</f>
        <v>0</v>
      </c>
      <c r="P178" s="204" cm="1">
        <f t="array" ref="P178">SUM(SUMIFS('caseload data'!Q:Q,'caseload data'!$D:$D,"TPO",'caseload data'!$A:$A,$B176,'caseload data'!$B:$B,{"licence","community"}))</f>
        <v>0</v>
      </c>
      <c r="Q178" s="204" cm="1">
        <f t="array" ref="Q178">SUM(SUMIFS('caseload data'!R:R,'caseload data'!$D:$D,"TPO",'caseload data'!$A:$A,$B176,'caseload data'!$B:$B,{"licence","community"}))</f>
        <v>0</v>
      </c>
      <c r="R178" s="204" cm="1">
        <f t="array" ref="R178">SUM(SUMIFS('caseload data'!S:S,'caseload data'!$D:$D,"TPO",'caseload data'!$A:$A,$B176,'caseload data'!$B:$B,{"licence","community"}))</f>
        <v>0</v>
      </c>
      <c r="S178" s="204" cm="1">
        <f t="array" ref="S178">SUM(SUMIFS('caseload data'!T:T,'caseload data'!$D:$D,"TPO",'caseload data'!$A:$A,$B176,'caseload data'!$B:$B,{"licence","community"}))</f>
        <v>0</v>
      </c>
      <c r="T178" s="204" cm="1">
        <f t="array" ref="T178">SUM(SUMIFS('caseload data'!V:V,'caseload data'!$D:$D,"TPO",'caseload data'!$A:$A,$B176,'caseload data'!$B:$B,{"licence","community"}))</f>
        <v>0</v>
      </c>
      <c r="U178" s="95"/>
      <c r="V178" s="95"/>
      <c r="W178" s="330"/>
      <c r="X178" s="162" t="s">
        <v>186</v>
      </c>
      <c r="Y178" s="209" t="e">
        <f t="shared" si="55"/>
        <v>#DIV/0!</v>
      </c>
      <c r="Z178" s="209" t="e">
        <f t="shared" si="54"/>
        <v>#DIV/0!</v>
      </c>
      <c r="AA178" s="209" t="e">
        <f t="shared" si="54"/>
        <v>#DIV/0!</v>
      </c>
      <c r="AB178" s="209" t="e">
        <f t="shared" si="54"/>
        <v>#DIV/0!</v>
      </c>
      <c r="AC178" s="209" t="e">
        <f t="shared" si="54"/>
        <v>#DIV/0!</v>
      </c>
      <c r="AD178" s="209" t="e">
        <f t="shared" si="54"/>
        <v>#DIV/0!</v>
      </c>
      <c r="AE178" s="209" t="e">
        <f t="shared" si="54"/>
        <v>#DIV/0!</v>
      </c>
      <c r="AF178" s="209" t="e">
        <f t="shared" si="54"/>
        <v>#DIV/0!</v>
      </c>
      <c r="AG178" s="209" t="e">
        <f t="shared" si="54"/>
        <v>#DIV/0!</v>
      </c>
      <c r="AH178" s="209" t="e">
        <f t="shared" si="54"/>
        <v>#DIV/0!</v>
      </c>
      <c r="AI178" s="209" t="e">
        <f t="shared" si="54"/>
        <v>#DIV/0!</v>
      </c>
      <c r="AJ178" s="209" t="e">
        <f t="shared" si="54"/>
        <v>#DIV/0!</v>
      </c>
      <c r="AK178" s="209" t="e">
        <f t="shared" si="54"/>
        <v>#DIV/0!</v>
      </c>
      <c r="AL178" s="209" t="e">
        <f t="shared" si="54"/>
        <v>#DIV/0!</v>
      </c>
      <c r="AM178" s="209" t="e">
        <f t="shared" si="54"/>
        <v>#DIV/0!</v>
      </c>
      <c r="AN178" s="209" t="e">
        <f t="shared" si="54"/>
        <v>#DIV/0!</v>
      </c>
    </row>
    <row r="179" spans="2:40" s="30" customFormat="1" x14ac:dyDescent="0.15">
      <c r="B179" s="331"/>
      <c r="C179" s="163" t="s">
        <v>187</v>
      </c>
      <c r="D179" s="204" cm="1">
        <f t="array" ref="D179">SUM(SUMIFS('caseload data'!E:E,'caseload data'!$D:$D,"SPO",'caseload data'!$A:$A,$B176,'caseload data'!$B:$B,{"licence","community"}))</f>
        <v>0</v>
      </c>
      <c r="E179" s="204" cm="1">
        <f t="array" ref="E179">SUM(SUMIFS('caseload data'!F:F,'caseload data'!$D:$D,"SPO",'caseload data'!$A:$A,$B176,'caseload data'!$B:$B,{"licence","community"}))</f>
        <v>0</v>
      </c>
      <c r="F179" s="204" cm="1">
        <f t="array" ref="F179">SUM(SUMIFS('caseload data'!G:G,'caseload data'!$D:$D,"SPO",'caseload data'!$A:$A,$B176,'caseload data'!$B:$B,{"licence","community"}))</f>
        <v>0</v>
      </c>
      <c r="G179" s="204" cm="1">
        <f t="array" ref="G179">SUM(SUMIFS('caseload data'!H:H,'caseload data'!$D:$D,"SPO",'caseload data'!$A:$A,$B176,'caseload data'!$B:$B,{"licence","community"}))</f>
        <v>0</v>
      </c>
      <c r="H179" s="204" cm="1">
        <f t="array" ref="H179">SUM(SUMIFS('caseload data'!I:I,'caseload data'!$D:$D,"SPO",'caseload data'!$A:$A,$B176,'caseload data'!$B:$B,{"licence","community"}))</f>
        <v>0</v>
      </c>
      <c r="I179" s="204" cm="1">
        <f t="array" ref="I179">SUM(SUMIFS('caseload data'!J:J,'caseload data'!$D:$D,"SPO",'caseload data'!$A:$A,$B176,'caseload data'!$B:$B,{"licence","community"}))</f>
        <v>0</v>
      </c>
      <c r="J179" s="204" cm="1">
        <f t="array" ref="J179">SUM(SUMIFS('caseload data'!K:K,'caseload data'!$D:$D,"SPO",'caseload data'!$A:$A,$B176,'caseload data'!$B:$B,{"licence","community"}))</f>
        <v>0</v>
      </c>
      <c r="K179" s="204" cm="1">
        <f t="array" ref="K179">SUM(SUMIFS('caseload data'!L:L,'caseload data'!$D:$D,"SPO",'caseload data'!$A:$A,$B176,'caseload data'!$B:$B,{"licence","community"}))</f>
        <v>0</v>
      </c>
      <c r="L179" s="204" cm="1">
        <f t="array" ref="L179">SUM(SUMIFS('caseload data'!M:M,'caseload data'!$D:$D,"SPO",'caseload data'!$A:$A,$B176,'caseload data'!$B:$B,{"licence","community"}))</f>
        <v>0</v>
      </c>
      <c r="M179" s="204" cm="1">
        <f t="array" ref="M179">SUM(SUMIFS('caseload data'!N:N,'caseload data'!$D:$D,"SPO",'caseload data'!$A:$A,$B176,'caseload data'!$B:$B,{"licence","community"}))</f>
        <v>0</v>
      </c>
      <c r="N179" s="204" cm="1">
        <f t="array" ref="N179">SUM(SUMIFS('caseload data'!O:O,'caseload data'!$D:$D,"SPO",'caseload data'!$A:$A,$B176,'caseload data'!$B:$B,{"licence","community"}))</f>
        <v>0</v>
      </c>
      <c r="O179" s="204" cm="1">
        <f t="array" ref="O179">SUM(SUMIFS('caseload data'!P:P,'caseload data'!$D:$D,"SPO",'caseload data'!$A:$A,$B176,'caseload data'!$B:$B,{"licence","community"}))</f>
        <v>0</v>
      </c>
      <c r="P179" s="204" cm="1">
        <f t="array" ref="P179">SUM(SUMIFS('caseload data'!Q:Q,'caseload data'!$D:$D,"SPO",'caseload data'!$A:$A,$B176,'caseload data'!$B:$B,{"licence","community"}))</f>
        <v>0</v>
      </c>
      <c r="Q179" s="204" cm="1">
        <f t="array" ref="Q179">SUM(SUMIFS('caseload data'!R:R,'caseload data'!$D:$D,"SPO",'caseload data'!$A:$A,$B176,'caseload data'!$B:$B,{"licence","community"}))</f>
        <v>0</v>
      </c>
      <c r="R179" s="204" cm="1">
        <f t="array" ref="R179">SUM(SUMIFS('caseload data'!S:S,'caseload data'!$D:$D,"SPO",'caseload data'!$A:$A,$B176,'caseload data'!$B:$B,{"licence","community"}))</f>
        <v>0</v>
      </c>
      <c r="S179" s="204" cm="1">
        <f t="array" ref="S179">SUM(SUMIFS('caseload data'!T:T,'caseload data'!$D:$D,"SPO",'caseload data'!$A:$A,$B176,'caseload data'!$B:$B,{"licence","community"}))</f>
        <v>0</v>
      </c>
      <c r="T179" s="204" cm="1">
        <f t="array" ref="T179">SUM(SUMIFS('caseload data'!V:V,'caseload data'!$D:$D,"SPO",'caseload data'!$A:$A,$B176,'caseload data'!$B:$B,{"licence","community"}))</f>
        <v>0</v>
      </c>
      <c r="U179" s="95"/>
      <c r="V179" s="95"/>
      <c r="W179" s="331"/>
      <c r="X179" s="163" t="s">
        <v>187</v>
      </c>
      <c r="Y179" s="209" t="e">
        <f t="shared" si="55"/>
        <v>#DIV/0!</v>
      </c>
      <c r="Z179" s="209" t="e">
        <f t="shared" si="54"/>
        <v>#DIV/0!</v>
      </c>
      <c r="AA179" s="209" t="e">
        <f t="shared" si="54"/>
        <v>#DIV/0!</v>
      </c>
      <c r="AB179" s="209" t="e">
        <f t="shared" si="54"/>
        <v>#DIV/0!</v>
      </c>
      <c r="AC179" s="209" t="e">
        <f t="shared" si="54"/>
        <v>#DIV/0!</v>
      </c>
      <c r="AD179" s="209" t="e">
        <f t="shared" si="54"/>
        <v>#DIV/0!</v>
      </c>
      <c r="AE179" s="209" t="e">
        <f t="shared" si="54"/>
        <v>#DIV/0!</v>
      </c>
      <c r="AF179" s="209" t="e">
        <f t="shared" si="54"/>
        <v>#DIV/0!</v>
      </c>
      <c r="AG179" s="209" t="e">
        <f t="shared" si="54"/>
        <v>#DIV/0!</v>
      </c>
      <c r="AH179" s="209" t="e">
        <f t="shared" si="54"/>
        <v>#DIV/0!</v>
      </c>
      <c r="AI179" s="209" t="e">
        <f t="shared" si="54"/>
        <v>#DIV/0!</v>
      </c>
      <c r="AJ179" s="209" t="e">
        <f t="shared" si="54"/>
        <v>#DIV/0!</v>
      </c>
      <c r="AK179" s="209" t="e">
        <f t="shared" si="54"/>
        <v>#DIV/0!</v>
      </c>
      <c r="AL179" s="209" t="e">
        <f t="shared" si="54"/>
        <v>#DIV/0!</v>
      </c>
      <c r="AM179" s="209" t="e">
        <f t="shared" si="54"/>
        <v>#DIV/0!</v>
      </c>
      <c r="AN179" s="209" t="e">
        <f t="shared" si="54"/>
        <v>#DIV/0!</v>
      </c>
    </row>
    <row r="180" spans="2:40" s="30" customFormat="1" x14ac:dyDescent="0.15">
      <c r="B180" s="329" t="s">
        <v>520</v>
      </c>
      <c r="C180" s="161" t="s">
        <v>184</v>
      </c>
      <c r="D180" s="204" cm="1">
        <f t="array" ref="D180">SUM(SUMIFS('caseload data'!E:E,'caseload data'!$D:$D,"PO",'caseload data'!$A:$A,$B180,'caseload data'!$B:$B,{"licence","community"}))</f>
        <v>0</v>
      </c>
      <c r="E180" s="204" cm="1">
        <f t="array" ref="E180">SUM(SUMIFS('caseload data'!F:F,'caseload data'!$D:$D,"PO",'caseload data'!$A:$A,$B180,'caseload data'!$B:$B,{"licence","community"}))</f>
        <v>0</v>
      </c>
      <c r="F180" s="204" cm="1">
        <f t="array" ref="F180">SUM(SUMIFS('caseload data'!G:G,'caseload data'!$D:$D,"PO",'caseload data'!$A:$A,$B180,'caseload data'!$B:$B,{"licence","community"}))</f>
        <v>0</v>
      </c>
      <c r="G180" s="204" cm="1">
        <f t="array" ref="G180">SUM(SUMIFS('caseload data'!H:H,'caseload data'!$D:$D,"PO",'caseload data'!$A:$A,$B180,'caseload data'!$B:$B,{"licence","community"}))</f>
        <v>0</v>
      </c>
      <c r="H180" s="204" cm="1">
        <f t="array" ref="H180">SUM(SUMIFS('caseload data'!I:I,'caseload data'!$D:$D,"PO",'caseload data'!$A:$A,$B180,'caseload data'!$B:$B,{"licence","community"}))</f>
        <v>0</v>
      </c>
      <c r="I180" s="204" cm="1">
        <f t="array" ref="I180">SUM(SUMIFS('caseload data'!J:J,'caseload data'!$D:$D,"PO",'caseload data'!$A:$A,$B180,'caseload data'!$B:$B,{"licence","community"}))</f>
        <v>0</v>
      </c>
      <c r="J180" s="204" cm="1">
        <f t="array" ref="J180">SUM(SUMIFS('caseload data'!K:K,'caseload data'!$D:$D,"PO",'caseload data'!$A:$A,$B180,'caseload data'!$B:$B,{"licence","community"}))</f>
        <v>0</v>
      </c>
      <c r="K180" s="204" cm="1">
        <f t="array" ref="K180">SUM(SUMIFS('caseload data'!L:L,'caseload data'!$D:$D,"PO",'caseload data'!$A:$A,$B180,'caseload data'!$B:$B,{"licence","community"}))</f>
        <v>0</v>
      </c>
      <c r="L180" s="204" cm="1">
        <f t="array" ref="L180">SUM(SUMIFS('caseload data'!M:M,'caseload data'!$D:$D,"PO",'caseload data'!$A:$A,$B180,'caseload data'!$B:$B,{"licence","community"}))</f>
        <v>0</v>
      </c>
      <c r="M180" s="204" cm="1">
        <f t="array" ref="M180">SUM(SUMIFS('caseload data'!N:N,'caseload data'!$D:$D,"PO",'caseload data'!$A:$A,$B180,'caseload data'!$B:$B,{"licence","community"}))</f>
        <v>0</v>
      </c>
      <c r="N180" s="204" cm="1">
        <f t="array" ref="N180">SUM(SUMIFS('caseload data'!O:O,'caseload data'!$D:$D,"PO",'caseload data'!$A:$A,$B180,'caseload data'!$B:$B,{"licence","community"}))</f>
        <v>0</v>
      </c>
      <c r="O180" s="204" cm="1">
        <f t="array" ref="O180">SUM(SUMIFS('caseload data'!P:P,'caseload data'!$D:$D,"PO",'caseload data'!$A:$A,$B180,'caseload data'!$B:$B,{"licence","community"}))</f>
        <v>0</v>
      </c>
      <c r="P180" s="204" cm="1">
        <f t="array" ref="P180">SUM(SUMIFS('caseload data'!Q:Q,'caseload data'!$D:$D,"PO",'caseload data'!$A:$A,$B180,'caseload data'!$B:$B,{"licence","community"}))</f>
        <v>0</v>
      </c>
      <c r="Q180" s="204" cm="1">
        <f t="array" ref="Q180">SUM(SUMIFS('caseload data'!R:R,'caseload data'!$D:$D,"PO",'caseload data'!$A:$A,$B180,'caseload data'!$B:$B,{"licence","community"}))</f>
        <v>0</v>
      </c>
      <c r="R180" s="204" cm="1">
        <f t="array" ref="R180">SUM(SUMIFS('caseload data'!S:S,'caseload data'!$D:$D,"PO",'caseload data'!$A:$A,$B180,'caseload data'!$B:$B,{"licence","community"}))</f>
        <v>0</v>
      </c>
      <c r="S180" s="204" cm="1">
        <f t="array" ref="S180">SUM(SUMIFS('caseload data'!T:T,'caseload data'!$D:$D,"PO",'caseload data'!$A:$A,$B180,'caseload data'!$B:$B,{"licence","community"}))</f>
        <v>0</v>
      </c>
      <c r="T180" s="204" cm="1">
        <f t="array" ref="T180">SUM(SUMIFS('caseload data'!V:V,'caseload data'!$D:$D,"PO",'caseload data'!$A:$A,$B180,'caseload data'!$B:$B,{"licence","community"}))</f>
        <v>0</v>
      </c>
      <c r="U180" s="95"/>
      <c r="V180" s="95"/>
      <c r="W180" s="329" t="s">
        <v>520</v>
      </c>
      <c r="X180" s="161" t="s">
        <v>184</v>
      </c>
      <c r="Y180" s="209" t="e">
        <f>SUM(D180)/SUM(D$180:D$183)</f>
        <v>#DIV/0!</v>
      </c>
      <c r="Z180" s="209" t="e">
        <f t="shared" ref="Z180:AN183" si="56">SUM(E180)/SUM(E$180:E$183)</f>
        <v>#DIV/0!</v>
      </c>
      <c r="AA180" s="209" t="e">
        <f t="shared" si="56"/>
        <v>#DIV/0!</v>
      </c>
      <c r="AB180" s="209" t="e">
        <f t="shared" si="56"/>
        <v>#DIV/0!</v>
      </c>
      <c r="AC180" s="209" t="e">
        <f t="shared" si="56"/>
        <v>#DIV/0!</v>
      </c>
      <c r="AD180" s="209" t="e">
        <f t="shared" si="56"/>
        <v>#DIV/0!</v>
      </c>
      <c r="AE180" s="209" t="e">
        <f t="shared" si="56"/>
        <v>#DIV/0!</v>
      </c>
      <c r="AF180" s="209" t="e">
        <f t="shared" si="56"/>
        <v>#DIV/0!</v>
      </c>
      <c r="AG180" s="209" t="e">
        <f t="shared" si="56"/>
        <v>#DIV/0!</v>
      </c>
      <c r="AH180" s="209" t="e">
        <f t="shared" si="56"/>
        <v>#DIV/0!</v>
      </c>
      <c r="AI180" s="209" t="e">
        <f t="shared" si="56"/>
        <v>#DIV/0!</v>
      </c>
      <c r="AJ180" s="209" t="e">
        <f t="shared" si="56"/>
        <v>#DIV/0!</v>
      </c>
      <c r="AK180" s="209" t="e">
        <f t="shared" si="56"/>
        <v>#DIV/0!</v>
      </c>
      <c r="AL180" s="209" t="e">
        <f t="shared" si="56"/>
        <v>#DIV/0!</v>
      </c>
      <c r="AM180" s="209" t="e">
        <f t="shared" si="56"/>
        <v>#DIV/0!</v>
      </c>
      <c r="AN180" s="209" t="e">
        <f t="shared" si="56"/>
        <v>#DIV/0!</v>
      </c>
    </row>
    <row r="181" spans="2:40" s="30" customFormat="1" x14ac:dyDescent="0.15">
      <c r="B181" s="330"/>
      <c r="C181" s="162" t="s">
        <v>185</v>
      </c>
      <c r="D181" s="204" cm="1">
        <f t="array" ref="D181">SUM(SUMIFS('caseload data'!E:E,'caseload data'!$D:$D,"PSO",'caseload data'!$A:$A,$B180,'caseload data'!$B:$B,{"licence","community"}))</f>
        <v>0</v>
      </c>
      <c r="E181" s="204" cm="1">
        <f t="array" ref="E181">SUM(SUMIFS('caseload data'!F:F,'caseload data'!$D:$D,"PSO",'caseload data'!$A:$A,$B180,'caseload data'!$B:$B,{"licence","community"}))</f>
        <v>0</v>
      </c>
      <c r="F181" s="204" cm="1">
        <f t="array" ref="F181">SUM(SUMIFS('caseload data'!G:G,'caseload data'!$D:$D,"PSO",'caseload data'!$A:$A,$B180,'caseload data'!$B:$B,{"licence","community"}))</f>
        <v>0</v>
      </c>
      <c r="G181" s="204" cm="1">
        <f t="array" ref="G181">SUM(SUMIFS('caseload data'!H:H,'caseload data'!$D:$D,"PSO",'caseload data'!$A:$A,$B180,'caseload data'!$B:$B,{"licence","community"}))</f>
        <v>0</v>
      </c>
      <c r="H181" s="204" cm="1">
        <f t="array" ref="H181">SUM(SUMIFS('caseload data'!I:I,'caseload data'!$D:$D,"PSO",'caseload data'!$A:$A,$B180,'caseload data'!$B:$B,{"licence","community"}))</f>
        <v>0</v>
      </c>
      <c r="I181" s="204" cm="1">
        <f t="array" ref="I181">SUM(SUMIFS('caseload data'!J:J,'caseload data'!$D:$D,"PSO",'caseload data'!$A:$A,$B180,'caseload data'!$B:$B,{"licence","community"}))</f>
        <v>0</v>
      </c>
      <c r="J181" s="204" cm="1">
        <f t="array" ref="J181">SUM(SUMIFS('caseload data'!K:K,'caseload data'!$D:$D,"PSO",'caseload data'!$A:$A,$B180,'caseload data'!$B:$B,{"licence","community"}))</f>
        <v>0</v>
      </c>
      <c r="K181" s="204" cm="1">
        <f t="array" ref="K181">SUM(SUMIFS('caseload data'!L:L,'caseload data'!$D:$D,"PSO",'caseload data'!$A:$A,$B180,'caseload data'!$B:$B,{"licence","community"}))</f>
        <v>0</v>
      </c>
      <c r="L181" s="204" cm="1">
        <f t="array" ref="L181">SUM(SUMIFS('caseload data'!M:M,'caseload data'!$D:$D,"PSO",'caseload data'!$A:$A,$B180,'caseload data'!$B:$B,{"licence","community"}))</f>
        <v>0</v>
      </c>
      <c r="M181" s="204" cm="1">
        <f t="array" ref="M181">SUM(SUMIFS('caseload data'!N:N,'caseload data'!$D:$D,"PSO",'caseload data'!$A:$A,$B180,'caseload data'!$B:$B,{"licence","community"}))</f>
        <v>0</v>
      </c>
      <c r="N181" s="204" cm="1">
        <f t="array" ref="N181">SUM(SUMIFS('caseload data'!O:O,'caseload data'!$D:$D,"PSO",'caseload data'!$A:$A,$B180,'caseload data'!$B:$B,{"licence","community"}))</f>
        <v>0</v>
      </c>
      <c r="O181" s="204" cm="1">
        <f t="array" ref="O181">SUM(SUMIFS('caseload data'!P:P,'caseload data'!$D:$D,"PSO",'caseload data'!$A:$A,$B180,'caseload data'!$B:$B,{"licence","community"}))</f>
        <v>0</v>
      </c>
      <c r="P181" s="204" cm="1">
        <f t="array" ref="P181">SUM(SUMIFS('caseload data'!Q:Q,'caseload data'!$D:$D,"PSO",'caseload data'!$A:$A,$B180,'caseload data'!$B:$B,{"licence","community"}))</f>
        <v>0</v>
      </c>
      <c r="Q181" s="204" cm="1">
        <f t="array" ref="Q181">SUM(SUMIFS('caseload data'!R:R,'caseload data'!$D:$D,"PSO",'caseload data'!$A:$A,$B180,'caseload data'!$B:$B,{"licence","community"}))</f>
        <v>0</v>
      </c>
      <c r="R181" s="204" cm="1">
        <f t="array" ref="R181">SUM(SUMIFS('caseload data'!S:S,'caseload data'!$D:$D,"PSO",'caseload data'!$A:$A,$B180,'caseload data'!$B:$B,{"licence","community"}))</f>
        <v>0</v>
      </c>
      <c r="S181" s="204" cm="1">
        <f t="array" ref="S181">SUM(SUMIFS('caseload data'!T:T,'caseload data'!$D:$D,"PSO",'caseload data'!$A:$A,$B180,'caseload data'!$B:$B,{"licence","community"}))</f>
        <v>0</v>
      </c>
      <c r="T181" s="204" cm="1">
        <f t="array" ref="T181">SUM(SUMIFS('caseload data'!V:V,'caseload data'!$D:$D,"PSO",'caseload data'!$A:$A,$B180,'caseload data'!$B:$B,{"licence","community"}))</f>
        <v>0</v>
      </c>
      <c r="U181" s="95"/>
      <c r="V181" s="95"/>
      <c r="W181" s="330"/>
      <c r="X181" s="162" t="s">
        <v>185</v>
      </c>
      <c r="Y181" s="209" t="e">
        <f t="shared" ref="Y181:Y183" si="57">SUM(D181)/SUM(D$180:D$183)</f>
        <v>#DIV/0!</v>
      </c>
      <c r="Z181" s="209" t="e">
        <f t="shared" si="56"/>
        <v>#DIV/0!</v>
      </c>
      <c r="AA181" s="209" t="e">
        <f t="shared" si="56"/>
        <v>#DIV/0!</v>
      </c>
      <c r="AB181" s="209" t="e">
        <f t="shared" si="56"/>
        <v>#DIV/0!</v>
      </c>
      <c r="AC181" s="209" t="e">
        <f t="shared" si="56"/>
        <v>#DIV/0!</v>
      </c>
      <c r="AD181" s="209" t="e">
        <f t="shared" si="56"/>
        <v>#DIV/0!</v>
      </c>
      <c r="AE181" s="209" t="e">
        <f t="shared" si="56"/>
        <v>#DIV/0!</v>
      </c>
      <c r="AF181" s="209" t="e">
        <f t="shared" si="56"/>
        <v>#DIV/0!</v>
      </c>
      <c r="AG181" s="209" t="e">
        <f t="shared" si="56"/>
        <v>#DIV/0!</v>
      </c>
      <c r="AH181" s="209" t="e">
        <f t="shared" si="56"/>
        <v>#DIV/0!</v>
      </c>
      <c r="AI181" s="209" t="e">
        <f t="shared" si="56"/>
        <v>#DIV/0!</v>
      </c>
      <c r="AJ181" s="209" t="e">
        <f t="shared" si="56"/>
        <v>#DIV/0!</v>
      </c>
      <c r="AK181" s="209" t="e">
        <f t="shared" si="56"/>
        <v>#DIV/0!</v>
      </c>
      <c r="AL181" s="209" t="e">
        <f t="shared" si="56"/>
        <v>#DIV/0!</v>
      </c>
      <c r="AM181" s="209" t="e">
        <f t="shared" si="56"/>
        <v>#DIV/0!</v>
      </c>
      <c r="AN181" s="209" t="e">
        <f t="shared" si="56"/>
        <v>#DIV/0!</v>
      </c>
    </row>
    <row r="182" spans="2:40" s="30" customFormat="1" x14ac:dyDescent="0.15">
      <c r="B182" s="330"/>
      <c r="C182" s="162" t="s">
        <v>186</v>
      </c>
      <c r="D182" s="204" cm="1">
        <f t="array" ref="D182">SUM(SUMIFS('caseload data'!E:E,'caseload data'!$D:$D,"TPO",'caseload data'!$A:$A,$B180,'caseload data'!$B:$B,{"licence","community"}))</f>
        <v>0</v>
      </c>
      <c r="E182" s="204" cm="1">
        <f t="array" ref="E182">SUM(SUMIFS('caseload data'!F:F,'caseload data'!$D:$D,"TPO",'caseload data'!$A:$A,$B180,'caseload data'!$B:$B,{"licence","community"}))</f>
        <v>0</v>
      </c>
      <c r="F182" s="204" cm="1">
        <f t="array" ref="F182">SUM(SUMIFS('caseload data'!G:G,'caseload data'!$D:$D,"TPO",'caseload data'!$A:$A,$B180,'caseload data'!$B:$B,{"licence","community"}))</f>
        <v>0</v>
      </c>
      <c r="G182" s="204" cm="1">
        <f t="array" ref="G182">SUM(SUMIFS('caseload data'!H:H,'caseload data'!$D:$D,"TPO",'caseload data'!$A:$A,$B180,'caseload data'!$B:$B,{"licence","community"}))</f>
        <v>0</v>
      </c>
      <c r="H182" s="204" cm="1">
        <f t="array" ref="H182">SUM(SUMIFS('caseload data'!I:I,'caseload data'!$D:$D,"TPO",'caseload data'!$A:$A,$B180,'caseload data'!$B:$B,{"licence","community"}))</f>
        <v>0</v>
      </c>
      <c r="I182" s="204" cm="1">
        <f t="array" ref="I182">SUM(SUMIFS('caseload data'!J:J,'caseload data'!$D:$D,"TPO",'caseload data'!$A:$A,$B180,'caseload data'!$B:$B,{"licence","community"}))</f>
        <v>0</v>
      </c>
      <c r="J182" s="204" cm="1">
        <f t="array" ref="J182">SUM(SUMIFS('caseload data'!K:K,'caseload data'!$D:$D,"TPO",'caseload data'!$A:$A,$B180,'caseload data'!$B:$B,{"licence","community"}))</f>
        <v>0</v>
      </c>
      <c r="K182" s="204" cm="1">
        <f t="array" ref="K182">SUM(SUMIFS('caseload data'!L:L,'caseload data'!$D:$D,"TPO",'caseload data'!$A:$A,$B180,'caseload data'!$B:$B,{"licence","community"}))</f>
        <v>0</v>
      </c>
      <c r="L182" s="204" cm="1">
        <f t="array" ref="L182">SUM(SUMIFS('caseload data'!M:M,'caseload data'!$D:$D,"TPO",'caseload data'!$A:$A,$B180,'caseload data'!$B:$B,{"licence","community"}))</f>
        <v>0</v>
      </c>
      <c r="M182" s="204" cm="1">
        <f t="array" ref="M182">SUM(SUMIFS('caseload data'!N:N,'caseload data'!$D:$D,"TPO",'caseload data'!$A:$A,$B180,'caseload data'!$B:$B,{"licence","community"}))</f>
        <v>0</v>
      </c>
      <c r="N182" s="204" cm="1">
        <f t="array" ref="N182">SUM(SUMIFS('caseload data'!O:O,'caseload data'!$D:$D,"TPO",'caseload data'!$A:$A,$B180,'caseload data'!$B:$B,{"licence","community"}))</f>
        <v>0</v>
      </c>
      <c r="O182" s="204" cm="1">
        <f t="array" ref="O182">SUM(SUMIFS('caseload data'!P:P,'caseload data'!$D:$D,"TPO",'caseload data'!$A:$A,$B180,'caseload data'!$B:$B,{"licence","community"}))</f>
        <v>0</v>
      </c>
      <c r="P182" s="204" cm="1">
        <f t="array" ref="P182">SUM(SUMIFS('caseload data'!Q:Q,'caseload data'!$D:$D,"TPO",'caseload data'!$A:$A,$B180,'caseload data'!$B:$B,{"licence","community"}))</f>
        <v>0</v>
      </c>
      <c r="Q182" s="204" cm="1">
        <f t="array" ref="Q182">SUM(SUMIFS('caseload data'!R:R,'caseload data'!$D:$D,"TPO",'caseload data'!$A:$A,$B180,'caseload data'!$B:$B,{"licence","community"}))</f>
        <v>0</v>
      </c>
      <c r="R182" s="204" cm="1">
        <f t="array" ref="R182">SUM(SUMIFS('caseload data'!S:S,'caseload data'!$D:$D,"TPO",'caseload data'!$A:$A,$B180,'caseload data'!$B:$B,{"licence","community"}))</f>
        <v>0</v>
      </c>
      <c r="S182" s="204" cm="1">
        <f t="array" ref="S182">SUM(SUMIFS('caseload data'!T:T,'caseload data'!$D:$D,"TPO",'caseload data'!$A:$A,$B180,'caseload data'!$B:$B,{"licence","community"}))</f>
        <v>0</v>
      </c>
      <c r="T182" s="204" cm="1">
        <f t="array" ref="T182">SUM(SUMIFS('caseload data'!V:V,'caseload data'!$D:$D,"TPO",'caseload data'!$A:$A,$B180,'caseload data'!$B:$B,{"licence","community"}))</f>
        <v>0</v>
      </c>
      <c r="U182" s="95"/>
      <c r="V182" s="95"/>
      <c r="W182" s="330"/>
      <c r="X182" s="162" t="s">
        <v>186</v>
      </c>
      <c r="Y182" s="209" t="e">
        <f t="shared" si="57"/>
        <v>#DIV/0!</v>
      </c>
      <c r="Z182" s="209" t="e">
        <f t="shared" si="56"/>
        <v>#DIV/0!</v>
      </c>
      <c r="AA182" s="209" t="e">
        <f t="shared" si="56"/>
        <v>#DIV/0!</v>
      </c>
      <c r="AB182" s="209" t="e">
        <f t="shared" si="56"/>
        <v>#DIV/0!</v>
      </c>
      <c r="AC182" s="209" t="e">
        <f t="shared" si="56"/>
        <v>#DIV/0!</v>
      </c>
      <c r="AD182" s="209" t="e">
        <f t="shared" si="56"/>
        <v>#DIV/0!</v>
      </c>
      <c r="AE182" s="209" t="e">
        <f t="shared" si="56"/>
        <v>#DIV/0!</v>
      </c>
      <c r="AF182" s="209" t="e">
        <f t="shared" si="56"/>
        <v>#DIV/0!</v>
      </c>
      <c r="AG182" s="209" t="e">
        <f t="shared" si="56"/>
        <v>#DIV/0!</v>
      </c>
      <c r="AH182" s="209" t="e">
        <f t="shared" si="56"/>
        <v>#DIV/0!</v>
      </c>
      <c r="AI182" s="209" t="e">
        <f t="shared" si="56"/>
        <v>#DIV/0!</v>
      </c>
      <c r="AJ182" s="209" t="e">
        <f t="shared" si="56"/>
        <v>#DIV/0!</v>
      </c>
      <c r="AK182" s="209" t="e">
        <f t="shared" si="56"/>
        <v>#DIV/0!</v>
      </c>
      <c r="AL182" s="209" t="e">
        <f t="shared" si="56"/>
        <v>#DIV/0!</v>
      </c>
      <c r="AM182" s="209" t="e">
        <f t="shared" si="56"/>
        <v>#DIV/0!</v>
      </c>
      <c r="AN182" s="209" t="e">
        <f t="shared" si="56"/>
        <v>#DIV/0!</v>
      </c>
    </row>
    <row r="183" spans="2:40" s="30" customFormat="1" x14ac:dyDescent="0.15">
      <c r="B183" s="331"/>
      <c r="C183" s="163" t="s">
        <v>187</v>
      </c>
      <c r="D183" s="204" cm="1">
        <f t="array" ref="D183">SUM(SUMIFS('caseload data'!E:E,'caseload data'!$D:$D,"SPO",'caseload data'!$A:$A,$B180,'caseload data'!$B:$B,{"licence","community"}))</f>
        <v>0</v>
      </c>
      <c r="E183" s="204" cm="1">
        <f t="array" ref="E183">SUM(SUMIFS('caseload data'!F:F,'caseload data'!$D:$D,"SPO",'caseload data'!$A:$A,$B180,'caseload data'!$B:$B,{"licence","community"}))</f>
        <v>0</v>
      </c>
      <c r="F183" s="204" cm="1">
        <f t="array" ref="F183">SUM(SUMIFS('caseload data'!G:G,'caseload data'!$D:$D,"SPO",'caseload data'!$A:$A,$B180,'caseload data'!$B:$B,{"licence","community"}))</f>
        <v>0</v>
      </c>
      <c r="G183" s="204" cm="1">
        <f t="array" ref="G183">SUM(SUMIFS('caseload data'!H:H,'caseload data'!$D:$D,"SPO",'caseload data'!$A:$A,$B180,'caseload data'!$B:$B,{"licence","community"}))</f>
        <v>0</v>
      </c>
      <c r="H183" s="204" cm="1">
        <f t="array" ref="H183">SUM(SUMIFS('caseload data'!I:I,'caseload data'!$D:$D,"SPO",'caseload data'!$A:$A,$B180,'caseload data'!$B:$B,{"licence","community"}))</f>
        <v>0</v>
      </c>
      <c r="I183" s="204" cm="1">
        <f t="array" ref="I183">SUM(SUMIFS('caseload data'!J:J,'caseload data'!$D:$D,"SPO",'caseload data'!$A:$A,$B180,'caseload data'!$B:$B,{"licence","community"}))</f>
        <v>0</v>
      </c>
      <c r="J183" s="204" cm="1">
        <f t="array" ref="J183">SUM(SUMIFS('caseload data'!K:K,'caseload data'!$D:$D,"SPO",'caseload data'!$A:$A,$B180,'caseload data'!$B:$B,{"licence","community"}))</f>
        <v>0</v>
      </c>
      <c r="K183" s="204" cm="1">
        <f t="array" ref="K183">SUM(SUMIFS('caseload data'!L:L,'caseload data'!$D:$D,"SPO",'caseload data'!$A:$A,$B180,'caseload data'!$B:$B,{"licence","community"}))</f>
        <v>0</v>
      </c>
      <c r="L183" s="204" cm="1">
        <f t="array" ref="L183">SUM(SUMIFS('caseload data'!M:M,'caseload data'!$D:$D,"SPO",'caseload data'!$A:$A,$B180,'caseload data'!$B:$B,{"licence","community"}))</f>
        <v>0</v>
      </c>
      <c r="M183" s="204" cm="1">
        <f t="array" ref="M183">SUM(SUMIFS('caseload data'!N:N,'caseload data'!$D:$D,"SPO",'caseload data'!$A:$A,$B180,'caseload data'!$B:$B,{"licence","community"}))</f>
        <v>0</v>
      </c>
      <c r="N183" s="204" cm="1">
        <f t="array" ref="N183">SUM(SUMIFS('caseload data'!O:O,'caseload data'!$D:$D,"SPO",'caseload data'!$A:$A,$B180,'caseload data'!$B:$B,{"licence","community"}))</f>
        <v>0</v>
      </c>
      <c r="O183" s="204" cm="1">
        <f t="array" ref="O183">SUM(SUMIFS('caseload data'!P:P,'caseload data'!$D:$D,"SPO",'caseload data'!$A:$A,$B180,'caseload data'!$B:$B,{"licence","community"}))</f>
        <v>0</v>
      </c>
      <c r="P183" s="204" cm="1">
        <f t="array" ref="P183">SUM(SUMIFS('caseload data'!Q:Q,'caseload data'!$D:$D,"SPO",'caseload data'!$A:$A,$B180,'caseload data'!$B:$B,{"licence","community"}))</f>
        <v>0</v>
      </c>
      <c r="Q183" s="204" cm="1">
        <f t="array" ref="Q183">SUM(SUMIFS('caseload data'!R:R,'caseload data'!$D:$D,"SPO",'caseload data'!$A:$A,$B180,'caseload data'!$B:$B,{"licence","community"}))</f>
        <v>0</v>
      </c>
      <c r="R183" s="204" cm="1">
        <f t="array" ref="R183">SUM(SUMIFS('caseload data'!S:S,'caseload data'!$D:$D,"SPO",'caseload data'!$A:$A,$B180,'caseload data'!$B:$B,{"licence","community"}))</f>
        <v>0</v>
      </c>
      <c r="S183" s="204" cm="1">
        <f t="array" ref="S183">SUM(SUMIFS('caseload data'!T:T,'caseload data'!$D:$D,"SPO",'caseload data'!$A:$A,$B180,'caseload data'!$B:$B,{"licence","community"}))</f>
        <v>0</v>
      </c>
      <c r="T183" s="204" cm="1">
        <f t="array" ref="T183">SUM(SUMIFS('caseload data'!V:V,'caseload data'!$D:$D,"SPO",'caseload data'!$A:$A,$B180,'caseload data'!$B:$B,{"licence","community"}))</f>
        <v>0</v>
      </c>
      <c r="U183" s="95"/>
      <c r="V183" s="95"/>
      <c r="W183" s="331"/>
      <c r="X183" s="163" t="s">
        <v>187</v>
      </c>
      <c r="Y183" s="209" t="e">
        <f t="shared" si="57"/>
        <v>#DIV/0!</v>
      </c>
      <c r="Z183" s="209" t="e">
        <f t="shared" si="56"/>
        <v>#DIV/0!</v>
      </c>
      <c r="AA183" s="209" t="e">
        <f t="shared" si="56"/>
        <v>#DIV/0!</v>
      </c>
      <c r="AB183" s="209" t="e">
        <f t="shared" si="56"/>
        <v>#DIV/0!</v>
      </c>
      <c r="AC183" s="209" t="e">
        <f t="shared" si="56"/>
        <v>#DIV/0!</v>
      </c>
      <c r="AD183" s="209" t="e">
        <f t="shared" si="56"/>
        <v>#DIV/0!</v>
      </c>
      <c r="AE183" s="209" t="e">
        <f t="shared" si="56"/>
        <v>#DIV/0!</v>
      </c>
      <c r="AF183" s="209" t="e">
        <f t="shared" si="56"/>
        <v>#DIV/0!</v>
      </c>
      <c r="AG183" s="209" t="e">
        <f t="shared" si="56"/>
        <v>#DIV/0!</v>
      </c>
      <c r="AH183" s="209" t="e">
        <f t="shared" si="56"/>
        <v>#DIV/0!</v>
      </c>
      <c r="AI183" s="209" t="e">
        <f t="shared" si="56"/>
        <v>#DIV/0!</v>
      </c>
      <c r="AJ183" s="209" t="e">
        <f t="shared" si="56"/>
        <v>#DIV/0!</v>
      </c>
      <c r="AK183" s="209" t="e">
        <f t="shared" si="56"/>
        <v>#DIV/0!</v>
      </c>
      <c r="AL183" s="209" t="e">
        <f t="shared" si="56"/>
        <v>#DIV/0!</v>
      </c>
      <c r="AM183" s="209" t="e">
        <f t="shared" si="56"/>
        <v>#DIV/0!</v>
      </c>
      <c r="AN183" s="209" t="e">
        <f t="shared" si="56"/>
        <v>#DIV/0!</v>
      </c>
    </row>
    <row r="184" spans="2:40" s="30" customFormat="1" x14ac:dyDescent="0.15">
      <c r="B184" s="329" t="s">
        <v>521</v>
      </c>
      <c r="C184" s="161" t="s">
        <v>184</v>
      </c>
      <c r="D184" s="204" cm="1">
        <f t="array" ref="D184">SUM(SUMIFS('caseload data'!E:E,'caseload data'!$D:$D,"PO",'caseload data'!$A:$A,$B184,'caseload data'!$B:$B,{"licence","community"}))</f>
        <v>0</v>
      </c>
      <c r="E184" s="204" cm="1">
        <f t="array" ref="E184">SUM(SUMIFS('caseload data'!F:F,'caseload data'!$D:$D,"PO",'caseload data'!$A:$A,$B184,'caseload data'!$B:$B,{"licence","community"}))</f>
        <v>0</v>
      </c>
      <c r="F184" s="204" cm="1">
        <f t="array" ref="F184">SUM(SUMIFS('caseload data'!G:G,'caseload data'!$D:$D,"PO",'caseload data'!$A:$A,$B184,'caseload data'!$B:$B,{"licence","community"}))</f>
        <v>0</v>
      </c>
      <c r="G184" s="204" cm="1">
        <f t="array" ref="G184">SUM(SUMIFS('caseload data'!H:H,'caseload data'!$D:$D,"PO",'caseload data'!$A:$A,$B184,'caseload data'!$B:$B,{"licence","community"}))</f>
        <v>0</v>
      </c>
      <c r="H184" s="204" cm="1">
        <f t="array" ref="H184">SUM(SUMIFS('caseload data'!I:I,'caseload data'!$D:$D,"PO",'caseload data'!$A:$A,$B184,'caseload data'!$B:$B,{"licence","community"}))</f>
        <v>0</v>
      </c>
      <c r="I184" s="204" cm="1">
        <f t="array" ref="I184">SUM(SUMIFS('caseload data'!J:J,'caseload data'!$D:$D,"PO",'caseload data'!$A:$A,$B184,'caseload data'!$B:$B,{"licence","community"}))</f>
        <v>0</v>
      </c>
      <c r="J184" s="204" cm="1">
        <f t="array" ref="J184">SUM(SUMIFS('caseload data'!K:K,'caseload data'!$D:$D,"PO",'caseload data'!$A:$A,$B184,'caseload data'!$B:$B,{"licence","community"}))</f>
        <v>0</v>
      </c>
      <c r="K184" s="204" cm="1">
        <f t="array" ref="K184">SUM(SUMIFS('caseload data'!L:L,'caseload data'!$D:$D,"PO",'caseload data'!$A:$A,$B184,'caseload data'!$B:$B,{"licence","community"}))</f>
        <v>0</v>
      </c>
      <c r="L184" s="204" cm="1">
        <f t="array" ref="L184">SUM(SUMIFS('caseload data'!M:M,'caseload data'!$D:$D,"PO",'caseload data'!$A:$A,$B184,'caseload data'!$B:$B,{"licence","community"}))</f>
        <v>0</v>
      </c>
      <c r="M184" s="204" cm="1">
        <f t="array" ref="M184">SUM(SUMIFS('caseload data'!N:N,'caseload data'!$D:$D,"PO",'caseload data'!$A:$A,$B184,'caseload data'!$B:$B,{"licence","community"}))</f>
        <v>0</v>
      </c>
      <c r="N184" s="204" cm="1">
        <f t="array" ref="N184">SUM(SUMIFS('caseload data'!O:O,'caseload data'!$D:$D,"PO",'caseload data'!$A:$A,$B184,'caseload data'!$B:$B,{"licence","community"}))</f>
        <v>0</v>
      </c>
      <c r="O184" s="204" cm="1">
        <f t="array" ref="O184">SUM(SUMIFS('caseload data'!P:P,'caseload data'!$D:$D,"PO",'caseload data'!$A:$A,$B184,'caseload data'!$B:$B,{"licence","community"}))</f>
        <v>0</v>
      </c>
      <c r="P184" s="204" cm="1">
        <f t="array" ref="P184">SUM(SUMIFS('caseload data'!Q:Q,'caseload data'!$D:$D,"PO",'caseload data'!$A:$A,$B184,'caseload data'!$B:$B,{"licence","community"}))</f>
        <v>0</v>
      </c>
      <c r="Q184" s="204" cm="1">
        <f t="array" ref="Q184">SUM(SUMIFS('caseload data'!R:R,'caseload data'!$D:$D,"PO",'caseload data'!$A:$A,$B184,'caseload data'!$B:$B,{"licence","community"}))</f>
        <v>0</v>
      </c>
      <c r="R184" s="204" cm="1">
        <f t="array" ref="R184">SUM(SUMIFS('caseload data'!S:S,'caseload data'!$D:$D,"PO",'caseload data'!$A:$A,$B184,'caseload data'!$B:$B,{"licence","community"}))</f>
        <v>0</v>
      </c>
      <c r="S184" s="204" cm="1">
        <f t="array" ref="S184">SUM(SUMIFS('caseload data'!T:T,'caseload data'!$D:$D,"PO",'caseload data'!$A:$A,$B184,'caseload data'!$B:$B,{"licence","community"}))</f>
        <v>0</v>
      </c>
      <c r="T184" s="204" cm="1">
        <f t="array" ref="T184">SUM(SUMIFS('caseload data'!V:V,'caseload data'!$D:$D,"PO",'caseload data'!$A:$A,$B184,'caseload data'!$B:$B,{"licence","community"}))</f>
        <v>0</v>
      </c>
      <c r="U184" s="95"/>
      <c r="V184" s="95"/>
      <c r="W184" s="329" t="s">
        <v>521</v>
      </c>
      <c r="X184" s="161" t="s">
        <v>184</v>
      </c>
      <c r="Y184" s="209" t="e">
        <f>SUM(D184)/SUM(D$184:D$187)</f>
        <v>#DIV/0!</v>
      </c>
      <c r="Z184" s="209" t="e">
        <f t="shared" ref="Z184:AN187" si="58">SUM(E184)/SUM(E$184:E$187)</f>
        <v>#DIV/0!</v>
      </c>
      <c r="AA184" s="209" t="e">
        <f t="shared" si="58"/>
        <v>#DIV/0!</v>
      </c>
      <c r="AB184" s="209" t="e">
        <f t="shared" si="58"/>
        <v>#DIV/0!</v>
      </c>
      <c r="AC184" s="209" t="e">
        <f t="shared" si="58"/>
        <v>#DIV/0!</v>
      </c>
      <c r="AD184" s="209" t="e">
        <f t="shared" si="58"/>
        <v>#DIV/0!</v>
      </c>
      <c r="AE184" s="209" t="e">
        <f t="shared" si="58"/>
        <v>#DIV/0!</v>
      </c>
      <c r="AF184" s="209" t="e">
        <f t="shared" si="58"/>
        <v>#DIV/0!</v>
      </c>
      <c r="AG184" s="209" t="e">
        <f t="shared" si="58"/>
        <v>#DIV/0!</v>
      </c>
      <c r="AH184" s="209" t="e">
        <f t="shared" si="58"/>
        <v>#DIV/0!</v>
      </c>
      <c r="AI184" s="209" t="e">
        <f t="shared" si="58"/>
        <v>#DIV/0!</v>
      </c>
      <c r="AJ184" s="209" t="e">
        <f t="shared" si="58"/>
        <v>#DIV/0!</v>
      </c>
      <c r="AK184" s="209" t="e">
        <f t="shared" si="58"/>
        <v>#DIV/0!</v>
      </c>
      <c r="AL184" s="209" t="e">
        <f t="shared" si="58"/>
        <v>#DIV/0!</v>
      </c>
      <c r="AM184" s="209" t="e">
        <f t="shared" si="58"/>
        <v>#DIV/0!</v>
      </c>
      <c r="AN184" s="209" t="e">
        <f t="shared" si="58"/>
        <v>#DIV/0!</v>
      </c>
    </row>
    <row r="185" spans="2:40" s="30" customFormat="1" x14ac:dyDescent="0.15">
      <c r="B185" s="330"/>
      <c r="C185" s="162" t="s">
        <v>185</v>
      </c>
      <c r="D185" s="204" cm="1">
        <f t="array" ref="D185">SUM(SUMIFS('caseload data'!E:E,'caseload data'!$D:$D,"PSO",'caseload data'!$A:$A,$B184,'caseload data'!$B:$B,{"licence","community"}))</f>
        <v>0</v>
      </c>
      <c r="E185" s="204" cm="1">
        <f t="array" ref="E185">SUM(SUMIFS('caseload data'!F:F,'caseload data'!$D:$D,"PSO",'caseload data'!$A:$A,$B184,'caseload data'!$B:$B,{"licence","community"}))</f>
        <v>0</v>
      </c>
      <c r="F185" s="204" cm="1">
        <f t="array" ref="F185">SUM(SUMIFS('caseload data'!G:G,'caseload data'!$D:$D,"PSO",'caseload data'!$A:$A,$B184,'caseload data'!$B:$B,{"licence","community"}))</f>
        <v>0</v>
      </c>
      <c r="G185" s="204" cm="1">
        <f t="array" ref="G185">SUM(SUMIFS('caseload data'!H:H,'caseload data'!$D:$D,"PSO",'caseload data'!$A:$A,$B184,'caseload data'!$B:$B,{"licence","community"}))</f>
        <v>0</v>
      </c>
      <c r="H185" s="204" cm="1">
        <f t="array" ref="H185">SUM(SUMIFS('caseload data'!I:I,'caseload data'!$D:$D,"PSO",'caseload data'!$A:$A,$B184,'caseload data'!$B:$B,{"licence","community"}))</f>
        <v>0</v>
      </c>
      <c r="I185" s="204" cm="1">
        <f t="array" ref="I185">SUM(SUMIFS('caseload data'!J:J,'caseload data'!$D:$D,"PSO",'caseload data'!$A:$A,$B184,'caseload data'!$B:$B,{"licence","community"}))</f>
        <v>0</v>
      </c>
      <c r="J185" s="204" cm="1">
        <f t="array" ref="J185">SUM(SUMIFS('caseload data'!K:K,'caseload data'!$D:$D,"PSO",'caseload data'!$A:$A,$B184,'caseload data'!$B:$B,{"licence","community"}))</f>
        <v>0</v>
      </c>
      <c r="K185" s="204" cm="1">
        <f t="array" ref="K185">SUM(SUMIFS('caseload data'!L:L,'caseload data'!$D:$D,"PSO",'caseload data'!$A:$A,$B184,'caseload data'!$B:$B,{"licence","community"}))</f>
        <v>0</v>
      </c>
      <c r="L185" s="204" cm="1">
        <f t="array" ref="L185">SUM(SUMIFS('caseload data'!M:M,'caseload data'!$D:$D,"PSO",'caseload data'!$A:$A,$B184,'caseload data'!$B:$B,{"licence","community"}))</f>
        <v>0</v>
      </c>
      <c r="M185" s="204" cm="1">
        <f t="array" ref="M185">SUM(SUMIFS('caseload data'!N:N,'caseload data'!$D:$D,"PSO",'caseload data'!$A:$A,$B184,'caseload data'!$B:$B,{"licence","community"}))</f>
        <v>0</v>
      </c>
      <c r="N185" s="204" cm="1">
        <f t="array" ref="N185">SUM(SUMIFS('caseload data'!O:O,'caseload data'!$D:$D,"PSO",'caseload data'!$A:$A,$B184,'caseload data'!$B:$B,{"licence","community"}))</f>
        <v>0</v>
      </c>
      <c r="O185" s="204" cm="1">
        <f t="array" ref="O185">SUM(SUMIFS('caseload data'!P:P,'caseload data'!$D:$D,"PSO",'caseload data'!$A:$A,$B184,'caseload data'!$B:$B,{"licence","community"}))</f>
        <v>0</v>
      </c>
      <c r="P185" s="204" cm="1">
        <f t="array" ref="P185">SUM(SUMIFS('caseload data'!Q:Q,'caseload data'!$D:$D,"PSO",'caseload data'!$A:$A,$B184,'caseload data'!$B:$B,{"licence","community"}))</f>
        <v>0</v>
      </c>
      <c r="Q185" s="204" cm="1">
        <f t="array" ref="Q185">SUM(SUMIFS('caseload data'!R:R,'caseload data'!$D:$D,"PSO",'caseload data'!$A:$A,$B184,'caseload data'!$B:$B,{"licence","community"}))</f>
        <v>0</v>
      </c>
      <c r="R185" s="204" cm="1">
        <f t="array" ref="R185">SUM(SUMIFS('caseload data'!S:S,'caseload data'!$D:$D,"PSO",'caseload data'!$A:$A,$B184,'caseload data'!$B:$B,{"licence","community"}))</f>
        <v>0</v>
      </c>
      <c r="S185" s="204" cm="1">
        <f t="array" ref="S185">SUM(SUMIFS('caseload data'!T:T,'caseload data'!$D:$D,"PSO",'caseload data'!$A:$A,$B184,'caseload data'!$B:$B,{"licence","community"}))</f>
        <v>0</v>
      </c>
      <c r="T185" s="204" cm="1">
        <f t="array" ref="T185">SUM(SUMIFS('caseload data'!V:V,'caseload data'!$D:$D,"PSO",'caseload data'!$A:$A,$B184,'caseload data'!$B:$B,{"licence","community"}))</f>
        <v>0</v>
      </c>
      <c r="U185" s="95"/>
      <c r="V185" s="95"/>
      <c r="W185" s="330"/>
      <c r="X185" s="162" t="s">
        <v>185</v>
      </c>
      <c r="Y185" s="209" t="e">
        <f t="shared" ref="Y185:Y187" si="59">SUM(D185)/SUM(D$184:D$187)</f>
        <v>#DIV/0!</v>
      </c>
      <c r="Z185" s="209" t="e">
        <f t="shared" si="58"/>
        <v>#DIV/0!</v>
      </c>
      <c r="AA185" s="209" t="e">
        <f t="shared" si="58"/>
        <v>#DIV/0!</v>
      </c>
      <c r="AB185" s="209" t="e">
        <f t="shared" si="58"/>
        <v>#DIV/0!</v>
      </c>
      <c r="AC185" s="209" t="e">
        <f t="shared" si="58"/>
        <v>#DIV/0!</v>
      </c>
      <c r="AD185" s="209" t="e">
        <f t="shared" si="58"/>
        <v>#DIV/0!</v>
      </c>
      <c r="AE185" s="209" t="e">
        <f t="shared" si="58"/>
        <v>#DIV/0!</v>
      </c>
      <c r="AF185" s="209" t="e">
        <f t="shared" si="58"/>
        <v>#DIV/0!</v>
      </c>
      <c r="AG185" s="209" t="e">
        <f t="shared" si="58"/>
        <v>#DIV/0!</v>
      </c>
      <c r="AH185" s="209" t="e">
        <f t="shared" si="58"/>
        <v>#DIV/0!</v>
      </c>
      <c r="AI185" s="209" t="e">
        <f t="shared" si="58"/>
        <v>#DIV/0!</v>
      </c>
      <c r="AJ185" s="209" t="e">
        <f t="shared" si="58"/>
        <v>#DIV/0!</v>
      </c>
      <c r="AK185" s="209" t="e">
        <f t="shared" si="58"/>
        <v>#DIV/0!</v>
      </c>
      <c r="AL185" s="209" t="e">
        <f t="shared" si="58"/>
        <v>#DIV/0!</v>
      </c>
      <c r="AM185" s="209" t="e">
        <f t="shared" si="58"/>
        <v>#DIV/0!</v>
      </c>
      <c r="AN185" s="209" t="e">
        <f t="shared" si="58"/>
        <v>#DIV/0!</v>
      </c>
    </row>
    <row r="186" spans="2:40" s="30" customFormat="1" x14ac:dyDescent="0.15">
      <c r="B186" s="330"/>
      <c r="C186" s="162" t="s">
        <v>186</v>
      </c>
      <c r="D186" s="204" cm="1">
        <f t="array" ref="D186">SUM(SUMIFS('caseload data'!E:E,'caseload data'!$D:$D,"TPO",'caseload data'!$A:$A,$B184,'caseload data'!$B:$B,{"licence","community"}))</f>
        <v>0</v>
      </c>
      <c r="E186" s="204" cm="1">
        <f t="array" ref="E186">SUM(SUMIFS('caseload data'!F:F,'caseload data'!$D:$D,"TPO",'caseload data'!$A:$A,$B184,'caseload data'!$B:$B,{"licence","community"}))</f>
        <v>0</v>
      </c>
      <c r="F186" s="204" cm="1">
        <f t="array" ref="F186">SUM(SUMIFS('caseload data'!G:G,'caseload data'!$D:$D,"TPO",'caseload data'!$A:$A,$B184,'caseload data'!$B:$B,{"licence","community"}))</f>
        <v>0</v>
      </c>
      <c r="G186" s="204" cm="1">
        <f t="array" ref="G186">SUM(SUMIFS('caseload data'!H:H,'caseload data'!$D:$D,"TPO",'caseload data'!$A:$A,$B184,'caseload data'!$B:$B,{"licence","community"}))</f>
        <v>0</v>
      </c>
      <c r="H186" s="204" cm="1">
        <f t="array" ref="H186">SUM(SUMIFS('caseload data'!I:I,'caseload data'!$D:$D,"TPO",'caseload data'!$A:$A,$B184,'caseload data'!$B:$B,{"licence","community"}))</f>
        <v>0</v>
      </c>
      <c r="I186" s="204" cm="1">
        <f t="array" ref="I186">SUM(SUMIFS('caseload data'!J:J,'caseload data'!$D:$D,"TPO",'caseload data'!$A:$A,$B184,'caseload data'!$B:$B,{"licence","community"}))</f>
        <v>0</v>
      </c>
      <c r="J186" s="204" cm="1">
        <f t="array" ref="J186">SUM(SUMIFS('caseload data'!K:K,'caseload data'!$D:$D,"TPO",'caseload data'!$A:$A,$B184,'caseload data'!$B:$B,{"licence","community"}))</f>
        <v>0</v>
      </c>
      <c r="K186" s="204" cm="1">
        <f t="array" ref="K186">SUM(SUMIFS('caseload data'!L:L,'caseload data'!$D:$D,"TPO",'caseload data'!$A:$A,$B184,'caseload data'!$B:$B,{"licence","community"}))</f>
        <v>0</v>
      </c>
      <c r="L186" s="204" cm="1">
        <f t="array" ref="L186">SUM(SUMIFS('caseload data'!M:M,'caseload data'!$D:$D,"TPO",'caseload data'!$A:$A,$B184,'caseload data'!$B:$B,{"licence","community"}))</f>
        <v>0</v>
      </c>
      <c r="M186" s="204" cm="1">
        <f t="array" ref="M186">SUM(SUMIFS('caseload data'!N:N,'caseload data'!$D:$D,"TPO",'caseload data'!$A:$A,$B184,'caseload data'!$B:$B,{"licence","community"}))</f>
        <v>0</v>
      </c>
      <c r="N186" s="204" cm="1">
        <f t="array" ref="N186">SUM(SUMIFS('caseload data'!O:O,'caseload data'!$D:$D,"TPO",'caseload data'!$A:$A,$B184,'caseload data'!$B:$B,{"licence","community"}))</f>
        <v>0</v>
      </c>
      <c r="O186" s="204" cm="1">
        <f t="array" ref="O186">SUM(SUMIFS('caseload data'!P:P,'caseload data'!$D:$D,"TPO",'caseload data'!$A:$A,$B184,'caseload data'!$B:$B,{"licence","community"}))</f>
        <v>0</v>
      </c>
      <c r="P186" s="204" cm="1">
        <f t="array" ref="P186">SUM(SUMIFS('caseload data'!Q:Q,'caseload data'!$D:$D,"TPO",'caseload data'!$A:$A,$B184,'caseload data'!$B:$B,{"licence","community"}))</f>
        <v>0</v>
      </c>
      <c r="Q186" s="204" cm="1">
        <f t="array" ref="Q186">SUM(SUMIFS('caseload data'!R:R,'caseload data'!$D:$D,"TPO",'caseload data'!$A:$A,$B184,'caseload data'!$B:$B,{"licence","community"}))</f>
        <v>0</v>
      </c>
      <c r="R186" s="204" cm="1">
        <f t="array" ref="R186">SUM(SUMIFS('caseload data'!S:S,'caseload data'!$D:$D,"TPO",'caseload data'!$A:$A,$B184,'caseload data'!$B:$B,{"licence","community"}))</f>
        <v>0</v>
      </c>
      <c r="S186" s="204" cm="1">
        <f t="array" ref="S186">SUM(SUMIFS('caseload data'!T:T,'caseload data'!$D:$D,"TPO",'caseload data'!$A:$A,$B184,'caseload data'!$B:$B,{"licence","community"}))</f>
        <v>0</v>
      </c>
      <c r="T186" s="204" cm="1">
        <f t="array" ref="T186">SUM(SUMIFS('caseload data'!V:V,'caseload data'!$D:$D,"TPO",'caseload data'!$A:$A,$B184,'caseload data'!$B:$B,{"licence","community"}))</f>
        <v>0</v>
      </c>
      <c r="U186" s="95"/>
      <c r="V186" s="95"/>
      <c r="W186" s="330"/>
      <c r="X186" s="162" t="s">
        <v>186</v>
      </c>
      <c r="Y186" s="209" t="e">
        <f t="shared" si="59"/>
        <v>#DIV/0!</v>
      </c>
      <c r="Z186" s="209" t="e">
        <f t="shared" si="58"/>
        <v>#DIV/0!</v>
      </c>
      <c r="AA186" s="209" t="e">
        <f t="shared" si="58"/>
        <v>#DIV/0!</v>
      </c>
      <c r="AB186" s="209" t="e">
        <f t="shared" si="58"/>
        <v>#DIV/0!</v>
      </c>
      <c r="AC186" s="209" t="e">
        <f t="shared" si="58"/>
        <v>#DIV/0!</v>
      </c>
      <c r="AD186" s="209" t="e">
        <f t="shared" si="58"/>
        <v>#DIV/0!</v>
      </c>
      <c r="AE186" s="209" t="e">
        <f t="shared" si="58"/>
        <v>#DIV/0!</v>
      </c>
      <c r="AF186" s="209" t="e">
        <f t="shared" si="58"/>
        <v>#DIV/0!</v>
      </c>
      <c r="AG186" s="209" t="e">
        <f t="shared" si="58"/>
        <v>#DIV/0!</v>
      </c>
      <c r="AH186" s="209" t="e">
        <f t="shared" si="58"/>
        <v>#DIV/0!</v>
      </c>
      <c r="AI186" s="209" t="e">
        <f t="shared" si="58"/>
        <v>#DIV/0!</v>
      </c>
      <c r="AJ186" s="209" t="e">
        <f t="shared" si="58"/>
        <v>#DIV/0!</v>
      </c>
      <c r="AK186" s="209" t="e">
        <f t="shared" si="58"/>
        <v>#DIV/0!</v>
      </c>
      <c r="AL186" s="209" t="e">
        <f t="shared" si="58"/>
        <v>#DIV/0!</v>
      </c>
      <c r="AM186" s="209" t="e">
        <f t="shared" si="58"/>
        <v>#DIV/0!</v>
      </c>
      <c r="AN186" s="209" t="e">
        <f t="shared" si="58"/>
        <v>#DIV/0!</v>
      </c>
    </row>
    <row r="187" spans="2:40" s="30" customFormat="1" x14ac:dyDescent="0.15">
      <c r="B187" s="331"/>
      <c r="C187" s="163" t="s">
        <v>187</v>
      </c>
      <c r="D187" s="204" cm="1">
        <f t="array" ref="D187">SUM(SUMIFS('caseload data'!E:E,'caseload data'!$D:$D,"SPO",'caseload data'!$A:$A,$B184,'caseload data'!$B:$B,{"licence","community"}))</f>
        <v>0</v>
      </c>
      <c r="E187" s="204" cm="1">
        <f t="array" ref="E187">SUM(SUMIFS('caseload data'!F:F,'caseload data'!$D:$D,"SPO",'caseload data'!$A:$A,$B184,'caseload data'!$B:$B,{"licence","community"}))</f>
        <v>0</v>
      </c>
      <c r="F187" s="204" cm="1">
        <f t="array" ref="F187">SUM(SUMIFS('caseload data'!G:G,'caseload data'!$D:$D,"SPO",'caseload data'!$A:$A,$B184,'caseload data'!$B:$B,{"licence","community"}))</f>
        <v>0</v>
      </c>
      <c r="G187" s="204" cm="1">
        <f t="array" ref="G187">SUM(SUMIFS('caseload data'!H:H,'caseload data'!$D:$D,"SPO",'caseload data'!$A:$A,$B184,'caseload data'!$B:$B,{"licence","community"}))</f>
        <v>0</v>
      </c>
      <c r="H187" s="204" cm="1">
        <f t="array" ref="H187">SUM(SUMIFS('caseload data'!I:I,'caseload data'!$D:$D,"SPO",'caseload data'!$A:$A,$B184,'caseload data'!$B:$B,{"licence","community"}))</f>
        <v>0</v>
      </c>
      <c r="I187" s="204" cm="1">
        <f t="array" ref="I187">SUM(SUMIFS('caseload data'!J:J,'caseload data'!$D:$D,"SPO",'caseload data'!$A:$A,$B184,'caseload data'!$B:$B,{"licence","community"}))</f>
        <v>0</v>
      </c>
      <c r="J187" s="204" cm="1">
        <f t="array" ref="J187">SUM(SUMIFS('caseload data'!K:K,'caseload data'!$D:$D,"SPO",'caseload data'!$A:$A,$B184,'caseload data'!$B:$B,{"licence","community"}))</f>
        <v>0</v>
      </c>
      <c r="K187" s="204" cm="1">
        <f t="array" ref="K187">SUM(SUMIFS('caseload data'!L:L,'caseload data'!$D:$D,"SPO",'caseload data'!$A:$A,$B184,'caseload data'!$B:$B,{"licence","community"}))</f>
        <v>0</v>
      </c>
      <c r="L187" s="204" cm="1">
        <f t="array" ref="L187">SUM(SUMIFS('caseload data'!M:M,'caseload data'!$D:$D,"SPO",'caseload data'!$A:$A,$B184,'caseload data'!$B:$B,{"licence","community"}))</f>
        <v>0</v>
      </c>
      <c r="M187" s="204" cm="1">
        <f t="array" ref="M187">SUM(SUMIFS('caseload data'!N:N,'caseload data'!$D:$D,"SPO",'caseload data'!$A:$A,$B184,'caseload data'!$B:$B,{"licence","community"}))</f>
        <v>0</v>
      </c>
      <c r="N187" s="204" cm="1">
        <f t="array" ref="N187">SUM(SUMIFS('caseload data'!O:O,'caseload data'!$D:$D,"SPO",'caseload data'!$A:$A,$B184,'caseload data'!$B:$B,{"licence","community"}))</f>
        <v>0</v>
      </c>
      <c r="O187" s="204" cm="1">
        <f t="array" ref="O187">SUM(SUMIFS('caseload data'!P:P,'caseload data'!$D:$D,"SPO",'caseload data'!$A:$A,$B184,'caseload data'!$B:$B,{"licence","community"}))</f>
        <v>0</v>
      </c>
      <c r="P187" s="204" cm="1">
        <f t="array" ref="P187">SUM(SUMIFS('caseload data'!Q:Q,'caseload data'!$D:$D,"SPO",'caseload data'!$A:$A,$B184,'caseload data'!$B:$B,{"licence","community"}))</f>
        <v>0</v>
      </c>
      <c r="Q187" s="204" cm="1">
        <f t="array" ref="Q187">SUM(SUMIFS('caseload data'!R:R,'caseload data'!$D:$D,"SPO",'caseload data'!$A:$A,$B184,'caseload data'!$B:$B,{"licence","community"}))</f>
        <v>0</v>
      </c>
      <c r="R187" s="204" cm="1">
        <f t="array" ref="R187">SUM(SUMIFS('caseload data'!S:S,'caseload data'!$D:$D,"SPO",'caseload data'!$A:$A,$B184,'caseload data'!$B:$B,{"licence","community"}))</f>
        <v>0</v>
      </c>
      <c r="S187" s="204" cm="1">
        <f t="array" ref="S187">SUM(SUMIFS('caseload data'!T:T,'caseload data'!$D:$D,"SPO",'caseload data'!$A:$A,$B184,'caseload data'!$B:$B,{"licence","community"}))</f>
        <v>0</v>
      </c>
      <c r="T187" s="204" cm="1">
        <f t="array" ref="T187">SUM(SUMIFS('caseload data'!V:V,'caseload data'!$D:$D,"SPO",'caseload data'!$A:$A,$B184,'caseload data'!$B:$B,{"licence","community"}))</f>
        <v>0</v>
      </c>
      <c r="U187" s="95"/>
      <c r="V187" s="95"/>
      <c r="W187" s="331"/>
      <c r="X187" s="163" t="s">
        <v>187</v>
      </c>
      <c r="Y187" s="209" t="e">
        <f t="shared" si="59"/>
        <v>#DIV/0!</v>
      </c>
      <c r="Z187" s="209" t="e">
        <f t="shared" si="58"/>
        <v>#DIV/0!</v>
      </c>
      <c r="AA187" s="209" t="e">
        <f t="shared" si="58"/>
        <v>#DIV/0!</v>
      </c>
      <c r="AB187" s="209" t="e">
        <f t="shared" si="58"/>
        <v>#DIV/0!</v>
      </c>
      <c r="AC187" s="209" t="e">
        <f t="shared" si="58"/>
        <v>#DIV/0!</v>
      </c>
      <c r="AD187" s="209" t="e">
        <f t="shared" si="58"/>
        <v>#DIV/0!</v>
      </c>
      <c r="AE187" s="209" t="e">
        <f t="shared" si="58"/>
        <v>#DIV/0!</v>
      </c>
      <c r="AF187" s="209" t="e">
        <f t="shared" si="58"/>
        <v>#DIV/0!</v>
      </c>
      <c r="AG187" s="209" t="e">
        <f t="shared" si="58"/>
        <v>#DIV/0!</v>
      </c>
      <c r="AH187" s="209" t="e">
        <f t="shared" si="58"/>
        <v>#DIV/0!</v>
      </c>
      <c r="AI187" s="209" t="e">
        <f t="shared" si="58"/>
        <v>#DIV/0!</v>
      </c>
      <c r="AJ187" s="209" t="e">
        <f t="shared" si="58"/>
        <v>#DIV/0!</v>
      </c>
      <c r="AK187" s="209" t="e">
        <f t="shared" si="58"/>
        <v>#DIV/0!</v>
      </c>
      <c r="AL187" s="209" t="e">
        <f t="shared" si="58"/>
        <v>#DIV/0!</v>
      </c>
      <c r="AM187" s="209" t="e">
        <f t="shared" si="58"/>
        <v>#DIV/0!</v>
      </c>
      <c r="AN187" s="209" t="e">
        <f t="shared" si="58"/>
        <v>#DIV/0!</v>
      </c>
    </row>
    <row r="188" spans="2:40" s="30" customFormat="1" x14ac:dyDescent="0.15">
      <c r="B188" s="329" t="s">
        <v>522</v>
      </c>
      <c r="C188" s="161" t="s">
        <v>184</v>
      </c>
      <c r="D188" s="204" cm="1">
        <f t="array" ref="D188">SUM(SUMIFS('caseload data'!E:E,'caseload data'!$D:$D,"PO",'caseload data'!$A:$A,$B188,'caseload data'!$B:$B,{"licence","community"}))</f>
        <v>0</v>
      </c>
      <c r="E188" s="204" cm="1">
        <f t="array" ref="E188">SUM(SUMIFS('caseload data'!F:F,'caseload data'!$D:$D,"PO",'caseload data'!$A:$A,$B188,'caseload data'!$B:$B,{"licence","community"}))</f>
        <v>0</v>
      </c>
      <c r="F188" s="204" cm="1">
        <f t="array" ref="F188">SUM(SUMIFS('caseload data'!G:G,'caseload data'!$D:$D,"PO",'caseload data'!$A:$A,$B188,'caseload data'!$B:$B,{"licence","community"}))</f>
        <v>0</v>
      </c>
      <c r="G188" s="204" cm="1">
        <f t="array" ref="G188">SUM(SUMIFS('caseload data'!H:H,'caseload data'!$D:$D,"PO",'caseload data'!$A:$A,$B188,'caseload data'!$B:$B,{"licence","community"}))</f>
        <v>0</v>
      </c>
      <c r="H188" s="204" cm="1">
        <f t="array" ref="H188">SUM(SUMIFS('caseload data'!I:I,'caseload data'!$D:$D,"PO",'caseload data'!$A:$A,$B188,'caseload data'!$B:$B,{"licence","community"}))</f>
        <v>0</v>
      </c>
      <c r="I188" s="204" cm="1">
        <f t="array" ref="I188">SUM(SUMIFS('caseload data'!J:J,'caseload data'!$D:$D,"PO",'caseload data'!$A:$A,$B188,'caseload data'!$B:$B,{"licence","community"}))</f>
        <v>0</v>
      </c>
      <c r="J188" s="204" cm="1">
        <f t="array" ref="J188">SUM(SUMIFS('caseload data'!K:K,'caseload data'!$D:$D,"PO",'caseload data'!$A:$A,$B188,'caseload data'!$B:$B,{"licence","community"}))</f>
        <v>0</v>
      </c>
      <c r="K188" s="204" cm="1">
        <f t="array" ref="K188">SUM(SUMIFS('caseload data'!L:L,'caseload data'!$D:$D,"PO",'caseload data'!$A:$A,$B188,'caseload data'!$B:$B,{"licence","community"}))</f>
        <v>0</v>
      </c>
      <c r="L188" s="204" cm="1">
        <f t="array" ref="L188">SUM(SUMIFS('caseload data'!M:M,'caseload data'!$D:$D,"PO",'caseload data'!$A:$A,$B188,'caseload data'!$B:$B,{"licence","community"}))</f>
        <v>0</v>
      </c>
      <c r="M188" s="204" cm="1">
        <f t="array" ref="M188">SUM(SUMIFS('caseload data'!N:N,'caseload data'!$D:$D,"PO",'caseload data'!$A:$A,$B188,'caseload data'!$B:$B,{"licence","community"}))</f>
        <v>0</v>
      </c>
      <c r="N188" s="204" cm="1">
        <f t="array" ref="N188">SUM(SUMIFS('caseload data'!O:O,'caseload data'!$D:$D,"PO",'caseload data'!$A:$A,$B188,'caseload data'!$B:$B,{"licence","community"}))</f>
        <v>0</v>
      </c>
      <c r="O188" s="204" cm="1">
        <f t="array" ref="O188">SUM(SUMIFS('caseload data'!P:P,'caseload data'!$D:$D,"PO",'caseload data'!$A:$A,$B188,'caseload data'!$B:$B,{"licence","community"}))</f>
        <v>0</v>
      </c>
      <c r="P188" s="204" cm="1">
        <f t="array" ref="P188">SUM(SUMIFS('caseload data'!Q:Q,'caseload data'!$D:$D,"PO",'caseload data'!$A:$A,$B188,'caseload data'!$B:$B,{"licence","community"}))</f>
        <v>0</v>
      </c>
      <c r="Q188" s="204" cm="1">
        <f t="array" ref="Q188">SUM(SUMIFS('caseload data'!R:R,'caseload data'!$D:$D,"PO",'caseload data'!$A:$A,$B188,'caseload data'!$B:$B,{"licence","community"}))</f>
        <v>0</v>
      </c>
      <c r="R188" s="204" cm="1">
        <f t="array" ref="R188">SUM(SUMIFS('caseload data'!S:S,'caseload data'!$D:$D,"PO",'caseload data'!$A:$A,$B188,'caseload data'!$B:$B,{"licence","community"}))</f>
        <v>0</v>
      </c>
      <c r="S188" s="204" cm="1">
        <f t="array" ref="S188">SUM(SUMIFS('caseload data'!T:T,'caseload data'!$D:$D,"PO",'caseload data'!$A:$A,$B188,'caseload data'!$B:$B,{"licence","community"}))</f>
        <v>0</v>
      </c>
      <c r="T188" s="204" cm="1">
        <f t="array" ref="T188">SUM(SUMIFS('caseload data'!V:V,'caseload data'!$D:$D,"PO",'caseload data'!$A:$A,$B188,'caseload data'!$B:$B,{"licence","community"}))</f>
        <v>0</v>
      </c>
      <c r="U188" s="95"/>
      <c r="V188" s="95"/>
      <c r="W188" s="329" t="s">
        <v>522</v>
      </c>
      <c r="X188" s="161" t="s">
        <v>184</v>
      </c>
      <c r="Y188" s="209" t="e">
        <f>SUM(D188)/SUM(D$188:D$191)</f>
        <v>#DIV/0!</v>
      </c>
      <c r="Z188" s="209" t="e">
        <f t="shared" ref="Z188:AN191" si="60">SUM(E188)/SUM(E$188:E$191)</f>
        <v>#DIV/0!</v>
      </c>
      <c r="AA188" s="209" t="e">
        <f t="shared" si="60"/>
        <v>#DIV/0!</v>
      </c>
      <c r="AB188" s="209" t="e">
        <f t="shared" si="60"/>
        <v>#DIV/0!</v>
      </c>
      <c r="AC188" s="209" t="e">
        <f t="shared" si="60"/>
        <v>#DIV/0!</v>
      </c>
      <c r="AD188" s="209" t="e">
        <f t="shared" si="60"/>
        <v>#DIV/0!</v>
      </c>
      <c r="AE188" s="209" t="e">
        <f t="shared" si="60"/>
        <v>#DIV/0!</v>
      </c>
      <c r="AF188" s="209" t="e">
        <f t="shared" si="60"/>
        <v>#DIV/0!</v>
      </c>
      <c r="AG188" s="209" t="e">
        <f t="shared" si="60"/>
        <v>#DIV/0!</v>
      </c>
      <c r="AH188" s="209" t="e">
        <f t="shared" si="60"/>
        <v>#DIV/0!</v>
      </c>
      <c r="AI188" s="209" t="e">
        <f t="shared" si="60"/>
        <v>#DIV/0!</v>
      </c>
      <c r="AJ188" s="209" t="e">
        <f t="shared" si="60"/>
        <v>#DIV/0!</v>
      </c>
      <c r="AK188" s="209" t="e">
        <f t="shared" si="60"/>
        <v>#DIV/0!</v>
      </c>
      <c r="AL188" s="209" t="e">
        <f t="shared" si="60"/>
        <v>#DIV/0!</v>
      </c>
      <c r="AM188" s="209" t="e">
        <f t="shared" si="60"/>
        <v>#DIV/0!</v>
      </c>
      <c r="AN188" s="209" t="e">
        <f t="shared" si="60"/>
        <v>#DIV/0!</v>
      </c>
    </row>
    <row r="189" spans="2:40" s="30" customFormat="1" x14ac:dyDescent="0.15">
      <c r="B189" s="330"/>
      <c r="C189" s="162" t="s">
        <v>185</v>
      </c>
      <c r="D189" s="204" cm="1">
        <f t="array" ref="D189">SUM(SUMIFS('caseload data'!E:E,'caseload data'!$D:$D,"PSO",'caseload data'!$A:$A,$B188,'caseload data'!$B:$B,{"licence","community"}))</f>
        <v>0</v>
      </c>
      <c r="E189" s="204" cm="1">
        <f t="array" ref="E189">SUM(SUMIFS('caseload data'!F:F,'caseload data'!$D:$D,"PSO",'caseload data'!$A:$A,$B188,'caseload data'!$B:$B,{"licence","community"}))</f>
        <v>0</v>
      </c>
      <c r="F189" s="204" cm="1">
        <f t="array" ref="F189">SUM(SUMIFS('caseload data'!G:G,'caseload data'!$D:$D,"PSO",'caseload data'!$A:$A,$B188,'caseload data'!$B:$B,{"licence","community"}))</f>
        <v>0</v>
      </c>
      <c r="G189" s="204" cm="1">
        <f t="array" ref="G189">SUM(SUMIFS('caseload data'!H:H,'caseload data'!$D:$D,"PSO",'caseload data'!$A:$A,$B188,'caseload data'!$B:$B,{"licence","community"}))</f>
        <v>0</v>
      </c>
      <c r="H189" s="204" cm="1">
        <f t="array" ref="H189">SUM(SUMIFS('caseload data'!I:I,'caseload data'!$D:$D,"PSO",'caseload data'!$A:$A,$B188,'caseload data'!$B:$B,{"licence","community"}))</f>
        <v>0</v>
      </c>
      <c r="I189" s="204" cm="1">
        <f t="array" ref="I189">SUM(SUMIFS('caseload data'!J:J,'caseload data'!$D:$D,"PSO",'caseload data'!$A:$A,$B188,'caseload data'!$B:$B,{"licence","community"}))</f>
        <v>0</v>
      </c>
      <c r="J189" s="204" cm="1">
        <f t="array" ref="J189">SUM(SUMIFS('caseload data'!K:K,'caseload data'!$D:$D,"PSO",'caseload data'!$A:$A,$B188,'caseload data'!$B:$B,{"licence","community"}))</f>
        <v>0</v>
      </c>
      <c r="K189" s="204" cm="1">
        <f t="array" ref="K189">SUM(SUMIFS('caseload data'!L:L,'caseload data'!$D:$D,"PSO",'caseload data'!$A:$A,$B188,'caseload data'!$B:$B,{"licence","community"}))</f>
        <v>0</v>
      </c>
      <c r="L189" s="204" cm="1">
        <f t="array" ref="L189">SUM(SUMIFS('caseload data'!M:M,'caseload data'!$D:$D,"PSO",'caseload data'!$A:$A,$B188,'caseload data'!$B:$B,{"licence","community"}))</f>
        <v>0</v>
      </c>
      <c r="M189" s="204" cm="1">
        <f t="array" ref="M189">SUM(SUMIFS('caseload data'!N:N,'caseload data'!$D:$D,"PSO",'caseload data'!$A:$A,$B188,'caseload data'!$B:$B,{"licence","community"}))</f>
        <v>0</v>
      </c>
      <c r="N189" s="204" cm="1">
        <f t="array" ref="N189">SUM(SUMIFS('caseload data'!O:O,'caseload data'!$D:$D,"PSO",'caseload data'!$A:$A,$B188,'caseload data'!$B:$B,{"licence","community"}))</f>
        <v>0</v>
      </c>
      <c r="O189" s="204" cm="1">
        <f t="array" ref="O189">SUM(SUMIFS('caseload data'!P:P,'caseload data'!$D:$D,"PSO",'caseload data'!$A:$A,$B188,'caseload data'!$B:$B,{"licence","community"}))</f>
        <v>0</v>
      </c>
      <c r="P189" s="204" cm="1">
        <f t="array" ref="P189">SUM(SUMIFS('caseload data'!Q:Q,'caseload data'!$D:$D,"PSO",'caseload data'!$A:$A,$B188,'caseload data'!$B:$B,{"licence","community"}))</f>
        <v>0</v>
      </c>
      <c r="Q189" s="204" cm="1">
        <f t="array" ref="Q189">SUM(SUMIFS('caseload data'!R:R,'caseload data'!$D:$D,"PSO",'caseload data'!$A:$A,$B188,'caseload data'!$B:$B,{"licence","community"}))</f>
        <v>0</v>
      </c>
      <c r="R189" s="204" cm="1">
        <f t="array" ref="R189">SUM(SUMIFS('caseload data'!S:S,'caseload data'!$D:$D,"PSO",'caseload data'!$A:$A,$B188,'caseload data'!$B:$B,{"licence","community"}))</f>
        <v>0</v>
      </c>
      <c r="S189" s="204" cm="1">
        <f t="array" ref="S189">SUM(SUMIFS('caseload data'!T:T,'caseload data'!$D:$D,"PSO",'caseload data'!$A:$A,$B188,'caseload data'!$B:$B,{"licence","community"}))</f>
        <v>0</v>
      </c>
      <c r="T189" s="204" cm="1">
        <f t="array" ref="T189">SUM(SUMIFS('caseload data'!V:V,'caseload data'!$D:$D,"PSO",'caseload data'!$A:$A,$B188,'caseload data'!$B:$B,{"licence","community"}))</f>
        <v>0</v>
      </c>
      <c r="U189" s="95"/>
      <c r="V189" s="95"/>
      <c r="W189" s="330"/>
      <c r="X189" s="162" t="s">
        <v>185</v>
      </c>
      <c r="Y189" s="209" t="e">
        <f t="shared" ref="Y189:Y191" si="61">SUM(D189)/SUM(D$188:D$191)</f>
        <v>#DIV/0!</v>
      </c>
      <c r="Z189" s="209" t="e">
        <f t="shared" si="60"/>
        <v>#DIV/0!</v>
      </c>
      <c r="AA189" s="209" t="e">
        <f t="shared" si="60"/>
        <v>#DIV/0!</v>
      </c>
      <c r="AB189" s="209" t="e">
        <f t="shared" si="60"/>
        <v>#DIV/0!</v>
      </c>
      <c r="AC189" s="209" t="e">
        <f t="shared" si="60"/>
        <v>#DIV/0!</v>
      </c>
      <c r="AD189" s="209" t="e">
        <f t="shared" si="60"/>
        <v>#DIV/0!</v>
      </c>
      <c r="AE189" s="209" t="e">
        <f t="shared" si="60"/>
        <v>#DIV/0!</v>
      </c>
      <c r="AF189" s="209" t="e">
        <f t="shared" si="60"/>
        <v>#DIV/0!</v>
      </c>
      <c r="AG189" s="209" t="e">
        <f t="shared" si="60"/>
        <v>#DIV/0!</v>
      </c>
      <c r="AH189" s="209" t="e">
        <f t="shared" si="60"/>
        <v>#DIV/0!</v>
      </c>
      <c r="AI189" s="209" t="e">
        <f t="shared" si="60"/>
        <v>#DIV/0!</v>
      </c>
      <c r="AJ189" s="209" t="e">
        <f t="shared" si="60"/>
        <v>#DIV/0!</v>
      </c>
      <c r="AK189" s="209" t="e">
        <f t="shared" si="60"/>
        <v>#DIV/0!</v>
      </c>
      <c r="AL189" s="209" t="e">
        <f t="shared" si="60"/>
        <v>#DIV/0!</v>
      </c>
      <c r="AM189" s="209" t="e">
        <f t="shared" si="60"/>
        <v>#DIV/0!</v>
      </c>
      <c r="AN189" s="209" t="e">
        <f t="shared" si="60"/>
        <v>#DIV/0!</v>
      </c>
    </row>
    <row r="190" spans="2:40" s="30" customFormat="1" x14ac:dyDescent="0.15">
      <c r="B190" s="330"/>
      <c r="C190" s="162" t="s">
        <v>186</v>
      </c>
      <c r="D190" s="204" cm="1">
        <f t="array" ref="D190">SUM(SUMIFS('caseload data'!E:E,'caseload data'!$D:$D,"TPO",'caseload data'!$A:$A,$B188,'caseload data'!$B:$B,{"licence","community"}))</f>
        <v>0</v>
      </c>
      <c r="E190" s="204" cm="1">
        <f t="array" ref="E190">SUM(SUMIFS('caseload data'!F:F,'caseload data'!$D:$D,"TPO",'caseload data'!$A:$A,$B188,'caseload data'!$B:$B,{"licence","community"}))</f>
        <v>0</v>
      </c>
      <c r="F190" s="204" cm="1">
        <f t="array" ref="F190">SUM(SUMIFS('caseload data'!G:G,'caseload data'!$D:$D,"TPO",'caseload data'!$A:$A,$B188,'caseload data'!$B:$B,{"licence","community"}))</f>
        <v>0</v>
      </c>
      <c r="G190" s="204" cm="1">
        <f t="array" ref="G190">SUM(SUMIFS('caseload data'!H:H,'caseload data'!$D:$D,"TPO",'caseload data'!$A:$A,$B188,'caseload data'!$B:$B,{"licence","community"}))</f>
        <v>0</v>
      </c>
      <c r="H190" s="204" cm="1">
        <f t="array" ref="H190">SUM(SUMIFS('caseload data'!I:I,'caseload data'!$D:$D,"TPO",'caseload data'!$A:$A,$B188,'caseload data'!$B:$B,{"licence","community"}))</f>
        <v>0</v>
      </c>
      <c r="I190" s="204" cm="1">
        <f t="array" ref="I190">SUM(SUMIFS('caseload data'!J:J,'caseload data'!$D:$D,"TPO",'caseload data'!$A:$A,$B188,'caseload data'!$B:$B,{"licence","community"}))</f>
        <v>0</v>
      </c>
      <c r="J190" s="204" cm="1">
        <f t="array" ref="J190">SUM(SUMIFS('caseload data'!K:K,'caseload data'!$D:$D,"TPO",'caseload data'!$A:$A,$B188,'caseload data'!$B:$B,{"licence","community"}))</f>
        <v>0</v>
      </c>
      <c r="K190" s="204" cm="1">
        <f t="array" ref="K190">SUM(SUMIFS('caseload data'!L:L,'caseload data'!$D:$D,"TPO",'caseload data'!$A:$A,$B188,'caseload data'!$B:$B,{"licence","community"}))</f>
        <v>0</v>
      </c>
      <c r="L190" s="204" cm="1">
        <f t="array" ref="L190">SUM(SUMIFS('caseload data'!M:M,'caseload data'!$D:$D,"TPO",'caseload data'!$A:$A,$B188,'caseload data'!$B:$B,{"licence","community"}))</f>
        <v>0</v>
      </c>
      <c r="M190" s="204" cm="1">
        <f t="array" ref="M190">SUM(SUMIFS('caseload data'!N:N,'caseload data'!$D:$D,"TPO",'caseload data'!$A:$A,$B188,'caseload data'!$B:$B,{"licence","community"}))</f>
        <v>0</v>
      </c>
      <c r="N190" s="204" cm="1">
        <f t="array" ref="N190">SUM(SUMIFS('caseload data'!O:O,'caseload data'!$D:$D,"TPO",'caseload data'!$A:$A,$B188,'caseload data'!$B:$B,{"licence","community"}))</f>
        <v>0</v>
      </c>
      <c r="O190" s="204" cm="1">
        <f t="array" ref="O190">SUM(SUMIFS('caseload data'!P:P,'caseload data'!$D:$D,"TPO",'caseload data'!$A:$A,$B188,'caseload data'!$B:$B,{"licence","community"}))</f>
        <v>0</v>
      </c>
      <c r="P190" s="204" cm="1">
        <f t="array" ref="P190">SUM(SUMIFS('caseload data'!Q:Q,'caseload data'!$D:$D,"TPO",'caseload data'!$A:$A,$B188,'caseload data'!$B:$B,{"licence","community"}))</f>
        <v>0</v>
      </c>
      <c r="Q190" s="204" cm="1">
        <f t="array" ref="Q190">SUM(SUMIFS('caseload data'!R:R,'caseload data'!$D:$D,"TPO",'caseload data'!$A:$A,$B188,'caseload data'!$B:$B,{"licence","community"}))</f>
        <v>0</v>
      </c>
      <c r="R190" s="204" cm="1">
        <f t="array" ref="R190">SUM(SUMIFS('caseload data'!S:S,'caseload data'!$D:$D,"TPO",'caseload data'!$A:$A,$B188,'caseload data'!$B:$B,{"licence","community"}))</f>
        <v>0</v>
      </c>
      <c r="S190" s="204" cm="1">
        <f t="array" ref="S190">SUM(SUMIFS('caseload data'!T:T,'caseload data'!$D:$D,"TPO",'caseload data'!$A:$A,$B188,'caseload data'!$B:$B,{"licence","community"}))</f>
        <v>0</v>
      </c>
      <c r="T190" s="204" cm="1">
        <f t="array" ref="T190">SUM(SUMIFS('caseload data'!V:V,'caseload data'!$D:$D,"TPO",'caseload data'!$A:$A,$B188,'caseload data'!$B:$B,{"licence","community"}))</f>
        <v>0</v>
      </c>
      <c r="U190" s="95"/>
      <c r="V190" s="95"/>
      <c r="W190" s="330"/>
      <c r="X190" s="162" t="s">
        <v>186</v>
      </c>
      <c r="Y190" s="209" t="e">
        <f t="shared" si="61"/>
        <v>#DIV/0!</v>
      </c>
      <c r="Z190" s="209" t="e">
        <f t="shared" si="60"/>
        <v>#DIV/0!</v>
      </c>
      <c r="AA190" s="209" t="e">
        <f t="shared" si="60"/>
        <v>#DIV/0!</v>
      </c>
      <c r="AB190" s="209" t="e">
        <f t="shared" si="60"/>
        <v>#DIV/0!</v>
      </c>
      <c r="AC190" s="209" t="e">
        <f t="shared" si="60"/>
        <v>#DIV/0!</v>
      </c>
      <c r="AD190" s="209" t="e">
        <f t="shared" si="60"/>
        <v>#DIV/0!</v>
      </c>
      <c r="AE190" s="209" t="e">
        <f t="shared" si="60"/>
        <v>#DIV/0!</v>
      </c>
      <c r="AF190" s="209" t="e">
        <f t="shared" si="60"/>
        <v>#DIV/0!</v>
      </c>
      <c r="AG190" s="209" t="e">
        <f t="shared" si="60"/>
        <v>#DIV/0!</v>
      </c>
      <c r="AH190" s="209" t="e">
        <f t="shared" si="60"/>
        <v>#DIV/0!</v>
      </c>
      <c r="AI190" s="209" t="e">
        <f t="shared" si="60"/>
        <v>#DIV/0!</v>
      </c>
      <c r="AJ190" s="209" t="e">
        <f t="shared" si="60"/>
        <v>#DIV/0!</v>
      </c>
      <c r="AK190" s="209" t="e">
        <f t="shared" si="60"/>
        <v>#DIV/0!</v>
      </c>
      <c r="AL190" s="209" t="e">
        <f t="shared" si="60"/>
        <v>#DIV/0!</v>
      </c>
      <c r="AM190" s="209" t="e">
        <f t="shared" si="60"/>
        <v>#DIV/0!</v>
      </c>
      <c r="AN190" s="209" t="e">
        <f t="shared" si="60"/>
        <v>#DIV/0!</v>
      </c>
    </row>
    <row r="191" spans="2:40" s="30" customFormat="1" x14ac:dyDescent="0.15">
      <c r="B191" s="331"/>
      <c r="C191" s="163" t="s">
        <v>187</v>
      </c>
      <c r="D191" s="204" cm="1">
        <f t="array" ref="D191">SUM(SUMIFS('caseload data'!E:E,'caseload data'!$D:$D,"SPO",'caseload data'!$A:$A,$B188,'caseload data'!$B:$B,{"licence","community"}))</f>
        <v>0</v>
      </c>
      <c r="E191" s="204" cm="1">
        <f t="array" ref="E191">SUM(SUMIFS('caseload data'!F:F,'caseload data'!$D:$D,"SPO",'caseload data'!$A:$A,$B188,'caseload data'!$B:$B,{"licence","community"}))</f>
        <v>0</v>
      </c>
      <c r="F191" s="204" cm="1">
        <f t="array" ref="F191">SUM(SUMIFS('caseload data'!G:G,'caseload data'!$D:$D,"SPO",'caseload data'!$A:$A,$B188,'caseload data'!$B:$B,{"licence","community"}))</f>
        <v>0</v>
      </c>
      <c r="G191" s="204" cm="1">
        <f t="array" ref="G191">SUM(SUMIFS('caseload data'!H:H,'caseload data'!$D:$D,"SPO",'caseload data'!$A:$A,$B188,'caseload data'!$B:$B,{"licence","community"}))</f>
        <v>0</v>
      </c>
      <c r="H191" s="204" cm="1">
        <f t="array" ref="H191">SUM(SUMIFS('caseload data'!I:I,'caseload data'!$D:$D,"SPO",'caseload data'!$A:$A,$B188,'caseload data'!$B:$B,{"licence","community"}))</f>
        <v>0</v>
      </c>
      <c r="I191" s="204" cm="1">
        <f t="array" ref="I191">SUM(SUMIFS('caseload data'!J:J,'caseload data'!$D:$D,"SPO",'caseload data'!$A:$A,$B188,'caseload data'!$B:$B,{"licence","community"}))</f>
        <v>0</v>
      </c>
      <c r="J191" s="204" cm="1">
        <f t="array" ref="J191">SUM(SUMIFS('caseload data'!K:K,'caseload data'!$D:$D,"SPO",'caseload data'!$A:$A,$B188,'caseload data'!$B:$B,{"licence","community"}))</f>
        <v>0</v>
      </c>
      <c r="K191" s="204" cm="1">
        <f t="array" ref="K191">SUM(SUMIFS('caseload data'!L:L,'caseload data'!$D:$D,"SPO",'caseload data'!$A:$A,$B188,'caseload data'!$B:$B,{"licence","community"}))</f>
        <v>0</v>
      </c>
      <c r="L191" s="204" cm="1">
        <f t="array" ref="L191">SUM(SUMIFS('caseload data'!M:M,'caseload data'!$D:$D,"SPO",'caseload data'!$A:$A,$B188,'caseload data'!$B:$B,{"licence","community"}))</f>
        <v>0</v>
      </c>
      <c r="M191" s="204" cm="1">
        <f t="array" ref="M191">SUM(SUMIFS('caseload data'!N:N,'caseload data'!$D:$D,"SPO",'caseload data'!$A:$A,$B188,'caseload data'!$B:$B,{"licence","community"}))</f>
        <v>0</v>
      </c>
      <c r="N191" s="204" cm="1">
        <f t="array" ref="N191">SUM(SUMIFS('caseload data'!O:O,'caseload data'!$D:$D,"SPO",'caseload data'!$A:$A,$B188,'caseload data'!$B:$B,{"licence","community"}))</f>
        <v>0</v>
      </c>
      <c r="O191" s="204" cm="1">
        <f t="array" ref="O191">SUM(SUMIFS('caseload data'!P:P,'caseload data'!$D:$D,"SPO",'caseload data'!$A:$A,$B188,'caseload data'!$B:$B,{"licence","community"}))</f>
        <v>0</v>
      </c>
      <c r="P191" s="204" cm="1">
        <f t="array" ref="P191">SUM(SUMIFS('caseload data'!Q:Q,'caseload data'!$D:$D,"SPO",'caseload data'!$A:$A,$B188,'caseload data'!$B:$B,{"licence","community"}))</f>
        <v>0</v>
      </c>
      <c r="Q191" s="204" cm="1">
        <f t="array" ref="Q191">SUM(SUMIFS('caseload data'!R:R,'caseload data'!$D:$D,"SPO",'caseload data'!$A:$A,$B188,'caseload data'!$B:$B,{"licence","community"}))</f>
        <v>0</v>
      </c>
      <c r="R191" s="204" cm="1">
        <f t="array" ref="R191">SUM(SUMIFS('caseload data'!S:S,'caseload data'!$D:$D,"SPO",'caseload data'!$A:$A,$B188,'caseload data'!$B:$B,{"licence","community"}))</f>
        <v>0</v>
      </c>
      <c r="S191" s="204" cm="1">
        <f t="array" ref="S191">SUM(SUMIFS('caseload data'!T:T,'caseload data'!$D:$D,"SPO",'caseload data'!$A:$A,$B188,'caseload data'!$B:$B,{"licence","community"}))</f>
        <v>0</v>
      </c>
      <c r="T191" s="204" cm="1">
        <f t="array" ref="T191">SUM(SUMIFS('caseload data'!V:V,'caseload data'!$D:$D,"SPO",'caseload data'!$A:$A,$B188,'caseload data'!$B:$B,{"licence","community"}))</f>
        <v>0</v>
      </c>
      <c r="U191" s="95"/>
      <c r="V191" s="95"/>
      <c r="W191" s="331"/>
      <c r="X191" s="163" t="s">
        <v>187</v>
      </c>
      <c r="Y191" s="209" t="e">
        <f t="shared" si="61"/>
        <v>#DIV/0!</v>
      </c>
      <c r="Z191" s="209" t="e">
        <f t="shared" si="60"/>
        <v>#DIV/0!</v>
      </c>
      <c r="AA191" s="209" t="e">
        <f t="shared" si="60"/>
        <v>#DIV/0!</v>
      </c>
      <c r="AB191" s="209" t="e">
        <f t="shared" si="60"/>
        <v>#DIV/0!</v>
      </c>
      <c r="AC191" s="209" t="e">
        <f t="shared" si="60"/>
        <v>#DIV/0!</v>
      </c>
      <c r="AD191" s="209" t="e">
        <f t="shared" si="60"/>
        <v>#DIV/0!</v>
      </c>
      <c r="AE191" s="209" t="e">
        <f t="shared" si="60"/>
        <v>#DIV/0!</v>
      </c>
      <c r="AF191" s="209" t="e">
        <f t="shared" si="60"/>
        <v>#DIV/0!</v>
      </c>
      <c r="AG191" s="209" t="e">
        <f t="shared" si="60"/>
        <v>#DIV/0!</v>
      </c>
      <c r="AH191" s="209" t="e">
        <f t="shared" si="60"/>
        <v>#DIV/0!</v>
      </c>
      <c r="AI191" s="209" t="e">
        <f t="shared" si="60"/>
        <v>#DIV/0!</v>
      </c>
      <c r="AJ191" s="209" t="e">
        <f t="shared" si="60"/>
        <v>#DIV/0!</v>
      </c>
      <c r="AK191" s="209" t="e">
        <f t="shared" si="60"/>
        <v>#DIV/0!</v>
      </c>
      <c r="AL191" s="209" t="e">
        <f t="shared" si="60"/>
        <v>#DIV/0!</v>
      </c>
      <c r="AM191" s="209" t="e">
        <f t="shared" si="60"/>
        <v>#DIV/0!</v>
      </c>
      <c r="AN191" s="209" t="e">
        <f t="shared" si="60"/>
        <v>#DIV/0!</v>
      </c>
    </row>
    <row r="192" spans="2:40" s="30" customFormat="1" x14ac:dyDescent="0.15">
      <c r="B192" s="329" t="s">
        <v>523</v>
      </c>
      <c r="C192" s="161" t="s">
        <v>184</v>
      </c>
      <c r="D192" s="204" cm="1">
        <f t="array" ref="D192">SUM(SUMIFS('caseload data'!E:E,'caseload data'!$D:$D,"PO",'caseload data'!$A:$A,$B192,'caseload data'!$B:$B,{"licence","community"}))</f>
        <v>0</v>
      </c>
      <c r="E192" s="204" cm="1">
        <f t="array" ref="E192">SUM(SUMIFS('caseload data'!F:F,'caseload data'!$D:$D,"PO",'caseload data'!$A:$A,$B192,'caseload data'!$B:$B,{"licence","community"}))</f>
        <v>0</v>
      </c>
      <c r="F192" s="204" cm="1">
        <f t="array" ref="F192">SUM(SUMIFS('caseload data'!G:G,'caseload data'!$D:$D,"PO",'caseload data'!$A:$A,$B192,'caseload data'!$B:$B,{"licence","community"}))</f>
        <v>0</v>
      </c>
      <c r="G192" s="204" cm="1">
        <f t="array" ref="G192">SUM(SUMIFS('caseload data'!H:H,'caseload data'!$D:$D,"PO",'caseload data'!$A:$A,$B192,'caseload data'!$B:$B,{"licence","community"}))</f>
        <v>0</v>
      </c>
      <c r="H192" s="204" cm="1">
        <f t="array" ref="H192">SUM(SUMIFS('caseload data'!I:I,'caseload data'!$D:$D,"PO",'caseload data'!$A:$A,$B192,'caseload data'!$B:$B,{"licence","community"}))</f>
        <v>0</v>
      </c>
      <c r="I192" s="204" cm="1">
        <f t="array" ref="I192">SUM(SUMIFS('caseload data'!J:J,'caseload data'!$D:$D,"PO",'caseload data'!$A:$A,$B192,'caseload data'!$B:$B,{"licence","community"}))</f>
        <v>0</v>
      </c>
      <c r="J192" s="204" cm="1">
        <f t="array" ref="J192">SUM(SUMIFS('caseload data'!K:K,'caseload data'!$D:$D,"PO",'caseload data'!$A:$A,$B192,'caseload data'!$B:$B,{"licence","community"}))</f>
        <v>0</v>
      </c>
      <c r="K192" s="204" cm="1">
        <f t="array" ref="K192">SUM(SUMIFS('caseload data'!L:L,'caseload data'!$D:$D,"PO",'caseload data'!$A:$A,$B192,'caseload data'!$B:$B,{"licence","community"}))</f>
        <v>0</v>
      </c>
      <c r="L192" s="204" cm="1">
        <f t="array" ref="L192">SUM(SUMIFS('caseload data'!M:M,'caseload data'!$D:$D,"PO",'caseload data'!$A:$A,$B192,'caseload data'!$B:$B,{"licence","community"}))</f>
        <v>0</v>
      </c>
      <c r="M192" s="204" cm="1">
        <f t="array" ref="M192">SUM(SUMIFS('caseload data'!N:N,'caseload data'!$D:$D,"PO",'caseload data'!$A:$A,$B192,'caseload data'!$B:$B,{"licence","community"}))</f>
        <v>0</v>
      </c>
      <c r="N192" s="204" cm="1">
        <f t="array" ref="N192">SUM(SUMIFS('caseload data'!O:O,'caseload data'!$D:$D,"PO",'caseload data'!$A:$A,$B192,'caseload data'!$B:$B,{"licence","community"}))</f>
        <v>0</v>
      </c>
      <c r="O192" s="204" cm="1">
        <f t="array" ref="O192">SUM(SUMIFS('caseload data'!P:P,'caseload data'!$D:$D,"PO",'caseload data'!$A:$A,$B192,'caseload data'!$B:$B,{"licence","community"}))</f>
        <v>0</v>
      </c>
      <c r="P192" s="204" cm="1">
        <f t="array" ref="P192">SUM(SUMIFS('caseload data'!Q:Q,'caseload data'!$D:$D,"PO",'caseload data'!$A:$A,$B192,'caseload data'!$B:$B,{"licence","community"}))</f>
        <v>0</v>
      </c>
      <c r="Q192" s="204" cm="1">
        <f t="array" ref="Q192">SUM(SUMIFS('caseload data'!R:R,'caseload data'!$D:$D,"PO",'caseload data'!$A:$A,$B192,'caseload data'!$B:$B,{"licence","community"}))</f>
        <v>0</v>
      </c>
      <c r="R192" s="204" cm="1">
        <f t="array" ref="R192">SUM(SUMIFS('caseload data'!S:S,'caseload data'!$D:$D,"PO",'caseload data'!$A:$A,$B192,'caseload data'!$B:$B,{"licence","community"}))</f>
        <v>0</v>
      </c>
      <c r="S192" s="204" cm="1">
        <f t="array" ref="S192">SUM(SUMIFS('caseload data'!T:T,'caseload data'!$D:$D,"PO",'caseload data'!$A:$A,$B192,'caseload data'!$B:$B,{"licence","community"}))</f>
        <v>0</v>
      </c>
      <c r="T192" s="204" cm="1">
        <f t="array" ref="T192">SUM(SUMIFS('caseload data'!V:V,'caseload data'!$D:$D,"PO",'caseload data'!$A:$A,$B192,'caseload data'!$B:$B,{"licence","community"}))</f>
        <v>0</v>
      </c>
      <c r="U192" s="95"/>
      <c r="V192" s="95"/>
      <c r="W192" s="329" t="s">
        <v>523</v>
      </c>
      <c r="X192" s="161" t="s">
        <v>184</v>
      </c>
      <c r="Y192" s="209" t="e">
        <f>SUM(D192)/SUM(D$192:D$195)</f>
        <v>#DIV/0!</v>
      </c>
      <c r="Z192" s="209" t="e">
        <f t="shared" ref="Z192:AN195" si="62">SUM(E192)/SUM(E$192:E$195)</f>
        <v>#DIV/0!</v>
      </c>
      <c r="AA192" s="209" t="e">
        <f t="shared" si="62"/>
        <v>#DIV/0!</v>
      </c>
      <c r="AB192" s="209" t="e">
        <f t="shared" si="62"/>
        <v>#DIV/0!</v>
      </c>
      <c r="AC192" s="209" t="e">
        <f t="shared" si="62"/>
        <v>#DIV/0!</v>
      </c>
      <c r="AD192" s="209" t="e">
        <f t="shared" si="62"/>
        <v>#DIV/0!</v>
      </c>
      <c r="AE192" s="209" t="e">
        <f t="shared" si="62"/>
        <v>#DIV/0!</v>
      </c>
      <c r="AF192" s="209" t="e">
        <f t="shared" si="62"/>
        <v>#DIV/0!</v>
      </c>
      <c r="AG192" s="209" t="e">
        <f t="shared" si="62"/>
        <v>#DIV/0!</v>
      </c>
      <c r="AH192" s="209" t="e">
        <f t="shared" si="62"/>
        <v>#DIV/0!</v>
      </c>
      <c r="AI192" s="209" t="e">
        <f t="shared" si="62"/>
        <v>#DIV/0!</v>
      </c>
      <c r="AJ192" s="209" t="e">
        <f t="shared" si="62"/>
        <v>#DIV/0!</v>
      </c>
      <c r="AK192" s="209" t="e">
        <f t="shared" si="62"/>
        <v>#DIV/0!</v>
      </c>
      <c r="AL192" s="209" t="e">
        <f t="shared" si="62"/>
        <v>#DIV/0!</v>
      </c>
      <c r="AM192" s="209" t="e">
        <f t="shared" si="62"/>
        <v>#DIV/0!</v>
      </c>
      <c r="AN192" s="209" t="e">
        <f t="shared" si="62"/>
        <v>#DIV/0!</v>
      </c>
    </row>
    <row r="193" spans="2:43" s="30" customFormat="1" x14ac:dyDescent="0.15">
      <c r="B193" s="330"/>
      <c r="C193" s="162" t="s">
        <v>185</v>
      </c>
      <c r="D193" s="204" cm="1">
        <f t="array" ref="D193">SUM(SUMIFS('caseload data'!E:E,'caseload data'!$D:$D,"PSO",'caseload data'!$A:$A,$B192,'caseload data'!$B:$B,{"licence","community"}))</f>
        <v>0</v>
      </c>
      <c r="E193" s="204" cm="1">
        <f t="array" ref="E193">SUM(SUMIFS('caseload data'!F:F,'caseload data'!$D:$D,"PSO",'caseload data'!$A:$A,$B192,'caseload data'!$B:$B,{"licence","community"}))</f>
        <v>0</v>
      </c>
      <c r="F193" s="204" cm="1">
        <f t="array" ref="F193">SUM(SUMIFS('caseload data'!G:G,'caseload data'!$D:$D,"PSO",'caseload data'!$A:$A,$B192,'caseload data'!$B:$B,{"licence","community"}))</f>
        <v>0</v>
      </c>
      <c r="G193" s="204" cm="1">
        <f t="array" ref="G193">SUM(SUMIFS('caseload data'!H:H,'caseload data'!$D:$D,"PSO",'caseload data'!$A:$A,$B192,'caseload data'!$B:$B,{"licence","community"}))</f>
        <v>0</v>
      </c>
      <c r="H193" s="204" cm="1">
        <f t="array" ref="H193">SUM(SUMIFS('caseload data'!I:I,'caseload data'!$D:$D,"PSO",'caseload data'!$A:$A,$B192,'caseload data'!$B:$B,{"licence","community"}))</f>
        <v>0</v>
      </c>
      <c r="I193" s="204" cm="1">
        <f t="array" ref="I193">SUM(SUMIFS('caseload data'!J:J,'caseload data'!$D:$D,"PSO",'caseload data'!$A:$A,$B192,'caseload data'!$B:$B,{"licence","community"}))</f>
        <v>0</v>
      </c>
      <c r="J193" s="204" cm="1">
        <f t="array" ref="J193">SUM(SUMIFS('caseload data'!K:K,'caseload data'!$D:$D,"PSO",'caseload data'!$A:$A,$B192,'caseload data'!$B:$B,{"licence","community"}))</f>
        <v>0</v>
      </c>
      <c r="K193" s="204" cm="1">
        <f t="array" ref="K193">SUM(SUMIFS('caseload data'!L:L,'caseload data'!$D:$D,"PSO",'caseload data'!$A:$A,$B192,'caseload data'!$B:$B,{"licence","community"}))</f>
        <v>0</v>
      </c>
      <c r="L193" s="204" cm="1">
        <f t="array" ref="L193">SUM(SUMIFS('caseload data'!M:M,'caseload data'!$D:$D,"PSO",'caseload data'!$A:$A,$B192,'caseload data'!$B:$B,{"licence","community"}))</f>
        <v>0</v>
      </c>
      <c r="M193" s="204" cm="1">
        <f t="array" ref="M193">SUM(SUMIFS('caseload data'!N:N,'caseload data'!$D:$D,"PSO",'caseload data'!$A:$A,$B192,'caseload data'!$B:$B,{"licence","community"}))</f>
        <v>0</v>
      </c>
      <c r="N193" s="204" cm="1">
        <f t="array" ref="N193">SUM(SUMIFS('caseload data'!O:O,'caseload data'!$D:$D,"PSO",'caseload data'!$A:$A,$B192,'caseload data'!$B:$B,{"licence","community"}))</f>
        <v>0</v>
      </c>
      <c r="O193" s="204" cm="1">
        <f t="array" ref="O193">SUM(SUMIFS('caseload data'!P:P,'caseload data'!$D:$D,"PSO",'caseload data'!$A:$A,$B192,'caseload data'!$B:$B,{"licence","community"}))</f>
        <v>0</v>
      </c>
      <c r="P193" s="204" cm="1">
        <f t="array" ref="P193">SUM(SUMIFS('caseload data'!Q:Q,'caseload data'!$D:$D,"PSO",'caseload data'!$A:$A,$B192,'caseload data'!$B:$B,{"licence","community"}))</f>
        <v>0</v>
      </c>
      <c r="Q193" s="204" cm="1">
        <f t="array" ref="Q193">SUM(SUMIFS('caseload data'!R:R,'caseload data'!$D:$D,"PSO",'caseload data'!$A:$A,$B192,'caseload data'!$B:$B,{"licence","community"}))</f>
        <v>0</v>
      </c>
      <c r="R193" s="204" cm="1">
        <f t="array" ref="R193">SUM(SUMIFS('caseload data'!S:S,'caseload data'!$D:$D,"PSO",'caseload data'!$A:$A,$B192,'caseload data'!$B:$B,{"licence","community"}))</f>
        <v>0</v>
      </c>
      <c r="S193" s="204" cm="1">
        <f t="array" ref="S193">SUM(SUMIFS('caseload data'!T:T,'caseload data'!$D:$D,"PSO",'caseload data'!$A:$A,$B192,'caseload data'!$B:$B,{"licence","community"}))</f>
        <v>0</v>
      </c>
      <c r="T193" s="204" cm="1">
        <f t="array" ref="T193">SUM(SUMIFS('caseload data'!V:V,'caseload data'!$D:$D,"PSO",'caseload data'!$A:$A,$B192,'caseload data'!$B:$B,{"licence","community"}))</f>
        <v>0</v>
      </c>
      <c r="U193" s="95"/>
      <c r="V193" s="95"/>
      <c r="W193" s="330"/>
      <c r="X193" s="162" t="s">
        <v>185</v>
      </c>
      <c r="Y193" s="209" t="e">
        <f t="shared" ref="Y193:Y195" si="63">SUM(D193)/SUM(D$192:D$195)</f>
        <v>#DIV/0!</v>
      </c>
      <c r="Z193" s="209" t="e">
        <f t="shared" si="62"/>
        <v>#DIV/0!</v>
      </c>
      <c r="AA193" s="209" t="e">
        <f t="shared" si="62"/>
        <v>#DIV/0!</v>
      </c>
      <c r="AB193" s="209" t="e">
        <f t="shared" si="62"/>
        <v>#DIV/0!</v>
      </c>
      <c r="AC193" s="209" t="e">
        <f t="shared" si="62"/>
        <v>#DIV/0!</v>
      </c>
      <c r="AD193" s="209" t="e">
        <f t="shared" si="62"/>
        <v>#DIV/0!</v>
      </c>
      <c r="AE193" s="209" t="e">
        <f t="shared" si="62"/>
        <v>#DIV/0!</v>
      </c>
      <c r="AF193" s="209" t="e">
        <f t="shared" si="62"/>
        <v>#DIV/0!</v>
      </c>
      <c r="AG193" s="209" t="e">
        <f t="shared" si="62"/>
        <v>#DIV/0!</v>
      </c>
      <c r="AH193" s="209" t="e">
        <f t="shared" si="62"/>
        <v>#DIV/0!</v>
      </c>
      <c r="AI193" s="209" t="e">
        <f t="shared" si="62"/>
        <v>#DIV/0!</v>
      </c>
      <c r="AJ193" s="209" t="e">
        <f t="shared" si="62"/>
        <v>#DIV/0!</v>
      </c>
      <c r="AK193" s="209" t="e">
        <f t="shared" si="62"/>
        <v>#DIV/0!</v>
      </c>
      <c r="AL193" s="209" t="e">
        <f t="shared" si="62"/>
        <v>#DIV/0!</v>
      </c>
      <c r="AM193" s="209" t="e">
        <f t="shared" si="62"/>
        <v>#DIV/0!</v>
      </c>
      <c r="AN193" s="209" t="e">
        <f t="shared" si="62"/>
        <v>#DIV/0!</v>
      </c>
    </row>
    <row r="194" spans="2:43" s="30" customFormat="1" x14ac:dyDescent="0.15">
      <c r="B194" s="330"/>
      <c r="C194" s="162" t="s">
        <v>186</v>
      </c>
      <c r="D194" s="204" cm="1">
        <f t="array" ref="D194">SUM(SUMIFS('caseload data'!E:E,'caseload data'!$D:$D,"TPO",'caseload data'!$A:$A,$B192,'caseload data'!$B:$B,{"licence","community"}))</f>
        <v>0</v>
      </c>
      <c r="E194" s="204" cm="1">
        <f t="array" ref="E194">SUM(SUMIFS('caseload data'!F:F,'caseload data'!$D:$D,"TPO",'caseload data'!$A:$A,$B192,'caseload data'!$B:$B,{"licence","community"}))</f>
        <v>0</v>
      </c>
      <c r="F194" s="204" cm="1">
        <f t="array" ref="F194">SUM(SUMIFS('caseload data'!G:G,'caseload data'!$D:$D,"TPO",'caseload data'!$A:$A,$B192,'caseload data'!$B:$B,{"licence","community"}))</f>
        <v>0</v>
      </c>
      <c r="G194" s="204" cm="1">
        <f t="array" ref="G194">SUM(SUMIFS('caseload data'!H:H,'caseload data'!$D:$D,"TPO",'caseload data'!$A:$A,$B192,'caseload data'!$B:$B,{"licence","community"}))</f>
        <v>0</v>
      </c>
      <c r="H194" s="204" cm="1">
        <f t="array" ref="H194">SUM(SUMIFS('caseload data'!I:I,'caseload data'!$D:$D,"TPO",'caseload data'!$A:$A,$B192,'caseload data'!$B:$B,{"licence","community"}))</f>
        <v>0</v>
      </c>
      <c r="I194" s="204" cm="1">
        <f t="array" ref="I194">SUM(SUMIFS('caseload data'!J:J,'caseload data'!$D:$D,"TPO",'caseload data'!$A:$A,$B192,'caseload data'!$B:$B,{"licence","community"}))</f>
        <v>0</v>
      </c>
      <c r="J194" s="204" cm="1">
        <f t="array" ref="J194">SUM(SUMIFS('caseload data'!K:K,'caseload data'!$D:$D,"TPO",'caseload data'!$A:$A,$B192,'caseload data'!$B:$B,{"licence","community"}))</f>
        <v>0</v>
      </c>
      <c r="K194" s="204" cm="1">
        <f t="array" ref="K194">SUM(SUMIFS('caseload data'!L:L,'caseload data'!$D:$D,"TPO",'caseload data'!$A:$A,$B192,'caseload data'!$B:$B,{"licence","community"}))</f>
        <v>0</v>
      </c>
      <c r="L194" s="204" cm="1">
        <f t="array" ref="L194">SUM(SUMIFS('caseload data'!M:M,'caseload data'!$D:$D,"TPO",'caseload data'!$A:$A,$B192,'caseload data'!$B:$B,{"licence","community"}))</f>
        <v>0</v>
      </c>
      <c r="M194" s="204" cm="1">
        <f t="array" ref="M194">SUM(SUMIFS('caseload data'!N:N,'caseload data'!$D:$D,"TPO",'caseload data'!$A:$A,$B192,'caseload data'!$B:$B,{"licence","community"}))</f>
        <v>0</v>
      </c>
      <c r="N194" s="204" cm="1">
        <f t="array" ref="N194">SUM(SUMIFS('caseload data'!O:O,'caseload data'!$D:$D,"TPO",'caseload data'!$A:$A,$B192,'caseload data'!$B:$B,{"licence","community"}))</f>
        <v>0</v>
      </c>
      <c r="O194" s="204" cm="1">
        <f t="array" ref="O194">SUM(SUMIFS('caseload data'!P:P,'caseload data'!$D:$D,"TPO",'caseload data'!$A:$A,$B192,'caseload data'!$B:$B,{"licence","community"}))</f>
        <v>0</v>
      </c>
      <c r="P194" s="204" cm="1">
        <f t="array" ref="P194">SUM(SUMIFS('caseload data'!Q:Q,'caseload data'!$D:$D,"TPO",'caseload data'!$A:$A,$B192,'caseload data'!$B:$B,{"licence","community"}))</f>
        <v>0</v>
      </c>
      <c r="Q194" s="204" cm="1">
        <f t="array" ref="Q194">SUM(SUMIFS('caseload data'!R:R,'caseload data'!$D:$D,"TPO",'caseload data'!$A:$A,$B192,'caseload data'!$B:$B,{"licence","community"}))</f>
        <v>0</v>
      </c>
      <c r="R194" s="204" cm="1">
        <f t="array" ref="R194">SUM(SUMIFS('caseload data'!S:S,'caseload data'!$D:$D,"TPO",'caseload data'!$A:$A,$B192,'caseload data'!$B:$B,{"licence","community"}))</f>
        <v>0</v>
      </c>
      <c r="S194" s="204" cm="1">
        <f t="array" ref="S194">SUM(SUMIFS('caseload data'!T:T,'caseload data'!$D:$D,"TPO",'caseload data'!$A:$A,$B192,'caseload data'!$B:$B,{"licence","community"}))</f>
        <v>0</v>
      </c>
      <c r="T194" s="204" cm="1">
        <f t="array" ref="T194">SUM(SUMIFS('caseload data'!V:V,'caseload data'!$D:$D,"TPO",'caseload data'!$A:$A,$B192,'caseload data'!$B:$B,{"licence","community"}))</f>
        <v>0</v>
      </c>
      <c r="U194" s="95"/>
      <c r="V194" s="95"/>
      <c r="W194" s="330"/>
      <c r="X194" s="162" t="s">
        <v>186</v>
      </c>
      <c r="Y194" s="209" t="e">
        <f t="shared" si="63"/>
        <v>#DIV/0!</v>
      </c>
      <c r="Z194" s="209" t="e">
        <f t="shared" si="62"/>
        <v>#DIV/0!</v>
      </c>
      <c r="AA194" s="209" t="e">
        <f t="shared" si="62"/>
        <v>#DIV/0!</v>
      </c>
      <c r="AB194" s="209" t="e">
        <f t="shared" si="62"/>
        <v>#DIV/0!</v>
      </c>
      <c r="AC194" s="209" t="e">
        <f t="shared" si="62"/>
        <v>#DIV/0!</v>
      </c>
      <c r="AD194" s="209" t="e">
        <f t="shared" si="62"/>
        <v>#DIV/0!</v>
      </c>
      <c r="AE194" s="209" t="e">
        <f t="shared" si="62"/>
        <v>#DIV/0!</v>
      </c>
      <c r="AF194" s="209" t="e">
        <f t="shared" si="62"/>
        <v>#DIV/0!</v>
      </c>
      <c r="AG194" s="209" t="e">
        <f t="shared" si="62"/>
        <v>#DIV/0!</v>
      </c>
      <c r="AH194" s="209" t="e">
        <f t="shared" si="62"/>
        <v>#DIV/0!</v>
      </c>
      <c r="AI194" s="209" t="e">
        <f t="shared" si="62"/>
        <v>#DIV/0!</v>
      </c>
      <c r="AJ194" s="209" t="e">
        <f t="shared" si="62"/>
        <v>#DIV/0!</v>
      </c>
      <c r="AK194" s="209" t="e">
        <f t="shared" si="62"/>
        <v>#DIV/0!</v>
      </c>
      <c r="AL194" s="209" t="e">
        <f t="shared" si="62"/>
        <v>#DIV/0!</v>
      </c>
      <c r="AM194" s="209" t="e">
        <f t="shared" si="62"/>
        <v>#DIV/0!</v>
      </c>
      <c r="AN194" s="209" t="e">
        <f t="shared" si="62"/>
        <v>#DIV/0!</v>
      </c>
    </row>
    <row r="195" spans="2:43" s="30" customFormat="1" ht="15" thickBot="1" x14ac:dyDescent="0.2">
      <c r="B195" s="331"/>
      <c r="C195" s="163" t="s">
        <v>187</v>
      </c>
      <c r="D195" s="204" cm="1">
        <f t="array" ref="D195">SUM(SUMIFS('caseload data'!E:E,'caseload data'!$D:$D,"SPO",'caseload data'!$A:$A,$B192,'caseload data'!$B:$B,{"licence","community"}))</f>
        <v>0</v>
      </c>
      <c r="E195" s="204" cm="1">
        <f t="array" ref="E195">SUM(SUMIFS('caseload data'!F:F,'caseload data'!$D:$D,"SPO",'caseload data'!$A:$A,$B192,'caseload data'!$B:$B,{"licence","community"}))</f>
        <v>0</v>
      </c>
      <c r="F195" s="204" cm="1">
        <f t="array" ref="F195">SUM(SUMIFS('caseload data'!G:G,'caseload data'!$D:$D,"SPO",'caseload data'!$A:$A,$B192,'caseload data'!$B:$B,{"licence","community"}))</f>
        <v>0</v>
      </c>
      <c r="G195" s="204" cm="1">
        <f t="array" ref="G195">SUM(SUMIFS('caseload data'!H:H,'caseload data'!$D:$D,"SPO",'caseload data'!$A:$A,$B192,'caseload data'!$B:$B,{"licence","community"}))</f>
        <v>0</v>
      </c>
      <c r="H195" s="204" cm="1">
        <f t="array" ref="H195">SUM(SUMIFS('caseload data'!I:I,'caseload data'!$D:$D,"SPO",'caseload data'!$A:$A,$B192,'caseload data'!$B:$B,{"licence","community"}))</f>
        <v>0</v>
      </c>
      <c r="I195" s="204" cm="1">
        <f t="array" ref="I195">SUM(SUMIFS('caseload data'!J:J,'caseload data'!$D:$D,"SPO",'caseload data'!$A:$A,$B192,'caseload data'!$B:$B,{"licence","community"}))</f>
        <v>0</v>
      </c>
      <c r="J195" s="204" cm="1">
        <f t="array" ref="J195">SUM(SUMIFS('caseload data'!K:K,'caseload data'!$D:$D,"SPO",'caseload data'!$A:$A,$B192,'caseload data'!$B:$B,{"licence","community"}))</f>
        <v>0</v>
      </c>
      <c r="K195" s="204" cm="1">
        <f t="array" ref="K195">SUM(SUMIFS('caseload data'!L:L,'caseload data'!$D:$D,"SPO",'caseload data'!$A:$A,$B192,'caseload data'!$B:$B,{"licence","community"}))</f>
        <v>0</v>
      </c>
      <c r="L195" s="204" cm="1">
        <f t="array" ref="L195">SUM(SUMIFS('caseload data'!M:M,'caseload data'!$D:$D,"SPO",'caseload data'!$A:$A,$B192,'caseload data'!$B:$B,{"licence","community"}))</f>
        <v>0</v>
      </c>
      <c r="M195" s="204" cm="1">
        <f t="array" ref="M195">SUM(SUMIFS('caseload data'!N:N,'caseload data'!$D:$D,"SPO",'caseload data'!$A:$A,$B192,'caseload data'!$B:$B,{"licence","community"}))</f>
        <v>0</v>
      </c>
      <c r="N195" s="204" cm="1">
        <f t="array" ref="N195">SUM(SUMIFS('caseload data'!O:O,'caseload data'!$D:$D,"SPO",'caseload data'!$A:$A,$B192,'caseload data'!$B:$B,{"licence","community"}))</f>
        <v>0</v>
      </c>
      <c r="O195" s="204" cm="1">
        <f t="array" ref="O195">SUM(SUMIFS('caseload data'!P:P,'caseload data'!$D:$D,"SPO",'caseload data'!$A:$A,$B192,'caseload data'!$B:$B,{"licence","community"}))</f>
        <v>0</v>
      </c>
      <c r="P195" s="204" cm="1">
        <f t="array" ref="P195">SUM(SUMIFS('caseload data'!Q:Q,'caseload data'!$D:$D,"SPO",'caseload data'!$A:$A,$B192,'caseload data'!$B:$B,{"licence","community"}))</f>
        <v>0</v>
      </c>
      <c r="Q195" s="204" cm="1">
        <f t="array" ref="Q195">SUM(SUMIFS('caseload data'!R:R,'caseload data'!$D:$D,"SPO",'caseload data'!$A:$A,$B192,'caseload data'!$B:$B,{"licence","community"}))</f>
        <v>0</v>
      </c>
      <c r="R195" s="204" cm="1">
        <f t="array" ref="R195">SUM(SUMIFS('caseload data'!S:S,'caseload data'!$D:$D,"SPO",'caseload data'!$A:$A,$B192,'caseload data'!$B:$B,{"licence","community"}))</f>
        <v>0</v>
      </c>
      <c r="S195" s="204" cm="1">
        <f t="array" ref="S195">SUM(SUMIFS('caseload data'!T:T,'caseload data'!$D:$D,"SPO",'caseload data'!$A:$A,$B192,'caseload data'!$B:$B,{"licence","community"}))</f>
        <v>0</v>
      </c>
      <c r="T195" s="204" cm="1">
        <f t="array" ref="T195">SUM(SUMIFS('caseload data'!V:V,'caseload data'!$D:$D,"SPO",'caseload data'!$A:$A,$B192,'caseload data'!$B:$B,{"licence","community"}))</f>
        <v>0</v>
      </c>
      <c r="U195" s="95"/>
      <c r="V195" s="95"/>
      <c r="W195" s="331"/>
      <c r="X195" s="163" t="s">
        <v>187</v>
      </c>
      <c r="Y195" s="209" t="e">
        <f t="shared" si="63"/>
        <v>#DIV/0!</v>
      </c>
      <c r="Z195" s="209" t="e">
        <f t="shared" si="62"/>
        <v>#DIV/0!</v>
      </c>
      <c r="AA195" s="209" t="e">
        <f t="shared" si="62"/>
        <v>#DIV/0!</v>
      </c>
      <c r="AB195" s="209" t="e">
        <f t="shared" si="62"/>
        <v>#DIV/0!</v>
      </c>
      <c r="AC195" s="209" t="e">
        <f t="shared" si="62"/>
        <v>#DIV/0!</v>
      </c>
      <c r="AD195" s="209" t="e">
        <f t="shared" si="62"/>
        <v>#DIV/0!</v>
      </c>
      <c r="AE195" s="209" t="e">
        <f t="shared" si="62"/>
        <v>#DIV/0!</v>
      </c>
      <c r="AF195" s="209" t="e">
        <f t="shared" si="62"/>
        <v>#DIV/0!</v>
      </c>
      <c r="AG195" s="209" t="e">
        <f t="shared" si="62"/>
        <v>#DIV/0!</v>
      </c>
      <c r="AH195" s="209" t="e">
        <f t="shared" si="62"/>
        <v>#DIV/0!</v>
      </c>
      <c r="AI195" s="209" t="e">
        <f t="shared" si="62"/>
        <v>#DIV/0!</v>
      </c>
      <c r="AJ195" s="209" t="e">
        <f t="shared" si="62"/>
        <v>#DIV/0!</v>
      </c>
      <c r="AK195" s="209" t="e">
        <f t="shared" si="62"/>
        <v>#DIV/0!</v>
      </c>
      <c r="AL195" s="209" t="e">
        <f t="shared" si="62"/>
        <v>#DIV/0!</v>
      </c>
      <c r="AM195" s="209" t="e">
        <f t="shared" si="62"/>
        <v>#DIV/0!</v>
      </c>
      <c r="AN195" s="209" t="e">
        <f t="shared" si="62"/>
        <v>#DIV/0!</v>
      </c>
    </row>
    <row r="196" spans="2:43" x14ac:dyDescent="0.15">
      <c r="B196" s="336" t="s">
        <v>357</v>
      </c>
      <c r="C196" s="170" t="s">
        <v>184</v>
      </c>
      <c r="D196" s="171" cm="1">
        <f t="array" ref="D196">SUM(SUMIFS('caseload data'!E:E,'caseload data'!$D:$D,"PO",'caseload data'!$B:$B,{"licence","community"}))</f>
        <v>0</v>
      </c>
      <c r="E196" s="171" cm="1">
        <f t="array" ref="E196">SUM(SUMIFS('caseload data'!F:F,'caseload data'!$D:$D,"PO",'caseload data'!$B:$B,{"licence","community"}))</f>
        <v>0</v>
      </c>
      <c r="F196" s="171" cm="1">
        <f t="array" ref="F196">SUM(SUMIFS('caseload data'!G:G,'caseload data'!$D:$D,"PO",'caseload data'!$B:$B,{"licence","community"}))</f>
        <v>0</v>
      </c>
      <c r="G196" s="171" cm="1">
        <f t="array" ref="G196">SUM(SUMIFS('caseload data'!H:H,'caseload data'!$D:$D,"PO",'caseload data'!$B:$B,{"licence","community"}))</f>
        <v>0</v>
      </c>
      <c r="H196" s="171" cm="1">
        <f t="array" ref="H196">SUM(SUMIFS('caseload data'!I:I,'caseload data'!$D:$D,"PO",'caseload data'!$B:$B,{"licence","community"}))</f>
        <v>0</v>
      </c>
      <c r="I196" s="171" cm="1">
        <f t="array" ref="I196">SUM(SUMIFS('caseload data'!J:J,'caseload data'!$D:$D,"PO",'caseload data'!$B:$B,{"licence","community"}))</f>
        <v>0</v>
      </c>
      <c r="J196" s="171" cm="1">
        <f t="array" ref="J196">SUM(SUMIFS('caseload data'!K:K,'caseload data'!$D:$D,"PO",'caseload data'!$B:$B,{"licence","community"}))</f>
        <v>0</v>
      </c>
      <c r="K196" s="171" cm="1">
        <f t="array" ref="K196">SUM(SUMIFS('caseload data'!L:L,'caseload data'!$D:$D,"PO",'caseload data'!$B:$B,{"licence","community"}))</f>
        <v>0</v>
      </c>
      <c r="L196" s="171" cm="1">
        <f t="array" ref="L196">SUM(SUMIFS('caseload data'!M:M,'caseload data'!$D:$D,"PO",'caseload data'!$B:$B,{"licence","community"}))</f>
        <v>0</v>
      </c>
      <c r="M196" s="171" cm="1">
        <f t="array" ref="M196">SUM(SUMIFS('caseload data'!N:N,'caseload data'!$D:$D,"PO",'caseload data'!$B:$B,{"licence","community"}))</f>
        <v>0</v>
      </c>
      <c r="N196" s="171" cm="1">
        <f t="array" ref="N196">SUM(SUMIFS('caseload data'!O:O,'caseload data'!$D:$D,"PO",'caseload data'!$B:$B,{"licence","community"}))</f>
        <v>0</v>
      </c>
      <c r="O196" s="171" cm="1">
        <f t="array" ref="O196">SUM(SUMIFS('caseload data'!P:P,'caseload data'!$D:$D,"PO",'caseload data'!$B:$B,{"licence","community"}))</f>
        <v>0</v>
      </c>
      <c r="P196" s="171" cm="1">
        <f t="array" ref="P196">SUM(SUMIFS('caseload data'!Q:Q,'caseload data'!$D:$D,"PO",'caseload data'!$B:$B,{"licence","community"}))</f>
        <v>0</v>
      </c>
      <c r="Q196" s="171" cm="1">
        <f t="array" ref="Q196">SUM(SUMIFS('caseload data'!R:R,'caseload data'!$D:$D,"PO",'caseload data'!$B:$B,{"licence","community"}))</f>
        <v>0</v>
      </c>
      <c r="R196" s="171" cm="1">
        <f t="array" ref="R196">SUM(SUMIFS('caseload data'!S:S,'caseload data'!$D:$D,"PO",'caseload data'!$B:$B,{"licence","community"}))</f>
        <v>0</v>
      </c>
      <c r="S196" s="171" cm="1">
        <f t="array" ref="S196">SUM(SUMIFS('caseload data'!T:T,'caseload data'!$D:$D,"PO",'caseload data'!$B:$B,{"licence","community"}))</f>
        <v>0</v>
      </c>
      <c r="T196" s="172">
        <f>SUM(SUMIFS('caseload data'!V:V,'caseload data'!D:D,"PO",'caseload data'!B:B,{"licence","community"}))</f>
        <v>0</v>
      </c>
      <c r="U196" s="95"/>
      <c r="V196" s="95"/>
      <c r="W196" s="349" t="s">
        <v>357</v>
      </c>
      <c r="X196" s="170" t="s">
        <v>184</v>
      </c>
      <c r="Y196" s="174" t="e">
        <f>SUM(D196)/SUM(D$196:D$199)</f>
        <v>#DIV/0!</v>
      </c>
      <c r="Z196" s="174" t="e">
        <f t="shared" ref="Z196:AN199" si="64">SUM(E196)/SUM(E$196:E$199)</f>
        <v>#DIV/0!</v>
      </c>
      <c r="AA196" s="174" t="e">
        <f t="shared" si="64"/>
        <v>#DIV/0!</v>
      </c>
      <c r="AB196" s="174" t="e">
        <f t="shared" si="64"/>
        <v>#DIV/0!</v>
      </c>
      <c r="AC196" s="174" t="e">
        <f t="shared" si="64"/>
        <v>#DIV/0!</v>
      </c>
      <c r="AD196" s="174" t="e">
        <f t="shared" si="64"/>
        <v>#DIV/0!</v>
      </c>
      <c r="AE196" s="174" t="e">
        <f t="shared" si="64"/>
        <v>#DIV/0!</v>
      </c>
      <c r="AF196" s="174" t="e">
        <f t="shared" si="64"/>
        <v>#DIV/0!</v>
      </c>
      <c r="AG196" s="174" t="e">
        <f t="shared" si="64"/>
        <v>#DIV/0!</v>
      </c>
      <c r="AH196" s="174" t="e">
        <f t="shared" si="64"/>
        <v>#DIV/0!</v>
      </c>
      <c r="AI196" s="174" t="e">
        <f t="shared" si="64"/>
        <v>#DIV/0!</v>
      </c>
      <c r="AJ196" s="174" t="e">
        <f t="shared" si="64"/>
        <v>#DIV/0!</v>
      </c>
      <c r="AK196" s="174" t="e">
        <f t="shared" si="64"/>
        <v>#DIV/0!</v>
      </c>
      <c r="AL196" s="174" t="e">
        <f t="shared" si="64"/>
        <v>#DIV/0!</v>
      </c>
      <c r="AM196" s="174" t="e">
        <f t="shared" si="64"/>
        <v>#DIV/0!</v>
      </c>
      <c r="AN196" s="174" t="e">
        <f t="shared" si="64"/>
        <v>#DIV/0!</v>
      </c>
    </row>
    <row r="197" spans="2:43" x14ac:dyDescent="0.15">
      <c r="B197" s="337"/>
      <c r="C197" s="173" t="s">
        <v>185</v>
      </c>
      <c r="D197" s="171" cm="1">
        <f t="array" ref="D197">SUM(SUMIFS('caseload data'!E:E,'caseload data'!$D:$D,"PSO",'caseload data'!$B:$B,{"licence","community"}))</f>
        <v>0</v>
      </c>
      <c r="E197" s="171" cm="1">
        <f t="array" ref="E197">SUM(SUMIFS('caseload data'!F:F,'caseload data'!$D:$D,"PSO",'caseload data'!$B:$B,{"licence","community"}))</f>
        <v>0</v>
      </c>
      <c r="F197" s="171" cm="1">
        <f t="array" ref="F197">SUM(SUMIFS('caseload data'!G:G,'caseload data'!$D:$D,"PSO",'caseload data'!$B:$B,{"licence","community"}))</f>
        <v>0</v>
      </c>
      <c r="G197" s="171" cm="1">
        <f t="array" ref="G197">SUM(SUMIFS('caseload data'!H:H,'caseload data'!$D:$D,"PSO",'caseload data'!$B:$B,{"licence","community"}))</f>
        <v>0</v>
      </c>
      <c r="H197" s="171" cm="1">
        <f t="array" ref="H197">SUM(SUMIFS('caseload data'!I:I,'caseload data'!$D:$D,"PSO",'caseload data'!$B:$B,{"licence","community"}))</f>
        <v>0</v>
      </c>
      <c r="I197" s="171" cm="1">
        <f t="array" ref="I197">SUM(SUMIFS('caseload data'!J:J,'caseload data'!$D:$D,"PSO",'caseload data'!$B:$B,{"licence","community"}))</f>
        <v>0</v>
      </c>
      <c r="J197" s="171" cm="1">
        <f t="array" ref="J197">SUM(SUMIFS('caseload data'!K:K,'caseload data'!$D:$D,"PSO",'caseload data'!$B:$B,{"licence","community"}))</f>
        <v>0</v>
      </c>
      <c r="K197" s="171" cm="1">
        <f t="array" ref="K197">SUM(SUMIFS('caseload data'!L:L,'caseload data'!$D:$D,"PSO",'caseload data'!$B:$B,{"licence","community"}))</f>
        <v>0</v>
      </c>
      <c r="L197" s="171" cm="1">
        <f t="array" ref="L197">SUM(SUMIFS('caseload data'!M:M,'caseload data'!$D:$D,"PSO",'caseload data'!$B:$B,{"licence","community"}))</f>
        <v>0</v>
      </c>
      <c r="M197" s="171" cm="1">
        <f t="array" ref="M197">SUM(SUMIFS('caseload data'!N:N,'caseload data'!$D:$D,"PSO",'caseload data'!$B:$B,{"licence","community"}))</f>
        <v>0</v>
      </c>
      <c r="N197" s="171" cm="1">
        <f t="array" ref="N197">SUM(SUMIFS('caseload data'!O:O,'caseload data'!$D:$D,"PSO",'caseload data'!$B:$B,{"licence","community"}))</f>
        <v>0</v>
      </c>
      <c r="O197" s="171" cm="1">
        <f t="array" ref="O197">SUM(SUMIFS('caseload data'!P:P,'caseload data'!$D:$D,"PSO",'caseload data'!$B:$B,{"licence","community"}))</f>
        <v>0</v>
      </c>
      <c r="P197" s="171" cm="1">
        <f t="array" ref="P197">SUM(SUMIFS('caseload data'!Q:Q,'caseload data'!$D:$D,"PSO",'caseload data'!$B:$B,{"licence","community"}))</f>
        <v>0</v>
      </c>
      <c r="Q197" s="171" cm="1">
        <f t="array" ref="Q197">SUM(SUMIFS('caseload data'!R:R,'caseload data'!$D:$D,"PSO",'caseload data'!$B:$B,{"licence","community"}))</f>
        <v>0</v>
      </c>
      <c r="R197" s="171" cm="1">
        <f t="array" ref="R197">SUM(SUMIFS('caseload data'!S:S,'caseload data'!$D:$D,"PSO",'caseload data'!$B:$B,{"licence","community"}))</f>
        <v>0</v>
      </c>
      <c r="S197" s="171" cm="1">
        <f t="array" ref="S197">SUM(SUMIFS('caseload data'!T:T,'caseload data'!$D:$D,"PSO",'caseload data'!$B:$B,{"licence","community"}))</f>
        <v>0</v>
      </c>
      <c r="T197" s="172">
        <f>SUM(SUMIFS('caseload data'!V:V,'caseload data'!D:D,"PSO",'caseload data'!B:B,{"licence","community"}))</f>
        <v>0</v>
      </c>
      <c r="U197" s="95"/>
      <c r="V197" s="95"/>
      <c r="W197" s="350"/>
      <c r="X197" s="173" t="s">
        <v>185</v>
      </c>
      <c r="Y197" s="174" t="e">
        <f>SUM(D197)/SUM(D$196:D$199)</f>
        <v>#DIV/0!</v>
      </c>
      <c r="Z197" s="174" t="e">
        <f t="shared" si="64"/>
        <v>#DIV/0!</v>
      </c>
      <c r="AA197" s="174" t="e">
        <f t="shared" si="64"/>
        <v>#DIV/0!</v>
      </c>
      <c r="AB197" s="174" t="e">
        <f t="shared" si="64"/>
        <v>#DIV/0!</v>
      </c>
      <c r="AC197" s="174" t="e">
        <f t="shared" si="64"/>
        <v>#DIV/0!</v>
      </c>
      <c r="AD197" s="174" t="e">
        <f t="shared" si="64"/>
        <v>#DIV/0!</v>
      </c>
      <c r="AE197" s="174" t="e">
        <f t="shared" si="64"/>
        <v>#DIV/0!</v>
      </c>
      <c r="AF197" s="174" t="e">
        <f t="shared" si="64"/>
        <v>#DIV/0!</v>
      </c>
      <c r="AG197" s="174" t="e">
        <f t="shared" si="64"/>
        <v>#DIV/0!</v>
      </c>
      <c r="AH197" s="174" t="e">
        <f t="shared" si="64"/>
        <v>#DIV/0!</v>
      </c>
      <c r="AI197" s="174" t="e">
        <f t="shared" si="64"/>
        <v>#DIV/0!</v>
      </c>
      <c r="AJ197" s="174" t="e">
        <f t="shared" si="64"/>
        <v>#DIV/0!</v>
      </c>
      <c r="AK197" s="174" t="e">
        <f t="shared" si="64"/>
        <v>#DIV/0!</v>
      </c>
      <c r="AL197" s="174" t="e">
        <f t="shared" si="64"/>
        <v>#DIV/0!</v>
      </c>
      <c r="AM197" s="174" t="e">
        <f t="shared" si="64"/>
        <v>#DIV/0!</v>
      </c>
      <c r="AN197" s="174" t="e">
        <f t="shared" si="64"/>
        <v>#DIV/0!</v>
      </c>
    </row>
    <row r="198" spans="2:43" x14ac:dyDescent="0.15">
      <c r="B198" s="337"/>
      <c r="C198" s="173" t="s">
        <v>186</v>
      </c>
      <c r="D198" s="171" cm="1">
        <f t="array" ref="D198">SUM(SUMIFS('caseload data'!E:E,'caseload data'!$D:$D,"TPO",'caseload data'!$B:$B,{"licence","community"}))</f>
        <v>0</v>
      </c>
      <c r="E198" s="171" cm="1">
        <f t="array" ref="E198">SUM(SUMIFS('caseload data'!F:F,'caseload data'!$D:$D,"TPO",'caseload data'!$B:$B,{"licence","community"}))</f>
        <v>0</v>
      </c>
      <c r="F198" s="171" cm="1">
        <f t="array" ref="F198">SUM(SUMIFS('caseload data'!G:G,'caseload data'!$D:$D,"TPO",'caseload data'!$B:$B,{"licence","community"}))</f>
        <v>0</v>
      </c>
      <c r="G198" s="171" cm="1">
        <f t="array" ref="G198">SUM(SUMIFS('caseload data'!H:H,'caseload data'!$D:$D,"TPO",'caseload data'!$B:$B,{"licence","community"}))</f>
        <v>0</v>
      </c>
      <c r="H198" s="171" cm="1">
        <f t="array" ref="H198">SUM(SUMIFS('caseload data'!I:I,'caseload data'!$D:$D,"TPO",'caseload data'!$B:$B,{"licence","community"}))</f>
        <v>0</v>
      </c>
      <c r="I198" s="171" cm="1">
        <f t="array" ref="I198">SUM(SUMIFS('caseload data'!J:J,'caseload data'!$D:$D,"TPO",'caseload data'!$B:$B,{"licence","community"}))</f>
        <v>0</v>
      </c>
      <c r="J198" s="171" cm="1">
        <f t="array" ref="J198">SUM(SUMIFS('caseload data'!K:K,'caseload data'!$D:$D,"TPO",'caseload data'!$B:$B,{"licence","community"}))</f>
        <v>0</v>
      </c>
      <c r="K198" s="171" cm="1">
        <f t="array" ref="K198">SUM(SUMIFS('caseload data'!L:L,'caseload data'!$D:$D,"TPO",'caseload data'!$B:$B,{"licence","community"}))</f>
        <v>0</v>
      </c>
      <c r="L198" s="171" cm="1">
        <f t="array" ref="L198">SUM(SUMIFS('caseload data'!M:M,'caseload data'!$D:$D,"TPO",'caseload data'!$B:$B,{"licence","community"}))</f>
        <v>0</v>
      </c>
      <c r="M198" s="171" cm="1">
        <f t="array" ref="M198">SUM(SUMIFS('caseload data'!N:N,'caseload data'!$D:$D,"TPO",'caseload data'!$B:$B,{"licence","community"}))</f>
        <v>0</v>
      </c>
      <c r="N198" s="171" cm="1">
        <f t="array" ref="N198">SUM(SUMIFS('caseload data'!O:O,'caseload data'!$D:$D,"TPO",'caseload data'!$B:$B,{"licence","community"}))</f>
        <v>0</v>
      </c>
      <c r="O198" s="171" cm="1">
        <f t="array" ref="O198">SUM(SUMIFS('caseload data'!P:P,'caseload data'!$D:$D,"TPO",'caseload data'!$B:$B,{"licence","community"}))</f>
        <v>0</v>
      </c>
      <c r="P198" s="171" cm="1">
        <f t="array" ref="P198">SUM(SUMIFS('caseload data'!Q:Q,'caseload data'!$D:$D,"TPO",'caseload data'!$B:$B,{"licence","community"}))</f>
        <v>0</v>
      </c>
      <c r="Q198" s="171" cm="1">
        <f t="array" ref="Q198">SUM(SUMIFS('caseload data'!R:R,'caseload data'!$D:$D,"TPO",'caseload data'!$B:$B,{"licence","community"}))</f>
        <v>0</v>
      </c>
      <c r="R198" s="171" cm="1">
        <f t="array" ref="R198">SUM(SUMIFS('caseload data'!S:S,'caseload data'!$D:$D,"TPO",'caseload data'!$B:$B,{"licence","community"}))</f>
        <v>0</v>
      </c>
      <c r="S198" s="171" cm="1">
        <f t="array" ref="S198">SUM(SUMIFS('caseload data'!T:T,'caseload data'!$D:$D,"TPO",'caseload data'!$B:$B,{"licence","community"}))</f>
        <v>0</v>
      </c>
      <c r="T198" s="172">
        <f>SUM(SUMIFS('caseload data'!V:V,'caseload data'!D:D,"TPO",'caseload data'!B:B,{"licence","community"}))</f>
        <v>0</v>
      </c>
      <c r="U198" s="95"/>
      <c r="V198" s="95"/>
      <c r="W198" s="350"/>
      <c r="X198" s="173" t="s">
        <v>186</v>
      </c>
      <c r="Y198" s="174" t="e">
        <f>SUM(D198)/SUM(D$196:D$199)</f>
        <v>#DIV/0!</v>
      </c>
      <c r="Z198" s="174" t="e">
        <f t="shared" si="64"/>
        <v>#DIV/0!</v>
      </c>
      <c r="AA198" s="174" t="e">
        <f t="shared" si="64"/>
        <v>#DIV/0!</v>
      </c>
      <c r="AB198" s="174" t="e">
        <f t="shared" si="64"/>
        <v>#DIV/0!</v>
      </c>
      <c r="AC198" s="174" t="e">
        <f t="shared" si="64"/>
        <v>#DIV/0!</v>
      </c>
      <c r="AD198" s="174" t="e">
        <f t="shared" si="64"/>
        <v>#DIV/0!</v>
      </c>
      <c r="AE198" s="174" t="e">
        <f t="shared" si="64"/>
        <v>#DIV/0!</v>
      </c>
      <c r="AF198" s="174" t="e">
        <f t="shared" si="64"/>
        <v>#DIV/0!</v>
      </c>
      <c r="AG198" s="174" t="e">
        <f t="shared" si="64"/>
        <v>#DIV/0!</v>
      </c>
      <c r="AH198" s="174" t="e">
        <f t="shared" si="64"/>
        <v>#DIV/0!</v>
      </c>
      <c r="AI198" s="174" t="e">
        <f t="shared" si="64"/>
        <v>#DIV/0!</v>
      </c>
      <c r="AJ198" s="174" t="e">
        <f t="shared" si="64"/>
        <v>#DIV/0!</v>
      </c>
      <c r="AK198" s="174" t="e">
        <f t="shared" si="64"/>
        <v>#DIV/0!</v>
      </c>
      <c r="AL198" s="174" t="e">
        <f t="shared" si="64"/>
        <v>#DIV/0!</v>
      </c>
      <c r="AM198" s="174" t="e">
        <f t="shared" si="64"/>
        <v>#DIV/0!</v>
      </c>
      <c r="AN198" s="174" t="e">
        <f t="shared" si="64"/>
        <v>#DIV/0!</v>
      </c>
    </row>
    <row r="199" spans="2:43" s="30" customFormat="1" ht="15" thickBot="1" x14ac:dyDescent="0.2">
      <c r="B199" s="337"/>
      <c r="C199" s="173" t="s">
        <v>187</v>
      </c>
      <c r="D199" s="171">
        <f>SUM(SUMIFS('caseload data'!E:E,'caseload data'!$D:$D,"SPO",'caseload data'!$B:$B,{"licence","community"}))</f>
        <v>0</v>
      </c>
      <c r="E199" s="171">
        <f>SUM(SUMIFS('caseload data'!F:F,'caseload data'!$D:$D,"SPO",'caseload data'!$B:$B,{"licence","community"}))</f>
        <v>0</v>
      </c>
      <c r="F199" s="171">
        <f>SUM(SUMIFS('caseload data'!G:G,'caseload data'!$D:$D,"SPO",'caseload data'!$B:$B,{"licence","community"}))</f>
        <v>0</v>
      </c>
      <c r="G199" s="171">
        <f>SUM(SUMIFS('caseload data'!H:H,'caseload data'!$D:$D,"SPO",'caseload data'!$B:$B,{"licence","community"}))</f>
        <v>0</v>
      </c>
      <c r="H199" s="171">
        <f>SUM(SUMIFS('caseload data'!I:I,'caseload data'!$D:$D,"SPO",'caseload data'!$B:$B,{"licence","community"}))</f>
        <v>0</v>
      </c>
      <c r="I199" s="171">
        <f>SUM(SUMIFS('caseload data'!J:J,'caseload data'!$D:$D,"SPO",'caseload data'!$B:$B,{"licence","community"}))</f>
        <v>0</v>
      </c>
      <c r="J199" s="171">
        <f>SUM(SUMIFS('caseload data'!K:K,'caseload data'!$D:$D,"SPO",'caseload data'!$B:$B,{"licence","community"}))</f>
        <v>0</v>
      </c>
      <c r="K199" s="171">
        <f>SUM(SUMIFS('caseload data'!L:L,'caseload data'!$D:$D,"SPO",'caseload data'!$B:$B,{"licence","community"}))</f>
        <v>0</v>
      </c>
      <c r="L199" s="171">
        <f>SUM(SUMIFS('caseload data'!M:M,'caseload data'!$D:$D,"SPO",'caseload data'!$B:$B,{"licence","community"}))</f>
        <v>0</v>
      </c>
      <c r="M199" s="171">
        <f>SUM(SUMIFS('caseload data'!N:N,'caseload data'!$D:$D,"SPO",'caseload data'!$B:$B,{"licence","community"}))</f>
        <v>0</v>
      </c>
      <c r="N199" s="171">
        <f>SUM(SUMIFS('caseload data'!O:O,'caseload data'!$D:$D,"SPO",'caseload data'!$B:$B,{"licence","community"}))</f>
        <v>0</v>
      </c>
      <c r="O199" s="171">
        <f>SUM(SUMIFS('caseload data'!P:P,'caseload data'!$D:$D,"SPO",'caseload data'!$B:$B,{"licence","community"}))</f>
        <v>0</v>
      </c>
      <c r="P199" s="171">
        <f>SUM(SUMIFS('caseload data'!Q:Q,'caseload data'!$D:$D,"SPO",'caseload data'!$B:$B,{"licence","community"}))</f>
        <v>0</v>
      </c>
      <c r="Q199" s="171">
        <f>SUM(SUMIFS('caseload data'!R:R,'caseload data'!$D:$D,"SPO",'caseload data'!$B:$B,{"licence","community"}))</f>
        <v>0</v>
      </c>
      <c r="R199" s="171">
        <f>SUM(SUMIFS('caseload data'!S:S,'caseload data'!$D:$D,"SPO",'caseload data'!$B:$B,{"licence","community"}))</f>
        <v>0</v>
      </c>
      <c r="S199" s="171">
        <f>SUM(SUMIFS('caseload data'!T:T,'caseload data'!$D:$D,"SPO",'caseload data'!$B:$B,{"licence","community"}))</f>
        <v>0</v>
      </c>
      <c r="T199" s="172">
        <f>SUM(SUMIFS('caseload data'!V:V,'caseload data'!$D:$D,"SPO",'caseload data'!$B:$B,{"licence","community"}))</f>
        <v>0</v>
      </c>
      <c r="U199" s="95"/>
      <c r="V199" s="95"/>
      <c r="W199" s="351"/>
      <c r="X199" s="175" t="s">
        <v>187</v>
      </c>
      <c r="Y199" s="174" t="e">
        <f>SUM(D199)/SUM(D$196:D$199)</f>
        <v>#DIV/0!</v>
      </c>
      <c r="Z199" s="174" t="e">
        <f t="shared" si="64"/>
        <v>#DIV/0!</v>
      </c>
      <c r="AA199" s="174" t="e">
        <f t="shared" si="64"/>
        <v>#DIV/0!</v>
      </c>
      <c r="AB199" s="174" t="e">
        <f t="shared" si="64"/>
        <v>#DIV/0!</v>
      </c>
      <c r="AC199" s="174" t="e">
        <f t="shared" si="64"/>
        <v>#DIV/0!</v>
      </c>
      <c r="AD199" s="174" t="e">
        <f t="shared" si="64"/>
        <v>#DIV/0!</v>
      </c>
      <c r="AE199" s="174" t="e">
        <f t="shared" si="64"/>
        <v>#DIV/0!</v>
      </c>
      <c r="AF199" s="174" t="e">
        <f t="shared" si="64"/>
        <v>#DIV/0!</v>
      </c>
      <c r="AG199" s="174" t="e">
        <f t="shared" si="64"/>
        <v>#DIV/0!</v>
      </c>
      <c r="AH199" s="174" t="e">
        <f t="shared" si="64"/>
        <v>#DIV/0!</v>
      </c>
      <c r="AI199" s="174" t="e">
        <f t="shared" si="64"/>
        <v>#DIV/0!</v>
      </c>
      <c r="AJ199" s="174" t="e">
        <f t="shared" si="64"/>
        <v>#DIV/0!</v>
      </c>
      <c r="AK199" s="174" t="e">
        <f t="shared" si="64"/>
        <v>#DIV/0!</v>
      </c>
      <c r="AL199" s="174" t="e">
        <f t="shared" si="64"/>
        <v>#DIV/0!</v>
      </c>
      <c r="AM199" s="174" t="e">
        <f t="shared" si="64"/>
        <v>#DIV/0!</v>
      </c>
      <c r="AN199" s="174" t="e">
        <f t="shared" si="64"/>
        <v>#DIV/0!</v>
      </c>
      <c r="AO199"/>
      <c r="AP199"/>
      <c r="AQ199"/>
    </row>
    <row r="200" spans="2:43" ht="30" customHeight="1" thickBot="1" x14ac:dyDescent="0.2">
      <c r="B200" s="338"/>
      <c r="C200" s="167" t="s">
        <v>358</v>
      </c>
      <c r="D200" s="168" cm="1">
        <f t="array" ref="D200">SUM(SUMIF('caseload data'!$B:$B,{"licence","community"},'caseload data'!E:E))</f>
        <v>0</v>
      </c>
      <c r="E200" s="168" cm="1">
        <f t="array" ref="E200">SUM(SUMIF('caseload data'!$B:$B,{"licence","community"},'caseload data'!F:F))</f>
        <v>0</v>
      </c>
      <c r="F200" s="168" cm="1">
        <f t="array" ref="F200">SUM(SUMIF('caseload data'!$B:$B,{"licence","community"},'caseload data'!G:G))</f>
        <v>0</v>
      </c>
      <c r="G200" s="168" cm="1">
        <f t="array" ref="G200">SUM(SUMIF('caseload data'!$B:$B,{"licence","community"},'caseload data'!H:H))</f>
        <v>0</v>
      </c>
      <c r="H200" s="168" cm="1">
        <f t="array" ref="H200">SUM(SUMIF('caseload data'!$B:$B,{"licence","community"},'caseload data'!I:I))</f>
        <v>0</v>
      </c>
      <c r="I200" s="168" cm="1">
        <f t="array" ref="I200">SUM(SUMIF('caseload data'!$B:$B,{"licence","community"},'caseload data'!J:J))</f>
        <v>0</v>
      </c>
      <c r="J200" s="168" cm="1">
        <f t="array" ref="J200">SUM(SUMIF('caseload data'!$B:$B,{"licence","community"},'caseload data'!K:K))</f>
        <v>0</v>
      </c>
      <c r="K200" s="168" cm="1">
        <f t="array" ref="K200">SUM(SUMIF('caseload data'!$B:$B,{"licence","community"},'caseload data'!L:L))</f>
        <v>0</v>
      </c>
      <c r="L200" s="168" cm="1">
        <f t="array" ref="L200">SUM(SUMIF('caseload data'!$B:$B,{"licence","community"},'caseload data'!M:M))</f>
        <v>0</v>
      </c>
      <c r="M200" s="168" cm="1">
        <f t="array" ref="M200">SUM(SUMIF('caseload data'!$B:$B,{"licence","community"},'caseload data'!N:N))</f>
        <v>0</v>
      </c>
      <c r="N200" s="168" cm="1">
        <f t="array" ref="N200">SUM(SUMIF('caseload data'!$B:$B,{"licence","community"},'caseload data'!O:O))</f>
        <v>0</v>
      </c>
      <c r="O200" s="168" cm="1">
        <f t="array" ref="O200">SUM(SUMIF('caseload data'!$B:$B,{"licence","community"},'caseload data'!P:P))</f>
        <v>0</v>
      </c>
      <c r="P200" s="168" cm="1">
        <f t="array" ref="P200">SUM(SUMIF('caseload data'!$B:$B,{"licence","community"},'caseload data'!Q:Q))</f>
        <v>0</v>
      </c>
      <c r="Q200" s="168" cm="1">
        <f t="array" ref="Q200">SUM(SUMIF('caseload data'!$B:$B,{"licence","community"},'caseload data'!R:R))</f>
        <v>0</v>
      </c>
      <c r="R200" s="168" cm="1">
        <f t="array" ref="R200">SUM(SUMIF('caseload data'!$B:$B,{"licence","community"},'caseload data'!S:S))</f>
        <v>0</v>
      </c>
      <c r="S200" s="168" cm="1">
        <f t="array" ref="S200">SUM(SUMIF('caseload data'!$B:$B,{"licence","community"},'caseload data'!T:T))</f>
        <v>0</v>
      </c>
      <c r="T200" s="169">
        <f>SUM(SUMIF('caseload data'!B:B,{"licence","community"},'caseload data'!V:V))</f>
        <v>0</v>
      </c>
      <c r="U200" s="95"/>
      <c r="V200" s="95"/>
      <c r="W200" s="164"/>
      <c r="X200" s="165"/>
      <c r="Y200" s="166"/>
      <c r="Z200" s="166"/>
      <c r="AA200" s="166"/>
      <c r="AB200" s="166"/>
      <c r="AC200" s="166"/>
      <c r="AD200" s="166"/>
      <c r="AE200" s="166"/>
    </row>
    <row r="202" spans="2:43" ht="15" thickBot="1" x14ac:dyDescent="0.2">
      <c r="B202" s="30"/>
      <c r="C202" s="30"/>
      <c r="D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</row>
    <row r="203" spans="2:43" ht="17" thickBot="1" x14ac:dyDescent="0.25">
      <c r="B203" s="2"/>
      <c r="C203" s="31"/>
      <c r="D203" s="340" t="s">
        <v>361</v>
      </c>
      <c r="E203" s="341"/>
      <c r="F203" s="341"/>
      <c r="G203" s="341"/>
      <c r="H203" s="341"/>
      <c r="I203" s="341"/>
      <c r="J203" s="341"/>
      <c r="K203" s="341"/>
      <c r="L203" s="341"/>
      <c r="M203" s="341"/>
      <c r="N203" s="341"/>
      <c r="O203" s="341"/>
      <c r="P203" s="341"/>
      <c r="Q203" s="341"/>
      <c r="R203" s="341"/>
      <c r="S203" s="341"/>
      <c r="T203" s="342"/>
      <c r="U203" s="30"/>
      <c r="V203" s="30"/>
      <c r="W203" s="2"/>
      <c r="X203" s="31"/>
      <c r="Y203" s="352" t="s">
        <v>362</v>
      </c>
      <c r="Z203" s="353"/>
      <c r="AA203" s="353"/>
      <c r="AB203" s="353"/>
      <c r="AC203" s="353"/>
      <c r="AD203" s="353"/>
      <c r="AE203" s="353"/>
      <c r="AF203" s="353"/>
      <c r="AG203" s="353"/>
      <c r="AH203" s="353"/>
      <c r="AI203" s="353"/>
      <c r="AJ203" s="353"/>
      <c r="AK203" s="353"/>
      <c r="AL203" s="353"/>
      <c r="AM203" s="353"/>
      <c r="AN203" s="353"/>
    </row>
    <row r="204" spans="2:43" x14ac:dyDescent="0.15">
      <c r="B204" s="157" t="s">
        <v>447</v>
      </c>
      <c r="C204" s="159" t="s">
        <v>354</v>
      </c>
      <c r="D204" s="58" t="s">
        <v>504</v>
      </c>
      <c r="E204" s="58" t="s">
        <v>503</v>
      </c>
      <c r="F204" s="58" t="s">
        <v>502</v>
      </c>
      <c r="G204" s="58" t="s">
        <v>501</v>
      </c>
      <c r="H204" s="58" t="s">
        <v>510</v>
      </c>
      <c r="I204" s="58" t="s">
        <v>176</v>
      </c>
      <c r="J204" s="58" t="s">
        <v>177</v>
      </c>
      <c r="K204" s="58" t="s">
        <v>505</v>
      </c>
      <c r="L204" s="58" t="s">
        <v>507</v>
      </c>
      <c r="M204" s="58" t="s">
        <v>178</v>
      </c>
      <c r="N204" s="58" t="s">
        <v>179</v>
      </c>
      <c r="O204" s="58" t="s">
        <v>506</v>
      </c>
      <c r="P204" s="58" t="s">
        <v>508</v>
      </c>
      <c r="Q204" s="58" t="s">
        <v>180</v>
      </c>
      <c r="R204" s="58" t="s">
        <v>181</v>
      </c>
      <c r="S204" s="58" t="s">
        <v>509</v>
      </c>
      <c r="T204" s="159" t="s">
        <v>183</v>
      </c>
      <c r="U204" s="95"/>
      <c r="V204" s="95"/>
      <c r="W204" s="157" t="s">
        <v>447</v>
      </c>
      <c r="X204" s="159" t="s">
        <v>354</v>
      </c>
      <c r="Y204" s="58" t="s">
        <v>504</v>
      </c>
      <c r="Z204" s="58" t="s">
        <v>503</v>
      </c>
      <c r="AA204" s="58" t="s">
        <v>502</v>
      </c>
      <c r="AB204" s="58" t="s">
        <v>501</v>
      </c>
      <c r="AC204" s="58" t="s">
        <v>510</v>
      </c>
      <c r="AD204" s="58" t="s">
        <v>176</v>
      </c>
      <c r="AE204" s="58" t="s">
        <v>177</v>
      </c>
      <c r="AF204" s="58" t="s">
        <v>505</v>
      </c>
      <c r="AG204" s="58" t="s">
        <v>507</v>
      </c>
      <c r="AH204" s="58" t="s">
        <v>178</v>
      </c>
      <c r="AI204" s="58" t="s">
        <v>179</v>
      </c>
      <c r="AJ204" s="58" t="s">
        <v>506</v>
      </c>
      <c r="AK204" s="58" t="s">
        <v>508</v>
      </c>
      <c r="AL204" s="58" t="s">
        <v>180</v>
      </c>
      <c r="AM204" s="58" t="s">
        <v>181</v>
      </c>
      <c r="AN204" s="58" t="s">
        <v>509</v>
      </c>
    </row>
    <row r="205" spans="2:43" x14ac:dyDescent="0.15">
      <c r="B205" s="333" t="s">
        <v>4</v>
      </c>
      <c r="C205" s="161" t="s">
        <v>184</v>
      </c>
      <c r="D205" s="204">
        <f>SUMIFS('caseload data'!E:E,'caseload data'!$D:$D,"PO",'caseload data'!$A:$A,'national caseload'!$B$205:$B$207,'caseload data'!$B:$B,"custody")</f>
        <v>0</v>
      </c>
      <c r="E205" s="204">
        <f>SUMIFS('caseload data'!F:F,'caseload data'!$D:$D,"PO",'caseload data'!$A:$A,'national caseload'!$B$205:$B$207,'caseload data'!$B:$B,"custody")</f>
        <v>0</v>
      </c>
      <c r="F205" s="204">
        <f>SUMIFS('caseload data'!G:G,'caseload data'!$D:$D,"PO",'caseload data'!$A:$A,'national caseload'!$B$205:$B$207,'caseload data'!$B:$B,"custody")</f>
        <v>0</v>
      </c>
      <c r="G205" s="204">
        <f>SUMIFS('caseload data'!H:H,'caseload data'!$D:$D,"PO",'caseload data'!$A:$A,'national caseload'!$B$205:$B$207,'caseload data'!$B:$B,"custody")</f>
        <v>0</v>
      </c>
      <c r="H205" s="204">
        <f>SUMIFS('caseload data'!I:I,'caseload data'!$D:$D,"PO",'caseload data'!$A:$A,'national caseload'!$B$205:$B$207,'caseload data'!$B:$B,"custody")</f>
        <v>0</v>
      </c>
      <c r="I205" s="204">
        <f>SUMIFS('caseload data'!J:J,'caseload data'!$D:$D,"PO",'caseload data'!$A:$A,'national caseload'!$B$205:$B$207,'caseload data'!$B:$B,"custody")</f>
        <v>0</v>
      </c>
      <c r="J205" s="204">
        <f>SUMIFS('caseload data'!K:K,'caseload data'!$D:$D,"PO",'caseload data'!$A:$A,'national caseload'!$B$205:$B$207,'caseload data'!$B:$B,"custody")</f>
        <v>0</v>
      </c>
      <c r="K205" s="204">
        <f>SUMIFS('caseload data'!L:L,'caseload data'!$D:$D,"PO",'caseload data'!$A:$A,'national caseload'!$B$205:$B$207,'caseload data'!$B:$B,"custody")</f>
        <v>0</v>
      </c>
      <c r="L205" s="204">
        <f>SUMIFS('caseload data'!M:M,'caseload data'!$D:$D,"PO",'caseload data'!$A:$A,'national caseload'!$B$205:$B$207,'caseload data'!$B:$B,"custody")</f>
        <v>0</v>
      </c>
      <c r="M205" s="204">
        <f>SUMIFS('caseload data'!N:N,'caseload data'!$D:$D,"PO",'caseload data'!$A:$A,'national caseload'!$B$205:$B$207,'caseload data'!$B:$B,"custody")</f>
        <v>0</v>
      </c>
      <c r="N205" s="204">
        <f>SUMIFS('caseload data'!O:O,'caseload data'!$D:$D,"PO",'caseload data'!$A:$A,'national caseload'!$B$205:$B$207,'caseload data'!$B:$B,"custody")</f>
        <v>0</v>
      </c>
      <c r="O205" s="204">
        <f>SUMIFS('caseload data'!P:P,'caseload data'!$D:$D,"PO",'caseload data'!$A:$A,'national caseload'!$B$205:$B$207,'caseload data'!$B:$B,"custody")</f>
        <v>0</v>
      </c>
      <c r="P205" s="204">
        <f>SUMIFS('caseload data'!Q:Q,'caseload data'!$D:$D,"PO",'caseload data'!$A:$A,'national caseload'!$B$205:$B$207,'caseload data'!$B:$B,"custody")</f>
        <v>0</v>
      </c>
      <c r="Q205" s="204">
        <f>SUMIFS('caseload data'!R:R,'caseload data'!$D:$D,"PO",'caseload data'!$A:$A,'national caseload'!$B$205:$B$207,'caseload data'!$B:$B,"custody")</f>
        <v>0</v>
      </c>
      <c r="R205" s="204">
        <f>SUMIFS('caseload data'!S:S,'caseload data'!$D:$D,"PO",'caseload data'!$A:$A,'national caseload'!$B$205:$B$207,'caseload data'!$B:$B,"custody")</f>
        <v>0</v>
      </c>
      <c r="S205" s="204">
        <f>SUMIFS('caseload data'!T:T,'caseload data'!$D:$D,"PO",'caseload data'!$A:$A,'national caseload'!$B$205:$B$207,'caseload data'!$B:$B,"custody")</f>
        <v>0</v>
      </c>
      <c r="T205" s="126">
        <f>SUMIFS('caseload data'!V:V,'caseload data'!D:D,"PO",'caseload data'!A:A,'national caseload'!B205:B207,'caseload data'!B:B,"custody")</f>
        <v>0</v>
      </c>
      <c r="U205" s="95"/>
      <c r="V205" s="95"/>
      <c r="W205" s="333" t="s">
        <v>4</v>
      </c>
      <c r="X205" s="161" t="s">
        <v>184</v>
      </c>
      <c r="Y205" s="209" t="e">
        <f>SUM(D205)/SUM(D$205:D$208)</f>
        <v>#DIV/0!</v>
      </c>
      <c r="Z205" s="209" t="e">
        <f t="shared" ref="Z205:AN208" si="65">SUM(E205)/SUM(E$205:E$208)</f>
        <v>#DIV/0!</v>
      </c>
      <c r="AA205" s="209" t="e">
        <f t="shared" si="65"/>
        <v>#DIV/0!</v>
      </c>
      <c r="AB205" s="209" t="e">
        <f t="shared" si="65"/>
        <v>#DIV/0!</v>
      </c>
      <c r="AC205" s="209" t="e">
        <f t="shared" si="65"/>
        <v>#DIV/0!</v>
      </c>
      <c r="AD205" s="209" t="e">
        <f t="shared" si="65"/>
        <v>#DIV/0!</v>
      </c>
      <c r="AE205" s="209" t="e">
        <f t="shared" si="65"/>
        <v>#DIV/0!</v>
      </c>
      <c r="AF205" s="209" t="e">
        <f t="shared" si="65"/>
        <v>#DIV/0!</v>
      </c>
      <c r="AG205" s="209" t="e">
        <f t="shared" si="65"/>
        <v>#DIV/0!</v>
      </c>
      <c r="AH205" s="209" t="e">
        <f t="shared" si="65"/>
        <v>#DIV/0!</v>
      </c>
      <c r="AI205" s="209" t="e">
        <f t="shared" si="65"/>
        <v>#DIV/0!</v>
      </c>
      <c r="AJ205" s="209" t="e">
        <f t="shared" si="65"/>
        <v>#DIV/0!</v>
      </c>
      <c r="AK205" s="209" t="e">
        <f t="shared" si="65"/>
        <v>#DIV/0!</v>
      </c>
      <c r="AL205" s="209" t="e">
        <f t="shared" si="65"/>
        <v>#DIV/0!</v>
      </c>
      <c r="AM205" s="209" t="e">
        <f t="shared" si="65"/>
        <v>#DIV/0!</v>
      </c>
      <c r="AN205" s="209" t="e">
        <f t="shared" si="65"/>
        <v>#DIV/0!</v>
      </c>
    </row>
    <row r="206" spans="2:43" x14ac:dyDescent="0.15">
      <c r="B206" s="334"/>
      <c r="C206" s="162" t="s">
        <v>185</v>
      </c>
      <c r="D206" s="204">
        <f>SUMIFS('caseload data'!E:E,'caseload data'!$D:$D,"PSO",'caseload data'!$A:$A,"NPS East Midlands Region",'caseload data'!$B:$B,"custody")</f>
        <v>0</v>
      </c>
      <c r="E206" s="204">
        <f>SUMIFS('caseload data'!F:F,'caseload data'!$D:$D,"PSO",'caseload data'!$A:$A,"NPS East Midlands Region",'caseload data'!$B:$B,"custody")</f>
        <v>0</v>
      </c>
      <c r="F206" s="204">
        <f>SUMIFS('caseload data'!G:G,'caseload data'!$D:$D,"PSO",'caseload data'!$A:$A,"NPS East Midlands Region",'caseload data'!$B:$B,"custody")</f>
        <v>0</v>
      </c>
      <c r="G206" s="204">
        <f>SUMIFS('caseload data'!H:H,'caseload data'!$D:$D,"PSO",'caseload data'!$A:$A,"NPS East Midlands Region",'caseload data'!$B:$B,"custody")</f>
        <v>0</v>
      </c>
      <c r="H206" s="204">
        <f>SUMIFS('caseload data'!I:I,'caseload data'!$D:$D,"PSO",'caseload data'!$A:$A,"NPS East Midlands Region",'caseload data'!$B:$B,"custody")</f>
        <v>0</v>
      </c>
      <c r="I206" s="204">
        <f>SUMIFS('caseload data'!J:J,'caseload data'!$D:$D,"PSO",'caseload data'!$A:$A,"NPS East Midlands Region",'caseload data'!$B:$B,"custody")</f>
        <v>0</v>
      </c>
      <c r="J206" s="204">
        <f>SUMIFS('caseload data'!K:K,'caseload data'!$D:$D,"PSO",'caseload data'!$A:$A,"NPS East Midlands Region",'caseload data'!$B:$B,"custody")</f>
        <v>0</v>
      </c>
      <c r="K206" s="204">
        <f>SUMIFS('caseload data'!L:L,'caseload data'!$D:$D,"PSO",'caseload data'!$A:$A,"NPS East Midlands Region",'caseload data'!$B:$B,"custody")</f>
        <v>0</v>
      </c>
      <c r="L206" s="204">
        <f>SUMIFS('caseload data'!M:M,'caseload data'!$D:$D,"PSO",'caseload data'!$A:$A,"NPS East Midlands Region",'caseload data'!$B:$B,"custody")</f>
        <v>0</v>
      </c>
      <c r="M206" s="204">
        <f>SUMIFS('caseload data'!N:N,'caseload data'!$D:$D,"PSO",'caseload data'!$A:$A,"NPS East Midlands Region",'caseload data'!$B:$B,"custody")</f>
        <v>0</v>
      </c>
      <c r="N206" s="204">
        <f>SUMIFS('caseload data'!O:O,'caseload data'!$D:$D,"PSO",'caseload data'!$A:$A,"NPS East Midlands Region",'caseload data'!$B:$B,"custody")</f>
        <v>0</v>
      </c>
      <c r="O206" s="204">
        <f>SUMIFS('caseload data'!P:P,'caseload data'!$D:$D,"PSO",'caseload data'!$A:$A,"NPS East Midlands Region",'caseload data'!$B:$B,"custody")</f>
        <v>0</v>
      </c>
      <c r="P206" s="204">
        <f>SUMIFS('caseload data'!Q:Q,'caseload data'!$D:$D,"PSO",'caseload data'!$A:$A,"NPS East Midlands Region",'caseload data'!$B:$B,"custody")</f>
        <v>0</v>
      </c>
      <c r="Q206" s="204">
        <f>SUMIFS('caseload data'!R:R,'caseload data'!$D:$D,"PSO",'caseload data'!$A:$A,"NPS East Midlands Region",'caseload data'!$B:$B,"custody")</f>
        <v>0</v>
      </c>
      <c r="R206" s="204">
        <f>SUMIFS('caseload data'!S:S,'caseload data'!$D:$D,"PSO",'caseload data'!$A:$A,"NPS East Midlands Region",'caseload data'!$B:$B,"custody")</f>
        <v>0</v>
      </c>
      <c r="S206" s="204">
        <f>SUMIFS('caseload data'!T:T,'caseload data'!$D:$D,"PSO",'caseload data'!$A:$A,"NPS East Midlands Region",'caseload data'!$B:$B,"custody")</f>
        <v>0</v>
      </c>
      <c r="T206" s="126">
        <f>SUMIFS('caseload data'!V:V,'caseload data'!D:D,"PSO",'caseload data'!A:A,"NPS East Midlands Region",'caseload data'!B:B,"custody")</f>
        <v>0</v>
      </c>
      <c r="U206" s="95"/>
      <c r="V206" s="95"/>
      <c r="W206" s="334"/>
      <c r="X206" s="162" t="s">
        <v>185</v>
      </c>
      <c r="Y206" s="209" t="e">
        <f>SUM(D206)/SUM(D$205:D$208)</f>
        <v>#DIV/0!</v>
      </c>
      <c r="Z206" s="209" t="e">
        <f t="shared" si="65"/>
        <v>#DIV/0!</v>
      </c>
      <c r="AA206" s="209" t="e">
        <f t="shared" si="65"/>
        <v>#DIV/0!</v>
      </c>
      <c r="AB206" s="209" t="e">
        <f t="shared" si="65"/>
        <v>#DIV/0!</v>
      </c>
      <c r="AC206" s="209" t="e">
        <f t="shared" si="65"/>
        <v>#DIV/0!</v>
      </c>
      <c r="AD206" s="209" t="e">
        <f t="shared" si="65"/>
        <v>#DIV/0!</v>
      </c>
      <c r="AE206" s="209" t="e">
        <f t="shared" si="65"/>
        <v>#DIV/0!</v>
      </c>
      <c r="AF206" s="209" t="e">
        <f t="shared" si="65"/>
        <v>#DIV/0!</v>
      </c>
      <c r="AG206" s="209" t="e">
        <f t="shared" si="65"/>
        <v>#DIV/0!</v>
      </c>
      <c r="AH206" s="209" t="e">
        <f t="shared" si="65"/>
        <v>#DIV/0!</v>
      </c>
      <c r="AI206" s="209" t="e">
        <f t="shared" si="65"/>
        <v>#DIV/0!</v>
      </c>
      <c r="AJ206" s="209" t="e">
        <f t="shared" si="65"/>
        <v>#DIV/0!</v>
      </c>
      <c r="AK206" s="209" t="e">
        <f t="shared" si="65"/>
        <v>#DIV/0!</v>
      </c>
      <c r="AL206" s="209" t="e">
        <f t="shared" si="65"/>
        <v>#DIV/0!</v>
      </c>
      <c r="AM206" s="209" t="e">
        <f t="shared" si="65"/>
        <v>#DIV/0!</v>
      </c>
      <c r="AN206" s="209" t="e">
        <f t="shared" si="65"/>
        <v>#DIV/0!</v>
      </c>
    </row>
    <row r="207" spans="2:43" x14ac:dyDescent="0.15">
      <c r="B207" s="334"/>
      <c r="C207" s="162" t="s">
        <v>186</v>
      </c>
      <c r="D207" s="204">
        <f>SUMIFS('caseload data'!E:E,'caseload data'!$D:$D,"TPO",'caseload data'!$A:$A,"NPS East Midlands Region",'caseload data'!$B:$B,"custody")</f>
        <v>0</v>
      </c>
      <c r="E207" s="204">
        <f>SUMIFS('caseload data'!F:F,'caseload data'!$D:$D,"TPO",'caseload data'!$A:$A,"NPS East Midlands Region",'caseload data'!$B:$B,"custody")</f>
        <v>0</v>
      </c>
      <c r="F207" s="204">
        <f>SUMIFS('caseload data'!G:G,'caseload data'!$D:$D,"TPO",'caseload data'!$A:$A,"NPS East Midlands Region",'caseload data'!$B:$B,"custody")</f>
        <v>0</v>
      </c>
      <c r="G207" s="204">
        <f>SUMIFS('caseload data'!H:H,'caseload data'!$D:$D,"TPO",'caseload data'!$A:$A,"NPS East Midlands Region",'caseload data'!$B:$B,"custody")</f>
        <v>0</v>
      </c>
      <c r="H207" s="204">
        <f>SUMIFS('caseload data'!I:I,'caseload data'!$D:$D,"TPO",'caseload data'!$A:$A,"NPS East Midlands Region",'caseload data'!$B:$B,"custody")</f>
        <v>0</v>
      </c>
      <c r="I207" s="204">
        <f>SUMIFS('caseload data'!J:J,'caseload data'!$D:$D,"TPO",'caseload data'!$A:$A,"NPS East Midlands Region",'caseload data'!$B:$B,"custody")</f>
        <v>0</v>
      </c>
      <c r="J207" s="204">
        <f>SUMIFS('caseload data'!K:K,'caseload data'!$D:$D,"TPO",'caseload data'!$A:$A,"NPS East Midlands Region",'caseload data'!$B:$B,"custody")</f>
        <v>0</v>
      </c>
      <c r="K207" s="204">
        <f>SUMIFS('caseload data'!L:L,'caseload data'!$D:$D,"TPO",'caseload data'!$A:$A,"NPS East Midlands Region",'caseload data'!$B:$B,"custody")</f>
        <v>0</v>
      </c>
      <c r="L207" s="204">
        <f>SUMIFS('caseload data'!M:M,'caseload data'!$D:$D,"TPO",'caseload data'!$A:$A,"NPS East Midlands Region",'caseload data'!$B:$B,"custody")</f>
        <v>0</v>
      </c>
      <c r="M207" s="204">
        <f>SUMIFS('caseload data'!N:N,'caseload data'!$D:$D,"TPO",'caseload data'!$A:$A,"NPS East Midlands Region",'caseload data'!$B:$B,"custody")</f>
        <v>0</v>
      </c>
      <c r="N207" s="204">
        <f>SUMIFS('caseload data'!O:O,'caseload data'!$D:$D,"TPO",'caseload data'!$A:$A,"NPS East Midlands Region",'caseload data'!$B:$B,"custody")</f>
        <v>0</v>
      </c>
      <c r="O207" s="204">
        <f>SUMIFS('caseload data'!P:P,'caseload data'!$D:$D,"TPO",'caseload data'!$A:$A,"NPS East Midlands Region",'caseload data'!$B:$B,"custody")</f>
        <v>0</v>
      </c>
      <c r="P207" s="204">
        <f>SUMIFS('caseload data'!Q:Q,'caseload data'!$D:$D,"TPO",'caseload data'!$A:$A,"NPS East Midlands Region",'caseload data'!$B:$B,"custody")</f>
        <v>0</v>
      </c>
      <c r="Q207" s="204">
        <f>SUMIFS('caseload data'!R:R,'caseload data'!$D:$D,"TPO",'caseload data'!$A:$A,"NPS East Midlands Region",'caseload data'!$B:$B,"custody")</f>
        <v>0</v>
      </c>
      <c r="R207" s="204">
        <f>SUMIFS('caseload data'!S:S,'caseload data'!$D:$D,"TPO",'caseload data'!$A:$A,"NPS East Midlands Region",'caseload data'!$B:$B,"custody")</f>
        <v>0</v>
      </c>
      <c r="S207" s="204">
        <f>SUMIFS('caseload data'!T:T,'caseload data'!$D:$D,"TPO",'caseload data'!$A:$A,"NPS East Midlands Region",'caseload data'!$B:$B,"custody")</f>
        <v>0</v>
      </c>
      <c r="T207" s="126">
        <f>SUMIFS('caseload data'!V:V,'caseload data'!D:D,"TPO",'caseload data'!A:A,"NPS East Midlands Region",'caseload data'!B:B,"custody")</f>
        <v>0</v>
      </c>
      <c r="U207" s="95"/>
      <c r="V207" s="95"/>
      <c r="W207" s="334"/>
      <c r="X207" s="162" t="s">
        <v>186</v>
      </c>
      <c r="Y207" s="209" t="e">
        <f>SUM(D207)/SUM(D$205:D$208)</f>
        <v>#DIV/0!</v>
      </c>
      <c r="Z207" s="209" t="e">
        <f t="shared" si="65"/>
        <v>#DIV/0!</v>
      </c>
      <c r="AA207" s="209" t="e">
        <f t="shared" si="65"/>
        <v>#DIV/0!</v>
      </c>
      <c r="AB207" s="209" t="e">
        <f t="shared" si="65"/>
        <v>#DIV/0!</v>
      </c>
      <c r="AC207" s="209" t="e">
        <f t="shared" si="65"/>
        <v>#DIV/0!</v>
      </c>
      <c r="AD207" s="209" t="e">
        <f t="shared" si="65"/>
        <v>#DIV/0!</v>
      </c>
      <c r="AE207" s="209" t="e">
        <f t="shared" si="65"/>
        <v>#DIV/0!</v>
      </c>
      <c r="AF207" s="209" t="e">
        <f t="shared" si="65"/>
        <v>#DIV/0!</v>
      </c>
      <c r="AG207" s="209" t="e">
        <f t="shared" si="65"/>
        <v>#DIV/0!</v>
      </c>
      <c r="AH207" s="209" t="e">
        <f t="shared" si="65"/>
        <v>#DIV/0!</v>
      </c>
      <c r="AI207" s="209" t="e">
        <f t="shared" si="65"/>
        <v>#DIV/0!</v>
      </c>
      <c r="AJ207" s="209" t="e">
        <f t="shared" si="65"/>
        <v>#DIV/0!</v>
      </c>
      <c r="AK207" s="209" t="e">
        <f t="shared" si="65"/>
        <v>#DIV/0!</v>
      </c>
      <c r="AL207" s="209" t="e">
        <f t="shared" si="65"/>
        <v>#DIV/0!</v>
      </c>
      <c r="AM207" s="209" t="e">
        <f t="shared" si="65"/>
        <v>#DIV/0!</v>
      </c>
      <c r="AN207" s="209" t="e">
        <f t="shared" si="65"/>
        <v>#DIV/0!</v>
      </c>
    </row>
    <row r="208" spans="2:43" s="30" customFormat="1" x14ac:dyDescent="0.15">
      <c r="B208" s="335"/>
      <c r="C208" s="163" t="s">
        <v>187</v>
      </c>
      <c r="D208" s="204">
        <f>SUMIFS('caseload data'!E:E,'caseload data'!$D:$D,"SPO",'caseload data'!$A:$A,"NPS East Midlands Region",'caseload data'!$B:$B,"custody")</f>
        <v>0</v>
      </c>
      <c r="E208" s="204">
        <f>SUMIFS('caseload data'!F:F,'caseload data'!$D:$D,"SPO",'caseload data'!$A:$A,"NPS East Midlands Region",'caseload data'!$B:$B,"custody")</f>
        <v>0</v>
      </c>
      <c r="F208" s="204">
        <f>SUMIFS('caseload data'!G:G,'caseload data'!$D:$D,"SPO",'caseload data'!$A:$A,"NPS East Midlands Region",'caseload data'!$B:$B,"custody")</f>
        <v>0</v>
      </c>
      <c r="G208" s="204">
        <f>SUMIFS('caseload data'!H:H,'caseload data'!$D:$D,"SPO",'caseload data'!$A:$A,"NPS East Midlands Region",'caseload data'!$B:$B,"custody")</f>
        <v>0</v>
      </c>
      <c r="H208" s="204">
        <f>SUMIFS('caseload data'!I:I,'caseload data'!$D:$D,"SPO",'caseload data'!$A:$A,"NPS East Midlands Region",'caseload data'!$B:$B,"custody")</f>
        <v>0</v>
      </c>
      <c r="I208" s="204">
        <f>SUMIFS('caseload data'!J:J,'caseload data'!$D:$D,"SPO",'caseload data'!$A:$A,"NPS East Midlands Region",'caseload data'!$B:$B,"custody")</f>
        <v>0</v>
      </c>
      <c r="J208" s="204">
        <f>SUMIFS('caseload data'!K:K,'caseload data'!$D:$D,"SPO",'caseload data'!$A:$A,"NPS East Midlands Region",'caseload data'!$B:$B,"custody")</f>
        <v>0</v>
      </c>
      <c r="K208" s="204">
        <f>SUMIFS('caseload data'!L:L,'caseload data'!$D:$D,"SPO",'caseload data'!$A:$A,"NPS East Midlands Region",'caseload data'!$B:$B,"custody")</f>
        <v>0</v>
      </c>
      <c r="L208" s="204">
        <f>SUMIFS('caseload data'!M:M,'caseload data'!$D:$D,"SPO",'caseload data'!$A:$A,"NPS East Midlands Region",'caseload data'!$B:$B,"custody")</f>
        <v>0</v>
      </c>
      <c r="M208" s="204">
        <f>SUMIFS('caseload data'!N:N,'caseload data'!$D:$D,"SPO",'caseload data'!$A:$A,"NPS East Midlands Region",'caseload data'!$B:$B,"custody")</f>
        <v>0</v>
      </c>
      <c r="N208" s="204">
        <f>SUMIFS('caseload data'!O:O,'caseload data'!$D:$D,"SPO",'caseload data'!$A:$A,"NPS East Midlands Region",'caseload data'!$B:$B,"custody")</f>
        <v>0</v>
      </c>
      <c r="O208" s="204">
        <f>SUMIFS('caseload data'!P:P,'caseload data'!$D:$D,"SPO",'caseload data'!$A:$A,"NPS East Midlands Region",'caseload data'!$B:$B,"custody")</f>
        <v>0</v>
      </c>
      <c r="P208" s="204">
        <f>SUMIFS('caseload data'!Q:Q,'caseload data'!$D:$D,"SPO",'caseload data'!$A:$A,"NPS East Midlands Region",'caseload data'!$B:$B,"custody")</f>
        <v>0</v>
      </c>
      <c r="Q208" s="204">
        <f>SUMIFS('caseload data'!R:R,'caseload data'!$D:$D,"SPO",'caseload data'!$A:$A,"NPS East Midlands Region",'caseload data'!$B:$B,"custody")</f>
        <v>0</v>
      </c>
      <c r="R208" s="204">
        <f>SUMIFS('caseload data'!S:S,'caseload data'!$D:$D,"SPO",'caseload data'!$A:$A,"NPS East Midlands Region",'caseload data'!$B:$B,"custody")</f>
        <v>0</v>
      </c>
      <c r="S208" s="204">
        <f>SUMIFS('caseload data'!T:T,'caseload data'!$D:$D,"SPO",'caseload data'!$A:$A,"NPS East Midlands Region",'caseload data'!$B:$B,"custody")</f>
        <v>0</v>
      </c>
      <c r="T208" s="126">
        <f>SUMIFS('caseload data'!V:V,'caseload data'!$D:$D,"SPO",'caseload data'!$A:$A,"NPS East Midlands Region",'caseload data'!$B:$B,"custody")</f>
        <v>0</v>
      </c>
      <c r="U208" s="95"/>
      <c r="V208" s="95"/>
      <c r="W208" s="335"/>
      <c r="X208" s="163" t="s">
        <v>187</v>
      </c>
      <c r="Y208" s="209" t="e">
        <f>SUM(D208)/SUM(D$205:D$208)</f>
        <v>#DIV/0!</v>
      </c>
      <c r="Z208" s="209" t="e">
        <f t="shared" si="65"/>
        <v>#DIV/0!</v>
      </c>
      <c r="AA208" s="209" t="e">
        <f t="shared" si="65"/>
        <v>#DIV/0!</v>
      </c>
      <c r="AB208" s="209" t="e">
        <f t="shared" si="65"/>
        <v>#DIV/0!</v>
      </c>
      <c r="AC208" s="209" t="e">
        <f t="shared" si="65"/>
        <v>#DIV/0!</v>
      </c>
      <c r="AD208" s="209" t="e">
        <f t="shared" si="65"/>
        <v>#DIV/0!</v>
      </c>
      <c r="AE208" s="209" t="e">
        <f t="shared" si="65"/>
        <v>#DIV/0!</v>
      </c>
      <c r="AF208" s="209" t="e">
        <f t="shared" si="65"/>
        <v>#DIV/0!</v>
      </c>
      <c r="AG208" s="209" t="e">
        <f t="shared" si="65"/>
        <v>#DIV/0!</v>
      </c>
      <c r="AH208" s="209" t="e">
        <f t="shared" si="65"/>
        <v>#DIV/0!</v>
      </c>
      <c r="AI208" s="209" t="e">
        <f t="shared" si="65"/>
        <v>#DIV/0!</v>
      </c>
      <c r="AJ208" s="209" t="e">
        <f t="shared" si="65"/>
        <v>#DIV/0!</v>
      </c>
      <c r="AK208" s="209" t="e">
        <f t="shared" si="65"/>
        <v>#DIV/0!</v>
      </c>
      <c r="AL208" s="209" t="e">
        <f t="shared" si="65"/>
        <v>#DIV/0!</v>
      </c>
      <c r="AM208" s="209" t="e">
        <f t="shared" si="65"/>
        <v>#DIV/0!</v>
      </c>
      <c r="AN208" s="209" t="e">
        <f t="shared" si="65"/>
        <v>#DIV/0!</v>
      </c>
    </row>
    <row r="209" spans="2:40" x14ac:dyDescent="0.15">
      <c r="B209" s="333" t="s">
        <v>1014</v>
      </c>
      <c r="C209" s="161" t="s">
        <v>184</v>
      </c>
      <c r="D209" s="204">
        <f>SUMIFS('caseload data'!E:E,'caseload data'!$D:$D,"PO",'caseload data'!$A:$A,$B$209,'caseload data'!$B:$B,"custody")</f>
        <v>0</v>
      </c>
      <c r="E209" s="204">
        <f>SUMIFS('caseload data'!F:F,'caseload data'!$D:$D,"PO",'caseload data'!$A:$A,$B$209,'caseload data'!$B:$B,"custody")</f>
        <v>0</v>
      </c>
      <c r="F209" s="204">
        <f>SUMIFS('caseload data'!G:G,'caseload data'!$D:$D,"PO",'caseload data'!$A:$A,$B$209,'caseload data'!$B:$B,"custody")</f>
        <v>0</v>
      </c>
      <c r="G209" s="204">
        <f>SUMIFS('caseload data'!H:H,'caseload data'!$D:$D,"PO",'caseload data'!$A:$A,$B$209,'caseload data'!$B:$B,"custody")</f>
        <v>0</v>
      </c>
      <c r="H209" s="204">
        <f>SUMIFS('caseload data'!I:I,'caseload data'!$D:$D,"PO",'caseload data'!$A:$A,$B$209,'caseload data'!$B:$B,"custody")</f>
        <v>0</v>
      </c>
      <c r="I209" s="204">
        <f>SUMIFS('caseload data'!J:J,'caseload data'!$D:$D,"PO",'caseload data'!$A:$A,$B$209,'caseload data'!$B:$B,"custody")</f>
        <v>0</v>
      </c>
      <c r="J209" s="204">
        <f>SUMIFS('caseload data'!K:K,'caseload data'!$D:$D,"PO",'caseload data'!$A:$A,$B$209,'caseload data'!$B:$B,"custody")</f>
        <v>0</v>
      </c>
      <c r="K209" s="204">
        <f>SUMIFS('caseload data'!L:L,'caseload data'!$D:$D,"PO",'caseload data'!$A:$A,$B$209,'caseload data'!$B:$B,"custody")</f>
        <v>0</v>
      </c>
      <c r="L209" s="204">
        <f>SUMIFS('caseload data'!M:M,'caseload data'!$D:$D,"PO",'caseload data'!$A:$A,$B$209,'caseload data'!$B:$B,"custody")</f>
        <v>0</v>
      </c>
      <c r="M209" s="204">
        <f>SUMIFS('caseload data'!N:N,'caseload data'!$D:$D,"PO",'caseload data'!$A:$A,$B$209,'caseload data'!$B:$B,"custody")</f>
        <v>0</v>
      </c>
      <c r="N209" s="204">
        <f>SUMIFS('caseload data'!O:O,'caseload data'!$D:$D,"PO",'caseload data'!$A:$A,$B$209,'caseload data'!$B:$B,"custody")</f>
        <v>0</v>
      </c>
      <c r="O209" s="204">
        <f>SUMIFS('caseload data'!P:P,'caseload data'!$D:$D,"PO",'caseload data'!$A:$A,$B$209,'caseload data'!$B:$B,"custody")</f>
        <v>0</v>
      </c>
      <c r="P209" s="204">
        <f>SUMIFS('caseload data'!Q:Q,'caseload data'!$D:$D,"PO",'caseload data'!$A:$A,$B$209,'caseload data'!$B:$B,"custody")</f>
        <v>0</v>
      </c>
      <c r="Q209" s="204">
        <f>SUMIFS('caseload data'!R:R,'caseload data'!$D:$D,"PO",'caseload data'!$A:$A,$B$209,'caseload data'!$B:$B,"custody")</f>
        <v>0</v>
      </c>
      <c r="R209" s="204">
        <f>SUMIFS('caseload data'!S:S,'caseload data'!$D:$D,"PO",'caseload data'!$A:$A,$B$209,'caseload data'!$B:$B,"custody")</f>
        <v>0</v>
      </c>
      <c r="S209" s="204">
        <f>SUMIFS('caseload data'!T:T,'caseload data'!$D:$D,"PO",'caseload data'!$A:$A,$B$209,'caseload data'!$B:$B,"custody")</f>
        <v>0</v>
      </c>
      <c r="T209" s="126">
        <f>SUMIFS('caseload data'!V:V,'caseload data'!D:D,"PO",'caseload data'!A:A,B209,'caseload data'!B:B,"custody")</f>
        <v>0</v>
      </c>
      <c r="U209" s="95"/>
      <c r="V209" s="95"/>
      <c r="W209" s="333" t="s">
        <v>1014</v>
      </c>
      <c r="X209" s="161" t="s">
        <v>184</v>
      </c>
      <c r="Y209" s="209" t="e">
        <f>SUM(D209)/SUM(D$209:D$212)</f>
        <v>#DIV/0!</v>
      </c>
      <c r="Z209" s="209" t="e">
        <f t="shared" ref="Z209:AN212" si="66">SUM(E209)/SUM(E$209:E$212)</f>
        <v>#DIV/0!</v>
      </c>
      <c r="AA209" s="209" t="e">
        <f t="shared" si="66"/>
        <v>#DIV/0!</v>
      </c>
      <c r="AB209" s="209" t="e">
        <f t="shared" si="66"/>
        <v>#DIV/0!</v>
      </c>
      <c r="AC209" s="209" t="e">
        <f t="shared" si="66"/>
        <v>#DIV/0!</v>
      </c>
      <c r="AD209" s="209" t="e">
        <f t="shared" si="66"/>
        <v>#DIV/0!</v>
      </c>
      <c r="AE209" s="209" t="e">
        <f t="shared" si="66"/>
        <v>#DIV/0!</v>
      </c>
      <c r="AF209" s="209" t="e">
        <f t="shared" si="66"/>
        <v>#DIV/0!</v>
      </c>
      <c r="AG209" s="209" t="e">
        <f t="shared" si="66"/>
        <v>#DIV/0!</v>
      </c>
      <c r="AH209" s="209" t="e">
        <f t="shared" si="66"/>
        <v>#DIV/0!</v>
      </c>
      <c r="AI209" s="209" t="e">
        <f t="shared" si="66"/>
        <v>#DIV/0!</v>
      </c>
      <c r="AJ209" s="209" t="e">
        <f t="shared" si="66"/>
        <v>#DIV/0!</v>
      </c>
      <c r="AK209" s="209" t="e">
        <f t="shared" si="66"/>
        <v>#DIV/0!</v>
      </c>
      <c r="AL209" s="209" t="e">
        <f t="shared" si="66"/>
        <v>#DIV/0!</v>
      </c>
      <c r="AM209" s="209" t="e">
        <f t="shared" si="66"/>
        <v>#DIV/0!</v>
      </c>
      <c r="AN209" s="209" t="e">
        <f t="shared" si="66"/>
        <v>#DIV/0!</v>
      </c>
    </row>
    <row r="210" spans="2:40" x14ac:dyDescent="0.15">
      <c r="B210" s="334"/>
      <c r="C210" s="162" t="s">
        <v>185</v>
      </c>
      <c r="D210" s="204">
        <f>SUMIFS('caseload data'!E:E,'caseload data'!$D:$D,"PSO",'caseload data'!$A:$A,"East of England",'caseload data'!$B:$B,"custody")</f>
        <v>0</v>
      </c>
      <c r="E210" s="204">
        <f>SUMIFS('caseload data'!F:F,'caseload data'!$D:$D,"PSO",'caseload data'!$A:$A,"East of England",'caseload data'!$B:$B,"custody")</f>
        <v>0</v>
      </c>
      <c r="F210" s="204">
        <f>SUMIFS('caseload data'!G:G,'caseload data'!$D:$D,"PSO",'caseload data'!$A:$A,"East of England",'caseload data'!$B:$B,"custody")</f>
        <v>0</v>
      </c>
      <c r="G210" s="204">
        <f>SUMIFS('caseload data'!H:H,'caseload data'!$D:$D,"PSO",'caseload data'!$A:$A,"East of England",'caseload data'!$B:$B,"custody")</f>
        <v>0</v>
      </c>
      <c r="H210" s="204">
        <f>SUMIFS('caseload data'!I:I,'caseload data'!$D:$D,"PSO",'caseload data'!$A:$A,"East of England",'caseload data'!$B:$B,"custody")</f>
        <v>0</v>
      </c>
      <c r="I210" s="204">
        <f>SUMIFS('caseload data'!J:J,'caseload data'!$D:$D,"PSO",'caseload data'!$A:$A,"East of England",'caseload data'!$B:$B,"custody")</f>
        <v>0</v>
      </c>
      <c r="J210" s="204">
        <f>SUMIFS('caseload data'!K:K,'caseload data'!$D:$D,"PSO",'caseload data'!$A:$A,"East of England",'caseload data'!$B:$B,"custody")</f>
        <v>0</v>
      </c>
      <c r="K210" s="204">
        <f>SUMIFS('caseload data'!L:L,'caseload data'!$D:$D,"PSO",'caseload data'!$A:$A,"East of England",'caseload data'!$B:$B,"custody")</f>
        <v>0</v>
      </c>
      <c r="L210" s="204">
        <f>SUMIFS('caseload data'!M:M,'caseload data'!$D:$D,"PSO",'caseload data'!$A:$A,"East of England",'caseload data'!$B:$B,"custody")</f>
        <v>0</v>
      </c>
      <c r="M210" s="204">
        <f>SUMIFS('caseload data'!N:N,'caseload data'!$D:$D,"PSO",'caseload data'!$A:$A,"East of England",'caseload data'!$B:$B,"custody")</f>
        <v>0</v>
      </c>
      <c r="N210" s="204">
        <f>SUMIFS('caseload data'!O:O,'caseload data'!$D:$D,"PSO",'caseload data'!$A:$A,"East of England",'caseload data'!$B:$B,"custody")</f>
        <v>0</v>
      </c>
      <c r="O210" s="204">
        <f>SUMIFS('caseload data'!P:P,'caseload data'!$D:$D,"PSO",'caseload data'!$A:$A,"East of England",'caseload data'!$B:$B,"custody")</f>
        <v>0</v>
      </c>
      <c r="P210" s="204">
        <f>SUMIFS('caseload data'!Q:Q,'caseload data'!$D:$D,"PSO",'caseload data'!$A:$A,"East of England",'caseload data'!$B:$B,"custody")</f>
        <v>0</v>
      </c>
      <c r="Q210" s="204">
        <f>SUMIFS('caseload data'!R:R,'caseload data'!$D:$D,"PSO",'caseload data'!$A:$A,"East of England",'caseload data'!$B:$B,"custody")</f>
        <v>0</v>
      </c>
      <c r="R210" s="204">
        <f>SUMIFS('caseload data'!S:S,'caseload data'!$D:$D,"PSO",'caseload data'!$A:$A,"East of England",'caseload data'!$B:$B,"custody")</f>
        <v>0</v>
      </c>
      <c r="S210" s="204">
        <f>SUMIFS('caseload data'!T:T,'caseload data'!$D:$D,"PSO",'caseload data'!$A:$A,"East of England",'caseload data'!$B:$B,"custody")</f>
        <v>0</v>
      </c>
      <c r="T210" s="126">
        <f>SUMIFS('caseload data'!V:V,'caseload data'!D:D,"PSO",'caseload data'!A:A,"East of England",'caseload data'!B:B,"custody")</f>
        <v>0</v>
      </c>
      <c r="U210" s="95"/>
      <c r="V210" s="95"/>
      <c r="W210" s="334"/>
      <c r="X210" s="162" t="s">
        <v>185</v>
      </c>
      <c r="Y210" s="209" t="e">
        <f>SUM(D210)/SUM(D$209:D$212)</f>
        <v>#DIV/0!</v>
      </c>
      <c r="Z210" s="209" t="e">
        <f t="shared" si="66"/>
        <v>#DIV/0!</v>
      </c>
      <c r="AA210" s="209" t="e">
        <f t="shared" si="66"/>
        <v>#DIV/0!</v>
      </c>
      <c r="AB210" s="209" t="e">
        <f t="shared" si="66"/>
        <v>#DIV/0!</v>
      </c>
      <c r="AC210" s="209" t="e">
        <f t="shared" si="66"/>
        <v>#DIV/0!</v>
      </c>
      <c r="AD210" s="209" t="e">
        <f t="shared" si="66"/>
        <v>#DIV/0!</v>
      </c>
      <c r="AE210" s="209" t="e">
        <f t="shared" si="66"/>
        <v>#DIV/0!</v>
      </c>
      <c r="AF210" s="209" t="e">
        <f t="shared" si="66"/>
        <v>#DIV/0!</v>
      </c>
      <c r="AG210" s="209" t="e">
        <f t="shared" si="66"/>
        <v>#DIV/0!</v>
      </c>
      <c r="AH210" s="209" t="e">
        <f t="shared" si="66"/>
        <v>#DIV/0!</v>
      </c>
      <c r="AI210" s="209" t="e">
        <f t="shared" si="66"/>
        <v>#DIV/0!</v>
      </c>
      <c r="AJ210" s="209" t="e">
        <f t="shared" si="66"/>
        <v>#DIV/0!</v>
      </c>
      <c r="AK210" s="209" t="e">
        <f t="shared" si="66"/>
        <v>#DIV/0!</v>
      </c>
      <c r="AL210" s="209" t="e">
        <f t="shared" si="66"/>
        <v>#DIV/0!</v>
      </c>
      <c r="AM210" s="209" t="e">
        <f t="shared" si="66"/>
        <v>#DIV/0!</v>
      </c>
      <c r="AN210" s="209" t="e">
        <f t="shared" si="66"/>
        <v>#DIV/0!</v>
      </c>
    </row>
    <row r="211" spans="2:40" x14ac:dyDescent="0.15">
      <c r="B211" s="334"/>
      <c r="C211" s="162" t="s">
        <v>186</v>
      </c>
      <c r="D211" s="204">
        <f>SUMIFS('caseload data'!E:E,'caseload data'!$D:$D,"TPO",'caseload data'!$A:$A,"East of England",'caseload data'!$B:$B,"custody")</f>
        <v>0</v>
      </c>
      <c r="E211" s="204">
        <f>SUMIFS('caseload data'!F:F,'caseload data'!$D:$D,"TPO",'caseload data'!$A:$A,"East of England",'caseload data'!$B:$B,"custody")</f>
        <v>0</v>
      </c>
      <c r="F211" s="204">
        <f>SUMIFS('caseload data'!G:G,'caseload data'!$D:$D,"TPO",'caseload data'!$A:$A,"East of England",'caseload data'!$B:$B,"custody")</f>
        <v>0</v>
      </c>
      <c r="G211" s="204">
        <f>SUMIFS('caseload data'!H:H,'caseload data'!$D:$D,"TPO",'caseload data'!$A:$A,"East of England",'caseload data'!$B:$B,"custody")</f>
        <v>0</v>
      </c>
      <c r="H211" s="204">
        <f>SUMIFS('caseload data'!I:I,'caseload data'!$D:$D,"TPO",'caseload data'!$A:$A,"East of England",'caseload data'!$B:$B,"custody")</f>
        <v>0</v>
      </c>
      <c r="I211" s="204">
        <f>SUMIFS('caseload data'!J:J,'caseload data'!$D:$D,"TPO",'caseload data'!$A:$A,"East of England",'caseload data'!$B:$B,"custody")</f>
        <v>0</v>
      </c>
      <c r="J211" s="204">
        <f>SUMIFS('caseload data'!K:K,'caseload data'!$D:$D,"TPO",'caseload data'!$A:$A,"East of England",'caseload data'!$B:$B,"custody")</f>
        <v>0</v>
      </c>
      <c r="K211" s="204">
        <f>SUMIFS('caseload data'!L:L,'caseload data'!$D:$D,"TPO",'caseload data'!$A:$A,"East of England",'caseload data'!$B:$B,"custody")</f>
        <v>0</v>
      </c>
      <c r="L211" s="204">
        <f>SUMIFS('caseload data'!M:M,'caseload data'!$D:$D,"TPO",'caseload data'!$A:$A,"East of England",'caseload data'!$B:$B,"custody")</f>
        <v>0</v>
      </c>
      <c r="M211" s="204">
        <f>SUMIFS('caseload data'!N:N,'caseload data'!$D:$D,"TPO",'caseload data'!$A:$A,"East of England",'caseload data'!$B:$B,"custody")</f>
        <v>0</v>
      </c>
      <c r="N211" s="204">
        <f>SUMIFS('caseload data'!O:O,'caseload data'!$D:$D,"TPO",'caseload data'!$A:$A,"East of England",'caseload data'!$B:$B,"custody")</f>
        <v>0</v>
      </c>
      <c r="O211" s="204">
        <f>SUMIFS('caseload data'!P:P,'caseload data'!$D:$D,"TPO",'caseload data'!$A:$A,"East of England",'caseload data'!$B:$B,"custody")</f>
        <v>0</v>
      </c>
      <c r="P211" s="204">
        <f>SUMIFS('caseload data'!Q:Q,'caseload data'!$D:$D,"TPO",'caseload data'!$A:$A,"East of England",'caseload data'!$B:$B,"custody")</f>
        <v>0</v>
      </c>
      <c r="Q211" s="204">
        <f>SUMIFS('caseload data'!R:R,'caseload data'!$D:$D,"TPO",'caseload data'!$A:$A,"East of England",'caseload data'!$B:$B,"custody")</f>
        <v>0</v>
      </c>
      <c r="R211" s="204">
        <f>SUMIFS('caseload data'!S:S,'caseload data'!$D:$D,"TPO",'caseload data'!$A:$A,"East of England",'caseload data'!$B:$B,"custody")</f>
        <v>0</v>
      </c>
      <c r="S211" s="204">
        <f>SUMIFS('caseload data'!T:T,'caseload data'!$D:$D,"TPO",'caseload data'!$A:$A,"East of England",'caseload data'!$B:$B,"custody")</f>
        <v>0</v>
      </c>
      <c r="T211" s="126">
        <f>SUMIFS('caseload data'!V:V,'caseload data'!D:D,"TPO",'caseload data'!A:A,"East of England",'caseload data'!B:B,"custody")</f>
        <v>0</v>
      </c>
      <c r="U211" s="95"/>
      <c r="V211" s="95"/>
      <c r="W211" s="334"/>
      <c r="X211" s="162" t="s">
        <v>186</v>
      </c>
      <c r="Y211" s="209" t="e">
        <f>SUM(D211)/SUM(D$209:D$212)</f>
        <v>#DIV/0!</v>
      </c>
      <c r="Z211" s="209" t="e">
        <f t="shared" si="66"/>
        <v>#DIV/0!</v>
      </c>
      <c r="AA211" s="209" t="e">
        <f t="shared" si="66"/>
        <v>#DIV/0!</v>
      </c>
      <c r="AB211" s="209" t="e">
        <f t="shared" si="66"/>
        <v>#DIV/0!</v>
      </c>
      <c r="AC211" s="209" t="e">
        <f t="shared" si="66"/>
        <v>#DIV/0!</v>
      </c>
      <c r="AD211" s="209" t="e">
        <f t="shared" si="66"/>
        <v>#DIV/0!</v>
      </c>
      <c r="AE211" s="209" t="e">
        <f t="shared" si="66"/>
        <v>#DIV/0!</v>
      </c>
      <c r="AF211" s="209" t="e">
        <f t="shared" si="66"/>
        <v>#DIV/0!</v>
      </c>
      <c r="AG211" s="209" t="e">
        <f t="shared" si="66"/>
        <v>#DIV/0!</v>
      </c>
      <c r="AH211" s="209" t="e">
        <f t="shared" si="66"/>
        <v>#DIV/0!</v>
      </c>
      <c r="AI211" s="209" t="e">
        <f t="shared" si="66"/>
        <v>#DIV/0!</v>
      </c>
      <c r="AJ211" s="209" t="e">
        <f t="shared" si="66"/>
        <v>#DIV/0!</v>
      </c>
      <c r="AK211" s="209" t="e">
        <f t="shared" si="66"/>
        <v>#DIV/0!</v>
      </c>
      <c r="AL211" s="209" t="e">
        <f t="shared" si="66"/>
        <v>#DIV/0!</v>
      </c>
      <c r="AM211" s="209" t="e">
        <f t="shared" si="66"/>
        <v>#DIV/0!</v>
      </c>
      <c r="AN211" s="209" t="e">
        <f t="shared" si="66"/>
        <v>#DIV/0!</v>
      </c>
    </row>
    <row r="212" spans="2:40" s="30" customFormat="1" x14ac:dyDescent="0.15">
      <c r="B212" s="335"/>
      <c r="C212" s="163" t="s">
        <v>187</v>
      </c>
      <c r="D212" s="204">
        <f>SUMIFS('caseload data'!E:E,'caseload data'!$D:$D,"SPO",'caseload data'!$A:$A,"East of England",'caseload data'!$B:$B,"custody")</f>
        <v>0</v>
      </c>
      <c r="E212" s="204">
        <f>SUMIFS('caseload data'!F:F,'caseload data'!$D:$D,"SPO",'caseload data'!$A:$A,"East of England",'caseload data'!$B:$B,"custody")</f>
        <v>0</v>
      </c>
      <c r="F212" s="204">
        <f>SUMIFS('caseload data'!G:G,'caseload data'!$D:$D,"SPO",'caseload data'!$A:$A,"East of England",'caseload data'!$B:$B,"custody")</f>
        <v>0</v>
      </c>
      <c r="G212" s="204">
        <f>SUMIFS('caseload data'!H:H,'caseload data'!$D:$D,"SPO",'caseload data'!$A:$A,"East of England",'caseload data'!$B:$B,"custody")</f>
        <v>0</v>
      </c>
      <c r="H212" s="204">
        <f>SUMIFS('caseload data'!I:I,'caseload data'!$D:$D,"SPO",'caseload data'!$A:$A,"East of England",'caseload data'!$B:$B,"custody")</f>
        <v>0</v>
      </c>
      <c r="I212" s="204">
        <f>SUMIFS('caseload data'!J:J,'caseload data'!$D:$D,"SPO",'caseload data'!$A:$A,"East of England",'caseload data'!$B:$B,"custody")</f>
        <v>0</v>
      </c>
      <c r="J212" s="204">
        <f>SUMIFS('caseload data'!K:K,'caseload data'!$D:$D,"SPO",'caseload data'!$A:$A,"East of England",'caseload data'!$B:$B,"custody")</f>
        <v>0</v>
      </c>
      <c r="K212" s="204">
        <f>SUMIFS('caseload data'!L:L,'caseload data'!$D:$D,"SPO",'caseload data'!$A:$A,"East of England",'caseload data'!$B:$B,"custody")</f>
        <v>0</v>
      </c>
      <c r="L212" s="204">
        <f>SUMIFS('caseload data'!M:M,'caseload data'!$D:$D,"SPO",'caseload data'!$A:$A,"East of England",'caseload data'!$B:$B,"custody")</f>
        <v>0</v>
      </c>
      <c r="M212" s="204">
        <f>SUMIFS('caseload data'!N:N,'caseload data'!$D:$D,"SPO",'caseload data'!$A:$A,"East of England",'caseload data'!$B:$B,"custody")</f>
        <v>0</v>
      </c>
      <c r="N212" s="204">
        <f>SUMIFS('caseload data'!O:O,'caseload data'!$D:$D,"SPO",'caseload data'!$A:$A,"East of England",'caseload data'!$B:$B,"custody")</f>
        <v>0</v>
      </c>
      <c r="O212" s="204">
        <f>SUMIFS('caseload data'!P:P,'caseload data'!$D:$D,"SPO",'caseload data'!$A:$A,"East of England",'caseload data'!$B:$B,"custody")</f>
        <v>0</v>
      </c>
      <c r="P212" s="204">
        <f>SUMIFS('caseload data'!Q:Q,'caseload data'!$D:$D,"SPO",'caseload data'!$A:$A,"East of England",'caseload data'!$B:$B,"custody")</f>
        <v>0</v>
      </c>
      <c r="Q212" s="204">
        <f>SUMIFS('caseload data'!R:R,'caseload data'!$D:$D,"SPO",'caseload data'!$A:$A,"East of England",'caseload data'!$B:$B,"custody")</f>
        <v>0</v>
      </c>
      <c r="R212" s="204">
        <f>SUMIFS('caseload data'!S:S,'caseload data'!$D:$D,"SPO",'caseload data'!$A:$A,"East of England",'caseload data'!$B:$B,"custody")</f>
        <v>0</v>
      </c>
      <c r="S212" s="204">
        <f>SUMIFS('caseload data'!T:T,'caseload data'!$D:$D,"SPO",'caseload data'!$A:$A,"East of England",'caseload data'!$B:$B,"custody")</f>
        <v>0</v>
      </c>
      <c r="T212" s="126">
        <f>SUMIFS('caseload data'!V:V,'caseload data'!$D:$D,"SPO",'caseload data'!$A:$A,"East of England",'caseload data'!$B:$B,"custody")</f>
        <v>0</v>
      </c>
      <c r="U212" s="95"/>
      <c r="V212" s="95"/>
      <c r="W212" s="335"/>
      <c r="X212" s="163" t="s">
        <v>187</v>
      </c>
      <c r="Y212" s="209" t="e">
        <f>SUM(D212)/SUM(D$209:D$212)</f>
        <v>#DIV/0!</v>
      </c>
      <c r="Z212" s="209" t="e">
        <f t="shared" si="66"/>
        <v>#DIV/0!</v>
      </c>
      <c r="AA212" s="209" t="e">
        <f t="shared" si="66"/>
        <v>#DIV/0!</v>
      </c>
      <c r="AB212" s="209" t="e">
        <f t="shared" si="66"/>
        <v>#DIV/0!</v>
      </c>
      <c r="AC212" s="209" t="e">
        <f t="shared" si="66"/>
        <v>#DIV/0!</v>
      </c>
      <c r="AD212" s="209" t="e">
        <f t="shared" si="66"/>
        <v>#DIV/0!</v>
      </c>
      <c r="AE212" s="209" t="e">
        <f t="shared" si="66"/>
        <v>#DIV/0!</v>
      </c>
      <c r="AF212" s="209" t="e">
        <f t="shared" si="66"/>
        <v>#DIV/0!</v>
      </c>
      <c r="AG212" s="209" t="e">
        <f t="shared" si="66"/>
        <v>#DIV/0!</v>
      </c>
      <c r="AH212" s="209" t="e">
        <f t="shared" si="66"/>
        <v>#DIV/0!</v>
      </c>
      <c r="AI212" s="209" t="e">
        <f t="shared" si="66"/>
        <v>#DIV/0!</v>
      </c>
      <c r="AJ212" s="209" t="e">
        <f t="shared" si="66"/>
        <v>#DIV/0!</v>
      </c>
      <c r="AK212" s="209" t="e">
        <f t="shared" si="66"/>
        <v>#DIV/0!</v>
      </c>
      <c r="AL212" s="209" t="e">
        <f t="shared" si="66"/>
        <v>#DIV/0!</v>
      </c>
      <c r="AM212" s="209" t="e">
        <f t="shared" si="66"/>
        <v>#DIV/0!</v>
      </c>
      <c r="AN212" s="209" t="e">
        <f t="shared" si="66"/>
        <v>#DIV/0!</v>
      </c>
    </row>
    <row r="213" spans="2:40" x14ac:dyDescent="0.15">
      <c r="B213" s="333" t="s">
        <v>5</v>
      </c>
      <c r="C213" s="161" t="s">
        <v>184</v>
      </c>
      <c r="D213" s="204">
        <f>SUMIFS('caseload data'!E:E,'caseload data'!$D:$D,"PO",'caseload data'!$A:$A,"NPS Greater Manchester",'caseload data'!$B:$B,"custody")</f>
        <v>0</v>
      </c>
      <c r="E213" s="204">
        <f>SUMIFS('caseload data'!F:F,'caseload data'!$D:$D,"PO",'caseload data'!$A:$A,"NPS Greater Manchester",'caseload data'!$B:$B,"custody")</f>
        <v>0</v>
      </c>
      <c r="F213" s="204">
        <f>SUMIFS('caseload data'!G:G,'caseload data'!$D:$D,"PO",'caseload data'!$A:$A,"NPS Greater Manchester",'caseload data'!$B:$B,"custody")</f>
        <v>0</v>
      </c>
      <c r="G213" s="204">
        <f>SUMIFS('caseload data'!H:H,'caseload data'!$D:$D,"PO",'caseload data'!$A:$A,"NPS Greater Manchester",'caseload data'!$B:$B,"custody")</f>
        <v>0</v>
      </c>
      <c r="H213" s="204">
        <f>SUMIFS('caseload data'!I:I,'caseload data'!$D:$D,"PO",'caseload data'!$A:$A,"NPS Greater Manchester",'caseload data'!$B:$B,"custody")</f>
        <v>0</v>
      </c>
      <c r="I213" s="204">
        <f>SUMIFS('caseload data'!J:J,'caseload data'!$D:$D,"PO",'caseload data'!$A:$A,"NPS Greater Manchester",'caseload data'!$B:$B,"custody")</f>
        <v>0</v>
      </c>
      <c r="J213" s="204">
        <f>SUMIFS('caseload data'!K:K,'caseload data'!$D:$D,"PO",'caseload data'!$A:$A,"NPS Greater Manchester",'caseload data'!$B:$B,"custody")</f>
        <v>0</v>
      </c>
      <c r="K213" s="204">
        <f>SUMIFS('caseload data'!L:L,'caseload data'!$D:$D,"PO",'caseload data'!$A:$A,"NPS Greater Manchester",'caseload data'!$B:$B,"custody")</f>
        <v>0</v>
      </c>
      <c r="L213" s="204">
        <f>SUMIFS('caseload data'!M:M,'caseload data'!$D:$D,"PO",'caseload data'!$A:$A,"NPS Greater Manchester",'caseload data'!$B:$B,"custody")</f>
        <v>0</v>
      </c>
      <c r="M213" s="204">
        <f>SUMIFS('caseload data'!N:N,'caseload data'!$D:$D,"PO",'caseload data'!$A:$A,"NPS Greater Manchester",'caseload data'!$B:$B,"custody")</f>
        <v>0</v>
      </c>
      <c r="N213" s="204">
        <f>SUMIFS('caseload data'!O:O,'caseload data'!$D:$D,"PO",'caseload data'!$A:$A,"NPS Greater Manchester",'caseload data'!$B:$B,"custody")</f>
        <v>0</v>
      </c>
      <c r="O213" s="204">
        <f>SUMIFS('caseload data'!P:P,'caseload data'!$D:$D,"PO",'caseload data'!$A:$A,"NPS Greater Manchester",'caseload data'!$B:$B,"custody")</f>
        <v>0</v>
      </c>
      <c r="P213" s="204">
        <f>SUMIFS('caseload data'!Q:Q,'caseload data'!$D:$D,"PO",'caseload data'!$A:$A,"NPS Greater Manchester",'caseload data'!$B:$B,"custody")</f>
        <v>0</v>
      </c>
      <c r="Q213" s="204">
        <f>SUMIFS('caseload data'!R:R,'caseload data'!$D:$D,"PO",'caseload data'!$A:$A,"NPS Greater Manchester",'caseload data'!$B:$B,"custody")</f>
        <v>0</v>
      </c>
      <c r="R213" s="204">
        <f>SUMIFS('caseload data'!S:S,'caseload data'!$D:$D,"PO",'caseload data'!$A:$A,"NPS Greater Manchester",'caseload data'!$B:$B,"custody")</f>
        <v>0</v>
      </c>
      <c r="S213" s="204">
        <f>SUMIFS('caseload data'!T:T,'caseload data'!$D:$D,"PO",'caseload data'!$A:$A,"NPS Greater Manchester",'caseload data'!$B:$B,"custody")</f>
        <v>0</v>
      </c>
      <c r="T213" s="126">
        <f>SUMIFS('caseload data'!V:V,'caseload data'!D:D,"PO",'caseload data'!A:A,"NPS Greater Manchester",'caseload data'!B:B,"custody")</f>
        <v>0</v>
      </c>
      <c r="U213" s="95"/>
      <c r="V213" s="95"/>
      <c r="W213" s="333" t="s">
        <v>5</v>
      </c>
      <c r="X213" s="161" t="s">
        <v>184</v>
      </c>
      <c r="Y213" s="209" t="e">
        <f>SUM(D213)/SUM(D$213:D$216)</f>
        <v>#DIV/0!</v>
      </c>
      <c r="Z213" s="209" t="e">
        <f t="shared" ref="Z213:AN216" si="67">SUM(E213)/SUM(E$213:E$216)</f>
        <v>#DIV/0!</v>
      </c>
      <c r="AA213" s="209" t="e">
        <f t="shared" si="67"/>
        <v>#DIV/0!</v>
      </c>
      <c r="AB213" s="209" t="e">
        <f t="shared" si="67"/>
        <v>#DIV/0!</v>
      </c>
      <c r="AC213" s="209" t="e">
        <f t="shared" si="67"/>
        <v>#DIV/0!</v>
      </c>
      <c r="AD213" s="209" t="e">
        <f t="shared" si="67"/>
        <v>#DIV/0!</v>
      </c>
      <c r="AE213" s="209" t="e">
        <f t="shared" si="67"/>
        <v>#DIV/0!</v>
      </c>
      <c r="AF213" s="209" t="e">
        <f t="shared" si="67"/>
        <v>#DIV/0!</v>
      </c>
      <c r="AG213" s="209" t="e">
        <f t="shared" si="67"/>
        <v>#DIV/0!</v>
      </c>
      <c r="AH213" s="209" t="e">
        <f t="shared" si="67"/>
        <v>#DIV/0!</v>
      </c>
      <c r="AI213" s="209" t="e">
        <f t="shared" si="67"/>
        <v>#DIV/0!</v>
      </c>
      <c r="AJ213" s="209" t="e">
        <f t="shared" si="67"/>
        <v>#DIV/0!</v>
      </c>
      <c r="AK213" s="209" t="e">
        <f t="shared" si="67"/>
        <v>#DIV/0!</v>
      </c>
      <c r="AL213" s="209" t="e">
        <f t="shared" si="67"/>
        <v>#DIV/0!</v>
      </c>
      <c r="AM213" s="209" t="e">
        <f t="shared" si="67"/>
        <v>#DIV/0!</v>
      </c>
      <c r="AN213" s="209" t="e">
        <f t="shared" si="67"/>
        <v>#DIV/0!</v>
      </c>
    </row>
    <row r="214" spans="2:40" x14ac:dyDescent="0.15">
      <c r="B214" s="334"/>
      <c r="C214" s="162" t="s">
        <v>185</v>
      </c>
      <c r="D214" s="204">
        <f>SUMIFS('caseload data'!E:E,'caseload data'!$D:$D,"PSO",'caseload data'!$A:$A,"NPS Greater Manchester",'caseload data'!$B:$B,"custody")</f>
        <v>0</v>
      </c>
      <c r="E214" s="204">
        <f>SUMIFS('caseload data'!F:F,'caseload data'!$D:$D,"PSO",'caseload data'!$A:$A,"NPS Greater Manchester",'caseload data'!$B:$B,"custody")</f>
        <v>0</v>
      </c>
      <c r="F214" s="204">
        <f>SUMIFS('caseload data'!G:G,'caseload data'!$D:$D,"PSO",'caseload data'!$A:$A,"NPS Greater Manchester",'caseload data'!$B:$B,"custody")</f>
        <v>0</v>
      </c>
      <c r="G214" s="204">
        <f>SUMIFS('caseload data'!H:H,'caseload data'!$D:$D,"PSO",'caseload data'!$A:$A,"NPS Greater Manchester",'caseload data'!$B:$B,"custody")</f>
        <v>0</v>
      </c>
      <c r="H214" s="204">
        <f>SUMIFS('caseload data'!I:I,'caseload data'!$D:$D,"PSO",'caseload data'!$A:$A,"NPS Greater Manchester",'caseload data'!$B:$B,"custody")</f>
        <v>0</v>
      </c>
      <c r="I214" s="204">
        <f>SUMIFS('caseload data'!J:J,'caseload data'!$D:$D,"PSO",'caseload data'!$A:$A,"NPS Greater Manchester",'caseload data'!$B:$B,"custody")</f>
        <v>0</v>
      </c>
      <c r="J214" s="204">
        <f>SUMIFS('caseload data'!K:K,'caseload data'!$D:$D,"PSO",'caseload data'!$A:$A,"NPS Greater Manchester",'caseload data'!$B:$B,"custody")</f>
        <v>0</v>
      </c>
      <c r="K214" s="204">
        <f>SUMIFS('caseload data'!L:L,'caseload data'!$D:$D,"PSO",'caseload data'!$A:$A,"NPS Greater Manchester",'caseload data'!$B:$B,"custody")</f>
        <v>0</v>
      </c>
      <c r="L214" s="204">
        <f>SUMIFS('caseload data'!M:M,'caseload data'!$D:$D,"PSO",'caseload data'!$A:$A,"NPS Greater Manchester",'caseload data'!$B:$B,"custody")</f>
        <v>0</v>
      </c>
      <c r="M214" s="204">
        <f>SUMIFS('caseload data'!N:N,'caseload data'!$D:$D,"PSO",'caseload data'!$A:$A,"NPS Greater Manchester",'caseload data'!$B:$B,"custody")</f>
        <v>0</v>
      </c>
      <c r="N214" s="204">
        <f>SUMIFS('caseload data'!O:O,'caseload data'!$D:$D,"PSO",'caseload data'!$A:$A,"NPS Greater Manchester",'caseload data'!$B:$B,"custody")</f>
        <v>0</v>
      </c>
      <c r="O214" s="204">
        <f>SUMIFS('caseload data'!P:P,'caseload data'!$D:$D,"PSO",'caseload data'!$A:$A,"NPS Greater Manchester",'caseload data'!$B:$B,"custody")</f>
        <v>0</v>
      </c>
      <c r="P214" s="204">
        <f>SUMIFS('caseload data'!Q:Q,'caseload data'!$D:$D,"PSO",'caseload data'!$A:$A,"NPS Greater Manchester",'caseload data'!$B:$B,"custody")</f>
        <v>0</v>
      </c>
      <c r="Q214" s="204">
        <f>SUMIFS('caseload data'!R:R,'caseload data'!$D:$D,"PSO",'caseload data'!$A:$A,"NPS Greater Manchester",'caseload data'!$B:$B,"custody")</f>
        <v>0</v>
      </c>
      <c r="R214" s="204">
        <f>SUMIFS('caseload data'!S:S,'caseload data'!$D:$D,"PSO",'caseload data'!$A:$A,"NPS Greater Manchester",'caseload data'!$B:$B,"custody")</f>
        <v>0</v>
      </c>
      <c r="S214" s="204">
        <f>SUMIFS('caseload data'!T:T,'caseload data'!$D:$D,"PSO",'caseload data'!$A:$A,"NPS Greater Manchester",'caseload data'!$B:$B,"custody")</f>
        <v>0</v>
      </c>
      <c r="T214" s="126">
        <f>SUMIFS('caseload data'!V:V,'caseload data'!D:D,"PSO",'caseload data'!A:A,"NPS Greater Manchester",'caseload data'!B:B,"custody")</f>
        <v>0</v>
      </c>
      <c r="U214" s="95"/>
      <c r="V214" s="95"/>
      <c r="W214" s="334"/>
      <c r="X214" s="162" t="s">
        <v>185</v>
      </c>
      <c r="Y214" s="209" t="e">
        <f>SUM(D214)/SUM(D$213:D$216)</f>
        <v>#DIV/0!</v>
      </c>
      <c r="Z214" s="209" t="e">
        <f t="shared" si="67"/>
        <v>#DIV/0!</v>
      </c>
      <c r="AA214" s="209" t="e">
        <f t="shared" si="67"/>
        <v>#DIV/0!</v>
      </c>
      <c r="AB214" s="209" t="e">
        <f t="shared" si="67"/>
        <v>#DIV/0!</v>
      </c>
      <c r="AC214" s="209" t="e">
        <f t="shared" si="67"/>
        <v>#DIV/0!</v>
      </c>
      <c r="AD214" s="209" t="e">
        <f t="shared" si="67"/>
        <v>#DIV/0!</v>
      </c>
      <c r="AE214" s="209" t="e">
        <f t="shared" si="67"/>
        <v>#DIV/0!</v>
      </c>
      <c r="AF214" s="209" t="e">
        <f t="shared" si="67"/>
        <v>#DIV/0!</v>
      </c>
      <c r="AG214" s="209" t="e">
        <f t="shared" si="67"/>
        <v>#DIV/0!</v>
      </c>
      <c r="AH214" s="209" t="e">
        <f t="shared" si="67"/>
        <v>#DIV/0!</v>
      </c>
      <c r="AI214" s="209" t="e">
        <f t="shared" si="67"/>
        <v>#DIV/0!</v>
      </c>
      <c r="AJ214" s="209" t="e">
        <f t="shared" si="67"/>
        <v>#DIV/0!</v>
      </c>
      <c r="AK214" s="209" t="e">
        <f t="shared" si="67"/>
        <v>#DIV/0!</v>
      </c>
      <c r="AL214" s="209" t="e">
        <f t="shared" si="67"/>
        <v>#DIV/0!</v>
      </c>
      <c r="AM214" s="209" t="e">
        <f t="shared" si="67"/>
        <v>#DIV/0!</v>
      </c>
      <c r="AN214" s="209" t="e">
        <f t="shared" si="67"/>
        <v>#DIV/0!</v>
      </c>
    </row>
    <row r="215" spans="2:40" x14ac:dyDescent="0.15">
      <c r="B215" s="334"/>
      <c r="C215" s="162" t="s">
        <v>186</v>
      </c>
      <c r="D215" s="204">
        <f>SUMIFS('caseload data'!E:E,'caseload data'!$D:$D,"TPO",'caseload data'!$A:$A,"NPS Greater Manchester",'caseload data'!$B:$B,"custody")</f>
        <v>0</v>
      </c>
      <c r="E215" s="204">
        <f>SUMIFS('caseload data'!F:F,'caseload data'!$D:$D,"TPO",'caseload data'!$A:$A,"NPS Greater Manchester",'caseload data'!$B:$B,"custody")</f>
        <v>0</v>
      </c>
      <c r="F215" s="204">
        <f>SUMIFS('caseload data'!G:G,'caseload data'!$D:$D,"TPO",'caseload data'!$A:$A,"NPS Greater Manchester",'caseload data'!$B:$B,"custody")</f>
        <v>0</v>
      </c>
      <c r="G215" s="204">
        <f>SUMIFS('caseload data'!H:H,'caseload data'!$D:$D,"TPO",'caseload data'!$A:$A,"NPS Greater Manchester",'caseload data'!$B:$B,"custody")</f>
        <v>0</v>
      </c>
      <c r="H215" s="204">
        <f>SUMIFS('caseload data'!I:I,'caseload data'!$D:$D,"TPO",'caseload data'!$A:$A,"NPS Greater Manchester",'caseload data'!$B:$B,"custody")</f>
        <v>0</v>
      </c>
      <c r="I215" s="204">
        <f>SUMIFS('caseload data'!J:J,'caseload data'!$D:$D,"TPO",'caseload data'!$A:$A,"NPS Greater Manchester",'caseload data'!$B:$B,"custody")</f>
        <v>0</v>
      </c>
      <c r="J215" s="204">
        <f>SUMIFS('caseload data'!K:K,'caseload data'!$D:$D,"TPO",'caseload data'!$A:$A,"NPS Greater Manchester",'caseload data'!$B:$B,"custody")</f>
        <v>0</v>
      </c>
      <c r="K215" s="204">
        <f>SUMIFS('caseload data'!L:L,'caseload data'!$D:$D,"TPO",'caseload data'!$A:$A,"NPS Greater Manchester",'caseload data'!$B:$B,"custody")</f>
        <v>0</v>
      </c>
      <c r="L215" s="204">
        <f>SUMIFS('caseload data'!M:M,'caseload data'!$D:$D,"TPO",'caseload data'!$A:$A,"NPS Greater Manchester",'caseload data'!$B:$B,"custody")</f>
        <v>0</v>
      </c>
      <c r="M215" s="204">
        <f>SUMIFS('caseload data'!N:N,'caseload data'!$D:$D,"TPO",'caseload data'!$A:$A,"NPS Greater Manchester",'caseload data'!$B:$B,"custody")</f>
        <v>0</v>
      </c>
      <c r="N215" s="204">
        <f>SUMIFS('caseload data'!O:O,'caseload data'!$D:$D,"TPO",'caseload data'!$A:$A,"NPS Greater Manchester",'caseload data'!$B:$B,"custody")</f>
        <v>0</v>
      </c>
      <c r="O215" s="204">
        <f>SUMIFS('caseload data'!P:P,'caseload data'!$D:$D,"TPO",'caseload data'!$A:$A,"NPS Greater Manchester",'caseload data'!$B:$B,"custody")</f>
        <v>0</v>
      </c>
      <c r="P215" s="204">
        <f>SUMIFS('caseload data'!Q:Q,'caseload data'!$D:$D,"TPO",'caseload data'!$A:$A,"NPS Greater Manchester",'caseload data'!$B:$B,"custody")</f>
        <v>0</v>
      </c>
      <c r="Q215" s="204">
        <f>SUMIFS('caseload data'!R:R,'caseload data'!$D:$D,"TPO",'caseload data'!$A:$A,"NPS Greater Manchester",'caseload data'!$B:$B,"custody")</f>
        <v>0</v>
      </c>
      <c r="R215" s="204">
        <f>SUMIFS('caseload data'!S:S,'caseload data'!$D:$D,"TPO",'caseload data'!$A:$A,"NPS Greater Manchester",'caseload data'!$B:$B,"custody")</f>
        <v>0</v>
      </c>
      <c r="S215" s="204">
        <f>SUMIFS('caseload data'!T:T,'caseload data'!$D:$D,"TPO",'caseload data'!$A:$A,"NPS Greater Manchester",'caseload data'!$B:$B,"custody")</f>
        <v>0</v>
      </c>
      <c r="T215" s="126">
        <f>SUMIFS('caseload data'!V:V,'caseload data'!D:D,"TPO",'caseload data'!A:A,"NPS Greater Manchester",'caseload data'!B:B,"custody")</f>
        <v>0</v>
      </c>
      <c r="U215" s="95"/>
      <c r="V215" s="95"/>
      <c r="W215" s="334"/>
      <c r="X215" s="162" t="s">
        <v>186</v>
      </c>
      <c r="Y215" s="209" t="e">
        <f>SUM(D215)/SUM(D$213:D$216)</f>
        <v>#DIV/0!</v>
      </c>
      <c r="Z215" s="209" t="e">
        <f t="shared" si="67"/>
        <v>#DIV/0!</v>
      </c>
      <c r="AA215" s="209" t="e">
        <f t="shared" si="67"/>
        <v>#DIV/0!</v>
      </c>
      <c r="AB215" s="209" t="e">
        <f t="shared" si="67"/>
        <v>#DIV/0!</v>
      </c>
      <c r="AC215" s="209" t="e">
        <f t="shared" si="67"/>
        <v>#DIV/0!</v>
      </c>
      <c r="AD215" s="209" t="e">
        <f t="shared" si="67"/>
        <v>#DIV/0!</v>
      </c>
      <c r="AE215" s="209" t="e">
        <f t="shared" si="67"/>
        <v>#DIV/0!</v>
      </c>
      <c r="AF215" s="209" t="e">
        <f t="shared" si="67"/>
        <v>#DIV/0!</v>
      </c>
      <c r="AG215" s="209" t="e">
        <f t="shared" si="67"/>
        <v>#DIV/0!</v>
      </c>
      <c r="AH215" s="209" t="e">
        <f t="shared" si="67"/>
        <v>#DIV/0!</v>
      </c>
      <c r="AI215" s="209" t="e">
        <f t="shared" si="67"/>
        <v>#DIV/0!</v>
      </c>
      <c r="AJ215" s="209" t="e">
        <f t="shared" si="67"/>
        <v>#DIV/0!</v>
      </c>
      <c r="AK215" s="209" t="e">
        <f t="shared" si="67"/>
        <v>#DIV/0!</v>
      </c>
      <c r="AL215" s="209" t="e">
        <f t="shared" si="67"/>
        <v>#DIV/0!</v>
      </c>
      <c r="AM215" s="209" t="e">
        <f t="shared" si="67"/>
        <v>#DIV/0!</v>
      </c>
      <c r="AN215" s="209" t="e">
        <f t="shared" si="67"/>
        <v>#DIV/0!</v>
      </c>
    </row>
    <row r="216" spans="2:40" s="30" customFormat="1" x14ac:dyDescent="0.15">
      <c r="B216" s="335"/>
      <c r="C216" s="163" t="s">
        <v>187</v>
      </c>
      <c r="D216" s="204">
        <f>SUMIFS('caseload data'!E:E,'caseload data'!$D:$D,"SPO",'caseload data'!$A:$A,"NPS Greater Manchester",'caseload data'!$B:$B,"custody")</f>
        <v>0</v>
      </c>
      <c r="E216" s="204">
        <f>SUMIFS('caseload data'!F:F,'caseload data'!$D:$D,"SPO",'caseload data'!$A:$A,"NPS Greater Manchester",'caseload data'!$B:$B,"custody")</f>
        <v>0</v>
      </c>
      <c r="F216" s="204">
        <f>SUMIFS('caseload data'!G:G,'caseload data'!$D:$D,"SPO",'caseload data'!$A:$A,"NPS Greater Manchester",'caseload data'!$B:$B,"custody")</f>
        <v>0</v>
      </c>
      <c r="G216" s="204">
        <f>SUMIFS('caseload data'!H:H,'caseload data'!$D:$D,"SPO",'caseload data'!$A:$A,"NPS Greater Manchester",'caseload data'!$B:$B,"custody")</f>
        <v>0</v>
      </c>
      <c r="H216" s="204">
        <f>SUMIFS('caseload data'!I:I,'caseload data'!$D:$D,"SPO",'caseload data'!$A:$A,"NPS Greater Manchester",'caseload data'!$B:$B,"custody")</f>
        <v>0</v>
      </c>
      <c r="I216" s="204">
        <f>SUMIFS('caseload data'!J:J,'caseload data'!$D:$D,"SPO",'caseload data'!$A:$A,"NPS Greater Manchester",'caseload data'!$B:$B,"custody")</f>
        <v>0</v>
      </c>
      <c r="J216" s="204">
        <f>SUMIFS('caseload data'!K:K,'caseload data'!$D:$D,"SPO",'caseload data'!$A:$A,"NPS Greater Manchester",'caseload data'!$B:$B,"custody")</f>
        <v>0</v>
      </c>
      <c r="K216" s="204">
        <f>SUMIFS('caseload data'!L:L,'caseload data'!$D:$D,"SPO",'caseload data'!$A:$A,"NPS Greater Manchester",'caseload data'!$B:$B,"custody")</f>
        <v>0</v>
      </c>
      <c r="L216" s="204">
        <f>SUMIFS('caseload data'!M:M,'caseload data'!$D:$D,"SPO",'caseload data'!$A:$A,"NPS Greater Manchester",'caseload data'!$B:$B,"custody")</f>
        <v>0</v>
      </c>
      <c r="M216" s="204">
        <f>SUMIFS('caseload data'!N:N,'caseload data'!$D:$D,"SPO",'caseload data'!$A:$A,"NPS Greater Manchester",'caseload data'!$B:$B,"custody")</f>
        <v>0</v>
      </c>
      <c r="N216" s="204">
        <f>SUMIFS('caseload data'!O:O,'caseload data'!$D:$D,"SPO",'caseload data'!$A:$A,"NPS Greater Manchester",'caseload data'!$B:$B,"custody")</f>
        <v>0</v>
      </c>
      <c r="O216" s="204">
        <f>SUMIFS('caseload data'!P:P,'caseload data'!$D:$D,"SPO",'caseload data'!$A:$A,"NPS Greater Manchester",'caseload data'!$B:$B,"custody")</f>
        <v>0</v>
      </c>
      <c r="P216" s="204">
        <f>SUMIFS('caseload data'!Q:Q,'caseload data'!$D:$D,"SPO",'caseload data'!$A:$A,"NPS Greater Manchester",'caseload data'!$B:$B,"custody")</f>
        <v>0</v>
      </c>
      <c r="Q216" s="204">
        <f>SUMIFS('caseload data'!R:R,'caseload data'!$D:$D,"SPO",'caseload data'!$A:$A,"NPS Greater Manchester",'caseload data'!$B:$B,"custody")</f>
        <v>0</v>
      </c>
      <c r="R216" s="204">
        <f>SUMIFS('caseload data'!S:S,'caseload data'!$D:$D,"SPO",'caseload data'!$A:$A,"NPS Greater Manchester",'caseload data'!$B:$B,"custody")</f>
        <v>0</v>
      </c>
      <c r="S216" s="204">
        <f>SUMIFS('caseload data'!T:T,'caseload data'!$D:$D,"SPO",'caseload data'!$A:$A,"NPS Greater Manchester",'caseload data'!$B:$B,"custody")</f>
        <v>0</v>
      </c>
      <c r="T216" s="126">
        <f>SUMIFS('caseload data'!V:V,'caseload data'!$D:$D,"SPO",'caseload data'!$A:$A,"NPS Greater Manchester",'caseload data'!$B:$B,"custody")</f>
        <v>0</v>
      </c>
      <c r="U216" s="95"/>
      <c r="V216" s="95"/>
      <c r="W216" s="335"/>
      <c r="X216" s="163" t="s">
        <v>187</v>
      </c>
      <c r="Y216" s="209" t="e">
        <f>SUM(D216)/SUM(D$213:D$216)</f>
        <v>#DIV/0!</v>
      </c>
      <c r="Z216" s="209" t="e">
        <f t="shared" si="67"/>
        <v>#DIV/0!</v>
      </c>
      <c r="AA216" s="209" t="e">
        <f t="shared" si="67"/>
        <v>#DIV/0!</v>
      </c>
      <c r="AB216" s="209" t="e">
        <f t="shared" si="67"/>
        <v>#DIV/0!</v>
      </c>
      <c r="AC216" s="209" t="e">
        <f t="shared" si="67"/>
        <v>#DIV/0!</v>
      </c>
      <c r="AD216" s="209" t="e">
        <f t="shared" si="67"/>
        <v>#DIV/0!</v>
      </c>
      <c r="AE216" s="209" t="e">
        <f t="shared" si="67"/>
        <v>#DIV/0!</v>
      </c>
      <c r="AF216" s="209" t="e">
        <f t="shared" si="67"/>
        <v>#DIV/0!</v>
      </c>
      <c r="AG216" s="209" t="e">
        <f t="shared" si="67"/>
        <v>#DIV/0!</v>
      </c>
      <c r="AH216" s="209" t="e">
        <f t="shared" si="67"/>
        <v>#DIV/0!</v>
      </c>
      <c r="AI216" s="209" t="e">
        <f t="shared" si="67"/>
        <v>#DIV/0!</v>
      </c>
      <c r="AJ216" s="209" t="e">
        <f t="shared" si="67"/>
        <v>#DIV/0!</v>
      </c>
      <c r="AK216" s="209" t="e">
        <f t="shared" si="67"/>
        <v>#DIV/0!</v>
      </c>
      <c r="AL216" s="209" t="e">
        <f t="shared" si="67"/>
        <v>#DIV/0!</v>
      </c>
      <c r="AM216" s="209" t="e">
        <f t="shared" si="67"/>
        <v>#DIV/0!</v>
      </c>
      <c r="AN216" s="209" t="e">
        <f t="shared" si="67"/>
        <v>#DIV/0!</v>
      </c>
    </row>
    <row r="217" spans="2:40" s="30" customFormat="1" x14ac:dyDescent="0.15">
      <c r="B217" s="333" t="s">
        <v>6</v>
      </c>
      <c r="C217" s="161" t="s">
        <v>184</v>
      </c>
      <c r="D217" s="204">
        <f>SUMIFS('caseload data'!E:E,'caseload data'!$D:$D,"PO",'caseload data'!$A:$A,'national caseload'!$B$217:$B$219,'caseload data'!$B:$B,"custody")</f>
        <v>0</v>
      </c>
      <c r="E217" s="204">
        <f>SUMIFS('caseload data'!F:F,'caseload data'!$D:$D,"PO",'caseload data'!$A:$A,'national caseload'!$B$217:$B$219,'caseload data'!$B:$B,"custody")</f>
        <v>0</v>
      </c>
      <c r="F217" s="204">
        <f>SUMIFS('caseload data'!G:G,'caseload data'!$D:$D,"PO",'caseload data'!$A:$A,'national caseload'!$B$217:$B$219,'caseload data'!$B:$B,"custody")</f>
        <v>0</v>
      </c>
      <c r="G217" s="204">
        <f>SUMIFS('caseload data'!H:H,'caseload data'!$D:$D,"PO",'caseload data'!$A:$A,'national caseload'!$B$217:$B$219,'caseload data'!$B:$B,"custody")</f>
        <v>0</v>
      </c>
      <c r="H217" s="204">
        <f>SUMIFS('caseload data'!I:I,'caseload data'!$D:$D,"PO",'caseload data'!$A:$A,'national caseload'!$B$217:$B$219,'caseload data'!$B:$B,"custody")</f>
        <v>0</v>
      </c>
      <c r="I217" s="204">
        <f>SUMIFS('caseload data'!J:J,'caseload data'!$D:$D,"PO",'caseload data'!$A:$A,'national caseload'!$B$217:$B$219,'caseload data'!$B:$B,"custody")</f>
        <v>0</v>
      </c>
      <c r="J217" s="204">
        <f>SUMIFS('caseload data'!K:K,'caseload data'!$D:$D,"PO",'caseload data'!$A:$A,'national caseload'!$B$217:$B$219,'caseload data'!$B:$B,"custody")</f>
        <v>0</v>
      </c>
      <c r="K217" s="204">
        <f>SUMIFS('caseload data'!L:L,'caseload data'!$D:$D,"PO",'caseload data'!$A:$A,'national caseload'!$B$217:$B$219,'caseload data'!$B:$B,"custody")</f>
        <v>0</v>
      </c>
      <c r="L217" s="204">
        <f>SUMIFS('caseload data'!M:M,'caseload data'!$D:$D,"PO",'caseload data'!$A:$A,'national caseload'!$B$217:$B$219,'caseload data'!$B:$B,"custody")</f>
        <v>0</v>
      </c>
      <c r="M217" s="204">
        <f>SUMIFS('caseload data'!N:N,'caseload data'!$D:$D,"PO",'caseload data'!$A:$A,'national caseload'!$B$217:$B$219,'caseload data'!$B:$B,"custody")</f>
        <v>0</v>
      </c>
      <c r="N217" s="204">
        <f>SUMIFS('caseload data'!O:O,'caseload data'!$D:$D,"PO",'caseload data'!$A:$A,'national caseload'!$B$217:$B$219,'caseload data'!$B:$B,"custody")</f>
        <v>0</v>
      </c>
      <c r="O217" s="204">
        <f>SUMIFS('caseload data'!P:P,'caseload data'!$D:$D,"PO",'caseload data'!$A:$A,'national caseload'!$B$217:$B$219,'caseload data'!$B:$B,"custody")</f>
        <v>0</v>
      </c>
      <c r="P217" s="204">
        <f>SUMIFS('caseload data'!Q:Q,'caseload data'!$D:$D,"PO",'caseload data'!$A:$A,'national caseload'!$B$217:$B$219,'caseload data'!$B:$B,"custody")</f>
        <v>0</v>
      </c>
      <c r="Q217" s="204">
        <f>SUMIFS('caseload data'!R:R,'caseload data'!$D:$D,"PO",'caseload data'!$A:$A,'national caseload'!$B$217:$B$219,'caseload data'!$B:$B,"custody")</f>
        <v>0</v>
      </c>
      <c r="R217" s="204">
        <f>SUMIFS('caseload data'!S:S,'caseload data'!$D:$D,"PO",'caseload data'!$A:$A,'national caseload'!$B$217:$B$219,'caseload data'!$B:$B,"custody")</f>
        <v>0</v>
      </c>
      <c r="S217" s="204">
        <f>SUMIFS('caseload data'!T:T,'caseload data'!$D:$D,"PO",'caseload data'!$A:$A,'national caseload'!$B$217:$B$219,'caseload data'!$B:$B,"custody")</f>
        <v>0</v>
      </c>
      <c r="T217" s="126">
        <f>SUMIFS('caseload data'!V:V,'caseload data'!D:D,"PO",'caseload data'!A:A,'national caseload'!B217:B219,'caseload data'!B:B,"custody")</f>
        <v>0</v>
      </c>
      <c r="U217" s="95"/>
      <c r="V217" s="95"/>
      <c r="W217" s="333" t="s">
        <v>6</v>
      </c>
      <c r="X217" s="161" t="s">
        <v>184</v>
      </c>
      <c r="Y217" s="209" t="e">
        <f>SUM(D217)/SUM(D$217:D$220)</f>
        <v>#DIV/0!</v>
      </c>
      <c r="Z217" s="209" t="e">
        <f t="shared" ref="Z217:AN220" si="68">SUM(E217)/SUM(E$217:E$220)</f>
        <v>#DIV/0!</v>
      </c>
      <c r="AA217" s="209" t="e">
        <f t="shared" si="68"/>
        <v>#DIV/0!</v>
      </c>
      <c r="AB217" s="209" t="e">
        <f t="shared" si="68"/>
        <v>#DIV/0!</v>
      </c>
      <c r="AC217" s="209" t="e">
        <f t="shared" si="68"/>
        <v>#DIV/0!</v>
      </c>
      <c r="AD217" s="209" t="e">
        <f t="shared" si="68"/>
        <v>#DIV/0!</v>
      </c>
      <c r="AE217" s="209" t="e">
        <f t="shared" si="68"/>
        <v>#DIV/0!</v>
      </c>
      <c r="AF217" s="209" t="e">
        <f t="shared" si="68"/>
        <v>#DIV/0!</v>
      </c>
      <c r="AG217" s="209" t="e">
        <f t="shared" si="68"/>
        <v>#DIV/0!</v>
      </c>
      <c r="AH217" s="209" t="e">
        <f t="shared" si="68"/>
        <v>#DIV/0!</v>
      </c>
      <c r="AI217" s="209" t="e">
        <f t="shared" si="68"/>
        <v>#DIV/0!</v>
      </c>
      <c r="AJ217" s="209" t="e">
        <f t="shared" si="68"/>
        <v>#DIV/0!</v>
      </c>
      <c r="AK217" s="209" t="e">
        <f t="shared" si="68"/>
        <v>#DIV/0!</v>
      </c>
      <c r="AL217" s="209" t="e">
        <f t="shared" si="68"/>
        <v>#DIV/0!</v>
      </c>
      <c r="AM217" s="209" t="e">
        <f t="shared" si="68"/>
        <v>#DIV/0!</v>
      </c>
      <c r="AN217" s="209" t="e">
        <f t="shared" si="68"/>
        <v>#DIV/0!</v>
      </c>
    </row>
    <row r="218" spans="2:40" s="30" customFormat="1" x14ac:dyDescent="0.15">
      <c r="B218" s="334"/>
      <c r="C218" s="162" t="s">
        <v>185</v>
      </c>
      <c r="D218" s="204">
        <f>SUMIFS('caseload data'!E:E,'caseload data'!$D:$D,"PSO",'caseload data'!$A:$A,"NPS Kent Surrey Sussex Region",'caseload data'!$B:$B,"custody")</f>
        <v>0</v>
      </c>
      <c r="E218" s="204">
        <f>SUMIFS('caseload data'!F:F,'caseload data'!$D:$D,"PSO",'caseload data'!$A:$A,"NPS Kent Surrey Sussex Region",'caseload data'!$B:$B,"custody")</f>
        <v>0</v>
      </c>
      <c r="F218" s="204">
        <f>SUMIFS('caseload data'!G:G,'caseload data'!$D:$D,"PSO",'caseload data'!$A:$A,"NPS Kent Surrey Sussex Region",'caseload data'!$B:$B,"custody")</f>
        <v>0</v>
      </c>
      <c r="G218" s="204">
        <f>SUMIFS('caseload data'!H:H,'caseload data'!$D:$D,"PSO",'caseload data'!$A:$A,"NPS Kent Surrey Sussex Region",'caseload data'!$B:$B,"custody")</f>
        <v>0</v>
      </c>
      <c r="H218" s="204">
        <f>SUMIFS('caseload data'!I:I,'caseload data'!$D:$D,"PSO",'caseload data'!$A:$A,"NPS Kent Surrey Sussex Region",'caseload data'!$B:$B,"custody")</f>
        <v>0</v>
      </c>
      <c r="I218" s="204">
        <f>SUMIFS('caseload data'!J:J,'caseload data'!$D:$D,"PSO",'caseload data'!$A:$A,"NPS Kent Surrey Sussex Region",'caseload data'!$B:$B,"custody")</f>
        <v>0</v>
      </c>
      <c r="J218" s="204">
        <f>SUMIFS('caseload data'!K:K,'caseload data'!$D:$D,"PSO",'caseload data'!$A:$A,"NPS Kent Surrey Sussex Region",'caseload data'!$B:$B,"custody")</f>
        <v>0</v>
      </c>
      <c r="K218" s="204">
        <f>SUMIFS('caseload data'!L:L,'caseload data'!$D:$D,"PSO",'caseload data'!$A:$A,"NPS Kent Surrey Sussex Region",'caseload data'!$B:$B,"custody")</f>
        <v>0</v>
      </c>
      <c r="L218" s="204">
        <f>SUMIFS('caseload data'!M:M,'caseload data'!$D:$D,"PSO",'caseload data'!$A:$A,"NPS Kent Surrey Sussex Region",'caseload data'!$B:$B,"custody")</f>
        <v>0</v>
      </c>
      <c r="M218" s="204">
        <f>SUMIFS('caseload data'!N:N,'caseload data'!$D:$D,"PSO",'caseload data'!$A:$A,"NPS Kent Surrey Sussex Region",'caseload data'!$B:$B,"custody")</f>
        <v>0</v>
      </c>
      <c r="N218" s="204">
        <f>SUMIFS('caseload data'!O:O,'caseload data'!$D:$D,"PSO",'caseload data'!$A:$A,"NPS Kent Surrey Sussex Region",'caseload data'!$B:$B,"custody")</f>
        <v>0</v>
      </c>
      <c r="O218" s="204">
        <f>SUMIFS('caseload data'!P:P,'caseload data'!$D:$D,"PSO",'caseload data'!$A:$A,"NPS Kent Surrey Sussex Region",'caseload data'!$B:$B,"custody")</f>
        <v>0</v>
      </c>
      <c r="P218" s="204">
        <f>SUMIFS('caseload data'!Q:Q,'caseload data'!$D:$D,"PSO",'caseload data'!$A:$A,"NPS Kent Surrey Sussex Region",'caseload data'!$B:$B,"custody")</f>
        <v>0</v>
      </c>
      <c r="Q218" s="204">
        <f>SUMIFS('caseload data'!R:R,'caseload data'!$D:$D,"PSO",'caseload data'!$A:$A,"NPS Kent Surrey Sussex Region",'caseload data'!$B:$B,"custody")</f>
        <v>0</v>
      </c>
      <c r="R218" s="204">
        <f>SUMIFS('caseload data'!S:S,'caseload data'!$D:$D,"PSO",'caseload data'!$A:$A,"NPS Kent Surrey Sussex Region",'caseload data'!$B:$B,"custody")</f>
        <v>0</v>
      </c>
      <c r="S218" s="204">
        <f>SUMIFS('caseload data'!T:T,'caseload data'!$D:$D,"PSO",'caseload data'!$A:$A,"NPS Kent Surrey Sussex Region",'caseload data'!$B:$B,"custody")</f>
        <v>0</v>
      </c>
      <c r="T218" s="126">
        <f>SUMIFS('caseload data'!V:V,'caseload data'!D:D,"PSO",'caseload data'!A:A,"NPS Kent Surrey Sussex Region",'caseload data'!B:B,"custody")</f>
        <v>0</v>
      </c>
      <c r="U218" s="95"/>
      <c r="V218" s="95"/>
      <c r="W218" s="334"/>
      <c r="X218" s="162" t="s">
        <v>185</v>
      </c>
      <c r="Y218" s="209" t="e">
        <f>SUM(D218)/SUM(D$217:D$220)</f>
        <v>#DIV/0!</v>
      </c>
      <c r="Z218" s="209" t="e">
        <f t="shared" si="68"/>
        <v>#DIV/0!</v>
      </c>
      <c r="AA218" s="209" t="e">
        <f t="shared" si="68"/>
        <v>#DIV/0!</v>
      </c>
      <c r="AB218" s="209" t="e">
        <f t="shared" si="68"/>
        <v>#DIV/0!</v>
      </c>
      <c r="AC218" s="209" t="e">
        <f t="shared" si="68"/>
        <v>#DIV/0!</v>
      </c>
      <c r="AD218" s="209" t="e">
        <f t="shared" si="68"/>
        <v>#DIV/0!</v>
      </c>
      <c r="AE218" s="209" t="e">
        <f t="shared" si="68"/>
        <v>#DIV/0!</v>
      </c>
      <c r="AF218" s="209" t="e">
        <f t="shared" si="68"/>
        <v>#DIV/0!</v>
      </c>
      <c r="AG218" s="209" t="e">
        <f t="shared" si="68"/>
        <v>#DIV/0!</v>
      </c>
      <c r="AH218" s="209" t="e">
        <f t="shared" si="68"/>
        <v>#DIV/0!</v>
      </c>
      <c r="AI218" s="209" t="e">
        <f t="shared" si="68"/>
        <v>#DIV/0!</v>
      </c>
      <c r="AJ218" s="209" t="e">
        <f t="shared" si="68"/>
        <v>#DIV/0!</v>
      </c>
      <c r="AK218" s="209" t="e">
        <f t="shared" si="68"/>
        <v>#DIV/0!</v>
      </c>
      <c r="AL218" s="209" t="e">
        <f t="shared" si="68"/>
        <v>#DIV/0!</v>
      </c>
      <c r="AM218" s="209" t="e">
        <f t="shared" si="68"/>
        <v>#DIV/0!</v>
      </c>
      <c r="AN218" s="209" t="e">
        <f t="shared" si="68"/>
        <v>#DIV/0!</v>
      </c>
    </row>
    <row r="219" spans="2:40" s="30" customFormat="1" x14ac:dyDescent="0.15">
      <c r="B219" s="334"/>
      <c r="C219" s="162" t="s">
        <v>186</v>
      </c>
      <c r="D219" s="204">
        <f>SUMIFS('caseload data'!E:E,'caseload data'!$D:$D,"TPO",'caseload data'!$A:$A,"NPS Kent Surrey Sussex Region",'caseload data'!$B:$B,"custody")</f>
        <v>0</v>
      </c>
      <c r="E219" s="204">
        <f>SUMIFS('caseload data'!F:F,'caseload data'!$D:$D,"TPO",'caseload data'!$A:$A,"NPS Kent Surrey Sussex Region",'caseload data'!$B:$B,"custody")</f>
        <v>0</v>
      </c>
      <c r="F219" s="204">
        <f>SUMIFS('caseload data'!G:G,'caseload data'!$D:$D,"TPO",'caseload data'!$A:$A,"NPS Kent Surrey Sussex Region",'caseload data'!$B:$B,"custody")</f>
        <v>0</v>
      </c>
      <c r="G219" s="204">
        <f>SUMIFS('caseload data'!H:H,'caseload data'!$D:$D,"TPO",'caseload data'!$A:$A,"NPS Kent Surrey Sussex Region",'caseload data'!$B:$B,"custody")</f>
        <v>0</v>
      </c>
      <c r="H219" s="204">
        <f>SUMIFS('caseload data'!I:I,'caseload data'!$D:$D,"TPO",'caseload data'!$A:$A,"NPS Kent Surrey Sussex Region",'caseload data'!$B:$B,"custody")</f>
        <v>0</v>
      </c>
      <c r="I219" s="204">
        <f>SUMIFS('caseload data'!J:J,'caseload data'!$D:$D,"TPO",'caseload data'!$A:$A,"NPS Kent Surrey Sussex Region",'caseload data'!$B:$B,"custody")</f>
        <v>0</v>
      </c>
      <c r="J219" s="204">
        <f>SUMIFS('caseload data'!K:K,'caseload data'!$D:$D,"TPO",'caseload data'!$A:$A,"NPS Kent Surrey Sussex Region",'caseload data'!$B:$B,"custody")</f>
        <v>0</v>
      </c>
      <c r="K219" s="204">
        <f>SUMIFS('caseload data'!L:L,'caseload data'!$D:$D,"TPO",'caseload data'!$A:$A,"NPS Kent Surrey Sussex Region",'caseload data'!$B:$B,"custody")</f>
        <v>0</v>
      </c>
      <c r="L219" s="204">
        <f>SUMIFS('caseload data'!M:M,'caseload data'!$D:$D,"TPO",'caseload data'!$A:$A,"NPS Kent Surrey Sussex Region",'caseload data'!$B:$B,"custody")</f>
        <v>0</v>
      </c>
      <c r="M219" s="204">
        <f>SUMIFS('caseload data'!N:N,'caseload data'!$D:$D,"TPO",'caseload data'!$A:$A,"NPS Kent Surrey Sussex Region",'caseload data'!$B:$B,"custody")</f>
        <v>0</v>
      </c>
      <c r="N219" s="204">
        <f>SUMIFS('caseload data'!O:O,'caseload data'!$D:$D,"TPO",'caseload data'!$A:$A,"NPS Kent Surrey Sussex Region",'caseload data'!$B:$B,"custody")</f>
        <v>0</v>
      </c>
      <c r="O219" s="204">
        <f>SUMIFS('caseload data'!P:P,'caseload data'!$D:$D,"TPO",'caseload data'!$A:$A,"NPS Kent Surrey Sussex Region",'caseload data'!$B:$B,"custody")</f>
        <v>0</v>
      </c>
      <c r="P219" s="204">
        <f>SUMIFS('caseload data'!Q:Q,'caseload data'!$D:$D,"TPO",'caseload data'!$A:$A,"NPS Kent Surrey Sussex Region",'caseload data'!$B:$B,"custody")</f>
        <v>0</v>
      </c>
      <c r="Q219" s="204">
        <f>SUMIFS('caseload data'!R:R,'caseload data'!$D:$D,"TPO",'caseload data'!$A:$A,"NPS Kent Surrey Sussex Region",'caseload data'!$B:$B,"custody")</f>
        <v>0</v>
      </c>
      <c r="R219" s="204">
        <f>SUMIFS('caseload data'!S:S,'caseload data'!$D:$D,"TPO",'caseload data'!$A:$A,"NPS Kent Surrey Sussex Region",'caseload data'!$B:$B,"custody")</f>
        <v>0</v>
      </c>
      <c r="S219" s="204">
        <f>SUMIFS('caseload data'!T:T,'caseload data'!$D:$D,"TPO",'caseload data'!$A:$A,"NPS Kent Surrey Sussex Region",'caseload data'!$B:$B,"custody")</f>
        <v>0</v>
      </c>
      <c r="T219" s="126">
        <f>SUMIFS('caseload data'!V:V,'caseload data'!D:D,"TPO",'caseload data'!A:A,"NPS Kent Surrey Sussex Region",'caseload data'!B:B,"custody")</f>
        <v>0</v>
      </c>
      <c r="U219" s="95"/>
      <c r="V219" s="95"/>
      <c r="W219" s="334"/>
      <c r="X219" s="162" t="s">
        <v>186</v>
      </c>
      <c r="Y219" s="209" t="e">
        <f>SUM(D219)/SUM(D$217:D$220)</f>
        <v>#DIV/0!</v>
      </c>
      <c r="Z219" s="209" t="e">
        <f t="shared" si="68"/>
        <v>#DIV/0!</v>
      </c>
      <c r="AA219" s="209" t="e">
        <f t="shared" si="68"/>
        <v>#DIV/0!</v>
      </c>
      <c r="AB219" s="209" t="e">
        <f t="shared" si="68"/>
        <v>#DIV/0!</v>
      </c>
      <c r="AC219" s="209" t="e">
        <f t="shared" si="68"/>
        <v>#DIV/0!</v>
      </c>
      <c r="AD219" s="209" t="e">
        <f t="shared" si="68"/>
        <v>#DIV/0!</v>
      </c>
      <c r="AE219" s="209" t="e">
        <f t="shared" si="68"/>
        <v>#DIV/0!</v>
      </c>
      <c r="AF219" s="209" t="e">
        <f t="shared" si="68"/>
        <v>#DIV/0!</v>
      </c>
      <c r="AG219" s="209" t="e">
        <f t="shared" si="68"/>
        <v>#DIV/0!</v>
      </c>
      <c r="AH219" s="209" t="e">
        <f t="shared" si="68"/>
        <v>#DIV/0!</v>
      </c>
      <c r="AI219" s="209" t="e">
        <f t="shared" si="68"/>
        <v>#DIV/0!</v>
      </c>
      <c r="AJ219" s="209" t="e">
        <f t="shared" si="68"/>
        <v>#DIV/0!</v>
      </c>
      <c r="AK219" s="209" t="e">
        <f t="shared" si="68"/>
        <v>#DIV/0!</v>
      </c>
      <c r="AL219" s="209" t="e">
        <f t="shared" si="68"/>
        <v>#DIV/0!</v>
      </c>
      <c r="AM219" s="209" t="e">
        <f t="shared" si="68"/>
        <v>#DIV/0!</v>
      </c>
      <c r="AN219" s="209" t="e">
        <f t="shared" si="68"/>
        <v>#DIV/0!</v>
      </c>
    </row>
    <row r="220" spans="2:40" s="30" customFormat="1" x14ac:dyDescent="0.15">
      <c r="B220" s="335"/>
      <c r="C220" s="163" t="s">
        <v>187</v>
      </c>
      <c r="D220" s="204">
        <f>SUMIFS('caseload data'!E:E,'caseload data'!$D:$D,"SPO",'caseload data'!$A:$A,"NPS Kent Surrey Sussex Region",'caseload data'!$B:$B,"custody")</f>
        <v>0</v>
      </c>
      <c r="E220" s="204">
        <f>SUMIFS('caseload data'!F:F,'caseload data'!$D:$D,"SPO",'caseload data'!$A:$A,"NPS Kent Surrey Sussex Region",'caseload data'!$B:$B,"custody")</f>
        <v>0</v>
      </c>
      <c r="F220" s="204">
        <f>SUMIFS('caseload data'!G:G,'caseload data'!$D:$D,"SPO",'caseload data'!$A:$A,"NPS Kent Surrey Sussex Region",'caseload data'!$B:$B,"custody")</f>
        <v>0</v>
      </c>
      <c r="G220" s="204">
        <f>SUMIFS('caseload data'!H:H,'caseload data'!$D:$D,"SPO",'caseload data'!$A:$A,"NPS Kent Surrey Sussex Region",'caseload data'!$B:$B,"custody")</f>
        <v>0</v>
      </c>
      <c r="H220" s="204">
        <f>SUMIFS('caseload data'!I:I,'caseload data'!$D:$D,"SPO",'caseload data'!$A:$A,"NPS Kent Surrey Sussex Region",'caseload data'!$B:$B,"custody")</f>
        <v>0</v>
      </c>
      <c r="I220" s="204">
        <f>SUMIFS('caseload data'!J:J,'caseload data'!$D:$D,"SPO",'caseload data'!$A:$A,"NPS Kent Surrey Sussex Region",'caseload data'!$B:$B,"custody")</f>
        <v>0</v>
      </c>
      <c r="J220" s="204">
        <f>SUMIFS('caseload data'!K:K,'caseload data'!$D:$D,"SPO",'caseload data'!$A:$A,"NPS Kent Surrey Sussex Region",'caseload data'!$B:$B,"custody")</f>
        <v>0</v>
      </c>
      <c r="K220" s="204">
        <f>SUMIFS('caseload data'!L:L,'caseload data'!$D:$D,"SPO",'caseload data'!$A:$A,"NPS Kent Surrey Sussex Region",'caseload data'!$B:$B,"custody")</f>
        <v>0</v>
      </c>
      <c r="L220" s="204">
        <f>SUMIFS('caseload data'!M:M,'caseload data'!$D:$D,"SPO",'caseload data'!$A:$A,"NPS Kent Surrey Sussex Region",'caseload data'!$B:$B,"custody")</f>
        <v>0</v>
      </c>
      <c r="M220" s="204">
        <f>SUMIFS('caseload data'!N:N,'caseload data'!$D:$D,"SPO",'caseload data'!$A:$A,"NPS Kent Surrey Sussex Region",'caseload data'!$B:$B,"custody")</f>
        <v>0</v>
      </c>
      <c r="N220" s="204">
        <f>SUMIFS('caseload data'!O:O,'caseload data'!$D:$D,"SPO",'caseload data'!$A:$A,"NPS Kent Surrey Sussex Region",'caseload data'!$B:$B,"custody")</f>
        <v>0</v>
      </c>
      <c r="O220" s="204">
        <f>SUMIFS('caseload data'!P:P,'caseload data'!$D:$D,"SPO",'caseload data'!$A:$A,"NPS Kent Surrey Sussex Region",'caseload data'!$B:$B,"custody")</f>
        <v>0</v>
      </c>
      <c r="P220" s="204">
        <f>SUMIFS('caseload data'!Q:Q,'caseload data'!$D:$D,"SPO",'caseload data'!$A:$A,"NPS Kent Surrey Sussex Region",'caseload data'!$B:$B,"custody")</f>
        <v>0</v>
      </c>
      <c r="Q220" s="204">
        <f>SUMIFS('caseload data'!R:R,'caseload data'!$D:$D,"SPO",'caseload data'!$A:$A,"NPS Kent Surrey Sussex Region",'caseload data'!$B:$B,"custody")</f>
        <v>0</v>
      </c>
      <c r="R220" s="204">
        <f>SUMIFS('caseload data'!S:S,'caseload data'!$D:$D,"SPO",'caseload data'!$A:$A,"NPS Kent Surrey Sussex Region",'caseload data'!$B:$B,"custody")</f>
        <v>0</v>
      </c>
      <c r="S220" s="204">
        <f>SUMIFS('caseload data'!T:T,'caseload data'!$D:$D,"SPO",'caseload data'!$A:$A,"NPS Kent Surrey Sussex Region",'caseload data'!$B:$B,"custody")</f>
        <v>0</v>
      </c>
      <c r="T220" s="126">
        <f>SUMIFS('caseload data'!V:V,'caseload data'!$D:$D,"SPO",'caseload data'!$A:$A,"NPS Kent Surrey Sussex Region",'caseload data'!$B:$B,"custody")</f>
        <v>0</v>
      </c>
      <c r="U220" s="95"/>
      <c r="V220" s="95"/>
      <c r="W220" s="335"/>
      <c r="X220" s="163" t="s">
        <v>187</v>
      </c>
      <c r="Y220" s="209" t="e">
        <f>SUM(D220)/SUM(D$217:D$220)</f>
        <v>#DIV/0!</v>
      </c>
      <c r="Z220" s="209" t="e">
        <f t="shared" si="68"/>
        <v>#DIV/0!</v>
      </c>
      <c r="AA220" s="209" t="e">
        <f t="shared" si="68"/>
        <v>#DIV/0!</v>
      </c>
      <c r="AB220" s="209" t="e">
        <f t="shared" si="68"/>
        <v>#DIV/0!</v>
      </c>
      <c r="AC220" s="209" t="e">
        <f t="shared" si="68"/>
        <v>#DIV/0!</v>
      </c>
      <c r="AD220" s="209" t="e">
        <f t="shared" si="68"/>
        <v>#DIV/0!</v>
      </c>
      <c r="AE220" s="209" t="e">
        <f t="shared" si="68"/>
        <v>#DIV/0!</v>
      </c>
      <c r="AF220" s="209" t="e">
        <f t="shared" si="68"/>
        <v>#DIV/0!</v>
      </c>
      <c r="AG220" s="209" t="e">
        <f t="shared" si="68"/>
        <v>#DIV/0!</v>
      </c>
      <c r="AH220" s="209" t="e">
        <f t="shared" si="68"/>
        <v>#DIV/0!</v>
      </c>
      <c r="AI220" s="209" t="e">
        <f t="shared" si="68"/>
        <v>#DIV/0!</v>
      </c>
      <c r="AJ220" s="209" t="e">
        <f t="shared" si="68"/>
        <v>#DIV/0!</v>
      </c>
      <c r="AK220" s="209" t="e">
        <f t="shared" si="68"/>
        <v>#DIV/0!</v>
      </c>
      <c r="AL220" s="209" t="e">
        <f t="shared" si="68"/>
        <v>#DIV/0!</v>
      </c>
      <c r="AM220" s="209" t="e">
        <f t="shared" si="68"/>
        <v>#DIV/0!</v>
      </c>
      <c r="AN220" s="209" t="e">
        <f t="shared" si="68"/>
        <v>#DIV/0!</v>
      </c>
    </row>
    <row r="221" spans="2:40" x14ac:dyDescent="0.15">
      <c r="B221" s="333" t="s">
        <v>376</v>
      </c>
      <c r="C221" s="161" t="s">
        <v>184</v>
      </c>
      <c r="D221" s="204">
        <f>SUMIFS('caseload data'!E:E,'caseload data'!$D:$D,"PO",'caseload data'!$A:$A,$B$221,'caseload data'!$B:$B,"custody")</f>
        <v>0</v>
      </c>
      <c r="E221" s="204">
        <f>SUMIFS('caseload data'!F:F,'caseload data'!$D:$D,"PO",'caseload data'!$A:$A,$B$221,'caseload data'!$B:$B,"custody")</f>
        <v>0</v>
      </c>
      <c r="F221" s="204">
        <f>SUMIFS('caseload data'!G:G,'caseload data'!$D:$D,"PO",'caseload data'!$A:$A,$B$221,'caseload data'!$B:$B,"custody")</f>
        <v>0</v>
      </c>
      <c r="G221" s="204">
        <f>SUMIFS('caseload data'!H:H,'caseload data'!$D:$D,"PO",'caseload data'!$A:$A,$B$221,'caseload data'!$B:$B,"custody")</f>
        <v>0</v>
      </c>
      <c r="H221" s="204">
        <f>SUMIFS('caseload data'!I:I,'caseload data'!$D:$D,"PO",'caseload data'!$A:$A,$B$221,'caseload data'!$B:$B,"custody")</f>
        <v>0</v>
      </c>
      <c r="I221" s="204">
        <f>SUMIFS('caseload data'!J:J,'caseload data'!$D:$D,"PO",'caseload data'!$A:$A,$B$221,'caseload data'!$B:$B,"custody")</f>
        <v>0</v>
      </c>
      <c r="J221" s="204">
        <f>SUMIFS('caseload data'!K:K,'caseload data'!$D:$D,"PO",'caseload data'!$A:$A,$B$221,'caseload data'!$B:$B,"custody")</f>
        <v>0</v>
      </c>
      <c r="K221" s="204">
        <f>SUMIFS('caseload data'!L:L,'caseload data'!$D:$D,"PO",'caseload data'!$A:$A,$B$221,'caseload data'!$B:$B,"custody")</f>
        <v>0</v>
      </c>
      <c r="L221" s="204">
        <f>SUMIFS('caseload data'!M:M,'caseload data'!$D:$D,"PO",'caseload data'!$A:$A,$B$221,'caseload data'!$B:$B,"custody")</f>
        <v>0</v>
      </c>
      <c r="M221" s="204">
        <f>SUMIFS('caseload data'!N:N,'caseload data'!$D:$D,"PO",'caseload data'!$A:$A,$B$221,'caseload data'!$B:$B,"custody")</f>
        <v>0</v>
      </c>
      <c r="N221" s="204">
        <f>SUMIFS('caseload data'!O:O,'caseload data'!$D:$D,"PO",'caseload data'!$A:$A,$B$221,'caseload data'!$B:$B,"custody")</f>
        <v>0</v>
      </c>
      <c r="O221" s="204">
        <f>SUMIFS('caseload data'!P:P,'caseload data'!$D:$D,"PO",'caseload data'!$A:$A,$B$221,'caseload data'!$B:$B,"custody")</f>
        <v>0</v>
      </c>
      <c r="P221" s="204">
        <f>SUMIFS('caseload data'!Q:Q,'caseload data'!$D:$D,"PO",'caseload data'!$A:$A,$B$221,'caseload data'!$B:$B,"custody")</f>
        <v>0</v>
      </c>
      <c r="Q221" s="204">
        <f>SUMIFS('caseload data'!R:R,'caseload data'!$D:$D,"PO",'caseload data'!$A:$A,$B$221,'caseload data'!$B:$B,"custody")</f>
        <v>0</v>
      </c>
      <c r="R221" s="204">
        <f>SUMIFS('caseload data'!S:S,'caseload data'!$D:$D,"PO",'caseload data'!$A:$A,$B$221,'caseload data'!$B:$B,"custody")</f>
        <v>0</v>
      </c>
      <c r="S221" s="204">
        <f>SUMIFS('caseload data'!T:T,'caseload data'!$D:$D,"PO",'caseload data'!$A:$A,$B$221,'caseload data'!$B:$B,"custody")</f>
        <v>0</v>
      </c>
      <c r="T221" s="126">
        <f>SUMIFS('caseload data'!V:V,'caseload data'!D:D,"PO",'caseload data'!A:A,B221,'caseload data'!B:B,"custody")</f>
        <v>0</v>
      </c>
      <c r="U221" s="95"/>
      <c r="V221" s="95"/>
      <c r="W221" s="333" t="s">
        <v>376</v>
      </c>
      <c r="X221" s="161" t="s">
        <v>184</v>
      </c>
      <c r="Y221" s="209" t="e">
        <f>SUM(D221)/SUM(D$221:D$224)</f>
        <v>#DIV/0!</v>
      </c>
      <c r="Z221" s="209" t="e">
        <f t="shared" ref="Z221:AN224" si="69">SUM(E221)/SUM(E$221:E$224)</f>
        <v>#DIV/0!</v>
      </c>
      <c r="AA221" s="209" t="e">
        <f t="shared" si="69"/>
        <v>#DIV/0!</v>
      </c>
      <c r="AB221" s="209" t="e">
        <f t="shared" si="69"/>
        <v>#DIV/0!</v>
      </c>
      <c r="AC221" s="209" t="e">
        <f t="shared" si="69"/>
        <v>#DIV/0!</v>
      </c>
      <c r="AD221" s="209" t="e">
        <f t="shared" si="69"/>
        <v>#DIV/0!</v>
      </c>
      <c r="AE221" s="209" t="e">
        <f t="shared" si="69"/>
        <v>#DIV/0!</v>
      </c>
      <c r="AF221" s="209" t="e">
        <f t="shared" si="69"/>
        <v>#DIV/0!</v>
      </c>
      <c r="AG221" s="209" t="e">
        <f t="shared" si="69"/>
        <v>#DIV/0!</v>
      </c>
      <c r="AH221" s="209" t="e">
        <f t="shared" si="69"/>
        <v>#DIV/0!</v>
      </c>
      <c r="AI221" s="209" t="e">
        <f t="shared" si="69"/>
        <v>#DIV/0!</v>
      </c>
      <c r="AJ221" s="209" t="e">
        <f t="shared" si="69"/>
        <v>#DIV/0!</v>
      </c>
      <c r="AK221" s="209" t="e">
        <f t="shared" si="69"/>
        <v>#DIV/0!</v>
      </c>
      <c r="AL221" s="209" t="e">
        <f t="shared" si="69"/>
        <v>#DIV/0!</v>
      </c>
      <c r="AM221" s="209" t="e">
        <f t="shared" si="69"/>
        <v>#DIV/0!</v>
      </c>
      <c r="AN221" s="209" t="e">
        <f t="shared" si="69"/>
        <v>#DIV/0!</v>
      </c>
    </row>
    <row r="222" spans="2:40" x14ac:dyDescent="0.15">
      <c r="B222" s="334"/>
      <c r="C222" s="162" t="s">
        <v>185</v>
      </c>
      <c r="D222" s="204">
        <f>SUMIFS('caseload data'!E:E,'caseload data'!$D:$D,"PSO",'caseload data'!$A:$A,"London",'caseload data'!$B:$B,"custody")</f>
        <v>0</v>
      </c>
      <c r="E222" s="204">
        <f>SUMIFS('caseload data'!F:F,'caseload data'!$D:$D,"PSO",'caseload data'!$A:$A,"London",'caseload data'!$B:$B,"custody")</f>
        <v>0</v>
      </c>
      <c r="F222" s="204">
        <f>SUMIFS('caseload data'!G:G,'caseload data'!$D:$D,"PSO",'caseload data'!$A:$A,"London",'caseload data'!$B:$B,"custody")</f>
        <v>0</v>
      </c>
      <c r="G222" s="204">
        <f>SUMIFS('caseload data'!H:H,'caseload data'!$D:$D,"PSO",'caseload data'!$A:$A,"London",'caseload data'!$B:$B,"custody")</f>
        <v>0</v>
      </c>
      <c r="H222" s="204">
        <f>SUMIFS('caseload data'!I:I,'caseload data'!$D:$D,"PSO",'caseload data'!$A:$A,"London",'caseload data'!$B:$B,"custody")</f>
        <v>0</v>
      </c>
      <c r="I222" s="204">
        <f>SUMIFS('caseload data'!J:J,'caseload data'!$D:$D,"PSO",'caseload data'!$A:$A,"London",'caseload data'!$B:$B,"custody")</f>
        <v>0</v>
      </c>
      <c r="J222" s="204">
        <f>SUMIFS('caseload data'!K:K,'caseload data'!$D:$D,"PSO",'caseload data'!$A:$A,"London",'caseload data'!$B:$B,"custody")</f>
        <v>0</v>
      </c>
      <c r="K222" s="204">
        <f>SUMIFS('caseload data'!L:L,'caseload data'!$D:$D,"PSO",'caseload data'!$A:$A,"London",'caseload data'!$B:$B,"custody")</f>
        <v>0</v>
      </c>
      <c r="L222" s="204">
        <f>SUMIFS('caseload data'!M:M,'caseload data'!$D:$D,"PSO",'caseload data'!$A:$A,"London",'caseload data'!$B:$B,"custody")</f>
        <v>0</v>
      </c>
      <c r="M222" s="204">
        <f>SUMIFS('caseload data'!N:N,'caseload data'!$D:$D,"PSO",'caseload data'!$A:$A,"London",'caseload data'!$B:$B,"custody")</f>
        <v>0</v>
      </c>
      <c r="N222" s="204">
        <f>SUMIFS('caseload data'!O:O,'caseload data'!$D:$D,"PSO",'caseload data'!$A:$A,"London",'caseload data'!$B:$B,"custody")</f>
        <v>0</v>
      </c>
      <c r="O222" s="204">
        <f>SUMIFS('caseload data'!P:P,'caseload data'!$D:$D,"PSO",'caseload data'!$A:$A,"London",'caseload data'!$B:$B,"custody")</f>
        <v>0</v>
      </c>
      <c r="P222" s="204">
        <f>SUMIFS('caseload data'!Q:Q,'caseload data'!$D:$D,"PSO",'caseload data'!$A:$A,"London",'caseload data'!$B:$B,"custody")</f>
        <v>0</v>
      </c>
      <c r="Q222" s="204">
        <f>SUMIFS('caseload data'!R:R,'caseload data'!$D:$D,"PSO",'caseload data'!$A:$A,"London",'caseload data'!$B:$B,"custody")</f>
        <v>0</v>
      </c>
      <c r="R222" s="204">
        <f>SUMIFS('caseload data'!S:S,'caseload data'!$D:$D,"PSO",'caseload data'!$A:$A,"London",'caseload data'!$B:$B,"custody")</f>
        <v>0</v>
      </c>
      <c r="S222" s="204">
        <f>SUMIFS('caseload data'!T:T,'caseload data'!$D:$D,"PSO",'caseload data'!$A:$A,"London",'caseload data'!$B:$B,"custody")</f>
        <v>0</v>
      </c>
      <c r="T222" s="126">
        <f>SUMIFS('caseload data'!V:V,'caseload data'!D:D,"PSO",'caseload data'!A:A,"London",'caseload data'!B:B,"custody")</f>
        <v>0</v>
      </c>
      <c r="U222" s="95"/>
      <c r="V222" s="95"/>
      <c r="W222" s="334"/>
      <c r="X222" s="162" t="s">
        <v>185</v>
      </c>
      <c r="Y222" s="209" t="e">
        <f>SUM(D222)/SUM(D$221:D$224)</f>
        <v>#DIV/0!</v>
      </c>
      <c r="Z222" s="209" t="e">
        <f t="shared" si="69"/>
        <v>#DIV/0!</v>
      </c>
      <c r="AA222" s="209" t="e">
        <f t="shared" si="69"/>
        <v>#DIV/0!</v>
      </c>
      <c r="AB222" s="209" t="e">
        <f t="shared" si="69"/>
        <v>#DIV/0!</v>
      </c>
      <c r="AC222" s="209" t="e">
        <f t="shared" si="69"/>
        <v>#DIV/0!</v>
      </c>
      <c r="AD222" s="209" t="e">
        <f t="shared" si="69"/>
        <v>#DIV/0!</v>
      </c>
      <c r="AE222" s="209" t="e">
        <f t="shared" si="69"/>
        <v>#DIV/0!</v>
      </c>
      <c r="AF222" s="209" t="e">
        <f t="shared" si="69"/>
        <v>#DIV/0!</v>
      </c>
      <c r="AG222" s="209" t="e">
        <f t="shared" si="69"/>
        <v>#DIV/0!</v>
      </c>
      <c r="AH222" s="209" t="e">
        <f t="shared" si="69"/>
        <v>#DIV/0!</v>
      </c>
      <c r="AI222" s="209" t="e">
        <f t="shared" si="69"/>
        <v>#DIV/0!</v>
      </c>
      <c r="AJ222" s="209" t="e">
        <f t="shared" si="69"/>
        <v>#DIV/0!</v>
      </c>
      <c r="AK222" s="209" t="e">
        <f t="shared" si="69"/>
        <v>#DIV/0!</v>
      </c>
      <c r="AL222" s="209" t="e">
        <f t="shared" si="69"/>
        <v>#DIV/0!</v>
      </c>
      <c r="AM222" s="209" t="e">
        <f t="shared" si="69"/>
        <v>#DIV/0!</v>
      </c>
      <c r="AN222" s="209" t="e">
        <f t="shared" si="69"/>
        <v>#DIV/0!</v>
      </c>
    </row>
    <row r="223" spans="2:40" x14ac:dyDescent="0.15">
      <c r="B223" s="334"/>
      <c r="C223" s="162" t="s">
        <v>186</v>
      </c>
      <c r="D223" s="204">
        <f>SUMIFS('caseload data'!E:E,'caseload data'!$D:$D,"TPO",'caseload data'!$A:$A,"London",'caseload data'!$B:$B,"custody")</f>
        <v>0</v>
      </c>
      <c r="E223" s="204">
        <f>SUMIFS('caseload data'!F:F,'caseload data'!$D:$D,"TPO",'caseload data'!$A:$A,"London",'caseload data'!$B:$B,"custody")</f>
        <v>0</v>
      </c>
      <c r="F223" s="204">
        <f>SUMIFS('caseload data'!G:G,'caseload data'!$D:$D,"TPO",'caseload data'!$A:$A,"London",'caseload data'!$B:$B,"custody")</f>
        <v>0</v>
      </c>
      <c r="G223" s="204">
        <f>SUMIFS('caseload data'!H:H,'caseload data'!$D:$D,"TPO",'caseload data'!$A:$A,"London",'caseload data'!$B:$B,"custody")</f>
        <v>0</v>
      </c>
      <c r="H223" s="204">
        <f>SUMIFS('caseload data'!I:I,'caseload data'!$D:$D,"TPO",'caseload data'!$A:$A,"London",'caseload data'!$B:$B,"custody")</f>
        <v>0</v>
      </c>
      <c r="I223" s="204">
        <f>SUMIFS('caseload data'!J:J,'caseload data'!$D:$D,"TPO",'caseload data'!$A:$A,"London",'caseload data'!$B:$B,"custody")</f>
        <v>0</v>
      </c>
      <c r="J223" s="204">
        <f>SUMIFS('caseload data'!K:K,'caseload data'!$D:$D,"TPO",'caseload data'!$A:$A,"London",'caseload data'!$B:$B,"custody")</f>
        <v>0</v>
      </c>
      <c r="K223" s="204">
        <f>SUMIFS('caseload data'!L:L,'caseload data'!$D:$D,"TPO",'caseload data'!$A:$A,"London",'caseload data'!$B:$B,"custody")</f>
        <v>0</v>
      </c>
      <c r="L223" s="204">
        <f>SUMIFS('caseload data'!M:M,'caseload data'!$D:$D,"TPO",'caseload data'!$A:$A,"London",'caseload data'!$B:$B,"custody")</f>
        <v>0</v>
      </c>
      <c r="M223" s="204">
        <f>SUMIFS('caseload data'!N:N,'caseload data'!$D:$D,"TPO",'caseload data'!$A:$A,"London",'caseload data'!$B:$B,"custody")</f>
        <v>0</v>
      </c>
      <c r="N223" s="204">
        <f>SUMIFS('caseload data'!O:O,'caseload data'!$D:$D,"TPO",'caseload data'!$A:$A,"London",'caseload data'!$B:$B,"custody")</f>
        <v>0</v>
      </c>
      <c r="O223" s="204">
        <f>SUMIFS('caseload data'!P:P,'caseload data'!$D:$D,"TPO",'caseload data'!$A:$A,"London",'caseload data'!$B:$B,"custody")</f>
        <v>0</v>
      </c>
      <c r="P223" s="204">
        <f>SUMIFS('caseload data'!Q:Q,'caseload data'!$D:$D,"TPO",'caseload data'!$A:$A,"London",'caseload data'!$B:$B,"custody")</f>
        <v>0</v>
      </c>
      <c r="Q223" s="204">
        <f>SUMIFS('caseload data'!R:R,'caseload data'!$D:$D,"TPO",'caseload data'!$A:$A,"London",'caseload data'!$B:$B,"custody")</f>
        <v>0</v>
      </c>
      <c r="R223" s="204">
        <f>SUMIFS('caseload data'!S:S,'caseload data'!$D:$D,"TPO",'caseload data'!$A:$A,"London",'caseload data'!$B:$B,"custody")</f>
        <v>0</v>
      </c>
      <c r="S223" s="204">
        <f>SUMIFS('caseload data'!T:T,'caseload data'!$D:$D,"TPO",'caseload data'!$A:$A,"London",'caseload data'!$B:$B,"custody")</f>
        <v>0</v>
      </c>
      <c r="T223" s="126">
        <f>SUMIFS('caseload data'!V:V,'caseload data'!D:D,"TPO",'caseload data'!A:A,"London",'caseload data'!B:B,"custody")</f>
        <v>0</v>
      </c>
      <c r="U223" s="95"/>
      <c r="V223" s="95"/>
      <c r="W223" s="334"/>
      <c r="X223" s="162" t="s">
        <v>186</v>
      </c>
      <c r="Y223" s="209" t="e">
        <f>SUM(D223)/SUM(D$221:D$224)</f>
        <v>#DIV/0!</v>
      </c>
      <c r="Z223" s="209" t="e">
        <f t="shared" si="69"/>
        <v>#DIV/0!</v>
      </c>
      <c r="AA223" s="209" t="e">
        <f t="shared" si="69"/>
        <v>#DIV/0!</v>
      </c>
      <c r="AB223" s="209" t="e">
        <f t="shared" si="69"/>
        <v>#DIV/0!</v>
      </c>
      <c r="AC223" s="209" t="e">
        <f t="shared" si="69"/>
        <v>#DIV/0!</v>
      </c>
      <c r="AD223" s="209" t="e">
        <f t="shared" si="69"/>
        <v>#DIV/0!</v>
      </c>
      <c r="AE223" s="209" t="e">
        <f t="shared" si="69"/>
        <v>#DIV/0!</v>
      </c>
      <c r="AF223" s="209" t="e">
        <f t="shared" si="69"/>
        <v>#DIV/0!</v>
      </c>
      <c r="AG223" s="209" t="e">
        <f t="shared" si="69"/>
        <v>#DIV/0!</v>
      </c>
      <c r="AH223" s="209" t="e">
        <f t="shared" si="69"/>
        <v>#DIV/0!</v>
      </c>
      <c r="AI223" s="209" t="e">
        <f t="shared" si="69"/>
        <v>#DIV/0!</v>
      </c>
      <c r="AJ223" s="209" t="e">
        <f t="shared" si="69"/>
        <v>#DIV/0!</v>
      </c>
      <c r="AK223" s="209" t="e">
        <f t="shared" si="69"/>
        <v>#DIV/0!</v>
      </c>
      <c r="AL223" s="209" t="e">
        <f t="shared" si="69"/>
        <v>#DIV/0!</v>
      </c>
      <c r="AM223" s="209" t="e">
        <f t="shared" si="69"/>
        <v>#DIV/0!</v>
      </c>
      <c r="AN223" s="209" t="e">
        <f t="shared" si="69"/>
        <v>#DIV/0!</v>
      </c>
    </row>
    <row r="224" spans="2:40" s="30" customFormat="1" x14ac:dyDescent="0.15">
      <c r="B224" s="335"/>
      <c r="C224" s="163" t="s">
        <v>187</v>
      </c>
      <c r="D224" s="204">
        <f>SUMIFS('caseload data'!E:E,'caseload data'!$D:$D,"SPO",'caseload data'!$A:$A,"London",'caseload data'!$B:$B,"custody")</f>
        <v>0</v>
      </c>
      <c r="E224" s="204">
        <f>SUMIFS('caseload data'!F:F,'caseload data'!$D:$D,"SPO",'caseload data'!$A:$A,"London",'caseload data'!$B:$B,"custody")</f>
        <v>0</v>
      </c>
      <c r="F224" s="204">
        <f>SUMIFS('caseload data'!G:G,'caseload data'!$D:$D,"SPO",'caseload data'!$A:$A,"London",'caseload data'!$B:$B,"custody")</f>
        <v>0</v>
      </c>
      <c r="G224" s="204">
        <f>SUMIFS('caseload data'!H:H,'caseload data'!$D:$D,"SPO",'caseload data'!$A:$A,"London",'caseload data'!$B:$B,"custody")</f>
        <v>0</v>
      </c>
      <c r="H224" s="204">
        <f>SUMIFS('caseload data'!I:I,'caseload data'!$D:$D,"SPO",'caseload data'!$A:$A,"London",'caseload data'!$B:$B,"custody")</f>
        <v>0</v>
      </c>
      <c r="I224" s="204">
        <f>SUMIFS('caseload data'!J:J,'caseload data'!$D:$D,"SPO",'caseload data'!$A:$A,"London",'caseload data'!$B:$B,"custody")</f>
        <v>0</v>
      </c>
      <c r="J224" s="204">
        <f>SUMIFS('caseload data'!K:K,'caseload data'!$D:$D,"SPO",'caseload data'!$A:$A,"London",'caseload data'!$B:$B,"custody")</f>
        <v>0</v>
      </c>
      <c r="K224" s="204">
        <f>SUMIFS('caseload data'!L:L,'caseload data'!$D:$D,"SPO",'caseload data'!$A:$A,"London",'caseload data'!$B:$B,"custody")</f>
        <v>0</v>
      </c>
      <c r="L224" s="204">
        <f>SUMIFS('caseload data'!M:M,'caseload data'!$D:$D,"SPO",'caseload data'!$A:$A,"London",'caseload data'!$B:$B,"custody")</f>
        <v>0</v>
      </c>
      <c r="M224" s="204">
        <f>SUMIFS('caseload data'!N:N,'caseload data'!$D:$D,"SPO",'caseload data'!$A:$A,"London",'caseload data'!$B:$B,"custody")</f>
        <v>0</v>
      </c>
      <c r="N224" s="204">
        <f>SUMIFS('caseload data'!O:O,'caseload data'!$D:$D,"SPO",'caseload data'!$A:$A,"London",'caseload data'!$B:$B,"custody")</f>
        <v>0</v>
      </c>
      <c r="O224" s="204">
        <f>SUMIFS('caseload data'!P:P,'caseload data'!$D:$D,"SPO",'caseload data'!$A:$A,"London",'caseload data'!$B:$B,"custody")</f>
        <v>0</v>
      </c>
      <c r="P224" s="204">
        <f>SUMIFS('caseload data'!Q:Q,'caseload data'!$D:$D,"SPO",'caseload data'!$A:$A,"London",'caseload data'!$B:$B,"custody")</f>
        <v>0</v>
      </c>
      <c r="Q224" s="204">
        <f>SUMIFS('caseload data'!R:R,'caseload data'!$D:$D,"SPO",'caseload data'!$A:$A,"London",'caseload data'!$B:$B,"custody")</f>
        <v>0</v>
      </c>
      <c r="R224" s="204">
        <f>SUMIFS('caseload data'!S:S,'caseload data'!$D:$D,"SPO",'caseload data'!$A:$A,"London",'caseload data'!$B:$B,"custody")</f>
        <v>0</v>
      </c>
      <c r="S224" s="204">
        <f>SUMIFS('caseload data'!T:T,'caseload data'!$D:$D,"SPO",'caseload data'!$A:$A,"London",'caseload data'!$B:$B,"custody")</f>
        <v>0</v>
      </c>
      <c r="T224" s="126">
        <f>SUMIFS('caseload data'!V:V,'caseload data'!$D:$D,"SPO",'caseload data'!$A:$A,"London",'caseload data'!$B:$B,"custody")</f>
        <v>0</v>
      </c>
      <c r="U224" s="95"/>
      <c r="V224" s="95"/>
      <c r="W224" s="335"/>
      <c r="X224" s="163" t="s">
        <v>187</v>
      </c>
      <c r="Y224" s="209" t="e">
        <f>SUM(D224)/SUM(D$221:D$224)</f>
        <v>#DIV/0!</v>
      </c>
      <c r="Z224" s="209" t="e">
        <f t="shared" si="69"/>
        <v>#DIV/0!</v>
      </c>
      <c r="AA224" s="209" t="e">
        <f t="shared" si="69"/>
        <v>#DIV/0!</v>
      </c>
      <c r="AB224" s="209" t="e">
        <f t="shared" si="69"/>
        <v>#DIV/0!</v>
      </c>
      <c r="AC224" s="209" t="e">
        <f t="shared" si="69"/>
        <v>#DIV/0!</v>
      </c>
      <c r="AD224" s="209" t="e">
        <f t="shared" si="69"/>
        <v>#DIV/0!</v>
      </c>
      <c r="AE224" s="209" t="e">
        <f t="shared" si="69"/>
        <v>#DIV/0!</v>
      </c>
      <c r="AF224" s="209" t="e">
        <f t="shared" si="69"/>
        <v>#DIV/0!</v>
      </c>
      <c r="AG224" s="209" t="e">
        <f t="shared" si="69"/>
        <v>#DIV/0!</v>
      </c>
      <c r="AH224" s="209" t="e">
        <f t="shared" si="69"/>
        <v>#DIV/0!</v>
      </c>
      <c r="AI224" s="209" t="e">
        <f t="shared" si="69"/>
        <v>#DIV/0!</v>
      </c>
      <c r="AJ224" s="209" t="e">
        <f t="shared" si="69"/>
        <v>#DIV/0!</v>
      </c>
      <c r="AK224" s="209" t="e">
        <f t="shared" si="69"/>
        <v>#DIV/0!</v>
      </c>
      <c r="AL224" s="209" t="e">
        <f t="shared" si="69"/>
        <v>#DIV/0!</v>
      </c>
      <c r="AM224" s="209" t="e">
        <f t="shared" si="69"/>
        <v>#DIV/0!</v>
      </c>
      <c r="AN224" s="209" t="e">
        <f t="shared" si="69"/>
        <v>#DIV/0!</v>
      </c>
    </row>
    <row r="225" spans="2:40" s="30" customFormat="1" x14ac:dyDescent="0.15">
      <c r="B225" s="329" t="s">
        <v>1130</v>
      </c>
      <c r="C225" s="161" t="s">
        <v>184</v>
      </c>
      <c r="D225" s="204">
        <f>SUMIFS('caseload data'!E:E,'caseload data'!$D:$D,"PO",'caseload data'!$A:$A,'national caseload'!$B$225:$B$227,'caseload data'!$B:$B,"custody")</f>
        <v>0</v>
      </c>
      <c r="E225" s="204">
        <f>SUMIFS('caseload data'!F:F,'caseload data'!$D:$D,"PO",'caseload data'!$A:$A,'national caseload'!$B$225:$B$227,'caseload data'!$B:$B,"custody")</f>
        <v>0</v>
      </c>
      <c r="F225" s="204">
        <f>SUMIFS('caseload data'!G:G,'caseload data'!$D:$D,"PO",'caseload data'!$A:$A,'national caseload'!$B$225:$B$227,'caseload data'!$B:$B,"custody")</f>
        <v>0</v>
      </c>
      <c r="G225" s="204">
        <f>SUMIFS('caseload data'!H:H,'caseload data'!$D:$D,"PO",'caseload data'!$A:$A,'national caseload'!$B$225:$B$227,'caseload data'!$B:$B,"custody")</f>
        <v>0</v>
      </c>
      <c r="H225" s="204">
        <f>SUMIFS('caseload data'!I:I,'caseload data'!$D:$D,"PO",'caseload data'!$A:$A,'national caseload'!$B$225:$B$227,'caseload data'!$B:$B,"custody")</f>
        <v>0</v>
      </c>
      <c r="I225" s="204">
        <f>SUMIFS('caseload data'!J:J,'caseload data'!$D:$D,"PO",'caseload data'!$A:$A,'national caseload'!$B$225:$B$227,'caseload data'!$B:$B,"custody")</f>
        <v>0</v>
      </c>
      <c r="J225" s="204">
        <f>SUMIFS('caseload data'!K:K,'caseload data'!$D:$D,"PO",'caseload data'!$A:$A,'national caseload'!$B$225:$B$227,'caseload data'!$B:$B,"custody")</f>
        <v>0</v>
      </c>
      <c r="K225" s="204">
        <f>SUMIFS('caseload data'!L:L,'caseload data'!$D:$D,"PO",'caseload data'!$A:$A,'national caseload'!$B$225:$B$227,'caseload data'!$B:$B,"custody")</f>
        <v>0</v>
      </c>
      <c r="L225" s="204">
        <f>SUMIFS('caseload data'!M:M,'caseload data'!$D:$D,"PO",'caseload data'!$A:$A,'national caseload'!$B$225:$B$227,'caseload data'!$B:$B,"custody")</f>
        <v>0</v>
      </c>
      <c r="M225" s="204">
        <f>SUMIFS('caseload data'!N:N,'caseload data'!$D:$D,"PO",'caseload data'!$A:$A,'national caseload'!$B$225:$B$227,'caseload data'!$B:$B,"custody")</f>
        <v>0</v>
      </c>
      <c r="N225" s="204">
        <f>SUMIFS('caseload data'!O:O,'caseload data'!$D:$D,"PO",'caseload data'!$A:$A,'national caseload'!$B$225:$B$227,'caseload data'!$B:$B,"custody")</f>
        <v>0</v>
      </c>
      <c r="O225" s="204">
        <f>SUMIFS('caseload data'!P:P,'caseload data'!$D:$D,"PO",'caseload data'!$A:$A,'national caseload'!$B$225:$B$227,'caseload data'!$B:$B,"custody")</f>
        <v>0</v>
      </c>
      <c r="P225" s="204">
        <f>SUMIFS('caseload data'!Q:Q,'caseload data'!$D:$D,"PO",'caseload data'!$A:$A,'national caseload'!$B$225:$B$227,'caseload data'!$B:$B,"custody")</f>
        <v>0</v>
      </c>
      <c r="Q225" s="204">
        <f>SUMIFS('caseload data'!R:R,'caseload data'!$D:$D,"PO",'caseload data'!$A:$A,'national caseload'!$B$225:$B$227,'caseload data'!$B:$B,"custody")</f>
        <v>0</v>
      </c>
      <c r="R225" s="204">
        <f>SUMIFS('caseload data'!S:S,'caseload data'!$D:$D,"PO",'caseload data'!$A:$A,'national caseload'!$B$225:$B$227,'caseload data'!$B:$B,"custody")</f>
        <v>0</v>
      </c>
      <c r="S225" s="204">
        <f>SUMIFS('caseload data'!T:T,'caseload data'!$D:$D,"PO",'caseload data'!$A:$A,'national caseload'!$B$225:$B$227,'caseload data'!$B:$B,"custody")</f>
        <v>0</v>
      </c>
      <c r="T225" s="126">
        <f>SUMIFS('caseload data'!V:V,'caseload data'!D:D,"PO",'caseload data'!A:A,'national caseload'!B225:B227,'caseload data'!B:B,"custody")</f>
        <v>0</v>
      </c>
      <c r="U225" s="95"/>
      <c r="V225" s="95"/>
      <c r="W225" s="329" t="s">
        <v>1130</v>
      </c>
      <c r="X225" s="161" t="s">
        <v>184</v>
      </c>
      <c r="Y225" s="209" t="e">
        <f>SUM(D225)/SUM(D$225:D$228)</f>
        <v>#DIV/0!</v>
      </c>
      <c r="Z225" s="209" t="e">
        <f t="shared" ref="Z225:AN228" si="70">SUM(E225)/SUM(E$225:E$228)</f>
        <v>#DIV/0!</v>
      </c>
      <c r="AA225" s="209" t="e">
        <f t="shared" si="70"/>
        <v>#DIV/0!</v>
      </c>
      <c r="AB225" s="209" t="e">
        <f t="shared" si="70"/>
        <v>#DIV/0!</v>
      </c>
      <c r="AC225" s="209" t="e">
        <f t="shared" si="70"/>
        <v>#DIV/0!</v>
      </c>
      <c r="AD225" s="209" t="e">
        <f t="shared" si="70"/>
        <v>#DIV/0!</v>
      </c>
      <c r="AE225" s="209" t="e">
        <f t="shared" si="70"/>
        <v>#DIV/0!</v>
      </c>
      <c r="AF225" s="209" t="e">
        <f t="shared" si="70"/>
        <v>#DIV/0!</v>
      </c>
      <c r="AG225" s="209" t="e">
        <f t="shared" si="70"/>
        <v>#DIV/0!</v>
      </c>
      <c r="AH225" s="209" t="e">
        <f t="shared" si="70"/>
        <v>#DIV/0!</v>
      </c>
      <c r="AI225" s="209" t="e">
        <f t="shared" si="70"/>
        <v>#DIV/0!</v>
      </c>
      <c r="AJ225" s="209" t="e">
        <f t="shared" si="70"/>
        <v>#DIV/0!</v>
      </c>
      <c r="AK225" s="209" t="e">
        <f t="shared" si="70"/>
        <v>#DIV/0!</v>
      </c>
      <c r="AL225" s="209" t="e">
        <f t="shared" si="70"/>
        <v>#DIV/0!</v>
      </c>
      <c r="AM225" s="209" t="e">
        <f t="shared" si="70"/>
        <v>#DIV/0!</v>
      </c>
      <c r="AN225" s="209" t="e">
        <f t="shared" si="70"/>
        <v>#DIV/0!</v>
      </c>
    </row>
    <row r="226" spans="2:40" s="30" customFormat="1" x14ac:dyDescent="0.15">
      <c r="B226" s="330"/>
      <c r="C226" s="162" t="s">
        <v>185</v>
      </c>
      <c r="D226" s="204">
        <f>SUMIFS('caseload data'!E:E,'caseload data'!$D:$D,"PSO",'caseload data'!$A:$A,"North East Region",'caseload data'!$B:$B,"custody")</f>
        <v>0</v>
      </c>
      <c r="E226" s="204">
        <f>SUMIFS('caseload data'!F:F,'caseload data'!$D:$D,"PSO",'caseload data'!$A:$A,"North East Region",'caseload data'!$B:$B,"custody")</f>
        <v>0</v>
      </c>
      <c r="F226" s="204">
        <f>SUMIFS('caseload data'!G:G,'caseload data'!$D:$D,"PSO",'caseload data'!$A:$A,"North East Region",'caseload data'!$B:$B,"custody")</f>
        <v>0</v>
      </c>
      <c r="G226" s="204">
        <f>SUMIFS('caseload data'!H:H,'caseload data'!$D:$D,"PSO",'caseload data'!$A:$A,"North East Region",'caseload data'!$B:$B,"custody")</f>
        <v>0</v>
      </c>
      <c r="H226" s="204">
        <f>SUMIFS('caseload data'!I:I,'caseload data'!$D:$D,"PSO",'caseload data'!$A:$A,"North East Region",'caseload data'!$B:$B,"custody")</f>
        <v>0</v>
      </c>
      <c r="I226" s="204">
        <f>SUMIFS('caseload data'!J:J,'caseload data'!$D:$D,"PSO",'caseload data'!$A:$A,"North East Region",'caseload data'!$B:$B,"custody")</f>
        <v>0</v>
      </c>
      <c r="J226" s="204">
        <f>SUMIFS('caseload data'!K:K,'caseload data'!$D:$D,"PSO",'caseload data'!$A:$A,"North East Region",'caseload data'!$B:$B,"custody")</f>
        <v>0</v>
      </c>
      <c r="K226" s="204">
        <f>SUMIFS('caseload data'!L:L,'caseload data'!$D:$D,"PSO",'caseload data'!$A:$A,"North East Region",'caseload data'!$B:$B,"custody")</f>
        <v>0</v>
      </c>
      <c r="L226" s="204">
        <f>SUMIFS('caseload data'!M:M,'caseload data'!$D:$D,"PSO",'caseload data'!$A:$A,"North East Region",'caseload data'!$B:$B,"custody")</f>
        <v>0</v>
      </c>
      <c r="M226" s="204">
        <f>SUMIFS('caseload data'!N:N,'caseload data'!$D:$D,"PSO",'caseload data'!$A:$A,"North East Region",'caseload data'!$B:$B,"custody")</f>
        <v>0</v>
      </c>
      <c r="N226" s="204">
        <f>SUMIFS('caseload data'!O:O,'caseload data'!$D:$D,"PSO",'caseload data'!$A:$A,"North East Region",'caseload data'!$B:$B,"custody")</f>
        <v>0</v>
      </c>
      <c r="O226" s="204">
        <f>SUMIFS('caseload data'!P:P,'caseload data'!$D:$D,"PSO",'caseload data'!$A:$A,"North East Region",'caseload data'!$B:$B,"custody")</f>
        <v>0</v>
      </c>
      <c r="P226" s="204">
        <f>SUMIFS('caseload data'!Q:Q,'caseload data'!$D:$D,"PSO",'caseload data'!$A:$A,"North East Region",'caseload data'!$B:$B,"custody")</f>
        <v>0</v>
      </c>
      <c r="Q226" s="204">
        <f>SUMIFS('caseload data'!R:R,'caseload data'!$D:$D,"PSO",'caseload data'!$A:$A,"North East Region",'caseload data'!$B:$B,"custody")</f>
        <v>0</v>
      </c>
      <c r="R226" s="204">
        <f>SUMIFS('caseload data'!S:S,'caseload data'!$D:$D,"PSO",'caseload data'!$A:$A,"North East Region",'caseload data'!$B:$B,"custody")</f>
        <v>0</v>
      </c>
      <c r="S226" s="204">
        <f>SUMIFS('caseload data'!T:T,'caseload data'!$D:$D,"PSO",'caseload data'!$A:$A,"North East Region",'caseload data'!$B:$B,"custody")</f>
        <v>0</v>
      </c>
      <c r="T226" s="126">
        <f>SUMIFS('caseload data'!V:V,'caseload data'!D:D,"PSO",'caseload data'!A:A,"North East Region",'caseload data'!B:B,"custody")</f>
        <v>0</v>
      </c>
      <c r="U226" s="95"/>
      <c r="V226" s="95"/>
      <c r="W226" s="330"/>
      <c r="X226" s="162" t="s">
        <v>185</v>
      </c>
      <c r="Y226" s="209" t="e">
        <f>SUM(D226)/SUM(D$225:D$228)</f>
        <v>#DIV/0!</v>
      </c>
      <c r="Z226" s="209" t="e">
        <f t="shared" si="70"/>
        <v>#DIV/0!</v>
      </c>
      <c r="AA226" s="209" t="e">
        <f t="shared" si="70"/>
        <v>#DIV/0!</v>
      </c>
      <c r="AB226" s="209" t="e">
        <f t="shared" si="70"/>
        <v>#DIV/0!</v>
      </c>
      <c r="AC226" s="209" t="e">
        <f t="shared" si="70"/>
        <v>#DIV/0!</v>
      </c>
      <c r="AD226" s="209" t="e">
        <f t="shared" si="70"/>
        <v>#DIV/0!</v>
      </c>
      <c r="AE226" s="209" t="e">
        <f t="shared" si="70"/>
        <v>#DIV/0!</v>
      </c>
      <c r="AF226" s="209" t="e">
        <f t="shared" si="70"/>
        <v>#DIV/0!</v>
      </c>
      <c r="AG226" s="209" t="e">
        <f t="shared" si="70"/>
        <v>#DIV/0!</v>
      </c>
      <c r="AH226" s="209" t="e">
        <f t="shared" si="70"/>
        <v>#DIV/0!</v>
      </c>
      <c r="AI226" s="209" t="e">
        <f t="shared" si="70"/>
        <v>#DIV/0!</v>
      </c>
      <c r="AJ226" s="209" t="e">
        <f t="shared" si="70"/>
        <v>#DIV/0!</v>
      </c>
      <c r="AK226" s="209" t="e">
        <f t="shared" si="70"/>
        <v>#DIV/0!</v>
      </c>
      <c r="AL226" s="209" t="e">
        <f t="shared" si="70"/>
        <v>#DIV/0!</v>
      </c>
      <c r="AM226" s="209" t="e">
        <f t="shared" si="70"/>
        <v>#DIV/0!</v>
      </c>
      <c r="AN226" s="209" t="e">
        <f t="shared" si="70"/>
        <v>#DIV/0!</v>
      </c>
    </row>
    <row r="227" spans="2:40" s="30" customFormat="1" x14ac:dyDescent="0.15">
      <c r="B227" s="330"/>
      <c r="C227" s="162" t="s">
        <v>186</v>
      </c>
      <c r="D227" s="204">
        <f>SUMIFS('caseload data'!E:E,'caseload data'!$D:$D,"TPO",'caseload data'!$A:$A,"North East Region",'caseload data'!$B:$B,"custody")</f>
        <v>0</v>
      </c>
      <c r="E227" s="204">
        <f>SUMIFS('caseload data'!F:F,'caseload data'!$D:$D,"TPO",'caseload data'!$A:$A,"North East Region",'caseload data'!$B:$B,"custody")</f>
        <v>0</v>
      </c>
      <c r="F227" s="204">
        <f>SUMIFS('caseload data'!G:G,'caseload data'!$D:$D,"TPO",'caseload data'!$A:$A,"North East Region",'caseload data'!$B:$B,"custody")</f>
        <v>0</v>
      </c>
      <c r="G227" s="204">
        <f>SUMIFS('caseload data'!H:H,'caseload data'!$D:$D,"TPO",'caseload data'!$A:$A,"North East Region",'caseload data'!$B:$B,"custody")</f>
        <v>0</v>
      </c>
      <c r="H227" s="204">
        <f>SUMIFS('caseload data'!I:I,'caseload data'!$D:$D,"TPO",'caseload data'!$A:$A,"North East Region",'caseload data'!$B:$B,"custody")</f>
        <v>0</v>
      </c>
      <c r="I227" s="204">
        <f>SUMIFS('caseload data'!J:J,'caseload data'!$D:$D,"TPO",'caseload data'!$A:$A,"North East Region",'caseload data'!$B:$B,"custody")</f>
        <v>0</v>
      </c>
      <c r="J227" s="204">
        <f>SUMIFS('caseload data'!K:K,'caseload data'!$D:$D,"TPO",'caseload data'!$A:$A,"North East Region",'caseload data'!$B:$B,"custody")</f>
        <v>0</v>
      </c>
      <c r="K227" s="204">
        <f>SUMIFS('caseload data'!L:L,'caseload data'!$D:$D,"TPO",'caseload data'!$A:$A,"North East Region",'caseload data'!$B:$B,"custody")</f>
        <v>0</v>
      </c>
      <c r="L227" s="204">
        <f>SUMIFS('caseload data'!M:M,'caseload data'!$D:$D,"TPO",'caseload data'!$A:$A,"North East Region",'caseload data'!$B:$B,"custody")</f>
        <v>0</v>
      </c>
      <c r="M227" s="204">
        <f>SUMIFS('caseload data'!N:N,'caseload data'!$D:$D,"TPO",'caseload data'!$A:$A,"North East Region",'caseload data'!$B:$B,"custody")</f>
        <v>0</v>
      </c>
      <c r="N227" s="204">
        <f>SUMIFS('caseload data'!O:O,'caseload data'!$D:$D,"TPO",'caseload data'!$A:$A,"North East Region",'caseload data'!$B:$B,"custody")</f>
        <v>0</v>
      </c>
      <c r="O227" s="204">
        <f>SUMIFS('caseload data'!P:P,'caseload data'!$D:$D,"TPO",'caseload data'!$A:$A,"North East Region",'caseload data'!$B:$B,"custody")</f>
        <v>0</v>
      </c>
      <c r="P227" s="204">
        <f>SUMIFS('caseload data'!Q:Q,'caseload data'!$D:$D,"TPO",'caseload data'!$A:$A,"North East Region",'caseload data'!$B:$B,"custody")</f>
        <v>0</v>
      </c>
      <c r="Q227" s="204">
        <f>SUMIFS('caseload data'!R:R,'caseload data'!$D:$D,"TPO",'caseload data'!$A:$A,"North East Region",'caseload data'!$B:$B,"custody")</f>
        <v>0</v>
      </c>
      <c r="R227" s="204">
        <f>SUMIFS('caseload data'!S:S,'caseload data'!$D:$D,"TPO",'caseload data'!$A:$A,"North East Region",'caseload data'!$B:$B,"custody")</f>
        <v>0</v>
      </c>
      <c r="S227" s="204">
        <f>SUMIFS('caseload data'!T:T,'caseload data'!$D:$D,"TPO",'caseload data'!$A:$A,"North East Region",'caseload data'!$B:$B,"custody")</f>
        <v>0</v>
      </c>
      <c r="T227" s="126">
        <f>SUMIFS('caseload data'!V:V,'caseload data'!D:D,"TPO",'caseload data'!A:A,"North East Region",'caseload data'!B:B,"custody")</f>
        <v>0</v>
      </c>
      <c r="U227" s="95"/>
      <c r="V227" s="95"/>
      <c r="W227" s="330"/>
      <c r="X227" s="162" t="s">
        <v>186</v>
      </c>
      <c r="Y227" s="209" t="e">
        <f>SUM(D227)/SUM(D$225:D$228)</f>
        <v>#DIV/0!</v>
      </c>
      <c r="Z227" s="209" t="e">
        <f t="shared" si="70"/>
        <v>#DIV/0!</v>
      </c>
      <c r="AA227" s="209" t="e">
        <f t="shared" si="70"/>
        <v>#DIV/0!</v>
      </c>
      <c r="AB227" s="209" t="e">
        <f t="shared" si="70"/>
        <v>#DIV/0!</v>
      </c>
      <c r="AC227" s="209" t="e">
        <f t="shared" si="70"/>
        <v>#DIV/0!</v>
      </c>
      <c r="AD227" s="209" t="e">
        <f t="shared" si="70"/>
        <v>#DIV/0!</v>
      </c>
      <c r="AE227" s="209" t="e">
        <f t="shared" si="70"/>
        <v>#DIV/0!</v>
      </c>
      <c r="AF227" s="209" t="e">
        <f t="shared" si="70"/>
        <v>#DIV/0!</v>
      </c>
      <c r="AG227" s="209" t="e">
        <f t="shared" si="70"/>
        <v>#DIV/0!</v>
      </c>
      <c r="AH227" s="209" t="e">
        <f t="shared" si="70"/>
        <v>#DIV/0!</v>
      </c>
      <c r="AI227" s="209" t="e">
        <f t="shared" si="70"/>
        <v>#DIV/0!</v>
      </c>
      <c r="AJ227" s="209" t="e">
        <f t="shared" si="70"/>
        <v>#DIV/0!</v>
      </c>
      <c r="AK227" s="209" t="e">
        <f t="shared" si="70"/>
        <v>#DIV/0!</v>
      </c>
      <c r="AL227" s="209" t="e">
        <f t="shared" si="70"/>
        <v>#DIV/0!</v>
      </c>
      <c r="AM227" s="209" t="e">
        <f t="shared" si="70"/>
        <v>#DIV/0!</v>
      </c>
      <c r="AN227" s="209" t="e">
        <f t="shared" si="70"/>
        <v>#DIV/0!</v>
      </c>
    </row>
    <row r="228" spans="2:40" s="30" customFormat="1" x14ac:dyDescent="0.15">
      <c r="B228" s="332"/>
      <c r="C228" s="163" t="s">
        <v>187</v>
      </c>
      <c r="D228" s="204">
        <f>SUMIFS('caseload data'!E:E,'caseload data'!$D:$D,"SPO",'caseload data'!$A:$A,"North East Region",'caseload data'!$B:$B,"custody")</f>
        <v>0</v>
      </c>
      <c r="E228" s="204">
        <f>SUMIFS('caseload data'!F:F,'caseload data'!$D:$D,"SPO",'caseload data'!$A:$A,"North East Region",'caseload data'!$B:$B,"custody")</f>
        <v>0</v>
      </c>
      <c r="F228" s="204">
        <f>SUMIFS('caseload data'!G:G,'caseload data'!$D:$D,"SPO",'caseload data'!$A:$A,"North East Region",'caseload data'!$B:$B,"custody")</f>
        <v>0</v>
      </c>
      <c r="G228" s="204">
        <f>SUMIFS('caseload data'!H:H,'caseload data'!$D:$D,"SPO",'caseload data'!$A:$A,"North East Region",'caseload data'!$B:$B,"custody")</f>
        <v>0</v>
      </c>
      <c r="H228" s="204">
        <f>SUMIFS('caseload data'!I:I,'caseload data'!$D:$D,"SPO",'caseload data'!$A:$A,"North East Region",'caseload data'!$B:$B,"custody")</f>
        <v>0</v>
      </c>
      <c r="I228" s="204">
        <f>SUMIFS('caseload data'!J:J,'caseload data'!$D:$D,"SPO",'caseload data'!$A:$A,"North East Region",'caseload data'!$B:$B,"custody")</f>
        <v>0</v>
      </c>
      <c r="J228" s="204">
        <f>SUMIFS('caseload data'!K:K,'caseload data'!$D:$D,"SPO",'caseload data'!$A:$A,"North East Region",'caseload data'!$B:$B,"custody")</f>
        <v>0</v>
      </c>
      <c r="K228" s="204">
        <f>SUMIFS('caseload data'!L:L,'caseload data'!$D:$D,"SPO",'caseload data'!$A:$A,"North East Region",'caseload data'!$B:$B,"custody")</f>
        <v>0</v>
      </c>
      <c r="L228" s="204">
        <f>SUMIFS('caseload data'!M:M,'caseload data'!$D:$D,"SPO",'caseload data'!$A:$A,"North East Region",'caseload data'!$B:$B,"custody")</f>
        <v>0</v>
      </c>
      <c r="M228" s="204">
        <f>SUMIFS('caseload data'!N:N,'caseload data'!$D:$D,"SPO",'caseload data'!$A:$A,"North East Region",'caseload data'!$B:$B,"custody")</f>
        <v>0</v>
      </c>
      <c r="N228" s="204">
        <f>SUMIFS('caseload data'!O:O,'caseload data'!$D:$D,"SPO",'caseload data'!$A:$A,"North East Region",'caseload data'!$B:$B,"custody")</f>
        <v>0</v>
      </c>
      <c r="O228" s="204">
        <f>SUMIFS('caseload data'!P:P,'caseload data'!$D:$D,"SPO",'caseload data'!$A:$A,"North East Region",'caseload data'!$B:$B,"custody")</f>
        <v>0</v>
      </c>
      <c r="P228" s="204">
        <f>SUMIFS('caseload data'!Q:Q,'caseload data'!$D:$D,"SPO",'caseload data'!$A:$A,"North East Region",'caseload data'!$B:$B,"custody")</f>
        <v>0</v>
      </c>
      <c r="Q228" s="204">
        <f>SUMIFS('caseload data'!R:R,'caseload data'!$D:$D,"SPO",'caseload data'!$A:$A,"North East Region",'caseload data'!$B:$B,"custody")</f>
        <v>0</v>
      </c>
      <c r="R228" s="204">
        <f>SUMIFS('caseload data'!S:S,'caseload data'!$D:$D,"SPO",'caseload data'!$A:$A,"North East Region",'caseload data'!$B:$B,"custody")</f>
        <v>0</v>
      </c>
      <c r="S228" s="204">
        <f>SUMIFS('caseload data'!T:T,'caseload data'!$D:$D,"SPO",'caseload data'!$A:$A,"North East Region",'caseload data'!$B:$B,"custody")</f>
        <v>0</v>
      </c>
      <c r="T228" s="126">
        <f>SUMIFS('caseload data'!V:V,'caseload data'!$D:$D,"SPO",'caseload data'!$A:$A,"North East Region",'caseload data'!$B:$B,"custody")</f>
        <v>0</v>
      </c>
      <c r="U228" s="95"/>
      <c r="V228" s="95"/>
      <c r="W228" s="332"/>
      <c r="X228" s="163" t="s">
        <v>187</v>
      </c>
      <c r="Y228" s="209" t="e">
        <f>SUM(D228)/SUM(D$225:D$228)</f>
        <v>#DIV/0!</v>
      </c>
      <c r="Z228" s="209" t="e">
        <f t="shared" si="70"/>
        <v>#DIV/0!</v>
      </c>
      <c r="AA228" s="209" t="e">
        <f t="shared" si="70"/>
        <v>#DIV/0!</v>
      </c>
      <c r="AB228" s="209" t="e">
        <f t="shared" si="70"/>
        <v>#DIV/0!</v>
      </c>
      <c r="AC228" s="209" t="e">
        <f t="shared" si="70"/>
        <v>#DIV/0!</v>
      </c>
      <c r="AD228" s="209" t="e">
        <f t="shared" si="70"/>
        <v>#DIV/0!</v>
      </c>
      <c r="AE228" s="209" t="e">
        <f t="shared" si="70"/>
        <v>#DIV/0!</v>
      </c>
      <c r="AF228" s="209" t="e">
        <f t="shared" si="70"/>
        <v>#DIV/0!</v>
      </c>
      <c r="AG228" s="209" t="e">
        <f t="shared" si="70"/>
        <v>#DIV/0!</v>
      </c>
      <c r="AH228" s="209" t="e">
        <f t="shared" si="70"/>
        <v>#DIV/0!</v>
      </c>
      <c r="AI228" s="209" t="e">
        <f t="shared" si="70"/>
        <v>#DIV/0!</v>
      </c>
      <c r="AJ228" s="209" t="e">
        <f t="shared" si="70"/>
        <v>#DIV/0!</v>
      </c>
      <c r="AK228" s="209" t="e">
        <f t="shared" si="70"/>
        <v>#DIV/0!</v>
      </c>
      <c r="AL228" s="209" t="e">
        <f t="shared" si="70"/>
        <v>#DIV/0!</v>
      </c>
      <c r="AM228" s="209" t="e">
        <f t="shared" si="70"/>
        <v>#DIV/0!</v>
      </c>
      <c r="AN228" s="209" t="e">
        <f t="shared" si="70"/>
        <v>#DIV/0!</v>
      </c>
    </row>
    <row r="229" spans="2:40" s="30" customFormat="1" x14ac:dyDescent="0.15">
      <c r="B229" s="329" t="s">
        <v>7</v>
      </c>
      <c r="C229" s="161" t="s">
        <v>184</v>
      </c>
      <c r="D229" s="204">
        <f>SUMIFS('caseload data'!E:E,'caseload data'!$D:$D,"PO",'caseload data'!$A:$A,'national caseload'!$B$229:$B$231,'caseload data'!$B:$B,"custody")</f>
        <v>0</v>
      </c>
      <c r="E229" s="204">
        <f>SUMIFS('caseload data'!F:F,'caseload data'!$D:$D,"PO",'caseload data'!$A:$A,'national caseload'!$B$229:$B$231,'caseload data'!$B:$B,"custody")</f>
        <v>0</v>
      </c>
      <c r="F229" s="204">
        <f>SUMIFS('caseload data'!G:G,'caseload data'!$D:$D,"PO",'caseload data'!$A:$A,'national caseload'!$B$229:$B$231,'caseload data'!$B:$B,"custody")</f>
        <v>0</v>
      </c>
      <c r="G229" s="204">
        <f>SUMIFS('caseload data'!H:H,'caseload data'!$D:$D,"PO",'caseload data'!$A:$A,'national caseload'!$B$229:$B$231,'caseload data'!$B:$B,"custody")</f>
        <v>0</v>
      </c>
      <c r="H229" s="204">
        <f>SUMIFS('caseload data'!I:I,'caseload data'!$D:$D,"PO",'caseload data'!$A:$A,'national caseload'!$B$229:$B$231,'caseload data'!$B:$B,"custody")</f>
        <v>0</v>
      </c>
      <c r="I229" s="204">
        <f>SUMIFS('caseload data'!J:J,'caseload data'!$D:$D,"PO",'caseload data'!$A:$A,'national caseload'!$B$229:$B$231,'caseload data'!$B:$B,"custody")</f>
        <v>0</v>
      </c>
      <c r="J229" s="204">
        <f>SUMIFS('caseload data'!K:K,'caseload data'!$D:$D,"PO",'caseload data'!$A:$A,'national caseload'!$B$229:$B$231,'caseload data'!$B:$B,"custody")</f>
        <v>0</v>
      </c>
      <c r="K229" s="204">
        <f>SUMIFS('caseload data'!L:L,'caseload data'!$D:$D,"PO",'caseload data'!$A:$A,'national caseload'!$B$229:$B$231,'caseload data'!$B:$B,"custody")</f>
        <v>0</v>
      </c>
      <c r="L229" s="204">
        <f>SUMIFS('caseload data'!M:M,'caseload data'!$D:$D,"PO",'caseload data'!$A:$A,'national caseload'!$B$229:$B$231,'caseload data'!$B:$B,"custody")</f>
        <v>0</v>
      </c>
      <c r="M229" s="204">
        <f>SUMIFS('caseload data'!N:N,'caseload data'!$D:$D,"PO",'caseload data'!$A:$A,'national caseload'!$B$229:$B$231,'caseload data'!$B:$B,"custody")</f>
        <v>0</v>
      </c>
      <c r="N229" s="204">
        <f>SUMIFS('caseload data'!O:O,'caseload data'!$D:$D,"PO",'caseload data'!$A:$A,'national caseload'!$B$229:$B$231,'caseload data'!$B:$B,"custody")</f>
        <v>0</v>
      </c>
      <c r="O229" s="204">
        <f>SUMIFS('caseload data'!P:P,'caseload data'!$D:$D,"PO",'caseload data'!$A:$A,'national caseload'!$B$229:$B$231,'caseload data'!$B:$B,"custody")</f>
        <v>0</v>
      </c>
      <c r="P229" s="204">
        <f>SUMIFS('caseload data'!Q:Q,'caseload data'!$D:$D,"PO",'caseload data'!$A:$A,'national caseload'!$B$229:$B$231,'caseload data'!$B:$B,"custody")</f>
        <v>0</v>
      </c>
      <c r="Q229" s="204">
        <f>SUMIFS('caseload data'!R:R,'caseload data'!$D:$D,"PO",'caseload data'!$A:$A,'national caseload'!$B$229:$B$231,'caseload data'!$B:$B,"custody")</f>
        <v>0</v>
      </c>
      <c r="R229" s="204">
        <f>SUMIFS('caseload data'!S:S,'caseload data'!$D:$D,"PO",'caseload data'!$A:$A,'national caseload'!$B$229:$B$231,'caseload data'!$B:$B,"custody")</f>
        <v>0</v>
      </c>
      <c r="S229" s="204">
        <f>SUMIFS('caseload data'!T:T,'caseload data'!$D:$D,"PO",'caseload data'!$A:$A,'national caseload'!$B$229:$B$231,'caseload data'!$B:$B,"custody")</f>
        <v>0</v>
      </c>
      <c r="T229" s="126">
        <f>SUMIFS('caseload data'!V:V,'caseload data'!D:D,"PO",'caseload data'!A:A,'national caseload'!B229:B231,'caseload data'!B:B,"custody")</f>
        <v>0</v>
      </c>
      <c r="U229" s="95"/>
      <c r="V229" s="95"/>
      <c r="W229" s="329" t="s">
        <v>7</v>
      </c>
      <c r="X229" s="161" t="s">
        <v>184</v>
      </c>
      <c r="Y229" s="209" t="e">
        <f>SUM(D229)/SUM(D$229:D$232)</f>
        <v>#DIV/0!</v>
      </c>
      <c r="Z229" s="209" t="e">
        <f t="shared" ref="Z229:AN232" si="71">SUM(E229)/SUM(E$229:E$232)</f>
        <v>#DIV/0!</v>
      </c>
      <c r="AA229" s="209" t="e">
        <f t="shared" si="71"/>
        <v>#DIV/0!</v>
      </c>
      <c r="AB229" s="209" t="e">
        <f t="shared" si="71"/>
        <v>#DIV/0!</v>
      </c>
      <c r="AC229" s="209" t="e">
        <f t="shared" si="71"/>
        <v>#DIV/0!</v>
      </c>
      <c r="AD229" s="209" t="e">
        <f t="shared" si="71"/>
        <v>#DIV/0!</v>
      </c>
      <c r="AE229" s="209" t="e">
        <f t="shared" si="71"/>
        <v>#DIV/0!</v>
      </c>
      <c r="AF229" s="209" t="e">
        <f t="shared" si="71"/>
        <v>#DIV/0!</v>
      </c>
      <c r="AG229" s="209" t="e">
        <f t="shared" si="71"/>
        <v>#DIV/0!</v>
      </c>
      <c r="AH229" s="209" t="e">
        <f t="shared" si="71"/>
        <v>#DIV/0!</v>
      </c>
      <c r="AI229" s="209" t="e">
        <f t="shared" si="71"/>
        <v>#DIV/0!</v>
      </c>
      <c r="AJ229" s="209" t="e">
        <f t="shared" si="71"/>
        <v>#DIV/0!</v>
      </c>
      <c r="AK229" s="209" t="e">
        <f t="shared" si="71"/>
        <v>#DIV/0!</v>
      </c>
      <c r="AL229" s="209" t="e">
        <f t="shared" si="71"/>
        <v>#DIV/0!</v>
      </c>
      <c r="AM229" s="209" t="e">
        <f t="shared" si="71"/>
        <v>#DIV/0!</v>
      </c>
      <c r="AN229" s="209" t="e">
        <f t="shared" si="71"/>
        <v>#DIV/0!</v>
      </c>
    </row>
    <row r="230" spans="2:40" s="30" customFormat="1" x14ac:dyDescent="0.15">
      <c r="B230" s="330"/>
      <c r="C230" s="162" t="s">
        <v>185</v>
      </c>
      <c r="D230" s="204">
        <f>SUMIFS('caseload data'!E:E,'caseload data'!$D:$D,"PSO",'caseload data'!$A:$A,"NPS North West Region",'caseload data'!$B:$B,"custody")</f>
        <v>0</v>
      </c>
      <c r="E230" s="204">
        <f>SUMIFS('caseload data'!F:F,'caseload data'!$D:$D,"PSO",'caseload data'!$A:$A,"NPS North West Region",'caseload data'!$B:$B,"custody")</f>
        <v>0</v>
      </c>
      <c r="F230" s="204">
        <f>SUMIFS('caseload data'!G:G,'caseload data'!$D:$D,"PSO",'caseload data'!$A:$A,"NPS North West Region",'caseload data'!$B:$B,"custody")</f>
        <v>0</v>
      </c>
      <c r="G230" s="204">
        <f>SUMIFS('caseload data'!H:H,'caseload data'!$D:$D,"PSO",'caseload data'!$A:$A,"NPS North West Region",'caseload data'!$B:$B,"custody")</f>
        <v>0</v>
      </c>
      <c r="H230" s="204">
        <f>SUMIFS('caseload data'!I:I,'caseload data'!$D:$D,"PSO",'caseload data'!$A:$A,"NPS North West Region",'caseload data'!$B:$B,"custody")</f>
        <v>0</v>
      </c>
      <c r="I230" s="204">
        <f>SUMIFS('caseload data'!J:J,'caseload data'!$D:$D,"PSO",'caseload data'!$A:$A,"NPS North West Region",'caseload data'!$B:$B,"custody")</f>
        <v>0</v>
      </c>
      <c r="J230" s="204">
        <f>SUMIFS('caseload data'!K:K,'caseload data'!$D:$D,"PSO",'caseload data'!$A:$A,"NPS North West Region",'caseload data'!$B:$B,"custody")</f>
        <v>0</v>
      </c>
      <c r="K230" s="204">
        <f>SUMIFS('caseload data'!L:L,'caseload data'!$D:$D,"PSO",'caseload data'!$A:$A,"NPS North West Region",'caseload data'!$B:$B,"custody")</f>
        <v>0</v>
      </c>
      <c r="L230" s="204">
        <f>SUMIFS('caseload data'!M:M,'caseload data'!$D:$D,"PSO",'caseload data'!$A:$A,"NPS North West Region",'caseload data'!$B:$B,"custody")</f>
        <v>0</v>
      </c>
      <c r="M230" s="204">
        <f>SUMIFS('caseload data'!N:N,'caseload data'!$D:$D,"PSO",'caseload data'!$A:$A,"NPS North West Region",'caseload data'!$B:$B,"custody")</f>
        <v>0</v>
      </c>
      <c r="N230" s="204">
        <f>SUMIFS('caseload data'!O:O,'caseload data'!$D:$D,"PSO",'caseload data'!$A:$A,"NPS North West Region",'caseload data'!$B:$B,"custody")</f>
        <v>0</v>
      </c>
      <c r="O230" s="204">
        <f>SUMIFS('caseload data'!P:P,'caseload data'!$D:$D,"PSO",'caseload data'!$A:$A,"NPS North West Region",'caseload data'!$B:$B,"custody")</f>
        <v>0</v>
      </c>
      <c r="P230" s="204">
        <f>SUMIFS('caseload data'!Q:Q,'caseload data'!$D:$D,"PSO",'caseload data'!$A:$A,"NPS North West Region",'caseload data'!$B:$B,"custody")</f>
        <v>0</v>
      </c>
      <c r="Q230" s="204">
        <f>SUMIFS('caseload data'!R:R,'caseload data'!$D:$D,"PSO",'caseload data'!$A:$A,"NPS North West Region",'caseload data'!$B:$B,"custody")</f>
        <v>0</v>
      </c>
      <c r="R230" s="204">
        <f>SUMIFS('caseload data'!S:S,'caseload data'!$D:$D,"PSO",'caseload data'!$A:$A,"NPS North West Region",'caseload data'!$B:$B,"custody")</f>
        <v>0</v>
      </c>
      <c r="S230" s="204">
        <f>SUMIFS('caseload data'!T:T,'caseload data'!$D:$D,"PSO",'caseload data'!$A:$A,"NPS North West Region",'caseload data'!$B:$B,"custody")</f>
        <v>0</v>
      </c>
      <c r="T230" s="126">
        <f>SUMIFS('caseload data'!V:V,'caseload data'!D:D,"PSO",'caseload data'!A:A,"NPS North West Region",'caseload data'!B:B,"custody")</f>
        <v>0</v>
      </c>
      <c r="U230" s="95"/>
      <c r="V230" s="95"/>
      <c r="W230" s="330"/>
      <c r="X230" s="162" t="s">
        <v>185</v>
      </c>
      <c r="Y230" s="209" t="e">
        <f>SUM(D230)/SUM(D$229:D$232)</f>
        <v>#DIV/0!</v>
      </c>
      <c r="Z230" s="209" t="e">
        <f t="shared" si="71"/>
        <v>#DIV/0!</v>
      </c>
      <c r="AA230" s="209" t="e">
        <f t="shared" si="71"/>
        <v>#DIV/0!</v>
      </c>
      <c r="AB230" s="209" t="e">
        <f t="shared" si="71"/>
        <v>#DIV/0!</v>
      </c>
      <c r="AC230" s="209" t="e">
        <f t="shared" si="71"/>
        <v>#DIV/0!</v>
      </c>
      <c r="AD230" s="209" t="e">
        <f t="shared" si="71"/>
        <v>#DIV/0!</v>
      </c>
      <c r="AE230" s="209" t="e">
        <f t="shared" si="71"/>
        <v>#DIV/0!</v>
      </c>
      <c r="AF230" s="209" t="e">
        <f t="shared" si="71"/>
        <v>#DIV/0!</v>
      </c>
      <c r="AG230" s="209" t="e">
        <f t="shared" si="71"/>
        <v>#DIV/0!</v>
      </c>
      <c r="AH230" s="209" t="e">
        <f t="shared" si="71"/>
        <v>#DIV/0!</v>
      </c>
      <c r="AI230" s="209" t="e">
        <f t="shared" si="71"/>
        <v>#DIV/0!</v>
      </c>
      <c r="AJ230" s="209" t="e">
        <f t="shared" si="71"/>
        <v>#DIV/0!</v>
      </c>
      <c r="AK230" s="209" t="e">
        <f t="shared" si="71"/>
        <v>#DIV/0!</v>
      </c>
      <c r="AL230" s="209" t="e">
        <f t="shared" si="71"/>
        <v>#DIV/0!</v>
      </c>
      <c r="AM230" s="209" t="e">
        <f t="shared" si="71"/>
        <v>#DIV/0!</v>
      </c>
      <c r="AN230" s="209" t="e">
        <f t="shared" si="71"/>
        <v>#DIV/0!</v>
      </c>
    </row>
    <row r="231" spans="2:40" s="30" customFormat="1" x14ac:dyDescent="0.15">
      <c r="B231" s="330"/>
      <c r="C231" s="162" t="s">
        <v>186</v>
      </c>
      <c r="D231" s="204">
        <f>SUMIFS('caseload data'!E:E,'caseload data'!$D:$D,"TPO",'caseload data'!$A:$A,"NPS North West Region",'caseload data'!$B:$B,"custody")</f>
        <v>0</v>
      </c>
      <c r="E231" s="204">
        <f>SUMIFS('caseload data'!F:F,'caseload data'!$D:$D,"TPO",'caseload data'!$A:$A,"NPS North West Region",'caseload data'!$B:$B,"custody")</f>
        <v>0</v>
      </c>
      <c r="F231" s="204">
        <f>SUMIFS('caseload data'!G:G,'caseload data'!$D:$D,"TPO",'caseload data'!$A:$A,"NPS North West Region",'caseload data'!$B:$B,"custody")</f>
        <v>0</v>
      </c>
      <c r="G231" s="204">
        <f>SUMIFS('caseload data'!H:H,'caseload data'!$D:$D,"TPO",'caseload data'!$A:$A,"NPS North West Region",'caseload data'!$B:$B,"custody")</f>
        <v>0</v>
      </c>
      <c r="H231" s="204">
        <f>SUMIFS('caseload data'!I:I,'caseload data'!$D:$D,"TPO",'caseload data'!$A:$A,"NPS North West Region",'caseload data'!$B:$B,"custody")</f>
        <v>0</v>
      </c>
      <c r="I231" s="204">
        <f>SUMIFS('caseload data'!J:J,'caseload data'!$D:$D,"TPO",'caseload data'!$A:$A,"NPS North West Region",'caseload data'!$B:$B,"custody")</f>
        <v>0</v>
      </c>
      <c r="J231" s="204">
        <f>SUMIFS('caseload data'!K:K,'caseload data'!$D:$D,"TPO",'caseload data'!$A:$A,"NPS North West Region",'caseload data'!$B:$B,"custody")</f>
        <v>0</v>
      </c>
      <c r="K231" s="204">
        <f>SUMIFS('caseload data'!L:L,'caseload data'!$D:$D,"TPO",'caseload data'!$A:$A,"NPS North West Region",'caseload data'!$B:$B,"custody")</f>
        <v>0</v>
      </c>
      <c r="L231" s="204">
        <f>SUMIFS('caseload data'!M:M,'caseload data'!$D:$D,"TPO",'caseload data'!$A:$A,"NPS North West Region",'caseload data'!$B:$B,"custody")</f>
        <v>0</v>
      </c>
      <c r="M231" s="204">
        <f>SUMIFS('caseload data'!N:N,'caseload data'!$D:$D,"TPO",'caseload data'!$A:$A,"NPS North West Region",'caseload data'!$B:$B,"custody")</f>
        <v>0</v>
      </c>
      <c r="N231" s="204">
        <f>SUMIFS('caseload data'!O:O,'caseload data'!$D:$D,"TPO",'caseload data'!$A:$A,"NPS North West Region",'caseload data'!$B:$B,"custody")</f>
        <v>0</v>
      </c>
      <c r="O231" s="204">
        <f>SUMIFS('caseload data'!P:P,'caseload data'!$D:$D,"TPO",'caseload data'!$A:$A,"NPS North West Region",'caseload data'!$B:$B,"custody")</f>
        <v>0</v>
      </c>
      <c r="P231" s="204">
        <f>SUMIFS('caseload data'!Q:Q,'caseload data'!$D:$D,"TPO",'caseload data'!$A:$A,"NPS North West Region",'caseload data'!$B:$B,"custody")</f>
        <v>0</v>
      </c>
      <c r="Q231" s="204">
        <f>SUMIFS('caseload data'!R:R,'caseload data'!$D:$D,"TPO",'caseload data'!$A:$A,"NPS North West Region",'caseload data'!$B:$B,"custody")</f>
        <v>0</v>
      </c>
      <c r="R231" s="204">
        <f>SUMIFS('caseload data'!S:S,'caseload data'!$D:$D,"TPO",'caseload data'!$A:$A,"NPS North West Region",'caseload data'!$B:$B,"custody")</f>
        <v>0</v>
      </c>
      <c r="S231" s="204">
        <f>SUMIFS('caseload data'!T:T,'caseload data'!$D:$D,"TPO",'caseload data'!$A:$A,"NPS North West Region",'caseload data'!$B:$B,"custody")</f>
        <v>0</v>
      </c>
      <c r="T231" s="126">
        <f>SUMIFS('caseload data'!V:V,'caseload data'!D:D,"TPO",'caseload data'!A:A,"NPS North West Region",'caseload data'!B:B,"custody")</f>
        <v>0</v>
      </c>
      <c r="U231" s="95"/>
      <c r="V231" s="95"/>
      <c r="W231" s="330"/>
      <c r="X231" s="162" t="s">
        <v>186</v>
      </c>
      <c r="Y231" s="209" t="e">
        <f>SUM(D231)/SUM(D$229:D$232)</f>
        <v>#DIV/0!</v>
      </c>
      <c r="Z231" s="209" t="e">
        <f t="shared" si="71"/>
        <v>#DIV/0!</v>
      </c>
      <c r="AA231" s="209" t="e">
        <f t="shared" si="71"/>
        <v>#DIV/0!</v>
      </c>
      <c r="AB231" s="209" t="e">
        <f t="shared" si="71"/>
        <v>#DIV/0!</v>
      </c>
      <c r="AC231" s="209" t="e">
        <f t="shared" si="71"/>
        <v>#DIV/0!</v>
      </c>
      <c r="AD231" s="209" t="e">
        <f t="shared" si="71"/>
        <v>#DIV/0!</v>
      </c>
      <c r="AE231" s="209" t="e">
        <f t="shared" si="71"/>
        <v>#DIV/0!</v>
      </c>
      <c r="AF231" s="209" t="e">
        <f t="shared" si="71"/>
        <v>#DIV/0!</v>
      </c>
      <c r="AG231" s="209" t="e">
        <f t="shared" si="71"/>
        <v>#DIV/0!</v>
      </c>
      <c r="AH231" s="209" t="e">
        <f t="shared" si="71"/>
        <v>#DIV/0!</v>
      </c>
      <c r="AI231" s="209" t="e">
        <f t="shared" si="71"/>
        <v>#DIV/0!</v>
      </c>
      <c r="AJ231" s="209" t="e">
        <f t="shared" si="71"/>
        <v>#DIV/0!</v>
      </c>
      <c r="AK231" s="209" t="e">
        <f t="shared" si="71"/>
        <v>#DIV/0!</v>
      </c>
      <c r="AL231" s="209" t="e">
        <f t="shared" si="71"/>
        <v>#DIV/0!</v>
      </c>
      <c r="AM231" s="209" t="e">
        <f t="shared" si="71"/>
        <v>#DIV/0!</v>
      </c>
      <c r="AN231" s="209" t="e">
        <f t="shared" si="71"/>
        <v>#DIV/0!</v>
      </c>
    </row>
    <row r="232" spans="2:40" s="30" customFormat="1" x14ac:dyDescent="0.15">
      <c r="B232" s="332"/>
      <c r="C232" s="163" t="s">
        <v>187</v>
      </c>
      <c r="D232" s="204">
        <f>SUMIFS('caseload data'!E:E,'caseload data'!$D:$D,"SPO",'caseload data'!$A:$A,"NPS North West Region",'caseload data'!$B:$B,"custody")</f>
        <v>0</v>
      </c>
      <c r="E232" s="204">
        <f>SUMIFS('caseload data'!F:F,'caseload data'!$D:$D,"SPO",'caseload data'!$A:$A,"NPS North West Region",'caseload data'!$B:$B,"custody")</f>
        <v>0</v>
      </c>
      <c r="F232" s="204">
        <f>SUMIFS('caseload data'!G:G,'caseload data'!$D:$D,"SPO",'caseload data'!$A:$A,"NPS North West Region",'caseload data'!$B:$B,"custody")</f>
        <v>0</v>
      </c>
      <c r="G232" s="204">
        <f>SUMIFS('caseload data'!H:H,'caseload data'!$D:$D,"SPO",'caseload data'!$A:$A,"NPS North West Region",'caseload data'!$B:$B,"custody")</f>
        <v>0</v>
      </c>
      <c r="H232" s="204">
        <f>SUMIFS('caseload data'!I:I,'caseload data'!$D:$D,"SPO",'caseload data'!$A:$A,"NPS North West Region",'caseload data'!$B:$B,"custody")</f>
        <v>0</v>
      </c>
      <c r="I232" s="204">
        <f>SUMIFS('caseload data'!J:J,'caseload data'!$D:$D,"SPO",'caseload data'!$A:$A,"NPS North West Region",'caseload data'!$B:$B,"custody")</f>
        <v>0</v>
      </c>
      <c r="J232" s="204">
        <f>SUMIFS('caseload data'!K:K,'caseload data'!$D:$D,"SPO",'caseload data'!$A:$A,"NPS North West Region",'caseload data'!$B:$B,"custody")</f>
        <v>0</v>
      </c>
      <c r="K232" s="204">
        <f>SUMIFS('caseload data'!L:L,'caseload data'!$D:$D,"SPO",'caseload data'!$A:$A,"NPS North West Region",'caseload data'!$B:$B,"custody")</f>
        <v>0</v>
      </c>
      <c r="L232" s="204">
        <f>SUMIFS('caseload data'!M:M,'caseload data'!$D:$D,"SPO",'caseload data'!$A:$A,"NPS North West Region",'caseload data'!$B:$B,"custody")</f>
        <v>0</v>
      </c>
      <c r="M232" s="204">
        <f>SUMIFS('caseload data'!N:N,'caseload data'!$D:$D,"SPO",'caseload data'!$A:$A,"NPS North West Region",'caseload data'!$B:$B,"custody")</f>
        <v>0</v>
      </c>
      <c r="N232" s="204">
        <f>SUMIFS('caseload data'!O:O,'caseload data'!$D:$D,"SPO",'caseload data'!$A:$A,"NPS North West Region",'caseload data'!$B:$B,"custody")</f>
        <v>0</v>
      </c>
      <c r="O232" s="204">
        <f>SUMIFS('caseload data'!P:P,'caseload data'!$D:$D,"SPO",'caseload data'!$A:$A,"NPS North West Region",'caseload data'!$B:$B,"custody")</f>
        <v>0</v>
      </c>
      <c r="P232" s="204">
        <f>SUMIFS('caseload data'!Q:Q,'caseload data'!$D:$D,"SPO",'caseload data'!$A:$A,"NPS North West Region",'caseload data'!$B:$B,"custody")</f>
        <v>0</v>
      </c>
      <c r="Q232" s="204">
        <f>SUMIFS('caseload data'!R:R,'caseload data'!$D:$D,"SPO",'caseload data'!$A:$A,"NPS North West Region",'caseload data'!$B:$B,"custody")</f>
        <v>0</v>
      </c>
      <c r="R232" s="204">
        <f>SUMIFS('caseload data'!S:S,'caseload data'!$D:$D,"SPO",'caseload data'!$A:$A,"NPS North West Region",'caseload data'!$B:$B,"custody")</f>
        <v>0</v>
      </c>
      <c r="S232" s="204">
        <f>SUMIFS('caseload data'!T:T,'caseload data'!$D:$D,"SPO",'caseload data'!$A:$A,"NPS North West Region",'caseload data'!$B:$B,"custody")</f>
        <v>0</v>
      </c>
      <c r="T232" s="126">
        <f>SUMIFS('caseload data'!V:V,'caseload data'!$D:$D,"SPO",'caseload data'!$A:$A,"NPS North West Region",'caseload data'!$B:$B,"custody")</f>
        <v>0</v>
      </c>
      <c r="U232" s="95"/>
      <c r="V232" s="95"/>
      <c r="W232" s="332"/>
      <c r="X232" s="163" t="s">
        <v>187</v>
      </c>
      <c r="Y232" s="209" t="e">
        <f>SUM(D232)/SUM(D$229:D$232)</f>
        <v>#DIV/0!</v>
      </c>
      <c r="Z232" s="209" t="e">
        <f t="shared" si="71"/>
        <v>#DIV/0!</v>
      </c>
      <c r="AA232" s="209" t="e">
        <f t="shared" si="71"/>
        <v>#DIV/0!</v>
      </c>
      <c r="AB232" s="209" t="e">
        <f t="shared" si="71"/>
        <v>#DIV/0!</v>
      </c>
      <c r="AC232" s="209" t="e">
        <f t="shared" si="71"/>
        <v>#DIV/0!</v>
      </c>
      <c r="AD232" s="209" t="e">
        <f t="shared" si="71"/>
        <v>#DIV/0!</v>
      </c>
      <c r="AE232" s="209" t="e">
        <f t="shared" si="71"/>
        <v>#DIV/0!</v>
      </c>
      <c r="AF232" s="209" t="e">
        <f t="shared" si="71"/>
        <v>#DIV/0!</v>
      </c>
      <c r="AG232" s="209" t="e">
        <f t="shared" si="71"/>
        <v>#DIV/0!</v>
      </c>
      <c r="AH232" s="209" t="e">
        <f t="shared" si="71"/>
        <v>#DIV/0!</v>
      </c>
      <c r="AI232" s="209" t="e">
        <f t="shared" si="71"/>
        <v>#DIV/0!</v>
      </c>
      <c r="AJ232" s="209" t="e">
        <f t="shared" si="71"/>
        <v>#DIV/0!</v>
      </c>
      <c r="AK232" s="209" t="e">
        <f t="shared" si="71"/>
        <v>#DIV/0!</v>
      </c>
      <c r="AL232" s="209" t="e">
        <f t="shared" si="71"/>
        <v>#DIV/0!</v>
      </c>
      <c r="AM232" s="209" t="e">
        <f t="shared" si="71"/>
        <v>#DIV/0!</v>
      </c>
      <c r="AN232" s="209" t="e">
        <f t="shared" si="71"/>
        <v>#DIV/0!</v>
      </c>
    </row>
    <row r="233" spans="2:40" s="30" customFormat="1" x14ac:dyDescent="0.15">
      <c r="B233" s="329" t="s">
        <v>1132</v>
      </c>
      <c r="C233" s="161" t="s">
        <v>184</v>
      </c>
      <c r="D233" s="204">
        <f>SUMIFS('caseload data'!E:E,'caseload data'!$D:$D,"PO",'caseload data'!$A:$A,'national caseload'!$B$233:$B$235,'caseload data'!$B:$B,"custody")</f>
        <v>0</v>
      </c>
      <c r="E233" s="204">
        <f>SUMIFS('caseload data'!F:F,'caseload data'!$D:$D,"PO",'caseload data'!$A:$A,'national caseload'!$B$233:$B$235,'caseload data'!$B:$B,"custody")</f>
        <v>0</v>
      </c>
      <c r="F233" s="204">
        <f>SUMIFS('caseload data'!G:G,'caseload data'!$D:$D,"PO",'caseload data'!$A:$A,'national caseload'!$B$233:$B$235,'caseload data'!$B:$B,"custody")</f>
        <v>0</v>
      </c>
      <c r="G233" s="204">
        <f>SUMIFS('caseload data'!H:H,'caseload data'!$D:$D,"PO",'caseload data'!$A:$A,'national caseload'!$B$233:$B$235,'caseload data'!$B:$B,"custody")</f>
        <v>0</v>
      </c>
      <c r="H233" s="204">
        <f>SUMIFS('caseload data'!I:I,'caseload data'!$D:$D,"PO",'caseload data'!$A:$A,'national caseload'!$B$233:$B$235,'caseload data'!$B:$B,"custody")</f>
        <v>0</v>
      </c>
      <c r="I233" s="204">
        <f>SUMIFS('caseload data'!J:J,'caseload data'!$D:$D,"PO",'caseload data'!$A:$A,'national caseload'!$B$233:$B$235,'caseload data'!$B:$B,"custody")</f>
        <v>0</v>
      </c>
      <c r="J233" s="204">
        <f>SUMIFS('caseload data'!K:K,'caseload data'!$D:$D,"PO",'caseload data'!$A:$A,'national caseload'!$B$233:$B$235,'caseload data'!$B:$B,"custody")</f>
        <v>0</v>
      </c>
      <c r="K233" s="204">
        <f>SUMIFS('caseload data'!L:L,'caseload data'!$D:$D,"PO",'caseload data'!$A:$A,'national caseload'!$B$233:$B$235,'caseload data'!$B:$B,"custody")</f>
        <v>0</v>
      </c>
      <c r="L233" s="204">
        <f>SUMIFS('caseload data'!M:M,'caseload data'!$D:$D,"PO",'caseload data'!$A:$A,'national caseload'!$B$233:$B$235,'caseload data'!$B:$B,"custody")</f>
        <v>0</v>
      </c>
      <c r="M233" s="204">
        <f>SUMIFS('caseload data'!N:N,'caseload data'!$D:$D,"PO",'caseload data'!$A:$A,'national caseload'!$B$233:$B$235,'caseload data'!$B:$B,"custody")</f>
        <v>0</v>
      </c>
      <c r="N233" s="204">
        <f>SUMIFS('caseload data'!O:O,'caseload data'!$D:$D,"PO",'caseload data'!$A:$A,'national caseload'!$B$233:$B$235,'caseload data'!$B:$B,"custody")</f>
        <v>0</v>
      </c>
      <c r="O233" s="204">
        <f>SUMIFS('caseload data'!P:P,'caseload data'!$D:$D,"PO",'caseload data'!$A:$A,'national caseload'!$B$233:$B$235,'caseload data'!$B:$B,"custody")</f>
        <v>0</v>
      </c>
      <c r="P233" s="204">
        <f>SUMIFS('caseload data'!Q:Q,'caseload data'!$D:$D,"PO",'caseload data'!$A:$A,'national caseload'!$B$233:$B$235,'caseload data'!$B:$B,"custody")</f>
        <v>0</v>
      </c>
      <c r="Q233" s="204">
        <f>SUMIFS('caseload data'!R:R,'caseload data'!$D:$D,"PO",'caseload data'!$A:$A,'national caseload'!$B$233:$B$235,'caseload data'!$B:$B,"custody")</f>
        <v>0</v>
      </c>
      <c r="R233" s="204">
        <f>SUMIFS('caseload data'!S:S,'caseload data'!$D:$D,"PO",'caseload data'!$A:$A,'national caseload'!$B$233:$B$235,'caseload data'!$B:$B,"custody")</f>
        <v>0</v>
      </c>
      <c r="S233" s="204">
        <f>SUMIFS('caseload data'!T:T,'caseload data'!$D:$D,"PO",'caseload data'!$A:$A,'national caseload'!$B$233:$B$235,'caseload data'!$B:$B,"custody")</f>
        <v>0</v>
      </c>
      <c r="T233" s="126">
        <f>SUMIFS('caseload data'!V:V,'caseload data'!D:D,"PO",'caseload data'!A:A,'national caseload'!B233:B235,'caseload data'!B:B,"custody")</f>
        <v>0</v>
      </c>
      <c r="U233" s="95"/>
      <c r="V233" s="95"/>
      <c r="W233" s="329" t="s">
        <v>1132</v>
      </c>
      <c r="X233" s="161" t="s">
        <v>184</v>
      </c>
      <c r="Y233" s="209" t="e">
        <f>SUM(D233)/SUM(D$233:D$235)</f>
        <v>#DIV/0!</v>
      </c>
      <c r="Z233" s="209" t="e">
        <f t="shared" ref="Z233:AN236" si="72">SUM(E233)/SUM(E$233:E$235)</f>
        <v>#DIV/0!</v>
      </c>
      <c r="AA233" s="209" t="e">
        <f t="shared" si="72"/>
        <v>#DIV/0!</v>
      </c>
      <c r="AB233" s="209" t="e">
        <f t="shared" si="72"/>
        <v>#DIV/0!</v>
      </c>
      <c r="AC233" s="209" t="e">
        <f t="shared" si="72"/>
        <v>#DIV/0!</v>
      </c>
      <c r="AD233" s="209" t="e">
        <f t="shared" si="72"/>
        <v>#DIV/0!</v>
      </c>
      <c r="AE233" s="209" t="e">
        <f t="shared" si="72"/>
        <v>#DIV/0!</v>
      </c>
      <c r="AF233" s="209" t="e">
        <f t="shared" si="72"/>
        <v>#DIV/0!</v>
      </c>
      <c r="AG233" s="209" t="e">
        <f t="shared" si="72"/>
        <v>#DIV/0!</v>
      </c>
      <c r="AH233" s="209" t="e">
        <f t="shared" si="72"/>
        <v>#DIV/0!</v>
      </c>
      <c r="AI233" s="209" t="e">
        <f t="shared" si="72"/>
        <v>#DIV/0!</v>
      </c>
      <c r="AJ233" s="209" t="e">
        <f t="shared" si="72"/>
        <v>#DIV/0!</v>
      </c>
      <c r="AK233" s="209" t="e">
        <f t="shared" si="72"/>
        <v>#DIV/0!</v>
      </c>
      <c r="AL233" s="209" t="e">
        <f t="shared" si="72"/>
        <v>#DIV/0!</v>
      </c>
      <c r="AM233" s="209" t="e">
        <f t="shared" si="72"/>
        <v>#DIV/0!</v>
      </c>
      <c r="AN233" s="209" t="e">
        <f t="shared" si="72"/>
        <v>#DIV/0!</v>
      </c>
    </row>
    <row r="234" spans="2:40" s="30" customFormat="1" x14ac:dyDescent="0.15">
      <c r="B234" s="330"/>
      <c r="C234" s="162" t="s">
        <v>185</v>
      </c>
      <c r="D234" s="204">
        <f>SUMIFS('caseload data'!E:E,'caseload data'!$D:$D,"PSO",'caseload data'!$A:$A,"South Central",'caseload data'!$B:$B,"custody")</f>
        <v>0</v>
      </c>
      <c r="E234" s="204">
        <f>SUMIFS('caseload data'!F:F,'caseload data'!$D:$D,"PSO",'caseload data'!$A:$A,"South Central",'caseload data'!$B:$B,"custody")</f>
        <v>0</v>
      </c>
      <c r="F234" s="204">
        <f>SUMIFS('caseload data'!G:G,'caseload data'!$D:$D,"PSO",'caseload data'!$A:$A,"South Central",'caseload data'!$B:$B,"custody")</f>
        <v>0</v>
      </c>
      <c r="G234" s="204">
        <f>SUMIFS('caseload data'!H:H,'caseload data'!$D:$D,"PSO",'caseload data'!$A:$A,"South Central",'caseload data'!$B:$B,"custody")</f>
        <v>0</v>
      </c>
      <c r="H234" s="204">
        <f>SUMIFS('caseload data'!I:I,'caseload data'!$D:$D,"PSO",'caseload data'!$A:$A,"South Central",'caseload data'!$B:$B,"custody")</f>
        <v>0</v>
      </c>
      <c r="I234" s="204">
        <f>SUMIFS('caseload data'!J:J,'caseload data'!$D:$D,"PSO",'caseload data'!$A:$A,"South Central",'caseload data'!$B:$B,"custody")</f>
        <v>0</v>
      </c>
      <c r="J234" s="204">
        <f>SUMIFS('caseload data'!K:K,'caseload data'!$D:$D,"PSO",'caseload data'!$A:$A,"South Central",'caseload data'!$B:$B,"custody")</f>
        <v>0</v>
      </c>
      <c r="K234" s="204">
        <f>SUMIFS('caseload data'!L:L,'caseload data'!$D:$D,"PSO",'caseload data'!$A:$A,"South Central",'caseload data'!$B:$B,"custody")</f>
        <v>0</v>
      </c>
      <c r="L234" s="204">
        <f>SUMIFS('caseload data'!M:M,'caseload data'!$D:$D,"PSO",'caseload data'!$A:$A,"South Central",'caseload data'!$B:$B,"custody")</f>
        <v>0</v>
      </c>
      <c r="M234" s="204">
        <f>SUMIFS('caseload data'!N:N,'caseload data'!$D:$D,"PSO",'caseload data'!$A:$A,"South Central",'caseload data'!$B:$B,"custody")</f>
        <v>0</v>
      </c>
      <c r="N234" s="204">
        <f>SUMIFS('caseload data'!O:O,'caseload data'!$D:$D,"PSO",'caseload data'!$A:$A,"South Central",'caseload data'!$B:$B,"custody")</f>
        <v>0</v>
      </c>
      <c r="O234" s="204">
        <f>SUMIFS('caseload data'!P:P,'caseload data'!$D:$D,"PSO",'caseload data'!$A:$A,"South Central",'caseload data'!$B:$B,"custody")</f>
        <v>0</v>
      </c>
      <c r="P234" s="204">
        <f>SUMIFS('caseload data'!Q:Q,'caseload data'!$D:$D,"PSO",'caseload data'!$A:$A,"South Central",'caseload data'!$B:$B,"custody")</f>
        <v>0</v>
      </c>
      <c r="Q234" s="204">
        <f>SUMIFS('caseload data'!R:R,'caseload data'!$D:$D,"PSO",'caseload data'!$A:$A,"South Central",'caseload data'!$B:$B,"custody")</f>
        <v>0</v>
      </c>
      <c r="R234" s="204">
        <f>SUMIFS('caseload data'!S:S,'caseload data'!$D:$D,"PSO",'caseload data'!$A:$A,"South Central",'caseload data'!$B:$B,"custody")</f>
        <v>0</v>
      </c>
      <c r="S234" s="204">
        <f>SUMIFS('caseload data'!T:T,'caseload data'!$D:$D,"PSO",'caseload data'!$A:$A,"South Central",'caseload data'!$B:$B,"custody")</f>
        <v>0</v>
      </c>
      <c r="T234" s="126">
        <f>SUMIFS('caseload data'!V:V,'caseload data'!D:D,"PSO",'caseload data'!A:A,"South Central",'caseload data'!B:B,"custody")</f>
        <v>0</v>
      </c>
      <c r="U234" s="95"/>
      <c r="V234" s="95"/>
      <c r="W234" s="330"/>
      <c r="X234" s="162" t="s">
        <v>185</v>
      </c>
      <c r="Y234" s="209" t="e">
        <f>SUM(D234)/SUM(D$233:D$235)</f>
        <v>#DIV/0!</v>
      </c>
      <c r="Z234" s="209" t="e">
        <f t="shared" si="72"/>
        <v>#DIV/0!</v>
      </c>
      <c r="AA234" s="209" t="e">
        <f t="shared" si="72"/>
        <v>#DIV/0!</v>
      </c>
      <c r="AB234" s="209" t="e">
        <f t="shared" si="72"/>
        <v>#DIV/0!</v>
      </c>
      <c r="AC234" s="209" t="e">
        <f t="shared" si="72"/>
        <v>#DIV/0!</v>
      </c>
      <c r="AD234" s="209" t="e">
        <f t="shared" si="72"/>
        <v>#DIV/0!</v>
      </c>
      <c r="AE234" s="209" t="e">
        <f t="shared" si="72"/>
        <v>#DIV/0!</v>
      </c>
      <c r="AF234" s="209" t="e">
        <f t="shared" si="72"/>
        <v>#DIV/0!</v>
      </c>
      <c r="AG234" s="209" t="e">
        <f t="shared" si="72"/>
        <v>#DIV/0!</v>
      </c>
      <c r="AH234" s="209" t="e">
        <f t="shared" si="72"/>
        <v>#DIV/0!</v>
      </c>
      <c r="AI234" s="209" t="e">
        <f t="shared" si="72"/>
        <v>#DIV/0!</v>
      </c>
      <c r="AJ234" s="209" t="e">
        <f t="shared" si="72"/>
        <v>#DIV/0!</v>
      </c>
      <c r="AK234" s="209" t="e">
        <f t="shared" si="72"/>
        <v>#DIV/0!</v>
      </c>
      <c r="AL234" s="209" t="e">
        <f t="shared" si="72"/>
        <v>#DIV/0!</v>
      </c>
      <c r="AM234" s="209" t="e">
        <f t="shared" si="72"/>
        <v>#DIV/0!</v>
      </c>
      <c r="AN234" s="209" t="e">
        <f t="shared" si="72"/>
        <v>#DIV/0!</v>
      </c>
    </row>
    <row r="235" spans="2:40" s="30" customFormat="1" x14ac:dyDescent="0.15">
      <c r="B235" s="330"/>
      <c r="C235" s="162" t="s">
        <v>186</v>
      </c>
      <c r="D235" s="204">
        <f>SUMIFS('caseload data'!E:E,'caseload data'!$D:$D,"TPO",'caseload data'!$A:$A,"South Central",'caseload data'!$B:$B,"custody")</f>
        <v>0</v>
      </c>
      <c r="E235" s="204">
        <f>SUMIFS('caseload data'!F:F,'caseload data'!$D:$D,"TPO",'caseload data'!$A:$A,"South Central",'caseload data'!$B:$B,"custody")</f>
        <v>0</v>
      </c>
      <c r="F235" s="204">
        <f>SUMIFS('caseload data'!G:G,'caseload data'!$D:$D,"TPO",'caseload data'!$A:$A,"South Central",'caseload data'!$B:$B,"custody")</f>
        <v>0</v>
      </c>
      <c r="G235" s="204">
        <f>SUMIFS('caseload data'!H:H,'caseload data'!$D:$D,"TPO",'caseload data'!$A:$A,"South Central",'caseload data'!$B:$B,"custody")</f>
        <v>0</v>
      </c>
      <c r="H235" s="204">
        <f>SUMIFS('caseload data'!I:I,'caseload data'!$D:$D,"TPO",'caseload data'!$A:$A,"South Central",'caseload data'!$B:$B,"custody")</f>
        <v>0</v>
      </c>
      <c r="I235" s="204">
        <f>SUMIFS('caseload data'!J:J,'caseload data'!$D:$D,"TPO",'caseload data'!$A:$A,"South Central",'caseload data'!$B:$B,"custody")</f>
        <v>0</v>
      </c>
      <c r="J235" s="204">
        <f>SUMIFS('caseload data'!K:K,'caseload data'!$D:$D,"TPO",'caseload data'!$A:$A,"South Central",'caseload data'!$B:$B,"custody")</f>
        <v>0</v>
      </c>
      <c r="K235" s="204">
        <f>SUMIFS('caseload data'!L:L,'caseload data'!$D:$D,"TPO",'caseload data'!$A:$A,"South Central",'caseload data'!$B:$B,"custody")</f>
        <v>0</v>
      </c>
      <c r="L235" s="204">
        <f>SUMIFS('caseload data'!M:M,'caseload data'!$D:$D,"TPO",'caseload data'!$A:$A,"South Central",'caseload data'!$B:$B,"custody")</f>
        <v>0</v>
      </c>
      <c r="M235" s="204">
        <f>SUMIFS('caseload data'!N:N,'caseload data'!$D:$D,"TPO",'caseload data'!$A:$A,"South Central",'caseload data'!$B:$B,"custody")</f>
        <v>0</v>
      </c>
      <c r="N235" s="204">
        <f>SUMIFS('caseload data'!O:O,'caseload data'!$D:$D,"TPO",'caseload data'!$A:$A,"South Central",'caseload data'!$B:$B,"custody")</f>
        <v>0</v>
      </c>
      <c r="O235" s="204">
        <f>SUMIFS('caseload data'!P:P,'caseload data'!$D:$D,"TPO",'caseload data'!$A:$A,"South Central",'caseload data'!$B:$B,"custody")</f>
        <v>0</v>
      </c>
      <c r="P235" s="204">
        <f>SUMIFS('caseload data'!Q:Q,'caseload data'!$D:$D,"TPO",'caseload data'!$A:$A,"South Central",'caseload data'!$B:$B,"custody")</f>
        <v>0</v>
      </c>
      <c r="Q235" s="204">
        <f>SUMIFS('caseload data'!R:R,'caseload data'!$D:$D,"TPO",'caseload data'!$A:$A,"South Central",'caseload data'!$B:$B,"custody")</f>
        <v>0</v>
      </c>
      <c r="R235" s="204">
        <f>SUMIFS('caseload data'!S:S,'caseload data'!$D:$D,"TPO",'caseload data'!$A:$A,"South Central",'caseload data'!$B:$B,"custody")</f>
        <v>0</v>
      </c>
      <c r="S235" s="204">
        <f>SUMIFS('caseload data'!T:T,'caseload data'!$D:$D,"TPO",'caseload data'!$A:$A,"South Central",'caseload data'!$B:$B,"custody")</f>
        <v>0</v>
      </c>
      <c r="T235" s="126">
        <f>SUMIFS('caseload data'!V:V,'caseload data'!D:D,"TPO",'caseload data'!A:A,"South Central",'caseload data'!B:B,"custody")</f>
        <v>0</v>
      </c>
      <c r="U235" s="95"/>
      <c r="V235" s="95"/>
      <c r="W235" s="330"/>
      <c r="X235" s="162" t="s">
        <v>186</v>
      </c>
      <c r="Y235" s="209" t="e">
        <f>SUM(D235)/SUM(D$233:D$235)</f>
        <v>#DIV/0!</v>
      </c>
      <c r="Z235" s="209" t="e">
        <f t="shared" si="72"/>
        <v>#DIV/0!</v>
      </c>
      <c r="AA235" s="209" t="e">
        <f t="shared" si="72"/>
        <v>#DIV/0!</v>
      </c>
      <c r="AB235" s="209" t="e">
        <f t="shared" si="72"/>
        <v>#DIV/0!</v>
      </c>
      <c r="AC235" s="209" t="e">
        <f t="shared" si="72"/>
        <v>#DIV/0!</v>
      </c>
      <c r="AD235" s="209" t="e">
        <f t="shared" si="72"/>
        <v>#DIV/0!</v>
      </c>
      <c r="AE235" s="209" t="e">
        <f t="shared" si="72"/>
        <v>#DIV/0!</v>
      </c>
      <c r="AF235" s="209" t="e">
        <f t="shared" si="72"/>
        <v>#DIV/0!</v>
      </c>
      <c r="AG235" s="209" t="e">
        <f t="shared" si="72"/>
        <v>#DIV/0!</v>
      </c>
      <c r="AH235" s="209" t="e">
        <f t="shared" si="72"/>
        <v>#DIV/0!</v>
      </c>
      <c r="AI235" s="209" t="e">
        <f t="shared" si="72"/>
        <v>#DIV/0!</v>
      </c>
      <c r="AJ235" s="209" t="e">
        <f t="shared" si="72"/>
        <v>#DIV/0!</v>
      </c>
      <c r="AK235" s="209" t="e">
        <f t="shared" si="72"/>
        <v>#DIV/0!</v>
      </c>
      <c r="AL235" s="209" t="e">
        <f t="shared" si="72"/>
        <v>#DIV/0!</v>
      </c>
      <c r="AM235" s="209" t="e">
        <f t="shared" si="72"/>
        <v>#DIV/0!</v>
      </c>
      <c r="AN235" s="209" t="e">
        <f t="shared" si="72"/>
        <v>#DIV/0!</v>
      </c>
    </row>
    <row r="236" spans="2:40" s="30" customFormat="1" x14ac:dyDescent="0.15">
      <c r="B236" s="332"/>
      <c r="C236" s="163" t="s">
        <v>187</v>
      </c>
      <c r="D236" s="204">
        <f>SUMIFS('caseload data'!E:E,'caseload data'!$D:$D,"SPO",'caseload data'!$A:$A,"South Central",'caseload data'!$B:$B,"custody")</f>
        <v>0</v>
      </c>
      <c r="E236" s="204">
        <f>SUMIFS('caseload data'!F:F,'caseload data'!$D:$D,"SPO",'caseload data'!$A:$A,"South Central",'caseload data'!$B:$B,"custody")</f>
        <v>0</v>
      </c>
      <c r="F236" s="204">
        <f>SUMIFS('caseload data'!G:G,'caseload data'!$D:$D,"SPO",'caseload data'!$A:$A,"South Central",'caseload data'!$B:$B,"custody")</f>
        <v>0</v>
      </c>
      <c r="G236" s="204">
        <f>SUMIFS('caseload data'!H:H,'caseload data'!$D:$D,"SPO",'caseload data'!$A:$A,"South Central",'caseload data'!$B:$B,"custody")</f>
        <v>0</v>
      </c>
      <c r="H236" s="204">
        <f>SUMIFS('caseload data'!I:I,'caseload data'!$D:$D,"SPO",'caseload data'!$A:$A,"South Central",'caseload data'!$B:$B,"custody")</f>
        <v>0</v>
      </c>
      <c r="I236" s="204">
        <f>SUMIFS('caseload data'!J:J,'caseload data'!$D:$D,"SPO",'caseload data'!$A:$A,"South Central",'caseload data'!$B:$B,"custody")</f>
        <v>0</v>
      </c>
      <c r="J236" s="204">
        <f>SUMIFS('caseload data'!K:K,'caseload data'!$D:$D,"SPO",'caseload data'!$A:$A,"South Central",'caseload data'!$B:$B,"custody")</f>
        <v>0</v>
      </c>
      <c r="K236" s="204">
        <f>SUMIFS('caseload data'!L:L,'caseload data'!$D:$D,"SPO",'caseload data'!$A:$A,"South Central",'caseload data'!$B:$B,"custody")</f>
        <v>0</v>
      </c>
      <c r="L236" s="204">
        <f>SUMIFS('caseload data'!M:M,'caseload data'!$D:$D,"SPO",'caseload data'!$A:$A,"South Central",'caseload data'!$B:$B,"custody")</f>
        <v>0</v>
      </c>
      <c r="M236" s="204">
        <f>SUMIFS('caseload data'!N:N,'caseload data'!$D:$D,"SPO",'caseload data'!$A:$A,"South Central",'caseload data'!$B:$B,"custody")</f>
        <v>0</v>
      </c>
      <c r="N236" s="204">
        <f>SUMIFS('caseload data'!O:O,'caseload data'!$D:$D,"SPO",'caseload data'!$A:$A,"South Central",'caseload data'!$B:$B,"custody")</f>
        <v>0</v>
      </c>
      <c r="O236" s="204">
        <f>SUMIFS('caseload data'!P:P,'caseload data'!$D:$D,"SPO",'caseload data'!$A:$A,"South Central",'caseload data'!$B:$B,"custody")</f>
        <v>0</v>
      </c>
      <c r="P236" s="204">
        <f>SUMIFS('caseload data'!Q:Q,'caseload data'!$D:$D,"SPO",'caseload data'!$A:$A,"South Central",'caseload data'!$B:$B,"custody")</f>
        <v>0</v>
      </c>
      <c r="Q236" s="204">
        <f>SUMIFS('caseload data'!R:R,'caseload data'!$D:$D,"SPO",'caseload data'!$A:$A,"South Central",'caseload data'!$B:$B,"custody")</f>
        <v>0</v>
      </c>
      <c r="R236" s="204">
        <f>SUMIFS('caseload data'!S:S,'caseload data'!$D:$D,"SPO",'caseload data'!$A:$A,"South Central",'caseload data'!$B:$B,"custody")</f>
        <v>0</v>
      </c>
      <c r="S236" s="204">
        <f>SUMIFS('caseload data'!T:T,'caseload data'!$D:$D,"SPO",'caseload data'!$A:$A,"South Central",'caseload data'!$B:$B,"custody")</f>
        <v>0</v>
      </c>
      <c r="T236" s="126">
        <f>SUMIFS('caseload data'!V:V,'caseload data'!$D:$D,"SPO",'caseload data'!$A:$A,"South Central",'caseload data'!$B:$B,"custody")</f>
        <v>0</v>
      </c>
      <c r="U236" s="95"/>
      <c r="V236" s="95"/>
      <c r="W236" s="332"/>
      <c r="X236" s="163" t="s">
        <v>187</v>
      </c>
      <c r="Y236" s="209" t="e">
        <f>SUM(D236)/SUM(D$233:D$235)</f>
        <v>#DIV/0!</v>
      </c>
      <c r="Z236" s="209" t="e">
        <f t="shared" si="72"/>
        <v>#DIV/0!</v>
      </c>
      <c r="AA236" s="209" t="e">
        <f t="shared" si="72"/>
        <v>#DIV/0!</v>
      </c>
      <c r="AB236" s="209" t="e">
        <f t="shared" si="72"/>
        <v>#DIV/0!</v>
      </c>
      <c r="AC236" s="209" t="e">
        <f t="shared" si="72"/>
        <v>#DIV/0!</v>
      </c>
      <c r="AD236" s="209" t="e">
        <f t="shared" si="72"/>
        <v>#DIV/0!</v>
      </c>
      <c r="AE236" s="209" t="e">
        <f t="shared" si="72"/>
        <v>#DIV/0!</v>
      </c>
      <c r="AF236" s="209" t="e">
        <f t="shared" si="72"/>
        <v>#DIV/0!</v>
      </c>
      <c r="AG236" s="209" t="e">
        <f t="shared" si="72"/>
        <v>#DIV/0!</v>
      </c>
      <c r="AH236" s="209" t="e">
        <f t="shared" si="72"/>
        <v>#DIV/0!</v>
      </c>
      <c r="AI236" s="209" t="e">
        <f t="shared" si="72"/>
        <v>#DIV/0!</v>
      </c>
      <c r="AJ236" s="209" t="e">
        <f t="shared" si="72"/>
        <v>#DIV/0!</v>
      </c>
      <c r="AK236" s="209" t="e">
        <f t="shared" si="72"/>
        <v>#DIV/0!</v>
      </c>
      <c r="AL236" s="209" t="e">
        <f t="shared" si="72"/>
        <v>#DIV/0!</v>
      </c>
      <c r="AM236" s="209" t="e">
        <f t="shared" si="72"/>
        <v>#DIV/0!</v>
      </c>
      <c r="AN236" s="209" t="e">
        <f t="shared" si="72"/>
        <v>#DIV/0!</v>
      </c>
    </row>
    <row r="237" spans="2:40" s="30" customFormat="1" x14ac:dyDescent="0.15">
      <c r="B237" s="329" t="s">
        <v>1217</v>
      </c>
      <c r="C237" s="161" t="s">
        <v>184</v>
      </c>
      <c r="D237" s="204">
        <f>SUMIFS('caseload data'!E:E,'caseload data'!$D:$D,"PO",'caseload data'!$A:$A,'national caseload'!$B$237:$B$239,'caseload data'!$B:$B,"custody")</f>
        <v>0</v>
      </c>
      <c r="E237" s="204">
        <f>SUMIFS('caseload data'!F:F,'caseload data'!$D:$D,"PO",'caseload data'!$A:$A,'national caseload'!$B$237:$B$239,'caseload data'!$B:$B,"custody")</f>
        <v>0</v>
      </c>
      <c r="F237" s="204">
        <f>SUMIFS('caseload data'!G:G,'caseload data'!$D:$D,"PO",'caseload data'!$A:$A,'national caseload'!$B$237:$B$239,'caseload data'!$B:$B,"custody")</f>
        <v>0</v>
      </c>
      <c r="G237" s="204">
        <f>SUMIFS('caseload data'!H:H,'caseload data'!$D:$D,"PO",'caseload data'!$A:$A,'national caseload'!$B$237:$B$239,'caseload data'!$B:$B,"custody")</f>
        <v>0</v>
      </c>
      <c r="H237" s="204">
        <f>SUMIFS('caseload data'!I:I,'caseload data'!$D:$D,"PO",'caseload data'!$A:$A,'national caseload'!$B$237:$B$239,'caseload data'!$B:$B,"custody")</f>
        <v>0</v>
      </c>
      <c r="I237" s="204">
        <f>SUMIFS('caseload data'!J:J,'caseload data'!$D:$D,"PO",'caseload data'!$A:$A,'national caseload'!$B$237:$B$239,'caseload data'!$B:$B,"custody")</f>
        <v>0</v>
      </c>
      <c r="J237" s="204">
        <f>SUMIFS('caseload data'!K:K,'caseload data'!$D:$D,"PO",'caseload data'!$A:$A,'national caseload'!$B$237:$B$239,'caseload data'!$B:$B,"custody")</f>
        <v>0</v>
      </c>
      <c r="K237" s="204">
        <f>SUMIFS('caseload data'!L:L,'caseload data'!$D:$D,"PO",'caseload data'!$A:$A,'national caseload'!$B$237:$B$239,'caseload data'!$B:$B,"custody")</f>
        <v>0</v>
      </c>
      <c r="L237" s="204">
        <f>SUMIFS('caseload data'!M:M,'caseload data'!$D:$D,"PO",'caseload data'!$A:$A,'national caseload'!$B$237:$B$239,'caseload data'!$B:$B,"custody")</f>
        <v>0</v>
      </c>
      <c r="M237" s="204">
        <f>SUMIFS('caseload data'!N:N,'caseload data'!$D:$D,"PO",'caseload data'!$A:$A,'national caseload'!$B$237:$B$239,'caseload data'!$B:$B,"custody")</f>
        <v>0</v>
      </c>
      <c r="N237" s="204">
        <f>SUMIFS('caseload data'!O:O,'caseload data'!$D:$D,"PO",'caseload data'!$A:$A,'national caseload'!$B$237:$B$239,'caseload data'!$B:$B,"custody")</f>
        <v>0</v>
      </c>
      <c r="O237" s="204">
        <f>SUMIFS('caseload data'!P:P,'caseload data'!$D:$D,"PO",'caseload data'!$A:$A,'national caseload'!$B$237:$B$239,'caseload data'!$B:$B,"custody")</f>
        <v>0</v>
      </c>
      <c r="P237" s="204">
        <f>SUMIFS('caseload data'!Q:Q,'caseload data'!$D:$D,"PO",'caseload data'!$A:$A,'national caseload'!$B$237:$B$239,'caseload data'!$B:$B,"custody")</f>
        <v>0</v>
      </c>
      <c r="Q237" s="204">
        <f>SUMIFS('caseload data'!R:R,'caseload data'!$D:$D,"PO",'caseload data'!$A:$A,'national caseload'!$B$237:$B$239,'caseload data'!$B:$B,"custody")</f>
        <v>0</v>
      </c>
      <c r="R237" s="204">
        <f>SUMIFS('caseload data'!S:S,'caseload data'!$D:$D,"PO",'caseload data'!$A:$A,'national caseload'!$B$237:$B$239,'caseload data'!$B:$B,"custody")</f>
        <v>0</v>
      </c>
      <c r="S237" s="204">
        <f>SUMIFS('caseload data'!T:T,'caseload data'!$D:$D,"PO",'caseload data'!$A:$A,'national caseload'!$B$237:$B$239,'caseload data'!$B:$B,"custody")</f>
        <v>0</v>
      </c>
      <c r="T237" s="126">
        <f>SUMIFS('caseload data'!V:V,'caseload data'!D:D,"PO",'caseload data'!A:A,'national caseload'!B237:B239,'caseload data'!B:B,"custody")</f>
        <v>0</v>
      </c>
      <c r="U237" s="95"/>
      <c r="V237" s="95"/>
      <c r="W237" s="329" t="s">
        <v>1217</v>
      </c>
      <c r="X237" s="161" t="s">
        <v>184</v>
      </c>
      <c r="Y237" s="209" t="e">
        <f>SUM(D237)/SUM(D$237:D$240)</f>
        <v>#DIV/0!</v>
      </c>
      <c r="Z237" s="209" t="e">
        <f t="shared" ref="Z237:AN240" si="73">SUM(E237)/SUM(E$237:E$240)</f>
        <v>#DIV/0!</v>
      </c>
      <c r="AA237" s="209" t="e">
        <f t="shared" si="73"/>
        <v>#DIV/0!</v>
      </c>
      <c r="AB237" s="209" t="e">
        <f t="shared" si="73"/>
        <v>#DIV/0!</v>
      </c>
      <c r="AC237" s="209" t="e">
        <f t="shared" si="73"/>
        <v>#DIV/0!</v>
      </c>
      <c r="AD237" s="209" t="e">
        <f t="shared" si="73"/>
        <v>#DIV/0!</v>
      </c>
      <c r="AE237" s="209" t="e">
        <f t="shared" si="73"/>
        <v>#DIV/0!</v>
      </c>
      <c r="AF237" s="209" t="e">
        <f t="shared" si="73"/>
        <v>#DIV/0!</v>
      </c>
      <c r="AG237" s="209" t="e">
        <f t="shared" si="73"/>
        <v>#DIV/0!</v>
      </c>
      <c r="AH237" s="209" t="e">
        <f t="shared" si="73"/>
        <v>#DIV/0!</v>
      </c>
      <c r="AI237" s="209" t="e">
        <f t="shared" si="73"/>
        <v>#DIV/0!</v>
      </c>
      <c r="AJ237" s="209" t="e">
        <f t="shared" si="73"/>
        <v>#DIV/0!</v>
      </c>
      <c r="AK237" s="209" t="e">
        <f t="shared" si="73"/>
        <v>#DIV/0!</v>
      </c>
      <c r="AL237" s="209" t="e">
        <f t="shared" si="73"/>
        <v>#DIV/0!</v>
      </c>
      <c r="AM237" s="209" t="e">
        <f t="shared" si="73"/>
        <v>#DIV/0!</v>
      </c>
      <c r="AN237" s="209" t="e">
        <f t="shared" si="73"/>
        <v>#DIV/0!</v>
      </c>
    </row>
    <row r="238" spans="2:40" s="30" customFormat="1" x14ac:dyDescent="0.15">
      <c r="B238" s="330"/>
      <c r="C238" s="162" t="s">
        <v>185</v>
      </c>
      <c r="D238" s="204">
        <f>SUMIFS('caseload data'!E:E,'caseload data'!$D:$D,"PSO",'caseload data'!$A:$A,"South West",'caseload data'!$B:$B,"custody")</f>
        <v>0</v>
      </c>
      <c r="E238" s="204">
        <f>SUMIFS('caseload data'!F:F,'caseload data'!$D:$D,"PSO",'caseload data'!$A:$A,"South West",'caseload data'!$B:$B,"custody")</f>
        <v>0</v>
      </c>
      <c r="F238" s="204">
        <f>SUMIFS('caseload data'!G:G,'caseload data'!$D:$D,"PSO",'caseload data'!$A:$A,"South West",'caseload data'!$B:$B,"custody")</f>
        <v>0</v>
      </c>
      <c r="G238" s="204">
        <f>SUMIFS('caseload data'!H:H,'caseload data'!$D:$D,"PSO",'caseload data'!$A:$A,"South West",'caseload data'!$B:$B,"custody")</f>
        <v>0</v>
      </c>
      <c r="H238" s="204">
        <f>SUMIFS('caseload data'!I:I,'caseload data'!$D:$D,"PSO",'caseload data'!$A:$A,"South West",'caseload data'!$B:$B,"custody")</f>
        <v>0</v>
      </c>
      <c r="I238" s="204">
        <f>SUMIFS('caseload data'!J:J,'caseload data'!$D:$D,"PSO",'caseload data'!$A:$A,"South West",'caseload data'!$B:$B,"custody")</f>
        <v>0</v>
      </c>
      <c r="J238" s="204">
        <f>SUMIFS('caseload data'!K:K,'caseload data'!$D:$D,"PSO",'caseload data'!$A:$A,"South West",'caseload data'!$B:$B,"custody")</f>
        <v>0</v>
      </c>
      <c r="K238" s="204">
        <f>SUMIFS('caseload data'!L:L,'caseload data'!$D:$D,"PSO",'caseload data'!$A:$A,"South West",'caseload data'!$B:$B,"custody")</f>
        <v>0</v>
      </c>
      <c r="L238" s="204">
        <f>SUMIFS('caseload data'!M:M,'caseload data'!$D:$D,"PSO",'caseload data'!$A:$A,"South West",'caseload data'!$B:$B,"custody")</f>
        <v>0</v>
      </c>
      <c r="M238" s="204">
        <f>SUMIFS('caseload data'!N:N,'caseload data'!$D:$D,"PSO",'caseload data'!$A:$A,"South West",'caseload data'!$B:$B,"custody")</f>
        <v>0</v>
      </c>
      <c r="N238" s="204">
        <f>SUMIFS('caseload data'!O:O,'caseload data'!$D:$D,"PSO",'caseload data'!$A:$A,"South West",'caseload data'!$B:$B,"custody")</f>
        <v>0</v>
      </c>
      <c r="O238" s="204">
        <f>SUMIFS('caseload data'!P:P,'caseload data'!$D:$D,"PSO",'caseload data'!$A:$A,"South West",'caseload data'!$B:$B,"custody")</f>
        <v>0</v>
      </c>
      <c r="P238" s="204">
        <f>SUMIFS('caseload data'!Q:Q,'caseload data'!$D:$D,"PSO",'caseload data'!$A:$A,"South West",'caseload data'!$B:$B,"custody")</f>
        <v>0</v>
      </c>
      <c r="Q238" s="204">
        <f>SUMIFS('caseload data'!R:R,'caseload data'!$D:$D,"PSO",'caseload data'!$A:$A,"South West",'caseload data'!$B:$B,"custody")</f>
        <v>0</v>
      </c>
      <c r="R238" s="204">
        <f>SUMIFS('caseload data'!S:S,'caseload data'!$D:$D,"PSO",'caseload data'!$A:$A,"South West",'caseload data'!$B:$B,"custody")</f>
        <v>0</v>
      </c>
      <c r="S238" s="204">
        <f>SUMIFS('caseload data'!T:T,'caseload data'!$D:$D,"PSO",'caseload data'!$A:$A,"South West",'caseload data'!$B:$B,"custody")</f>
        <v>0</v>
      </c>
      <c r="T238" s="126">
        <f>SUMIFS('caseload data'!V:V,'caseload data'!D:D,"PSO",'caseload data'!A:A,"South West",'caseload data'!B:B,"custody")</f>
        <v>0</v>
      </c>
      <c r="U238" s="95"/>
      <c r="V238" s="95"/>
      <c r="W238" s="330"/>
      <c r="X238" s="162" t="s">
        <v>185</v>
      </c>
      <c r="Y238" s="209" t="e">
        <f>SUM(D238)/SUM(D$237:D$240)</f>
        <v>#DIV/0!</v>
      </c>
      <c r="Z238" s="209" t="e">
        <f t="shared" si="73"/>
        <v>#DIV/0!</v>
      </c>
      <c r="AA238" s="209" t="e">
        <f t="shared" si="73"/>
        <v>#DIV/0!</v>
      </c>
      <c r="AB238" s="209" t="e">
        <f t="shared" si="73"/>
        <v>#DIV/0!</v>
      </c>
      <c r="AC238" s="209" t="e">
        <f t="shared" si="73"/>
        <v>#DIV/0!</v>
      </c>
      <c r="AD238" s="209" t="e">
        <f t="shared" si="73"/>
        <v>#DIV/0!</v>
      </c>
      <c r="AE238" s="209" t="e">
        <f t="shared" si="73"/>
        <v>#DIV/0!</v>
      </c>
      <c r="AF238" s="209" t="e">
        <f t="shared" si="73"/>
        <v>#DIV/0!</v>
      </c>
      <c r="AG238" s="209" t="e">
        <f t="shared" si="73"/>
        <v>#DIV/0!</v>
      </c>
      <c r="AH238" s="209" t="e">
        <f t="shared" si="73"/>
        <v>#DIV/0!</v>
      </c>
      <c r="AI238" s="209" t="e">
        <f t="shared" si="73"/>
        <v>#DIV/0!</v>
      </c>
      <c r="AJ238" s="209" t="e">
        <f t="shared" si="73"/>
        <v>#DIV/0!</v>
      </c>
      <c r="AK238" s="209" t="e">
        <f t="shared" si="73"/>
        <v>#DIV/0!</v>
      </c>
      <c r="AL238" s="209" t="e">
        <f t="shared" si="73"/>
        <v>#DIV/0!</v>
      </c>
      <c r="AM238" s="209" t="e">
        <f t="shared" si="73"/>
        <v>#DIV/0!</v>
      </c>
      <c r="AN238" s="209" t="e">
        <f t="shared" si="73"/>
        <v>#DIV/0!</v>
      </c>
    </row>
    <row r="239" spans="2:40" s="30" customFormat="1" x14ac:dyDescent="0.15">
      <c r="B239" s="330"/>
      <c r="C239" s="162" t="s">
        <v>186</v>
      </c>
      <c r="D239" s="204">
        <f>SUMIFS('caseload data'!E:E,'caseload data'!$D:$D,"TPO",'caseload data'!$A:$A,"South West",'caseload data'!$B:$B,"custody")</f>
        <v>0</v>
      </c>
      <c r="E239" s="204">
        <f>SUMIFS('caseload data'!F:F,'caseload data'!$D:$D,"TPO",'caseload data'!$A:$A,"South West",'caseload data'!$B:$B,"custody")</f>
        <v>0</v>
      </c>
      <c r="F239" s="204">
        <f>SUMIFS('caseload data'!G:G,'caseload data'!$D:$D,"TPO",'caseload data'!$A:$A,"South West",'caseload data'!$B:$B,"custody")</f>
        <v>0</v>
      </c>
      <c r="G239" s="204">
        <f>SUMIFS('caseload data'!H:H,'caseload data'!$D:$D,"TPO",'caseload data'!$A:$A,"South West",'caseload data'!$B:$B,"custody")</f>
        <v>0</v>
      </c>
      <c r="H239" s="204">
        <f>SUMIFS('caseload data'!I:I,'caseload data'!$D:$D,"TPO",'caseload data'!$A:$A,"South West",'caseload data'!$B:$B,"custody")</f>
        <v>0</v>
      </c>
      <c r="I239" s="204">
        <f>SUMIFS('caseload data'!J:J,'caseload data'!$D:$D,"TPO",'caseload data'!$A:$A,"South West",'caseload data'!$B:$B,"custody")</f>
        <v>0</v>
      </c>
      <c r="J239" s="204">
        <f>SUMIFS('caseload data'!K:K,'caseload data'!$D:$D,"TPO",'caseload data'!$A:$A,"South West",'caseload data'!$B:$B,"custody")</f>
        <v>0</v>
      </c>
      <c r="K239" s="204">
        <f>SUMIFS('caseload data'!L:L,'caseload data'!$D:$D,"TPO",'caseload data'!$A:$A,"South West",'caseload data'!$B:$B,"custody")</f>
        <v>0</v>
      </c>
      <c r="L239" s="204">
        <f>SUMIFS('caseload data'!M:M,'caseload data'!$D:$D,"TPO",'caseload data'!$A:$A,"South West",'caseload data'!$B:$B,"custody")</f>
        <v>0</v>
      </c>
      <c r="M239" s="204">
        <f>SUMIFS('caseload data'!N:N,'caseload data'!$D:$D,"TPO",'caseload data'!$A:$A,"South West",'caseload data'!$B:$B,"custody")</f>
        <v>0</v>
      </c>
      <c r="N239" s="204">
        <f>SUMIFS('caseload data'!O:O,'caseload data'!$D:$D,"TPO",'caseload data'!$A:$A,"South West",'caseload data'!$B:$B,"custody")</f>
        <v>0</v>
      </c>
      <c r="O239" s="204">
        <f>SUMIFS('caseload data'!P:P,'caseload data'!$D:$D,"TPO",'caseload data'!$A:$A,"South West",'caseload data'!$B:$B,"custody")</f>
        <v>0</v>
      </c>
      <c r="P239" s="204">
        <f>SUMIFS('caseload data'!Q:Q,'caseload data'!$D:$D,"TPO",'caseload data'!$A:$A,"South West",'caseload data'!$B:$B,"custody")</f>
        <v>0</v>
      </c>
      <c r="Q239" s="204">
        <f>SUMIFS('caseload data'!R:R,'caseload data'!$D:$D,"TPO",'caseload data'!$A:$A,"South West",'caseload data'!$B:$B,"custody")</f>
        <v>0</v>
      </c>
      <c r="R239" s="204">
        <f>SUMIFS('caseload data'!S:S,'caseload data'!$D:$D,"TPO",'caseload data'!$A:$A,"South West",'caseload data'!$B:$B,"custody")</f>
        <v>0</v>
      </c>
      <c r="S239" s="204">
        <f>SUMIFS('caseload data'!T:T,'caseload data'!$D:$D,"TPO",'caseload data'!$A:$A,"South West",'caseload data'!$B:$B,"custody")</f>
        <v>0</v>
      </c>
      <c r="T239" s="126">
        <f>SUMIFS('caseload data'!V:V,'caseload data'!D:D,"TPO",'caseload data'!A:A,"South West",'caseload data'!B:B,"custody")</f>
        <v>0</v>
      </c>
      <c r="U239" s="95"/>
      <c r="V239" s="95"/>
      <c r="W239" s="330"/>
      <c r="X239" s="162" t="s">
        <v>186</v>
      </c>
      <c r="Y239" s="209" t="e">
        <f>SUM(D239)/SUM(D$237:D$240)</f>
        <v>#DIV/0!</v>
      </c>
      <c r="Z239" s="209" t="e">
        <f t="shared" si="73"/>
        <v>#DIV/0!</v>
      </c>
      <c r="AA239" s="209" t="e">
        <f t="shared" si="73"/>
        <v>#DIV/0!</v>
      </c>
      <c r="AB239" s="209" t="e">
        <f t="shared" si="73"/>
        <v>#DIV/0!</v>
      </c>
      <c r="AC239" s="209" t="e">
        <f t="shared" si="73"/>
        <v>#DIV/0!</v>
      </c>
      <c r="AD239" s="209" t="e">
        <f t="shared" si="73"/>
        <v>#DIV/0!</v>
      </c>
      <c r="AE239" s="209" t="e">
        <f t="shared" si="73"/>
        <v>#DIV/0!</v>
      </c>
      <c r="AF239" s="209" t="e">
        <f t="shared" si="73"/>
        <v>#DIV/0!</v>
      </c>
      <c r="AG239" s="209" t="e">
        <f t="shared" si="73"/>
        <v>#DIV/0!</v>
      </c>
      <c r="AH239" s="209" t="e">
        <f t="shared" si="73"/>
        <v>#DIV/0!</v>
      </c>
      <c r="AI239" s="209" t="e">
        <f t="shared" si="73"/>
        <v>#DIV/0!</v>
      </c>
      <c r="AJ239" s="209" t="e">
        <f t="shared" si="73"/>
        <v>#DIV/0!</v>
      </c>
      <c r="AK239" s="209" t="e">
        <f t="shared" si="73"/>
        <v>#DIV/0!</v>
      </c>
      <c r="AL239" s="209" t="e">
        <f t="shared" si="73"/>
        <v>#DIV/0!</v>
      </c>
      <c r="AM239" s="209" t="e">
        <f t="shared" si="73"/>
        <v>#DIV/0!</v>
      </c>
      <c r="AN239" s="209" t="e">
        <f t="shared" si="73"/>
        <v>#DIV/0!</v>
      </c>
    </row>
    <row r="240" spans="2:40" s="30" customFormat="1" x14ac:dyDescent="0.15">
      <c r="B240" s="332"/>
      <c r="C240" s="163" t="s">
        <v>187</v>
      </c>
      <c r="D240" s="204">
        <f>SUMIFS('caseload data'!E:E,'caseload data'!$D:$D,"SPO",'caseload data'!$A:$A,"South West",'caseload data'!$B:$B,"custody")</f>
        <v>0</v>
      </c>
      <c r="E240" s="204">
        <f>SUMIFS('caseload data'!F:F,'caseload data'!$D:$D,"SPO",'caseload data'!$A:$A,"South West",'caseload data'!$B:$B,"custody")</f>
        <v>0</v>
      </c>
      <c r="F240" s="204">
        <f>SUMIFS('caseload data'!G:G,'caseload data'!$D:$D,"SPO",'caseload data'!$A:$A,"South West",'caseload data'!$B:$B,"custody")</f>
        <v>0</v>
      </c>
      <c r="G240" s="204">
        <f>SUMIFS('caseload data'!H:H,'caseload data'!$D:$D,"SPO",'caseload data'!$A:$A,"South West",'caseload data'!$B:$B,"custody")</f>
        <v>0</v>
      </c>
      <c r="H240" s="204">
        <f>SUMIFS('caseload data'!I:I,'caseload data'!$D:$D,"SPO",'caseload data'!$A:$A,"South West",'caseload data'!$B:$B,"custody")</f>
        <v>0</v>
      </c>
      <c r="I240" s="204">
        <f>SUMIFS('caseload data'!J:J,'caseload data'!$D:$D,"SPO",'caseload data'!$A:$A,"South West",'caseload data'!$B:$B,"custody")</f>
        <v>0</v>
      </c>
      <c r="J240" s="204">
        <f>SUMIFS('caseload data'!K:K,'caseload data'!$D:$D,"SPO",'caseload data'!$A:$A,"South West",'caseload data'!$B:$B,"custody")</f>
        <v>0</v>
      </c>
      <c r="K240" s="204">
        <f>SUMIFS('caseload data'!L:L,'caseload data'!$D:$D,"SPO",'caseload data'!$A:$A,"South West",'caseload data'!$B:$B,"custody")</f>
        <v>0</v>
      </c>
      <c r="L240" s="204">
        <f>SUMIFS('caseload data'!M:M,'caseload data'!$D:$D,"SPO",'caseload data'!$A:$A,"South West",'caseload data'!$B:$B,"custody")</f>
        <v>0</v>
      </c>
      <c r="M240" s="204">
        <f>SUMIFS('caseload data'!N:N,'caseload data'!$D:$D,"SPO",'caseload data'!$A:$A,"South West",'caseload data'!$B:$B,"custody")</f>
        <v>0</v>
      </c>
      <c r="N240" s="204">
        <f>SUMIFS('caseload data'!O:O,'caseload data'!$D:$D,"SPO",'caseload data'!$A:$A,"South West",'caseload data'!$B:$B,"custody")</f>
        <v>0</v>
      </c>
      <c r="O240" s="204">
        <f>SUMIFS('caseload data'!P:P,'caseload data'!$D:$D,"SPO",'caseload data'!$A:$A,"South West",'caseload data'!$B:$B,"custody")</f>
        <v>0</v>
      </c>
      <c r="P240" s="204">
        <f>SUMIFS('caseload data'!Q:Q,'caseload data'!$D:$D,"SPO",'caseload data'!$A:$A,"South West",'caseload data'!$B:$B,"custody")</f>
        <v>0</v>
      </c>
      <c r="Q240" s="204">
        <f>SUMIFS('caseload data'!R:R,'caseload data'!$D:$D,"SPO",'caseload data'!$A:$A,"South West",'caseload data'!$B:$B,"custody")</f>
        <v>0</v>
      </c>
      <c r="R240" s="204">
        <f>SUMIFS('caseload data'!S:S,'caseload data'!$D:$D,"SPO",'caseload data'!$A:$A,"South West",'caseload data'!$B:$B,"custody")</f>
        <v>0</v>
      </c>
      <c r="S240" s="204">
        <f>SUMIFS('caseload data'!T:T,'caseload data'!$D:$D,"SPO",'caseload data'!$A:$A,"South West",'caseload data'!$B:$B,"custody")</f>
        <v>0</v>
      </c>
      <c r="T240" s="126">
        <f>SUMIFS('caseload data'!V:V,'caseload data'!$D:$D,"SPO",'caseload data'!$A:$A,"South West",'caseload data'!$B:$B,"custody")</f>
        <v>0</v>
      </c>
      <c r="U240" s="95"/>
      <c r="V240" s="95"/>
      <c r="W240" s="332"/>
      <c r="X240" s="163" t="s">
        <v>187</v>
      </c>
      <c r="Y240" s="209" t="e">
        <f>SUM(D240)/SUM(D$237:D$240)</f>
        <v>#DIV/0!</v>
      </c>
      <c r="Z240" s="209" t="e">
        <f t="shared" si="73"/>
        <v>#DIV/0!</v>
      </c>
      <c r="AA240" s="209" t="e">
        <f t="shared" si="73"/>
        <v>#DIV/0!</v>
      </c>
      <c r="AB240" s="209" t="e">
        <f t="shared" si="73"/>
        <v>#DIV/0!</v>
      </c>
      <c r="AC240" s="209" t="e">
        <f t="shared" si="73"/>
        <v>#DIV/0!</v>
      </c>
      <c r="AD240" s="209" t="e">
        <f t="shared" si="73"/>
        <v>#DIV/0!</v>
      </c>
      <c r="AE240" s="209" t="e">
        <f t="shared" si="73"/>
        <v>#DIV/0!</v>
      </c>
      <c r="AF240" s="209" t="e">
        <f t="shared" si="73"/>
        <v>#DIV/0!</v>
      </c>
      <c r="AG240" s="209" t="e">
        <f t="shared" si="73"/>
        <v>#DIV/0!</v>
      </c>
      <c r="AH240" s="209" t="e">
        <f t="shared" si="73"/>
        <v>#DIV/0!</v>
      </c>
      <c r="AI240" s="209" t="e">
        <f t="shared" si="73"/>
        <v>#DIV/0!</v>
      </c>
      <c r="AJ240" s="209" t="e">
        <f t="shared" si="73"/>
        <v>#DIV/0!</v>
      </c>
      <c r="AK240" s="209" t="e">
        <f t="shared" si="73"/>
        <v>#DIV/0!</v>
      </c>
      <c r="AL240" s="209" t="e">
        <f t="shared" si="73"/>
        <v>#DIV/0!</v>
      </c>
      <c r="AM240" s="209" t="e">
        <f t="shared" si="73"/>
        <v>#DIV/0!</v>
      </c>
      <c r="AN240" s="209" t="e">
        <f t="shared" si="73"/>
        <v>#DIV/0!</v>
      </c>
    </row>
    <row r="241" spans="2:40" s="30" customFormat="1" x14ac:dyDescent="0.15">
      <c r="B241" s="329" t="s">
        <v>382</v>
      </c>
      <c r="C241" s="161" t="s">
        <v>184</v>
      </c>
      <c r="D241" s="204">
        <f>SUMIFS('caseload data'!E:E,'caseload data'!$D:$D,"PO",'caseload data'!$A:$A,$B$241,'caseload data'!$B:$B,"custody")</f>
        <v>0</v>
      </c>
      <c r="E241" s="204">
        <f>SUMIFS('caseload data'!F:F,'caseload data'!$D:$D,"PO",'caseload data'!$A:$A,$B$241,'caseload data'!$B:$B,"custody")</f>
        <v>0</v>
      </c>
      <c r="F241" s="204">
        <f>SUMIFS('caseload data'!G:G,'caseload data'!$D:$D,"PO",'caseload data'!$A:$A,$B$241,'caseload data'!$B:$B,"custody")</f>
        <v>0</v>
      </c>
      <c r="G241" s="204">
        <f>SUMIFS('caseload data'!H:H,'caseload data'!$D:$D,"PO",'caseload data'!$A:$A,$B$241,'caseload data'!$B:$B,"custody")</f>
        <v>0</v>
      </c>
      <c r="H241" s="204">
        <f>SUMIFS('caseload data'!I:I,'caseload data'!$D:$D,"PO",'caseload data'!$A:$A,$B$241,'caseload data'!$B:$B,"custody")</f>
        <v>0</v>
      </c>
      <c r="I241" s="204">
        <f>SUMIFS('caseload data'!J:J,'caseload data'!$D:$D,"PO",'caseload data'!$A:$A,$B$241,'caseload data'!$B:$B,"custody")</f>
        <v>0</v>
      </c>
      <c r="J241" s="204">
        <f>SUMIFS('caseload data'!K:K,'caseload data'!$D:$D,"PO",'caseload data'!$A:$A,$B$241,'caseload data'!$B:$B,"custody")</f>
        <v>0</v>
      </c>
      <c r="K241" s="204">
        <f>SUMIFS('caseload data'!L:L,'caseload data'!$D:$D,"PO",'caseload data'!$A:$A,$B$241,'caseload data'!$B:$B,"custody")</f>
        <v>0</v>
      </c>
      <c r="L241" s="204">
        <f>SUMIFS('caseload data'!M:M,'caseload data'!$D:$D,"PO",'caseload data'!$A:$A,$B$241,'caseload data'!$B:$B,"custody")</f>
        <v>0</v>
      </c>
      <c r="M241" s="204">
        <f>SUMIFS('caseload data'!N:N,'caseload data'!$D:$D,"PO",'caseload data'!$A:$A,$B$241,'caseload data'!$B:$B,"custody")</f>
        <v>0</v>
      </c>
      <c r="N241" s="204">
        <f>SUMIFS('caseload data'!O:O,'caseload data'!$D:$D,"PO",'caseload data'!$A:$A,$B$241,'caseload data'!$B:$B,"custody")</f>
        <v>0</v>
      </c>
      <c r="O241" s="204">
        <f>SUMIFS('caseload data'!P:P,'caseload data'!$D:$D,"PO",'caseload data'!$A:$A,$B$241,'caseload data'!$B:$B,"custody")</f>
        <v>0</v>
      </c>
      <c r="P241" s="204">
        <f>SUMIFS('caseload data'!Q:Q,'caseload data'!$D:$D,"PO",'caseload data'!$A:$A,$B$241,'caseload data'!$B:$B,"custody")</f>
        <v>0</v>
      </c>
      <c r="Q241" s="204">
        <f>SUMIFS('caseload data'!R:R,'caseload data'!$D:$D,"PO",'caseload data'!$A:$A,$B$241,'caseload data'!$B:$B,"custody")</f>
        <v>0</v>
      </c>
      <c r="R241" s="204">
        <f>SUMIFS('caseload data'!S:S,'caseload data'!$D:$D,"PO",'caseload data'!$A:$A,$B$241,'caseload data'!$B:$B,"custody")</f>
        <v>0</v>
      </c>
      <c r="S241" s="204">
        <f>SUMIFS('caseload data'!T:T,'caseload data'!$D:$D,"PO",'caseload data'!$A:$A,$B$241,'caseload data'!$B:$B,"custody")</f>
        <v>0</v>
      </c>
      <c r="T241" s="126">
        <f>SUMIFS('caseload data'!V:V,'caseload data'!D:D,"PO",'caseload data'!A:A,B241,'caseload data'!B:B,"custody")</f>
        <v>0</v>
      </c>
      <c r="U241" s="95"/>
      <c r="V241" s="95"/>
      <c r="W241" s="329" t="s">
        <v>382</v>
      </c>
      <c r="X241" s="161" t="s">
        <v>184</v>
      </c>
      <c r="Y241" s="209" t="e">
        <f>SUM(D241)/SUM(D$241:D$244)</f>
        <v>#DIV/0!</v>
      </c>
      <c r="Z241" s="209" t="e">
        <f t="shared" ref="Z241:AN244" si="74">SUM(E241)/SUM(E$241:E$244)</f>
        <v>#DIV/0!</v>
      </c>
      <c r="AA241" s="209" t="e">
        <f t="shared" si="74"/>
        <v>#DIV/0!</v>
      </c>
      <c r="AB241" s="209" t="e">
        <f t="shared" si="74"/>
        <v>#DIV/0!</v>
      </c>
      <c r="AC241" s="209" t="e">
        <f t="shared" si="74"/>
        <v>#DIV/0!</v>
      </c>
      <c r="AD241" s="209" t="e">
        <f t="shared" si="74"/>
        <v>#DIV/0!</v>
      </c>
      <c r="AE241" s="209" t="e">
        <f t="shared" si="74"/>
        <v>#DIV/0!</v>
      </c>
      <c r="AF241" s="209" t="e">
        <f t="shared" si="74"/>
        <v>#DIV/0!</v>
      </c>
      <c r="AG241" s="209" t="e">
        <f t="shared" si="74"/>
        <v>#DIV/0!</v>
      </c>
      <c r="AH241" s="209" t="e">
        <f t="shared" si="74"/>
        <v>#DIV/0!</v>
      </c>
      <c r="AI241" s="209" t="e">
        <f t="shared" si="74"/>
        <v>#DIV/0!</v>
      </c>
      <c r="AJ241" s="209" t="e">
        <f t="shared" si="74"/>
        <v>#DIV/0!</v>
      </c>
      <c r="AK241" s="209" t="e">
        <f t="shared" si="74"/>
        <v>#DIV/0!</v>
      </c>
      <c r="AL241" s="209" t="e">
        <f t="shared" si="74"/>
        <v>#DIV/0!</v>
      </c>
      <c r="AM241" s="209" t="e">
        <f t="shared" si="74"/>
        <v>#DIV/0!</v>
      </c>
      <c r="AN241" s="209" t="e">
        <f t="shared" si="74"/>
        <v>#DIV/0!</v>
      </c>
    </row>
    <row r="242" spans="2:40" s="30" customFormat="1" x14ac:dyDescent="0.15">
      <c r="B242" s="330"/>
      <c r="C242" s="162" t="s">
        <v>185</v>
      </c>
      <c r="D242" s="204">
        <f>SUMIFS('caseload data'!E:E,'caseload data'!$D:$D,"PSO",'caseload data'!$A:$A,"Wales",'caseload data'!$B:$B,"custody")</f>
        <v>0</v>
      </c>
      <c r="E242" s="204">
        <f>SUMIFS('caseload data'!F:F,'caseload data'!$D:$D,"PSO",'caseload data'!$A:$A,"Wales",'caseload data'!$B:$B,"custody")</f>
        <v>0</v>
      </c>
      <c r="F242" s="204">
        <f>SUMIFS('caseload data'!G:G,'caseload data'!$D:$D,"PSO",'caseload data'!$A:$A,"Wales",'caseload data'!$B:$B,"custody")</f>
        <v>0</v>
      </c>
      <c r="G242" s="204">
        <f>SUMIFS('caseload data'!H:H,'caseload data'!$D:$D,"PSO",'caseload data'!$A:$A,"Wales",'caseload data'!$B:$B,"custody")</f>
        <v>0</v>
      </c>
      <c r="H242" s="204">
        <f>SUMIFS('caseload data'!I:I,'caseload data'!$D:$D,"PSO",'caseload data'!$A:$A,"Wales",'caseload data'!$B:$B,"custody")</f>
        <v>0</v>
      </c>
      <c r="I242" s="204">
        <f>SUMIFS('caseload data'!J:J,'caseload data'!$D:$D,"PSO",'caseload data'!$A:$A,"Wales",'caseload data'!$B:$B,"custody")</f>
        <v>0</v>
      </c>
      <c r="J242" s="204">
        <f>SUMIFS('caseload data'!K:K,'caseload data'!$D:$D,"PSO",'caseload data'!$A:$A,"Wales",'caseload data'!$B:$B,"custody")</f>
        <v>0</v>
      </c>
      <c r="K242" s="204">
        <f>SUMIFS('caseload data'!L:L,'caseload data'!$D:$D,"PSO",'caseload data'!$A:$A,"Wales",'caseload data'!$B:$B,"custody")</f>
        <v>0</v>
      </c>
      <c r="L242" s="204">
        <f>SUMIFS('caseload data'!M:M,'caseload data'!$D:$D,"PSO",'caseload data'!$A:$A,"Wales",'caseload data'!$B:$B,"custody")</f>
        <v>0</v>
      </c>
      <c r="M242" s="204">
        <f>SUMIFS('caseload data'!N:N,'caseload data'!$D:$D,"PSO",'caseload data'!$A:$A,"Wales",'caseload data'!$B:$B,"custody")</f>
        <v>0</v>
      </c>
      <c r="N242" s="204">
        <f>SUMIFS('caseload data'!O:O,'caseload data'!$D:$D,"PSO",'caseload data'!$A:$A,"Wales",'caseload data'!$B:$B,"custody")</f>
        <v>0</v>
      </c>
      <c r="O242" s="204">
        <f>SUMIFS('caseload data'!P:P,'caseload data'!$D:$D,"PSO",'caseload data'!$A:$A,"Wales",'caseload data'!$B:$B,"custody")</f>
        <v>0</v>
      </c>
      <c r="P242" s="204">
        <f>SUMIFS('caseload data'!Q:Q,'caseload data'!$D:$D,"PSO",'caseload data'!$A:$A,"Wales",'caseload data'!$B:$B,"custody")</f>
        <v>0</v>
      </c>
      <c r="Q242" s="204">
        <f>SUMIFS('caseload data'!R:R,'caseload data'!$D:$D,"PSO",'caseload data'!$A:$A,"Wales",'caseload data'!$B:$B,"custody")</f>
        <v>0</v>
      </c>
      <c r="R242" s="204">
        <f>SUMIFS('caseload data'!S:S,'caseload data'!$D:$D,"PSO",'caseload data'!$A:$A,"Wales",'caseload data'!$B:$B,"custody")</f>
        <v>0</v>
      </c>
      <c r="S242" s="204">
        <f>SUMIFS('caseload data'!T:T,'caseload data'!$D:$D,"PSO",'caseload data'!$A:$A,"Wales",'caseload data'!$B:$B,"custody")</f>
        <v>0</v>
      </c>
      <c r="T242" s="126">
        <f>SUMIFS('caseload data'!V:V,'caseload data'!D:D,"PSO",'caseload data'!A:A,"Wales",'caseload data'!B:B,"custody")</f>
        <v>0</v>
      </c>
      <c r="U242" s="95"/>
      <c r="V242" s="95"/>
      <c r="W242" s="330"/>
      <c r="X242" s="162" t="s">
        <v>185</v>
      </c>
      <c r="Y242" s="209" t="e">
        <f>SUM(D242)/SUM(D$241:D$244)</f>
        <v>#DIV/0!</v>
      </c>
      <c r="Z242" s="209" t="e">
        <f t="shared" si="74"/>
        <v>#DIV/0!</v>
      </c>
      <c r="AA242" s="209" t="e">
        <f t="shared" si="74"/>
        <v>#DIV/0!</v>
      </c>
      <c r="AB242" s="209" t="e">
        <f t="shared" si="74"/>
        <v>#DIV/0!</v>
      </c>
      <c r="AC242" s="209" t="e">
        <f t="shared" si="74"/>
        <v>#DIV/0!</v>
      </c>
      <c r="AD242" s="209" t="e">
        <f t="shared" si="74"/>
        <v>#DIV/0!</v>
      </c>
      <c r="AE242" s="209" t="e">
        <f t="shared" si="74"/>
        <v>#DIV/0!</v>
      </c>
      <c r="AF242" s="209" t="e">
        <f t="shared" si="74"/>
        <v>#DIV/0!</v>
      </c>
      <c r="AG242" s="209" t="e">
        <f t="shared" si="74"/>
        <v>#DIV/0!</v>
      </c>
      <c r="AH242" s="209" t="e">
        <f t="shared" si="74"/>
        <v>#DIV/0!</v>
      </c>
      <c r="AI242" s="209" t="e">
        <f t="shared" si="74"/>
        <v>#DIV/0!</v>
      </c>
      <c r="AJ242" s="209" t="e">
        <f t="shared" si="74"/>
        <v>#DIV/0!</v>
      </c>
      <c r="AK242" s="209" t="e">
        <f t="shared" si="74"/>
        <v>#DIV/0!</v>
      </c>
      <c r="AL242" s="209" t="e">
        <f t="shared" si="74"/>
        <v>#DIV/0!</v>
      </c>
      <c r="AM242" s="209" t="e">
        <f t="shared" si="74"/>
        <v>#DIV/0!</v>
      </c>
      <c r="AN242" s="209" t="e">
        <f t="shared" si="74"/>
        <v>#DIV/0!</v>
      </c>
    </row>
    <row r="243" spans="2:40" s="30" customFormat="1" x14ac:dyDescent="0.15">
      <c r="B243" s="330"/>
      <c r="C243" s="162" t="s">
        <v>186</v>
      </c>
      <c r="D243" s="204">
        <f>SUMIFS('caseload data'!E:E,'caseload data'!$D:$D,"TPO",'caseload data'!$A:$A,"Wales",'caseload data'!$B:$B,"custody")</f>
        <v>0</v>
      </c>
      <c r="E243" s="204">
        <f>SUMIFS('caseload data'!F:F,'caseload data'!$D:$D,"TPO",'caseload data'!$A:$A,"Wales",'caseload data'!$B:$B,"custody")</f>
        <v>0</v>
      </c>
      <c r="F243" s="204">
        <f>SUMIFS('caseload data'!G:G,'caseload data'!$D:$D,"TPO",'caseload data'!$A:$A,"Wales",'caseload data'!$B:$B,"custody")</f>
        <v>0</v>
      </c>
      <c r="G243" s="204">
        <f>SUMIFS('caseload data'!H:H,'caseload data'!$D:$D,"TPO",'caseload data'!$A:$A,"Wales",'caseload data'!$B:$B,"custody")</f>
        <v>0</v>
      </c>
      <c r="H243" s="204">
        <f>SUMIFS('caseload data'!I:I,'caseload data'!$D:$D,"TPO",'caseload data'!$A:$A,"Wales",'caseload data'!$B:$B,"custody")</f>
        <v>0</v>
      </c>
      <c r="I243" s="204">
        <f>SUMIFS('caseload data'!J:J,'caseload data'!$D:$D,"TPO",'caseload data'!$A:$A,"Wales",'caseload data'!$B:$B,"custody")</f>
        <v>0</v>
      </c>
      <c r="J243" s="204">
        <f>SUMIFS('caseload data'!K:K,'caseload data'!$D:$D,"TPO",'caseload data'!$A:$A,"Wales",'caseload data'!$B:$B,"custody")</f>
        <v>0</v>
      </c>
      <c r="K243" s="204">
        <f>SUMIFS('caseload data'!L:L,'caseload data'!$D:$D,"TPO",'caseload data'!$A:$A,"Wales",'caseload data'!$B:$B,"custody")</f>
        <v>0</v>
      </c>
      <c r="L243" s="204">
        <f>SUMIFS('caseload data'!M:M,'caseload data'!$D:$D,"TPO",'caseload data'!$A:$A,"Wales",'caseload data'!$B:$B,"custody")</f>
        <v>0</v>
      </c>
      <c r="M243" s="204">
        <f>SUMIFS('caseload data'!N:N,'caseload data'!$D:$D,"TPO",'caseload data'!$A:$A,"Wales",'caseload data'!$B:$B,"custody")</f>
        <v>0</v>
      </c>
      <c r="N243" s="204">
        <f>SUMIFS('caseload data'!O:O,'caseload data'!$D:$D,"TPO",'caseload data'!$A:$A,"Wales",'caseload data'!$B:$B,"custody")</f>
        <v>0</v>
      </c>
      <c r="O243" s="204">
        <f>SUMIFS('caseload data'!P:P,'caseload data'!$D:$D,"TPO",'caseload data'!$A:$A,"Wales",'caseload data'!$B:$B,"custody")</f>
        <v>0</v>
      </c>
      <c r="P243" s="204">
        <f>SUMIFS('caseload data'!Q:Q,'caseload data'!$D:$D,"TPO",'caseload data'!$A:$A,"Wales",'caseload data'!$B:$B,"custody")</f>
        <v>0</v>
      </c>
      <c r="Q243" s="204">
        <f>SUMIFS('caseload data'!R:R,'caseload data'!$D:$D,"TPO",'caseload data'!$A:$A,"Wales",'caseload data'!$B:$B,"custody")</f>
        <v>0</v>
      </c>
      <c r="R243" s="204">
        <f>SUMIFS('caseload data'!S:S,'caseload data'!$D:$D,"TPO",'caseload data'!$A:$A,"Wales",'caseload data'!$B:$B,"custody")</f>
        <v>0</v>
      </c>
      <c r="S243" s="204">
        <f>SUMIFS('caseload data'!T:T,'caseload data'!$D:$D,"TPO",'caseload data'!$A:$A,"Wales",'caseload data'!$B:$B,"custody")</f>
        <v>0</v>
      </c>
      <c r="T243" s="126">
        <f>SUMIFS('caseload data'!V:V,'caseload data'!D:D,"TPO",'caseload data'!A:A,"Wales",'caseload data'!B:B,"custody")</f>
        <v>0</v>
      </c>
      <c r="U243" s="95"/>
      <c r="V243" s="95"/>
      <c r="W243" s="330"/>
      <c r="X243" s="162" t="s">
        <v>186</v>
      </c>
      <c r="Y243" s="209" t="e">
        <f>SUM(D243)/SUM(D$241:D$244)</f>
        <v>#DIV/0!</v>
      </c>
      <c r="Z243" s="209" t="e">
        <f t="shared" si="74"/>
        <v>#DIV/0!</v>
      </c>
      <c r="AA243" s="209" t="e">
        <f t="shared" si="74"/>
        <v>#DIV/0!</v>
      </c>
      <c r="AB243" s="209" t="e">
        <f t="shared" si="74"/>
        <v>#DIV/0!</v>
      </c>
      <c r="AC243" s="209" t="e">
        <f t="shared" si="74"/>
        <v>#DIV/0!</v>
      </c>
      <c r="AD243" s="209" t="e">
        <f t="shared" si="74"/>
        <v>#DIV/0!</v>
      </c>
      <c r="AE243" s="209" t="e">
        <f t="shared" si="74"/>
        <v>#DIV/0!</v>
      </c>
      <c r="AF243" s="209" t="e">
        <f t="shared" si="74"/>
        <v>#DIV/0!</v>
      </c>
      <c r="AG243" s="209" t="e">
        <f t="shared" si="74"/>
        <v>#DIV/0!</v>
      </c>
      <c r="AH243" s="209" t="e">
        <f t="shared" si="74"/>
        <v>#DIV/0!</v>
      </c>
      <c r="AI243" s="209" t="e">
        <f t="shared" si="74"/>
        <v>#DIV/0!</v>
      </c>
      <c r="AJ243" s="209" t="e">
        <f t="shared" si="74"/>
        <v>#DIV/0!</v>
      </c>
      <c r="AK243" s="209" t="e">
        <f t="shared" si="74"/>
        <v>#DIV/0!</v>
      </c>
      <c r="AL243" s="209" t="e">
        <f t="shared" si="74"/>
        <v>#DIV/0!</v>
      </c>
      <c r="AM243" s="209" t="e">
        <f t="shared" si="74"/>
        <v>#DIV/0!</v>
      </c>
      <c r="AN243" s="209" t="e">
        <f t="shared" si="74"/>
        <v>#DIV/0!</v>
      </c>
    </row>
    <row r="244" spans="2:40" s="30" customFormat="1" x14ac:dyDescent="0.15">
      <c r="B244" s="332"/>
      <c r="C244" s="163" t="s">
        <v>187</v>
      </c>
      <c r="D244" s="204">
        <f>SUMIFS('caseload data'!E:E,'caseload data'!$D:$D,"SPO",'caseload data'!$A:$A,"Wales",'caseload data'!$B:$B,"custody")</f>
        <v>0</v>
      </c>
      <c r="E244" s="204">
        <f>SUMIFS('caseload data'!F:F,'caseload data'!$D:$D,"SPO",'caseload data'!$A:$A,"Wales",'caseload data'!$B:$B,"custody")</f>
        <v>0</v>
      </c>
      <c r="F244" s="204">
        <f>SUMIFS('caseload data'!G:G,'caseload data'!$D:$D,"SPO",'caseload data'!$A:$A,"Wales",'caseload data'!$B:$B,"custody")</f>
        <v>0</v>
      </c>
      <c r="G244" s="204">
        <f>SUMIFS('caseload data'!H:H,'caseload data'!$D:$D,"SPO",'caseload data'!$A:$A,"Wales",'caseload data'!$B:$B,"custody")</f>
        <v>0</v>
      </c>
      <c r="H244" s="204">
        <f>SUMIFS('caseload data'!I:I,'caseload data'!$D:$D,"SPO",'caseload data'!$A:$A,"Wales",'caseload data'!$B:$B,"custody")</f>
        <v>0</v>
      </c>
      <c r="I244" s="204">
        <f>SUMIFS('caseload data'!J:J,'caseload data'!$D:$D,"SPO",'caseload data'!$A:$A,"Wales",'caseload data'!$B:$B,"custody")</f>
        <v>0</v>
      </c>
      <c r="J244" s="204">
        <f>SUMIFS('caseload data'!K:K,'caseload data'!$D:$D,"SPO",'caseload data'!$A:$A,"Wales",'caseload data'!$B:$B,"custody")</f>
        <v>0</v>
      </c>
      <c r="K244" s="204">
        <f>SUMIFS('caseload data'!L:L,'caseload data'!$D:$D,"SPO",'caseload data'!$A:$A,"Wales",'caseload data'!$B:$B,"custody")</f>
        <v>0</v>
      </c>
      <c r="L244" s="204">
        <f>SUMIFS('caseload data'!M:M,'caseload data'!$D:$D,"SPO",'caseload data'!$A:$A,"Wales",'caseload data'!$B:$B,"custody")</f>
        <v>0</v>
      </c>
      <c r="M244" s="204">
        <f>SUMIFS('caseload data'!N:N,'caseload data'!$D:$D,"SPO",'caseload data'!$A:$A,"Wales",'caseload data'!$B:$B,"custody")</f>
        <v>0</v>
      </c>
      <c r="N244" s="204">
        <f>SUMIFS('caseload data'!O:O,'caseload data'!$D:$D,"SPO",'caseload data'!$A:$A,"Wales",'caseload data'!$B:$B,"custody")</f>
        <v>0</v>
      </c>
      <c r="O244" s="204">
        <f>SUMIFS('caseload data'!P:P,'caseload data'!$D:$D,"SPO",'caseload data'!$A:$A,"Wales",'caseload data'!$B:$B,"custody")</f>
        <v>0</v>
      </c>
      <c r="P244" s="204">
        <f>SUMIFS('caseload data'!Q:Q,'caseload data'!$D:$D,"SPO",'caseload data'!$A:$A,"Wales",'caseload data'!$B:$B,"custody")</f>
        <v>0</v>
      </c>
      <c r="Q244" s="204">
        <f>SUMIFS('caseload data'!R:R,'caseload data'!$D:$D,"SPO",'caseload data'!$A:$A,"Wales",'caseload data'!$B:$B,"custody")</f>
        <v>0</v>
      </c>
      <c r="R244" s="204">
        <f>SUMIFS('caseload data'!S:S,'caseload data'!$D:$D,"SPO",'caseload data'!$A:$A,"Wales",'caseload data'!$B:$B,"custody")</f>
        <v>0</v>
      </c>
      <c r="S244" s="204">
        <f>SUMIFS('caseload data'!T:T,'caseload data'!$D:$D,"SPO",'caseload data'!$A:$A,"Wales",'caseload data'!$B:$B,"custody")</f>
        <v>0</v>
      </c>
      <c r="T244" s="126">
        <f>SUMIFS('caseload data'!V:V,'caseload data'!$D:$D,"SPO",'caseload data'!$A:$A,"Wales",'caseload data'!$B:$B,"custody")</f>
        <v>0</v>
      </c>
      <c r="U244" s="95"/>
      <c r="V244" s="95"/>
      <c r="W244" s="332"/>
      <c r="X244" s="163" t="s">
        <v>187</v>
      </c>
      <c r="Y244" s="209" t="e">
        <f>SUM(D244)/SUM(D$241:D$244)</f>
        <v>#DIV/0!</v>
      </c>
      <c r="Z244" s="209" t="e">
        <f t="shared" si="74"/>
        <v>#DIV/0!</v>
      </c>
      <c r="AA244" s="209" t="e">
        <f t="shared" si="74"/>
        <v>#DIV/0!</v>
      </c>
      <c r="AB244" s="209" t="e">
        <f t="shared" si="74"/>
        <v>#DIV/0!</v>
      </c>
      <c r="AC244" s="209" t="e">
        <f t="shared" si="74"/>
        <v>#DIV/0!</v>
      </c>
      <c r="AD244" s="209" t="e">
        <f t="shared" si="74"/>
        <v>#DIV/0!</v>
      </c>
      <c r="AE244" s="209" t="e">
        <f t="shared" si="74"/>
        <v>#DIV/0!</v>
      </c>
      <c r="AF244" s="209" t="e">
        <f t="shared" si="74"/>
        <v>#DIV/0!</v>
      </c>
      <c r="AG244" s="209" t="e">
        <f t="shared" si="74"/>
        <v>#DIV/0!</v>
      </c>
      <c r="AH244" s="209" t="e">
        <f t="shared" si="74"/>
        <v>#DIV/0!</v>
      </c>
      <c r="AI244" s="209" t="e">
        <f t="shared" si="74"/>
        <v>#DIV/0!</v>
      </c>
      <c r="AJ244" s="209" t="e">
        <f t="shared" si="74"/>
        <v>#DIV/0!</v>
      </c>
      <c r="AK244" s="209" t="e">
        <f t="shared" si="74"/>
        <v>#DIV/0!</v>
      </c>
      <c r="AL244" s="209" t="e">
        <f t="shared" si="74"/>
        <v>#DIV/0!</v>
      </c>
      <c r="AM244" s="209" t="e">
        <f t="shared" si="74"/>
        <v>#DIV/0!</v>
      </c>
      <c r="AN244" s="209" t="e">
        <f t="shared" si="74"/>
        <v>#DIV/0!</v>
      </c>
    </row>
    <row r="245" spans="2:40" s="30" customFormat="1" x14ac:dyDescent="0.15">
      <c r="B245" s="329" t="s">
        <v>8</v>
      </c>
      <c r="C245" s="161" t="s">
        <v>184</v>
      </c>
      <c r="D245" s="204">
        <f>SUMIFS('caseload data'!E:E,'caseload data'!$D:$D,"PO",'caseload data'!$A:$A,$B$245,'caseload data'!$B:$B,"custody")</f>
        <v>0</v>
      </c>
      <c r="E245" s="204">
        <f>SUMIFS('caseload data'!F:F,'caseload data'!$D:$D,"PO",'caseload data'!$A:$A,$B$245,'caseload data'!$B:$B,"custody")</f>
        <v>0</v>
      </c>
      <c r="F245" s="204">
        <f>SUMIFS('caseload data'!G:G,'caseload data'!$D:$D,"PO",'caseload data'!$A:$A,$B$245,'caseload data'!$B:$B,"custody")</f>
        <v>0</v>
      </c>
      <c r="G245" s="204">
        <f>SUMIFS('caseload data'!H:H,'caseload data'!$D:$D,"PO",'caseload data'!$A:$A,$B$245,'caseload data'!$B:$B,"custody")</f>
        <v>0</v>
      </c>
      <c r="H245" s="204">
        <f>SUMIFS('caseload data'!I:I,'caseload data'!$D:$D,"PO",'caseload data'!$A:$A,$B$245,'caseload data'!$B:$B,"custody")</f>
        <v>0</v>
      </c>
      <c r="I245" s="204">
        <f>SUMIFS('caseload data'!J:J,'caseload data'!$D:$D,"PO",'caseload data'!$A:$A,$B$245,'caseload data'!$B:$B,"custody")</f>
        <v>0</v>
      </c>
      <c r="J245" s="204">
        <f>SUMIFS('caseload data'!K:K,'caseload data'!$D:$D,"PO",'caseload data'!$A:$A,$B$245,'caseload data'!$B:$B,"custody")</f>
        <v>0</v>
      </c>
      <c r="K245" s="204">
        <f>SUMIFS('caseload data'!L:L,'caseload data'!$D:$D,"PO",'caseload data'!$A:$A,$B$245,'caseload data'!$B:$B,"custody")</f>
        <v>0</v>
      </c>
      <c r="L245" s="204">
        <f>SUMIFS('caseload data'!M:M,'caseload data'!$D:$D,"PO",'caseload data'!$A:$A,$B$245,'caseload data'!$B:$B,"custody")</f>
        <v>0</v>
      </c>
      <c r="M245" s="204">
        <f>SUMIFS('caseload data'!N:N,'caseload data'!$D:$D,"PO",'caseload data'!$A:$A,$B$245,'caseload data'!$B:$B,"custody")</f>
        <v>0</v>
      </c>
      <c r="N245" s="204">
        <f>SUMIFS('caseload data'!O:O,'caseload data'!$D:$D,"PO",'caseload data'!$A:$A,$B$245,'caseload data'!$B:$B,"custody")</f>
        <v>0</v>
      </c>
      <c r="O245" s="204">
        <f>SUMIFS('caseload data'!P:P,'caseload data'!$D:$D,"PO",'caseload data'!$A:$A,$B$245,'caseload data'!$B:$B,"custody")</f>
        <v>0</v>
      </c>
      <c r="P245" s="204">
        <f>SUMIFS('caseload data'!Q:Q,'caseload data'!$D:$D,"PO",'caseload data'!$A:$A,$B$245,'caseload data'!$B:$B,"custody")</f>
        <v>0</v>
      </c>
      <c r="Q245" s="204">
        <f>SUMIFS('caseload data'!R:R,'caseload data'!$D:$D,"PO",'caseload data'!$A:$A,$B$245,'caseload data'!$B:$B,"custody")</f>
        <v>0</v>
      </c>
      <c r="R245" s="204">
        <f>SUMIFS('caseload data'!S:S,'caseload data'!$D:$D,"PO",'caseload data'!$A:$A,$B$245,'caseload data'!$B:$B,"custody")</f>
        <v>0</v>
      </c>
      <c r="S245" s="204">
        <f>SUMIFS('caseload data'!T:T,'caseload data'!$D:$D,"PO",'caseload data'!$A:$A,$B$245,'caseload data'!$B:$B,"custody")</f>
        <v>0</v>
      </c>
      <c r="T245" s="126">
        <f>SUMIFS('caseload data'!V:V,'caseload data'!D:D,"PO",'caseload data'!A:A,B245,'caseload data'!B:B,"custody")</f>
        <v>0</v>
      </c>
      <c r="U245" s="95"/>
      <c r="V245" s="95"/>
      <c r="W245" s="329" t="s">
        <v>8</v>
      </c>
      <c r="X245" s="161" t="s">
        <v>184</v>
      </c>
      <c r="Y245" s="209" t="e">
        <f>SUM(D245)/SUM(D$245:D$248)</f>
        <v>#DIV/0!</v>
      </c>
      <c r="Z245" s="209" t="e">
        <f t="shared" ref="Z245:AN248" si="75">SUM(E245)/SUM(E$245:E$248)</f>
        <v>#DIV/0!</v>
      </c>
      <c r="AA245" s="209" t="e">
        <f t="shared" si="75"/>
        <v>#DIV/0!</v>
      </c>
      <c r="AB245" s="209" t="e">
        <f t="shared" si="75"/>
        <v>#DIV/0!</v>
      </c>
      <c r="AC245" s="209" t="e">
        <f t="shared" si="75"/>
        <v>#DIV/0!</v>
      </c>
      <c r="AD245" s="209" t="e">
        <f t="shared" si="75"/>
        <v>#DIV/0!</v>
      </c>
      <c r="AE245" s="209" t="e">
        <f t="shared" si="75"/>
        <v>#DIV/0!</v>
      </c>
      <c r="AF245" s="209" t="e">
        <f t="shared" si="75"/>
        <v>#DIV/0!</v>
      </c>
      <c r="AG245" s="209" t="e">
        <f t="shared" si="75"/>
        <v>#DIV/0!</v>
      </c>
      <c r="AH245" s="209" t="e">
        <f t="shared" si="75"/>
        <v>#DIV/0!</v>
      </c>
      <c r="AI245" s="209" t="e">
        <f t="shared" si="75"/>
        <v>#DIV/0!</v>
      </c>
      <c r="AJ245" s="209" t="e">
        <f t="shared" si="75"/>
        <v>#DIV/0!</v>
      </c>
      <c r="AK245" s="209" t="e">
        <f t="shared" si="75"/>
        <v>#DIV/0!</v>
      </c>
      <c r="AL245" s="209" t="e">
        <f t="shared" si="75"/>
        <v>#DIV/0!</v>
      </c>
      <c r="AM245" s="209" t="e">
        <f t="shared" si="75"/>
        <v>#DIV/0!</v>
      </c>
      <c r="AN245" s="209" t="e">
        <f t="shared" si="75"/>
        <v>#DIV/0!</v>
      </c>
    </row>
    <row r="246" spans="2:40" s="30" customFormat="1" x14ac:dyDescent="0.15">
      <c r="B246" s="330"/>
      <c r="C246" s="162" t="s">
        <v>185</v>
      </c>
      <c r="D246" s="204">
        <f>SUMIFS('caseload data'!E:E,'caseload data'!$D:$D,"PSO",'caseload data'!$A:$A,B245,'caseload data'!$B:$B,"custody")</f>
        <v>0</v>
      </c>
      <c r="E246" s="204">
        <f>SUMIFS('caseload data'!F:F,'caseload data'!$D:$D,"PSO",'caseload data'!$A:$A,C245,'caseload data'!$B:$B,"custody")</f>
        <v>0</v>
      </c>
      <c r="F246" s="204">
        <f>SUMIFS('caseload data'!G:G,'caseload data'!$D:$D,"PSO",'caseload data'!$A:$A,D245,'caseload data'!$B:$B,"custody")</f>
        <v>0</v>
      </c>
      <c r="G246" s="204">
        <f>SUMIFS('caseload data'!H:H,'caseload data'!$D:$D,"PSO",'caseload data'!$A:$A,E245,'caseload data'!$B:$B,"custody")</f>
        <v>0</v>
      </c>
      <c r="H246" s="204">
        <f>SUMIFS('caseload data'!I:I,'caseload data'!$D:$D,"PSO",'caseload data'!$A:$A,F245,'caseload data'!$B:$B,"custody")</f>
        <v>0</v>
      </c>
      <c r="I246" s="204">
        <f>SUMIFS('caseload data'!J:J,'caseload data'!$D:$D,"PSO",'caseload data'!$A:$A,G245,'caseload data'!$B:$B,"custody")</f>
        <v>0</v>
      </c>
      <c r="J246" s="204">
        <f>SUMIFS('caseload data'!K:K,'caseload data'!$D:$D,"PSO",'caseload data'!$A:$A,H245,'caseload data'!$B:$B,"custody")</f>
        <v>0</v>
      </c>
      <c r="K246" s="204">
        <f>SUMIFS('caseload data'!L:L,'caseload data'!$D:$D,"PSO",'caseload data'!$A:$A,I245,'caseload data'!$B:$B,"custody")</f>
        <v>0</v>
      </c>
      <c r="L246" s="204">
        <f>SUMIFS('caseload data'!M:M,'caseload data'!$D:$D,"PSO",'caseload data'!$A:$A,J245,'caseload data'!$B:$B,"custody")</f>
        <v>0</v>
      </c>
      <c r="M246" s="204">
        <f>SUMIFS('caseload data'!N:N,'caseload data'!$D:$D,"PSO",'caseload data'!$A:$A,K245,'caseload data'!$B:$B,"custody")</f>
        <v>0</v>
      </c>
      <c r="N246" s="204">
        <f>SUMIFS('caseload data'!O:O,'caseload data'!$D:$D,"PSO",'caseload data'!$A:$A,L245,'caseload data'!$B:$B,"custody")</f>
        <v>0</v>
      </c>
      <c r="O246" s="204">
        <f>SUMIFS('caseload data'!P:P,'caseload data'!$D:$D,"PSO",'caseload data'!$A:$A,M245,'caseload data'!$B:$B,"custody")</f>
        <v>0</v>
      </c>
      <c r="P246" s="204">
        <f>SUMIFS('caseload data'!Q:Q,'caseload data'!$D:$D,"PSO",'caseload data'!$A:$A,N245,'caseload data'!$B:$B,"custody")</f>
        <v>0</v>
      </c>
      <c r="Q246" s="204">
        <f>SUMIFS('caseload data'!R:R,'caseload data'!$D:$D,"PSO",'caseload data'!$A:$A,O245,'caseload data'!$B:$B,"custody")</f>
        <v>0</v>
      </c>
      <c r="R246" s="204">
        <f>SUMIFS('caseload data'!S:S,'caseload data'!$D:$D,"PSO",'caseload data'!$A:$A,P245,'caseload data'!$B:$B,"custody")</f>
        <v>0</v>
      </c>
      <c r="S246" s="204">
        <f>SUMIFS('caseload data'!T:T,'caseload data'!$D:$D,"PSO",'caseload data'!$A:$A,Q245,'caseload data'!$B:$B,"custody")</f>
        <v>0</v>
      </c>
      <c r="T246" s="126">
        <f>SUMIFS('caseload data'!V:V,'caseload data'!D:D,"PSO",'caseload data'!A:A,B245)</f>
        <v>0</v>
      </c>
      <c r="U246" s="95"/>
      <c r="V246" s="95"/>
      <c r="W246" s="330"/>
      <c r="X246" s="162" t="s">
        <v>185</v>
      </c>
      <c r="Y246" s="209" t="e">
        <f>SUM(D246)/SUM(D$245:D$248)</f>
        <v>#DIV/0!</v>
      </c>
      <c r="Z246" s="209" t="e">
        <f t="shared" si="75"/>
        <v>#DIV/0!</v>
      </c>
      <c r="AA246" s="209" t="e">
        <f t="shared" si="75"/>
        <v>#DIV/0!</v>
      </c>
      <c r="AB246" s="209" t="e">
        <f t="shared" si="75"/>
        <v>#DIV/0!</v>
      </c>
      <c r="AC246" s="209" t="e">
        <f t="shared" si="75"/>
        <v>#DIV/0!</v>
      </c>
      <c r="AD246" s="209" t="e">
        <f t="shared" si="75"/>
        <v>#DIV/0!</v>
      </c>
      <c r="AE246" s="209" t="e">
        <f t="shared" si="75"/>
        <v>#DIV/0!</v>
      </c>
      <c r="AF246" s="209" t="e">
        <f t="shared" si="75"/>
        <v>#DIV/0!</v>
      </c>
      <c r="AG246" s="209" t="e">
        <f t="shared" si="75"/>
        <v>#DIV/0!</v>
      </c>
      <c r="AH246" s="209" t="e">
        <f t="shared" si="75"/>
        <v>#DIV/0!</v>
      </c>
      <c r="AI246" s="209" t="e">
        <f t="shared" si="75"/>
        <v>#DIV/0!</v>
      </c>
      <c r="AJ246" s="209" t="e">
        <f t="shared" si="75"/>
        <v>#DIV/0!</v>
      </c>
      <c r="AK246" s="209" t="e">
        <f t="shared" si="75"/>
        <v>#DIV/0!</v>
      </c>
      <c r="AL246" s="209" t="e">
        <f t="shared" si="75"/>
        <v>#DIV/0!</v>
      </c>
      <c r="AM246" s="209" t="e">
        <f t="shared" si="75"/>
        <v>#DIV/0!</v>
      </c>
      <c r="AN246" s="209" t="e">
        <f t="shared" si="75"/>
        <v>#DIV/0!</v>
      </c>
    </row>
    <row r="247" spans="2:40" s="30" customFormat="1" x14ac:dyDescent="0.15">
      <c r="B247" s="330"/>
      <c r="C247" s="162" t="s">
        <v>186</v>
      </c>
      <c r="D247" s="204">
        <f>SUMIFS('caseload data'!E:E,'caseload data'!$D:$D,"TPO",'caseload data'!$A:$A,B245)</f>
        <v>0</v>
      </c>
      <c r="E247" s="204">
        <f>SUMIFS('caseload data'!F:F,'caseload data'!$D:$D,"TPO",'caseload data'!$A:$A,C245)</f>
        <v>0</v>
      </c>
      <c r="F247" s="204">
        <f>SUMIFS('caseload data'!G:G,'caseload data'!$D:$D,"TPO",'caseload data'!$A:$A,D245)</f>
        <v>0</v>
      </c>
      <c r="G247" s="204">
        <f>SUMIFS('caseload data'!H:H,'caseload data'!$D:$D,"TPO",'caseload data'!$A:$A,E245)</f>
        <v>0</v>
      </c>
      <c r="H247" s="204">
        <f>SUMIFS('caseload data'!I:I,'caseload data'!$D:$D,"TPO",'caseload data'!$A:$A,F245)</f>
        <v>0</v>
      </c>
      <c r="I247" s="204">
        <f>SUMIFS('caseload data'!J:J,'caseload data'!$D:$D,"TPO",'caseload data'!$A:$A,G245)</f>
        <v>0</v>
      </c>
      <c r="J247" s="204">
        <f>SUMIFS('caseload data'!K:K,'caseload data'!$D:$D,"TPO",'caseload data'!$A:$A,H245)</f>
        <v>0</v>
      </c>
      <c r="K247" s="204">
        <f>SUMIFS('caseload data'!L:L,'caseload data'!$D:$D,"TPO",'caseload data'!$A:$A,I245)</f>
        <v>0</v>
      </c>
      <c r="L247" s="204">
        <f>SUMIFS('caseload data'!M:M,'caseload data'!$D:$D,"TPO",'caseload data'!$A:$A,J245)</f>
        <v>0</v>
      </c>
      <c r="M247" s="204">
        <f>SUMIFS('caseload data'!N:N,'caseload data'!$D:$D,"TPO",'caseload data'!$A:$A,K245)</f>
        <v>0</v>
      </c>
      <c r="N247" s="204">
        <f>SUMIFS('caseload data'!O:O,'caseload data'!$D:$D,"TPO",'caseload data'!$A:$A,L245)</f>
        <v>0</v>
      </c>
      <c r="O247" s="204">
        <f>SUMIFS('caseload data'!P:P,'caseload data'!$D:$D,"TPO",'caseload data'!$A:$A,M245)</f>
        <v>0</v>
      </c>
      <c r="P247" s="204">
        <f>SUMIFS('caseload data'!Q:Q,'caseload data'!$D:$D,"TPO",'caseload data'!$A:$A,N245)</f>
        <v>0</v>
      </c>
      <c r="Q247" s="204">
        <f>SUMIFS('caseload data'!R:R,'caseload data'!$D:$D,"TPO",'caseload data'!$A:$A,O245)</f>
        <v>0</v>
      </c>
      <c r="R247" s="204">
        <f>SUMIFS('caseload data'!S:S,'caseload data'!$D:$D,"TPO",'caseload data'!$A:$A,P245)</f>
        <v>0</v>
      </c>
      <c r="S247" s="204">
        <f>SUMIFS('caseload data'!T:T,'caseload data'!$D:$D,"TPO",'caseload data'!$A:$A,Q245)</f>
        <v>0</v>
      </c>
      <c r="T247" s="126">
        <f>SUMIFS('caseload data'!V:V,'caseload data'!D:D,"TPO",'caseload data'!A:A,B245,'caseload data'!B:B,"custody")</f>
        <v>0</v>
      </c>
      <c r="U247" s="95"/>
      <c r="V247" s="95"/>
      <c r="W247" s="330"/>
      <c r="X247" s="162" t="s">
        <v>186</v>
      </c>
      <c r="Y247" s="209" t="e">
        <f>SUM(D247)/SUM(D$245:D$248)</f>
        <v>#DIV/0!</v>
      </c>
      <c r="Z247" s="209" t="e">
        <f t="shared" si="75"/>
        <v>#DIV/0!</v>
      </c>
      <c r="AA247" s="209" t="e">
        <f t="shared" si="75"/>
        <v>#DIV/0!</v>
      </c>
      <c r="AB247" s="209" t="e">
        <f t="shared" si="75"/>
        <v>#DIV/0!</v>
      </c>
      <c r="AC247" s="209" t="e">
        <f t="shared" si="75"/>
        <v>#DIV/0!</v>
      </c>
      <c r="AD247" s="209" t="e">
        <f t="shared" si="75"/>
        <v>#DIV/0!</v>
      </c>
      <c r="AE247" s="209" t="e">
        <f t="shared" si="75"/>
        <v>#DIV/0!</v>
      </c>
      <c r="AF247" s="209" t="e">
        <f t="shared" si="75"/>
        <v>#DIV/0!</v>
      </c>
      <c r="AG247" s="209" t="e">
        <f t="shared" si="75"/>
        <v>#DIV/0!</v>
      </c>
      <c r="AH247" s="209" t="e">
        <f t="shared" si="75"/>
        <v>#DIV/0!</v>
      </c>
      <c r="AI247" s="209" t="e">
        <f t="shared" si="75"/>
        <v>#DIV/0!</v>
      </c>
      <c r="AJ247" s="209" t="e">
        <f t="shared" si="75"/>
        <v>#DIV/0!</v>
      </c>
      <c r="AK247" s="209" t="e">
        <f t="shared" si="75"/>
        <v>#DIV/0!</v>
      </c>
      <c r="AL247" s="209" t="e">
        <f t="shared" si="75"/>
        <v>#DIV/0!</v>
      </c>
      <c r="AM247" s="209" t="e">
        <f t="shared" si="75"/>
        <v>#DIV/0!</v>
      </c>
      <c r="AN247" s="209" t="e">
        <f t="shared" si="75"/>
        <v>#DIV/0!</v>
      </c>
    </row>
    <row r="248" spans="2:40" s="30" customFormat="1" x14ac:dyDescent="0.15">
      <c r="B248" s="332"/>
      <c r="C248" s="163" t="s">
        <v>187</v>
      </c>
      <c r="D248" s="204">
        <f>SUMIFS('caseload data'!E:E,'caseload data'!$D:$D,"SPO",'caseload data'!$A:$A,"NPS West Midlands Region",'caseload data'!$B:$B,"custody")</f>
        <v>0</v>
      </c>
      <c r="E248" s="204">
        <f>SUMIFS('caseload data'!F:F,'caseload data'!$D:$D,"SPO",'caseload data'!$A:$A,"NPS West Midlands Region",'caseload data'!$B:$B,"custody")</f>
        <v>0</v>
      </c>
      <c r="F248" s="204">
        <f>SUMIFS('caseload data'!G:G,'caseload data'!$D:$D,"SPO",'caseload data'!$A:$A,"NPS West Midlands Region",'caseload data'!$B:$B,"custody")</f>
        <v>0</v>
      </c>
      <c r="G248" s="204">
        <f>SUMIFS('caseload data'!H:H,'caseload data'!$D:$D,"SPO",'caseload data'!$A:$A,"NPS West Midlands Region",'caseload data'!$B:$B,"custody")</f>
        <v>0</v>
      </c>
      <c r="H248" s="204">
        <f>SUMIFS('caseload data'!I:I,'caseload data'!$D:$D,"SPO",'caseload data'!$A:$A,"NPS West Midlands Region",'caseload data'!$B:$B,"custody")</f>
        <v>0</v>
      </c>
      <c r="I248" s="204">
        <f>SUMIFS('caseload data'!J:J,'caseload data'!$D:$D,"SPO",'caseload data'!$A:$A,"NPS West Midlands Region",'caseload data'!$B:$B,"custody")</f>
        <v>0</v>
      </c>
      <c r="J248" s="204">
        <f>SUMIFS('caseload data'!K:K,'caseload data'!$D:$D,"SPO",'caseload data'!$A:$A,"NPS West Midlands Region",'caseload data'!$B:$B,"custody")</f>
        <v>0</v>
      </c>
      <c r="K248" s="204">
        <f>SUMIFS('caseload data'!L:L,'caseload data'!$D:$D,"SPO",'caseload data'!$A:$A,"NPS West Midlands Region",'caseload data'!$B:$B,"custody")</f>
        <v>0</v>
      </c>
      <c r="L248" s="204">
        <f>SUMIFS('caseload data'!M:M,'caseload data'!$D:$D,"SPO",'caseload data'!$A:$A,"NPS West Midlands Region",'caseload data'!$B:$B,"custody")</f>
        <v>0</v>
      </c>
      <c r="M248" s="204">
        <f>SUMIFS('caseload data'!N:N,'caseload data'!$D:$D,"SPO",'caseload data'!$A:$A,"NPS West Midlands Region",'caseload data'!$B:$B,"custody")</f>
        <v>0</v>
      </c>
      <c r="N248" s="204">
        <f>SUMIFS('caseload data'!O:O,'caseload data'!$D:$D,"SPO",'caseload data'!$A:$A,"NPS West Midlands Region",'caseload data'!$B:$B,"custody")</f>
        <v>0</v>
      </c>
      <c r="O248" s="204">
        <f>SUMIFS('caseload data'!P:P,'caseload data'!$D:$D,"SPO",'caseload data'!$A:$A,"NPS West Midlands Region",'caseload data'!$B:$B,"custody")</f>
        <v>0</v>
      </c>
      <c r="P248" s="204">
        <f>SUMIFS('caseload data'!Q:Q,'caseload data'!$D:$D,"SPO",'caseload data'!$A:$A,"NPS West Midlands Region",'caseload data'!$B:$B,"custody")</f>
        <v>0</v>
      </c>
      <c r="Q248" s="204">
        <f>SUMIFS('caseload data'!R:R,'caseload data'!$D:$D,"SPO",'caseload data'!$A:$A,"NPS West Midlands Region",'caseload data'!$B:$B,"custody")</f>
        <v>0</v>
      </c>
      <c r="R248" s="204">
        <f>SUMIFS('caseload data'!S:S,'caseload data'!$D:$D,"SPO",'caseload data'!$A:$A,"NPS West Midlands Region",'caseload data'!$B:$B,"custody")</f>
        <v>0</v>
      </c>
      <c r="S248" s="204">
        <f>SUMIFS('caseload data'!T:T,'caseload data'!$D:$D,"SPO",'caseload data'!$A:$A,"NPS West Midlands Region",'caseload data'!$B:$B,"custody")</f>
        <v>0</v>
      </c>
      <c r="T248" s="126">
        <f>SUMIFS('caseload data'!V:V,'caseload data'!$D:$D,"SPO",'caseload data'!$A:$A,"NPS West Midlands Region",'caseload data'!$B:$B,"custody")</f>
        <v>0</v>
      </c>
      <c r="U248" s="95"/>
      <c r="V248" s="95"/>
      <c r="W248" s="332"/>
      <c r="X248" s="163" t="s">
        <v>187</v>
      </c>
      <c r="Y248" s="209" t="e">
        <f>SUM(D248)/SUM(D$245:D$248)</f>
        <v>#DIV/0!</v>
      </c>
      <c r="Z248" s="209" t="e">
        <f t="shared" si="75"/>
        <v>#DIV/0!</v>
      </c>
      <c r="AA248" s="209" t="e">
        <f t="shared" si="75"/>
        <v>#DIV/0!</v>
      </c>
      <c r="AB248" s="209" t="e">
        <f t="shared" si="75"/>
        <v>#DIV/0!</v>
      </c>
      <c r="AC248" s="209" t="e">
        <f t="shared" si="75"/>
        <v>#DIV/0!</v>
      </c>
      <c r="AD248" s="209" t="e">
        <f t="shared" si="75"/>
        <v>#DIV/0!</v>
      </c>
      <c r="AE248" s="209" t="e">
        <f t="shared" si="75"/>
        <v>#DIV/0!</v>
      </c>
      <c r="AF248" s="209" t="e">
        <f t="shared" si="75"/>
        <v>#DIV/0!</v>
      </c>
      <c r="AG248" s="209" t="e">
        <f t="shared" si="75"/>
        <v>#DIV/0!</v>
      </c>
      <c r="AH248" s="209" t="e">
        <f t="shared" si="75"/>
        <v>#DIV/0!</v>
      </c>
      <c r="AI248" s="209" t="e">
        <f t="shared" si="75"/>
        <v>#DIV/0!</v>
      </c>
      <c r="AJ248" s="209" t="e">
        <f t="shared" si="75"/>
        <v>#DIV/0!</v>
      </c>
      <c r="AK248" s="209" t="e">
        <f t="shared" si="75"/>
        <v>#DIV/0!</v>
      </c>
      <c r="AL248" s="209" t="e">
        <f t="shared" si="75"/>
        <v>#DIV/0!</v>
      </c>
      <c r="AM248" s="209" t="e">
        <f t="shared" si="75"/>
        <v>#DIV/0!</v>
      </c>
      <c r="AN248" s="209" t="e">
        <f t="shared" si="75"/>
        <v>#DIV/0!</v>
      </c>
    </row>
    <row r="249" spans="2:40" s="30" customFormat="1" x14ac:dyDescent="0.15">
      <c r="B249" s="329" t="s">
        <v>9</v>
      </c>
      <c r="C249" s="161" t="s">
        <v>184</v>
      </c>
      <c r="D249" s="204">
        <f>SUMIFS('caseload data'!E:E,'caseload data'!$D:$D,"PO",'caseload data'!$A:$A,$B$249,'caseload data'!$B:$B,"custody")</f>
        <v>0</v>
      </c>
      <c r="E249" s="204">
        <f>SUMIFS('caseload data'!F:F,'caseload data'!$D:$D,"PO",'caseload data'!$A:$A,$B$249,'caseload data'!$B:$B,"custody")</f>
        <v>0</v>
      </c>
      <c r="F249" s="204">
        <f>SUMIFS('caseload data'!G:G,'caseload data'!$D:$D,"PO",'caseload data'!$A:$A,$B$249,'caseload data'!$B:$B,"custody")</f>
        <v>0</v>
      </c>
      <c r="G249" s="204">
        <f>SUMIFS('caseload data'!H:H,'caseload data'!$D:$D,"PO",'caseload data'!$A:$A,$B$249,'caseload data'!$B:$B,"custody")</f>
        <v>0</v>
      </c>
      <c r="H249" s="204">
        <f>SUMIFS('caseload data'!I:I,'caseload data'!$D:$D,"PO",'caseload data'!$A:$A,$B$249,'caseload data'!$B:$B,"custody")</f>
        <v>0</v>
      </c>
      <c r="I249" s="204">
        <f>SUMIFS('caseload data'!J:J,'caseload data'!$D:$D,"PO",'caseload data'!$A:$A,$B$249,'caseload data'!$B:$B,"custody")</f>
        <v>0</v>
      </c>
      <c r="J249" s="204">
        <f>SUMIFS('caseload data'!K:K,'caseload data'!$D:$D,"PO",'caseload data'!$A:$A,$B$249,'caseload data'!$B:$B,"custody")</f>
        <v>0</v>
      </c>
      <c r="K249" s="204">
        <f>SUMIFS('caseload data'!L:L,'caseload data'!$D:$D,"PO",'caseload data'!$A:$A,$B$249,'caseload data'!$B:$B,"custody")</f>
        <v>0</v>
      </c>
      <c r="L249" s="204">
        <f>SUMIFS('caseload data'!M:M,'caseload data'!$D:$D,"PO",'caseload data'!$A:$A,$B$249,'caseload data'!$B:$B,"custody")</f>
        <v>0</v>
      </c>
      <c r="M249" s="204">
        <f>SUMIFS('caseload data'!N:N,'caseload data'!$D:$D,"PO",'caseload data'!$A:$A,$B$249,'caseload data'!$B:$B,"custody")</f>
        <v>0</v>
      </c>
      <c r="N249" s="204">
        <f>SUMIFS('caseload data'!O:O,'caseload data'!$D:$D,"PO",'caseload data'!$A:$A,$B$249,'caseload data'!$B:$B,"custody")</f>
        <v>0</v>
      </c>
      <c r="O249" s="204">
        <f>SUMIFS('caseload data'!P:P,'caseload data'!$D:$D,"PO",'caseload data'!$A:$A,$B$249,'caseload data'!$B:$B,"custody")</f>
        <v>0</v>
      </c>
      <c r="P249" s="204">
        <f>SUMIFS('caseload data'!Q:Q,'caseload data'!$D:$D,"PO",'caseload data'!$A:$A,$B$249,'caseload data'!$B:$B,"custody")</f>
        <v>0</v>
      </c>
      <c r="Q249" s="204">
        <f>SUMIFS('caseload data'!R:R,'caseload data'!$D:$D,"PO",'caseload data'!$A:$A,$B$249,'caseload data'!$B:$B,"custody")</f>
        <v>0</v>
      </c>
      <c r="R249" s="204">
        <f>SUMIFS('caseload data'!S:S,'caseload data'!$D:$D,"PO",'caseload data'!$A:$A,$B$249,'caseload data'!$B:$B,"custody")</f>
        <v>0</v>
      </c>
      <c r="S249" s="204">
        <f>SUMIFS('caseload data'!T:T,'caseload data'!$D:$D,"PO",'caseload data'!$A:$A,$B$249,'caseload data'!$B:$B,"custody")</f>
        <v>0</v>
      </c>
      <c r="T249" s="126">
        <f>SUMIFS('caseload data'!V:V,'caseload data'!D:D,"PO",'caseload data'!A:A,B249,'caseload data'!B:B,"custody")</f>
        <v>0</v>
      </c>
      <c r="U249" s="95"/>
      <c r="V249" s="95"/>
      <c r="W249" s="329" t="s">
        <v>9</v>
      </c>
      <c r="X249" s="161" t="s">
        <v>184</v>
      </c>
      <c r="Y249" s="209" t="e">
        <f>SUM(D249)/SUM(D$249:D$252)</f>
        <v>#DIV/0!</v>
      </c>
      <c r="Z249" s="209" t="e">
        <f t="shared" ref="Z249:AN252" si="76">SUM(E249)/SUM(E$249:E$252)</f>
        <v>#DIV/0!</v>
      </c>
      <c r="AA249" s="209" t="e">
        <f t="shared" si="76"/>
        <v>#DIV/0!</v>
      </c>
      <c r="AB249" s="209" t="e">
        <f t="shared" si="76"/>
        <v>#DIV/0!</v>
      </c>
      <c r="AC249" s="209" t="e">
        <f t="shared" si="76"/>
        <v>#DIV/0!</v>
      </c>
      <c r="AD249" s="209" t="e">
        <f t="shared" si="76"/>
        <v>#DIV/0!</v>
      </c>
      <c r="AE249" s="209" t="e">
        <f t="shared" si="76"/>
        <v>#DIV/0!</v>
      </c>
      <c r="AF249" s="209" t="e">
        <f t="shared" si="76"/>
        <v>#DIV/0!</v>
      </c>
      <c r="AG249" s="209" t="e">
        <f t="shared" si="76"/>
        <v>#DIV/0!</v>
      </c>
      <c r="AH249" s="209" t="e">
        <f t="shared" si="76"/>
        <v>#DIV/0!</v>
      </c>
      <c r="AI249" s="209" t="e">
        <f t="shared" si="76"/>
        <v>#DIV/0!</v>
      </c>
      <c r="AJ249" s="209" t="e">
        <f t="shared" si="76"/>
        <v>#DIV/0!</v>
      </c>
      <c r="AK249" s="209" t="e">
        <f t="shared" si="76"/>
        <v>#DIV/0!</v>
      </c>
      <c r="AL249" s="209" t="e">
        <f t="shared" si="76"/>
        <v>#DIV/0!</v>
      </c>
      <c r="AM249" s="209" t="e">
        <f t="shared" si="76"/>
        <v>#DIV/0!</v>
      </c>
      <c r="AN249" s="209" t="e">
        <f t="shared" si="76"/>
        <v>#DIV/0!</v>
      </c>
    </row>
    <row r="250" spans="2:40" s="30" customFormat="1" x14ac:dyDescent="0.15">
      <c r="B250" s="330"/>
      <c r="C250" s="162" t="s">
        <v>185</v>
      </c>
      <c r="D250" s="204">
        <f>SUMIFS('caseload data'!E:E,'caseload data'!$D:$D,"PSO",'caseload data'!$A:$A,B249,'caseload data'!$B:$B,"custody")</f>
        <v>0</v>
      </c>
      <c r="E250" s="204">
        <f>SUMIFS('caseload data'!F:F,'caseload data'!$D:$D,"PSO",'caseload data'!$A:$A,C249,'caseload data'!$B:$B,"custody")</f>
        <v>0</v>
      </c>
      <c r="F250" s="204">
        <f>SUMIFS('caseload data'!G:G,'caseload data'!$D:$D,"PSO",'caseload data'!$A:$A,D249,'caseload data'!$B:$B,"custody")</f>
        <v>0</v>
      </c>
      <c r="G250" s="204">
        <f>SUMIFS('caseload data'!H:H,'caseload data'!$D:$D,"PSO",'caseload data'!$A:$A,E249,'caseload data'!$B:$B,"custody")</f>
        <v>0</v>
      </c>
      <c r="H250" s="204">
        <f>SUMIFS('caseload data'!I:I,'caseload data'!$D:$D,"PSO",'caseload data'!$A:$A,F249,'caseload data'!$B:$B,"custody")</f>
        <v>0</v>
      </c>
      <c r="I250" s="204">
        <f>SUMIFS('caseload data'!J:J,'caseload data'!$D:$D,"PSO",'caseload data'!$A:$A,G249,'caseload data'!$B:$B,"custody")</f>
        <v>0</v>
      </c>
      <c r="J250" s="204">
        <f>SUMIFS('caseload data'!K:K,'caseload data'!$D:$D,"PSO",'caseload data'!$A:$A,H249,'caseload data'!$B:$B,"custody")</f>
        <v>0</v>
      </c>
      <c r="K250" s="204">
        <f>SUMIFS('caseload data'!L:L,'caseload data'!$D:$D,"PSO",'caseload data'!$A:$A,I249,'caseload data'!$B:$B,"custody")</f>
        <v>0</v>
      </c>
      <c r="L250" s="204">
        <f>SUMIFS('caseload data'!M:M,'caseload data'!$D:$D,"PSO",'caseload data'!$A:$A,J249,'caseload data'!$B:$B,"custody")</f>
        <v>0</v>
      </c>
      <c r="M250" s="204">
        <f>SUMIFS('caseload data'!N:N,'caseload data'!$D:$D,"PSO",'caseload data'!$A:$A,K249,'caseload data'!$B:$B,"custody")</f>
        <v>0</v>
      </c>
      <c r="N250" s="204">
        <f>SUMIFS('caseload data'!O:O,'caseload data'!$D:$D,"PSO",'caseload data'!$A:$A,L249,'caseload data'!$B:$B,"custody")</f>
        <v>0</v>
      </c>
      <c r="O250" s="204">
        <f>SUMIFS('caseload data'!P:P,'caseload data'!$D:$D,"PSO",'caseload data'!$A:$A,M249,'caseload data'!$B:$B,"custody")</f>
        <v>0</v>
      </c>
      <c r="P250" s="204">
        <f>SUMIFS('caseload data'!Q:Q,'caseload data'!$D:$D,"PSO",'caseload data'!$A:$A,N249,'caseload data'!$B:$B,"custody")</f>
        <v>0</v>
      </c>
      <c r="Q250" s="204">
        <f>SUMIFS('caseload data'!R:R,'caseload data'!$D:$D,"PSO",'caseload data'!$A:$A,O249,'caseload data'!$B:$B,"custody")</f>
        <v>0</v>
      </c>
      <c r="R250" s="204">
        <f>SUMIFS('caseload data'!S:S,'caseload data'!$D:$D,"PSO",'caseload data'!$A:$A,P249,'caseload data'!$B:$B,"custody")</f>
        <v>0</v>
      </c>
      <c r="S250" s="204">
        <f>SUMIFS('caseload data'!T:T,'caseload data'!$D:$D,"PSO",'caseload data'!$A:$A,Q249,'caseload data'!$B:$B,"custody")</f>
        <v>0</v>
      </c>
      <c r="T250" s="126">
        <f>SUMIFS('caseload data'!V:V,'caseload data'!D:D,"PSO",'caseload data'!A:A,B249,'caseload data'!B:B,"custody")</f>
        <v>0</v>
      </c>
      <c r="U250" s="95"/>
      <c r="V250" s="95"/>
      <c r="W250" s="330"/>
      <c r="X250" s="162" t="s">
        <v>185</v>
      </c>
      <c r="Y250" s="209" t="e">
        <f>SUM(D250)/SUM(D$249:D$252)</f>
        <v>#DIV/0!</v>
      </c>
      <c r="Z250" s="209" t="e">
        <f t="shared" si="76"/>
        <v>#DIV/0!</v>
      </c>
      <c r="AA250" s="209" t="e">
        <f t="shared" si="76"/>
        <v>#DIV/0!</v>
      </c>
      <c r="AB250" s="209" t="e">
        <f t="shared" si="76"/>
        <v>#DIV/0!</v>
      </c>
      <c r="AC250" s="209" t="e">
        <f t="shared" si="76"/>
        <v>#DIV/0!</v>
      </c>
      <c r="AD250" s="209" t="e">
        <f t="shared" si="76"/>
        <v>#DIV/0!</v>
      </c>
      <c r="AE250" s="209" t="e">
        <f t="shared" si="76"/>
        <v>#DIV/0!</v>
      </c>
      <c r="AF250" s="209" t="e">
        <f t="shared" si="76"/>
        <v>#DIV/0!</v>
      </c>
      <c r="AG250" s="209" t="e">
        <f t="shared" si="76"/>
        <v>#DIV/0!</v>
      </c>
      <c r="AH250" s="209" t="e">
        <f t="shared" si="76"/>
        <v>#DIV/0!</v>
      </c>
      <c r="AI250" s="209" t="e">
        <f t="shared" si="76"/>
        <v>#DIV/0!</v>
      </c>
      <c r="AJ250" s="209" t="e">
        <f t="shared" si="76"/>
        <v>#DIV/0!</v>
      </c>
      <c r="AK250" s="209" t="e">
        <f t="shared" si="76"/>
        <v>#DIV/0!</v>
      </c>
      <c r="AL250" s="209" t="e">
        <f t="shared" si="76"/>
        <v>#DIV/0!</v>
      </c>
      <c r="AM250" s="209" t="e">
        <f t="shared" si="76"/>
        <v>#DIV/0!</v>
      </c>
      <c r="AN250" s="209" t="e">
        <f t="shared" si="76"/>
        <v>#DIV/0!</v>
      </c>
    </row>
    <row r="251" spans="2:40" s="30" customFormat="1" x14ac:dyDescent="0.15">
      <c r="B251" s="330"/>
      <c r="C251" s="162" t="s">
        <v>186</v>
      </c>
      <c r="D251" s="204">
        <f>SUMIFS('caseload data'!E:E,'caseload data'!$D:$D,"TPO",'caseload data'!$A:$A,B249,'caseload data'!$B:$B,"custody")</f>
        <v>0</v>
      </c>
      <c r="E251" s="204">
        <f>SUMIFS('caseload data'!F:F,'caseload data'!$D:$D,"TPO",'caseload data'!$A:$A,C249,'caseload data'!$B:$B,"custody")</f>
        <v>0</v>
      </c>
      <c r="F251" s="204">
        <f>SUMIFS('caseload data'!G:G,'caseload data'!$D:$D,"TPO",'caseload data'!$A:$A,D249,'caseload data'!$B:$B,"custody")</f>
        <v>0</v>
      </c>
      <c r="G251" s="204">
        <f>SUMIFS('caseload data'!H:H,'caseload data'!$D:$D,"TPO",'caseload data'!$A:$A,E249,'caseload data'!$B:$B,"custody")</f>
        <v>0</v>
      </c>
      <c r="H251" s="204">
        <f>SUMIFS('caseload data'!I:I,'caseload data'!$D:$D,"TPO",'caseload data'!$A:$A,F249,'caseload data'!$B:$B,"custody")</f>
        <v>0</v>
      </c>
      <c r="I251" s="204">
        <f>SUMIFS('caseload data'!J:J,'caseload data'!$D:$D,"TPO",'caseload data'!$A:$A,G249,'caseload data'!$B:$B,"custody")</f>
        <v>0</v>
      </c>
      <c r="J251" s="204">
        <f>SUMIFS('caseload data'!K:K,'caseload data'!$D:$D,"TPO",'caseload data'!$A:$A,H249,'caseload data'!$B:$B,"custody")</f>
        <v>0</v>
      </c>
      <c r="K251" s="204">
        <f>SUMIFS('caseload data'!L:L,'caseload data'!$D:$D,"TPO",'caseload data'!$A:$A,I249,'caseload data'!$B:$B,"custody")</f>
        <v>0</v>
      </c>
      <c r="L251" s="204">
        <f>SUMIFS('caseload data'!M:M,'caseload data'!$D:$D,"TPO",'caseload data'!$A:$A,J249,'caseload data'!$B:$B,"custody")</f>
        <v>0</v>
      </c>
      <c r="M251" s="204">
        <f>SUMIFS('caseload data'!N:N,'caseload data'!$D:$D,"TPO",'caseload data'!$A:$A,K249,'caseload data'!$B:$B,"custody")</f>
        <v>0</v>
      </c>
      <c r="N251" s="204">
        <f>SUMIFS('caseload data'!O:O,'caseload data'!$D:$D,"TPO",'caseload data'!$A:$A,L249,'caseload data'!$B:$B,"custody")</f>
        <v>0</v>
      </c>
      <c r="O251" s="204">
        <f>SUMIFS('caseload data'!P:P,'caseload data'!$D:$D,"TPO",'caseload data'!$A:$A,M249,'caseload data'!$B:$B,"custody")</f>
        <v>0</v>
      </c>
      <c r="P251" s="204">
        <f>SUMIFS('caseload data'!Q:Q,'caseload data'!$D:$D,"TPO",'caseload data'!$A:$A,N249,'caseload data'!$B:$B,"custody")</f>
        <v>0</v>
      </c>
      <c r="Q251" s="204">
        <f>SUMIFS('caseload data'!R:R,'caseload data'!$D:$D,"TPO",'caseload data'!$A:$A,O249,'caseload data'!$B:$B,"custody")</f>
        <v>0</v>
      </c>
      <c r="R251" s="204">
        <f>SUMIFS('caseload data'!S:S,'caseload data'!$D:$D,"TPO",'caseload data'!$A:$A,P249,'caseload data'!$B:$B,"custody")</f>
        <v>0</v>
      </c>
      <c r="S251" s="204">
        <f>SUMIFS('caseload data'!T:T,'caseload data'!$D:$D,"TPO",'caseload data'!$A:$A,Q249,'caseload data'!$B:$B,"custody")</f>
        <v>0</v>
      </c>
      <c r="T251" s="126">
        <f>SUMIFS('caseload data'!V:V,'caseload data'!D:D,"TPO",'caseload data'!A:A,B249,'caseload data'!B:B,"custody")</f>
        <v>0</v>
      </c>
      <c r="U251" s="95"/>
      <c r="V251" s="95"/>
      <c r="W251" s="330"/>
      <c r="X251" s="162" t="s">
        <v>186</v>
      </c>
      <c r="Y251" s="209" t="e">
        <f>SUM(D251)/SUM(D$249:D$252)</f>
        <v>#DIV/0!</v>
      </c>
      <c r="Z251" s="209" t="e">
        <f t="shared" si="76"/>
        <v>#DIV/0!</v>
      </c>
      <c r="AA251" s="209" t="e">
        <f t="shared" si="76"/>
        <v>#DIV/0!</v>
      </c>
      <c r="AB251" s="209" t="e">
        <f t="shared" si="76"/>
        <v>#DIV/0!</v>
      </c>
      <c r="AC251" s="209" t="e">
        <f t="shared" si="76"/>
        <v>#DIV/0!</v>
      </c>
      <c r="AD251" s="209" t="e">
        <f t="shared" si="76"/>
        <v>#DIV/0!</v>
      </c>
      <c r="AE251" s="209" t="e">
        <f t="shared" si="76"/>
        <v>#DIV/0!</v>
      </c>
      <c r="AF251" s="209" t="e">
        <f t="shared" si="76"/>
        <v>#DIV/0!</v>
      </c>
      <c r="AG251" s="209" t="e">
        <f t="shared" si="76"/>
        <v>#DIV/0!</v>
      </c>
      <c r="AH251" s="209" t="e">
        <f t="shared" si="76"/>
        <v>#DIV/0!</v>
      </c>
      <c r="AI251" s="209" t="e">
        <f t="shared" si="76"/>
        <v>#DIV/0!</v>
      </c>
      <c r="AJ251" s="209" t="e">
        <f t="shared" si="76"/>
        <v>#DIV/0!</v>
      </c>
      <c r="AK251" s="209" t="e">
        <f t="shared" si="76"/>
        <v>#DIV/0!</v>
      </c>
      <c r="AL251" s="209" t="e">
        <f t="shared" si="76"/>
        <v>#DIV/0!</v>
      </c>
      <c r="AM251" s="209" t="e">
        <f t="shared" si="76"/>
        <v>#DIV/0!</v>
      </c>
      <c r="AN251" s="209" t="e">
        <f t="shared" si="76"/>
        <v>#DIV/0!</v>
      </c>
    </row>
    <row r="252" spans="2:40" s="30" customFormat="1" x14ac:dyDescent="0.15">
      <c r="B252" s="332"/>
      <c r="C252" s="163" t="s">
        <v>187</v>
      </c>
      <c r="D252" s="204">
        <f>SUMIFS('caseload data'!E:E,'caseload data'!$D:$D,"SPO",'caseload data'!$A:$A,"NPS Yorkshire and The Humber",'caseload data'!$B:$B,"custody")</f>
        <v>0</v>
      </c>
      <c r="E252" s="204">
        <f>SUMIFS('caseload data'!F:F,'caseload data'!$D:$D,"SPO",'caseload data'!$A:$A,"NPS Yorkshire and The Humber",'caseload data'!$B:$B,"custody")</f>
        <v>0</v>
      </c>
      <c r="F252" s="204">
        <f>SUMIFS('caseload data'!G:G,'caseload data'!$D:$D,"SPO",'caseload data'!$A:$A,"NPS Yorkshire and The Humber",'caseload data'!$B:$B,"custody")</f>
        <v>0</v>
      </c>
      <c r="G252" s="204">
        <f>SUMIFS('caseload data'!H:H,'caseload data'!$D:$D,"SPO",'caseload data'!$A:$A,"NPS Yorkshire and The Humber",'caseload data'!$B:$B,"custody")</f>
        <v>0</v>
      </c>
      <c r="H252" s="204">
        <f>SUMIFS('caseload data'!I:I,'caseload data'!$D:$D,"SPO",'caseload data'!$A:$A,"NPS Yorkshire and The Humber",'caseload data'!$B:$B,"custody")</f>
        <v>0</v>
      </c>
      <c r="I252" s="204">
        <f>SUMIFS('caseload data'!J:J,'caseload data'!$D:$D,"SPO",'caseload data'!$A:$A,"NPS Yorkshire and The Humber",'caseload data'!$B:$B,"custody")</f>
        <v>0</v>
      </c>
      <c r="J252" s="204">
        <f>SUMIFS('caseload data'!K:K,'caseload data'!$D:$D,"SPO",'caseload data'!$A:$A,"NPS Yorkshire and The Humber",'caseload data'!$B:$B,"custody")</f>
        <v>0</v>
      </c>
      <c r="K252" s="204">
        <f>SUMIFS('caseload data'!L:L,'caseload data'!$D:$D,"SPO",'caseload data'!$A:$A,"NPS Yorkshire and The Humber",'caseload data'!$B:$B,"custody")</f>
        <v>0</v>
      </c>
      <c r="L252" s="204">
        <f>SUMIFS('caseload data'!M:M,'caseload data'!$D:$D,"SPO",'caseload data'!$A:$A,"NPS Yorkshire and The Humber",'caseload data'!$B:$B,"custody")</f>
        <v>0</v>
      </c>
      <c r="M252" s="204">
        <f>SUMIFS('caseload data'!N:N,'caseload data'!$D:$D,"SPO",'caseload data'!$A:$A,"NPS Yorkshire and The Humber",'caseload data'!$B:$B,"custody")</f>
        <v>0</v>
      </c>
      <c r="N252" s="204">
        <f>SUMIFS('caseload data'!O:O,'caseload data'!$D:$D,"SPO",'caseload data'!$A:$A,"NPS Yorkshire and The Humber",'caseload data'!$B:$B,"custody")</f>
        <v>0</v>
      </c>
      <c r="O252" s="204">
        <f>SUMIFS('caseload data'!P:P,'caseload data'!$D:$D,"SPO",'caseload data'!$A:$A,"NPS Yorkshire and The Humber",'caseload data'!$B:$B,"custody")</f>
        <v>0</v>
      </c>
      <c r="P252" s="204">
        <f>SUMIFS('caseload data'!Q:Q,'caseload data'!$D:$D,"SPO",'caseload data'!$A:$A,"NPS Yorkshire and The Humber",'caseload data'!$B:$B,"custody")</f>
        <v>0</v>
      </c>
      <c r="Q252" s="204">
        <f>SUMIFS('caseload data'!R:R,'caseload data'!$D:$D,"SPO",'caseload data'!$A:$A,"NPS Yorkshire and The Humber",'caseload data'!$B:$B,"custody")</f>
        <v>0</v>
      </c>
      <c r="R252" s="204">
        <f>SUMIFS('caseload data'!S:S,'caseload data'!$D:$D,"SPO",'caseload data'!$A:$A,"NPS Yorkshire and The Humber",'caseload data'!$B:$B,"custody")</f>
        <v>0</v>
      </c>
      <c r="S252" s="204">
        <f>SUMIFS('caseload data'!T:T,'caseload data'!$D:$D,"SPO",'caseload data'!$A:$A,"NPS Yorkshire and The Humber",'caseload data'!$B:$B,"custody")</f>
        <v>0</v>
      </c>
      <c r="T252" s="126">
        <f>SUMIFS('caseload data'!V:V,'caseload data'!$D:$D,"SPO",'caseload data'!$A:$A,"NPS Yorkshire and The Humber",'caseload data'!$B:$B,"custody")</f>
        <v>0</v>
      </c>
      <c r="U252" s="95"/>
      <c r="V252" s="95"/>
      <c r="W252" s="332"/>
      <c r="X252" s="163" t="s">
        <v>187</v>
      </c>
      <c r="Y252" s="209" t="e">
        <f>SUM(D252)/SUM(D$249:D$252)</f>
        <v>#DIV/0!</v>
      </c>
      <c r="Z252" s="209" t="e">
        <f t="shared" si="76"/>
        <v>#DIV/0!</v>
      </c>
      <c r="AA252" s="209" t="e">
        <f t="shared" si="76"/>
        <v>#DIV/0!</v>
      </c>
      <c r="AB252" s="209" t="e">
        <f t="shared" si="76"/>
        <v>#DIV/0!</v>
      </c>
      <c r="AC252" s="209" t="e">
        <f t="shared" si="76"/>
        <v>#DIV/0!</v>
      </c>
      <c r="AD252" s="209" t="e">
        <f t="shared" si="76"/>
        <v>#DIV/0!</v>
      </c>
      <c r="AE252" s="209" t="e">
        <f t="shared" si="76"/>
        <v>#DIV/0!</v>
      </c>
      <c r="AF252" s="209" t="e">
        <f t="shared" si="76"/>
        <v>#DIV/0!</v>
      </c>
      <c r="AG252" s="209" t="e">
        <f t="shared" si="76"/>
        <v>#DIV/0!</v>
      </c>
      <c r="AH252" s="209" t="e">
        <f t="shared" si="76"/>
        <v>#DIV/0!</v>
      </c>
      <c r="AI252" s="209" t="e">
        <f t="shared" si="76"/>
        <v>#DIV/0!</v>
      </c>
      <c r="AJ252" s="209" t="e">
        <f t="shared" si="76"/>
        <v>#DIV/0!</v>
      </c>
      <c r="AK252" s="209" t="e">
        <f t="shared" si="76"/>
        <v>#DIV/0!</v>
      </c>
      <c r="AL252" s="209" t="e">
        <f t="shared" si="76"/>
        <v>#DIV/0!</v>
      </c>
      <c r="AM252" s="209" t="e">
        <f t="shared" si="76"/>
        <v>#DIV/0!</v>
      </c>
      <c r="AN252" s="209" t="e">
        <f t="shared" si="76"/>
        <v>#DIV/0!</v>
      </c>
    </row>
    <row r="253" spans="2:40" s="30" customFormat="1" x14ac:dyDescent="0.15">
      <c r="B253" s="329" t="s">
        <v>514</v>
      </c>
      <c r="C253" s="161" t="s">
        <v>184</v>
      </c>
      <c r="D253" s="204">
        <f>SUMIFS('caseload data'!E:E,'caseload data'!$D:$D,"PO",'caseload data'!$A:$A,$B253,'caseload data'!$B:$B,"custody")</f>
        <v>0</v>
      </c>
      <c r="E253" s="204">
        <f>SUMIFS('caseload data'!F:F,'caseload data'!$D:$D,"PO",'caseload data'!$A:$A,$B253,'caseload data'!$B:$B,"custody")</f>
        <v>0</v>
      </c>
      <c r="F253" s="204">
        <f>SUMIFS('caseload data'!G:G,'caseload data'!$D:$D,"PO",'caseload data'!$A:$A,$B253,'caseload data'!$B:$B,"custody")</f>
        <v>0</v>
      </c>
      <c r="G253" s="204">
        <f>SUMIFS('caseload data'!H:H,'caseload data'!$D:$D,"PO",'caseload data'!$A:$A,$B253,'caseload data'!$B:$B,"custody")</f>
        <v>0</v>
      </c>
      <c r="H253" s="204">
        <f>SUMIFS('caseload data'!I:I,'caseload data'!$D:$D,"PO",'caseload data'!$A:$A,$B253,'caseload data'!$B:$B,"custody")</f>
        <v>0</v>
      </c>
      <c r="I253" s="204">
        <f>SUMIFS('caseload data'!J:J,'caseload data'!$D:$D,"PO",'caseload data'!$A:$A,$B253,'caseload data'!$B:$B,"custody")</f>
        <v>0</v>
      </c>
      <c r="J253" s="204">
        <f>SUMIFS('caseload data'!K:K,'caseload data'!$D:$D,"PO",'caseload data'!$A:$A,$B253,'caseload data'!$B:$B,"custody")</f>
        <v>0</v>
      </c>
      <c r="K253" s="204">
        <f>SUMIFS('caseload data'!L:L,'caseload data'!$D:$D,"PO",'caseload data'!$A:$A,$B253,'caseload data'!$B:$B,"custody")</f>
        <v>0</v>
      </c>
      <c r="L253" s="204">
        <f>SUMIFS('caseload data'!M:M,'caseload data'!$D:$D,"PO",'caseload data'!$A:$A,$B253,'caseload data'!$B:$B,"custody")</f>
        <v>0</v>
      </c>
      <c r="M253" s="204">
        <f>SUMIFS('caseload data'!N:N,'caseload data'!$D:$D,"PO",'caseload data'!$A:$A,$B253,'caseload data'!$B:$B,"custody")</f>
        <v>0</v>
      </c>
      <c r="N253" s="204">
        <f>SUMIFS('caseload data'!O:O,'caseload data'!$D:$D,"PO",'caseload data'!$A:$A,$B253,'caseload data'!$B:$B,"custody")</f>
        <v>0</v>
      </c>
      <c r="O253" s="204">
        <f>SUMIFS('caseload data'!P:P,'caseload data'!$D:$D,"PO",'caseload data'!$A:$A,$B253,'caseload data'!$B:$B,"custody")</f>
        <v>0</v>
      </c>
      <c r="P253" s="204">
        <f>SUMIFS('caseload data'!Q:Q,'caseload data'!$D:$D,"PO",'caseload data'!$A:$A,$B253,'caseload data'!$B:$B,"custody")</f>
        <v>0</v>
      </c>
      <c r="Q253" s="204">
        <f>SUMIFS('caseload data'!R:R,'caseload data'!$D:$D,"PO",'caseload data'!$A:$A,$B253,'caseload data'!$B:$B,"custody")</f>
        <v>0</v>
      </c>
      <c r="R253" s="204">
        <f>SUMIFS('caseload data'!S:S,'caseload data'!$D:$D,"PO",'caseload data'!$A:$A,$B253,'caseload data'!$B:$B,"custody")</f>
        <v>0</v>
      </c>
      <c r="S253" s="204">
        <f>SUMIFS('caseload data'!T:T,'caseload data'!$D:$D,"PO",'caseload data'!$A:$A,$B253,'caseload data'!$B:$B,"custody")</f>
        <v>0</v>
      </c>
      <c r="T253" s="204">
        <f>SUMIFS('caseload data'!V:V,'caseload data'!$D:$D,"PO",'caseload data'!$A:$A,$B253,'caseload data'!$B:$B,"custody")</f>
        <v>0</v>
      </c>
      <c r="U253" s="95"/>
      <c r="V253" s="95"/>
      <c r="W253" s="329" t="s">
        <v>514</v>
      </c>
      <c r="X253" s="161" t="s">
        <v>184</v>
      </c>
      <c r="Y253" s="209" t="e">
        <f>SUM(D253)/SUM(D$253:D$256)</f>
        <v>#DIV/0!</v>
      </c>
      <c r="Z253" s="209" t="e">
        <f t="shared" ref="Z253:AN256" si="77">SUM(E253)/SUM(E$253:E$256)</f>
        <v>#DIV/0!</v>
      </c>
      <c r="AA253" s="209" t="e">
        <f t="shared" si="77"/>
        <v>#DIV/0!</v>
      </c>
      <c r="AB253" s="209" t="e">
        <f t="shared" si="77"/>
        <v>#DIV/0!</v>
      </c>
      <c r="AC253" s="209" t="e">
        <f t="shared" si="77"/>
        <v>#DIV/0!</v>
      </c>
      <c r="AD253" s="209" t="e">
        <f t="shared" si="77"/>
        <v>#DIV/0!</v>
      </c>
      <c r="AE253" s="209" t="e">
        <f t="shared" si="77"/>
        <v>#DIV/0!</v>
      </c>
      <c r="AF253" s="209" t="e">
        <f t="shared" si="77"/>
        <v>#DIV/0!</v>
      </c>
      <c r="AG253" s="209" t="e">
        <f t="shared" si="77"/>
        <v>#DIV/0!</v>
      </c>
      <c r="AH253" s="209" t="e">
        <f t="shared" si="77"/>
        <v>#DIV/0!</v>
      </c>
      <c r="AI253" s="209" t="e">
        <f t="shared" si="77"/>
        <v>#DIV/0!</v>
      </c>
      <c r="AJ253" s="209" t="e">
        <f t="shared" si="77"/>
        <v>#DIV/0!</v>
      </c>
      <c r="AK253" s="209" t="e">
        <f t="shared" si="77"/>
        <v>#DIV/0!</v>
      </c>
      <c r="AL253" s="209" t="e">
        <f t="shared" si="77"/>
        <v>#DIV/0!</v>
      </c>
      <c r="AM253" s="209" t="e">
        <f t="shared" si="77"/>
        <v>#DIV/0!</v>
      </c>
      <c r="AN253" s="209" t="e">
        <f t="shared" si="77"/>
        <v>#DIV/0!</v>
      </c>
    </row>
    <row r="254" spans="2:40" s="30" customFormat="1" x14ac:dyDescent="0.15">
      <c r="B254" s="330"/>
      <c r="C254" s="162" t="s">
        <v>185</v>
      </c>
      <c r="D254" s="204">
        <f>SUMIFS('caseload data'!E:E,'caseload data'!$D:$D,"PSO",'caseload data'!$A:$A,$B253,'caseload data'!$B:$B,"custody")</f>
        <v>0</v>
      </c>
      <c r="E254" s="204">
        <f>SUMIFS('caseload data'!F:F,'caseload data'!$D:$D,"PSO",'caseload data'!$A:$A,$B253,'caseload data'!$B:$B,"custody")</f>
        <v>0</v>
      </c>
      <c r="F254" s="204">
        <f>SUMIFS('caseload data'!G:G,'caseload data'!$D:$D,"PSO",'caseload data'!$A:$A,$B253,'caseload data'!$B:$B,"custody")</f>
        <v>0</v>
      </c>
      <c r="G254" s="204">
        <f>SUMIFS('caseload data'!H:H,'caseload data'!$D:$D,"PSO",'caseload data'!$A:$A,$B253,'caseload data'!$B:$B,"custody")</f>
        <v>0</v>
      </c>
      <c r="H254" s="204">
        <f>SUMIFS('caseload data'!I:I,'caseload data'!$D:$D,"PSO",'caseload data'!$A:$A,$B253,'caseload data'!$B:$B,"custody")</f>
        <v>0</v>
      </c>
      <c r="I254" s="204">
        <f>SUMIFS('caseload data'!J:J,'caseload data'!$D:$D,"PSO",'caseload data'!$A:$A,$B253,'caseload data'!$B:$B,"custody")</f>
        <v>0</v>
      </c>
      <c r="J254" s="204">
        <f>SUMIFS('caseload data'!K:K,'caseload data'!$D:$D,"PSO",'caseload data'!$A:$A,$B253,'caseload data'!$B:$B,"custody")</f>
        <v>0</v>
      </c>
      <c r="K254" s="204">
        <f>SUMIFS('caseload data'!L:L,'caseload data'!$D:$D,"PSO",'caseload data'!$A:$A,$B253,'caseload data'!$B:$B,"custody")</f>
        <v>0</v>
      </c>
      <c r="L254" s="204">
        <f>SUMIFS('caseload data'!M:M,'caseload data'!$D:$D,"PSO",'caseload data'!$A:$A,$B253,'caseload data'!$B:$B,"custody")</f>
        <v>0</v>
      </c>
      <c r="M254" s="204">
        <f>SUMIFS('caseload data'!N:N,'caseload data'!$D:$D,"PSO",'caseload data'!$A:$A,$B253,'caseload data'!$B:$B,"custody")</f>
        <v>0</v>
      </c>
      <c r="N254" s="204">
        <f>SUMIFS('caseload data'!O:O,'caseload data'!$D:$D,"PSO",'caseload data'!$A:$A,$B253,'caseload data'!$B:$B,"custody")</f>
        <v>0</v>
      </c>
      <c r="O254" s="204">
        <f>SUMIFS('caseload data'!P:P,'caseload data'!$D:$D,"PSO",'caseload data'!$A:$A,$B253,'caseload data'!$B:$B,"custody")</f>
        <v>0</v>
      </c>
      <c r="P254" s="204">
        <f>SUMIFS('caseload data'!Q:Q,'caseload data'!$D:$D,"PSO",'caseload data'!$A:$A,$B253,'caseload data'!$B:$B,"custody")</f>
        <v>0</v>
      </c>
      <c r="Q254" s="204">
        <f>SUMIFS('caseload data'!R:R,'caseload data'!$D:$D,"PSO",'caseload data'!$A:$A,$B253,'caseload data'!$B:$B,"custody")</f>
        <v>0</v>
      </c>
      <c r="R254" s="204">
        <f>SUMIFS('caseload data'!S:S,'caseload data'!$D:$D,"PSO",'caseload data'!$A:$A,$B253,'caseload data'!$B:$B,"custody")</f>
        <v>0</v>
      </c>
      <c r="S254" s="204">
        <f>SUMIFS('caseload data'!T:T,'caseload data'!$D:$D,"PSO",'caseload data'!$A:$A,$B253,'caseload data'!$B:$B,"custody")</f>
        <v>0</v>
      </c>
      <c r="T254" s="204">
        <f>SUMIFS('caseload data'!V:V,'caseload data'!$D:$D,"PSO",'caseload data'!$A:$A,$B253,'caseload data'!$B:$B,"custody")</f>
        <v>0</v>
      </c>
      <c r="U254" s="95"/>
      <c r="V254" s="95"/>
      <c r="W254" s="330"/>
      <c r="X254" s="162" t="s">
        <v>185</v>
      </c>
      <c r="Y254" s="209" t="e">
        <f t="shared" ref="Y254:Y256" si="78">SUM(D254)/SUM(D$253:D$256)</f>
        <v>#DIV/0!</v>
      </c>
      <c r="Z254" s="209" t="e">
        <f t="shared" si="77"/>
        <v>#DIV/0!</v>
      </c>
      <c r="AA254" s="209" t="e">
        <f t="shared" si="77"/>
        <v>#DIV/0!</v>
      </c>
      <c r="AB254" s="209" t="e">
        <f t="shared" si="77"/>
        <v>#DIV/0!</v>
      </c>
      <c r="AC254" s="209" t="e">
        <f t="shared" si="77"/>
        <v>#DIV/0!</v>
      </c>
      <c r="AD254" s="209" t="e">
        <f t="shared" si="77"/>
        <v>#DIV/0!</v>
      </c>
      <c r="AE254" s="209" t="e">
        <f t="shared" si="77"/>
        <v>#DIV/0!</v>
      </c>
      <c r="AF254" s="209" t="e">
        <f t="shared" si="77"/>
        <v>#DIV/0!</v>
      </c>
      <c r="AG254" s="209" t="e">
        <f t="shared" si="77"/>
        <v>#DIV/0!</v>
      </c>
      <c r="AH254" s="209" t="e">
        <f t="shared" si="77"/>
        <v>#DIV/0!</v>
      </c>
      <c r="AI254" s="209" t="e">
        <f t="shared" si="77"/>
        <v>#DIV/0!</v>
      </c>
      <c r="AJ254" s="209" t="e">
        <f t="shared" si="77"/>
        <v>#DIV/0!</v>
      </c>
      <c r="AK254" s="209" t="e">
        <f t="shared" si="77"/>
        <v>#DIV/0!</v>
      </c>
      <c r="AL254" s="209" t="e">
        <f t="shared" si="77"/>
        <v>#DIV/0!</v>
      </c>
      <c r="AM254" s="209" t="e">
        <f t="shared" si="77"/>
        <v>#DIV/0!</v>
      </c>
      <c r="AN254" s="209" t="e">
        <f t="shared" si="77"/>
        <v>#DIV/0!</v>
      </c>
    </row>
    <row r="255" spans="2:40" s="30" customFormat="1" x14ac:dyDescent="0.15">
      <c r="B255" s="330"/>
      <c r="C255" s="162" t="s">
        <v>186</v>
      </c>
      <c r="D255" s="204">
        <f>SUMIFS('caseload data'!E:E,'caseload data'!$D:$D,"TPO",'caseload data'!$A:$A,$B253,'caseload data'!$B:$B,"custody")</f>
        <v>0</v>
      </c>
      <c r="E255" s="204">
        <f>SUMIFS('caseload data'!F:F,'caseload data'!$D:$D,"TPO",'caseload data'!$A:$A,$B253,'caseload data'!$B:$B,"custody")</f>
        <v>0</v>
      </c>
      <c r="F255" s="204">
        <f>SUMIFS('caseload data'!G:G,'caseload data'!$D:$D,"TPO",'caseload data'!$A:$A,$B253,'caseload data'!$B:$B,"custody")</f>
        <v>0</v>
      </c>
      <c r="G255" s="204">
        <f>SUMIFS('caseload data'!H:H,'caseload data'!$D:$D,"TPO",'caseload data'!$A:$A,$B253,'caseload data'!$B:$B,"custody")</f>
        <v>0</v>
      </c>
      <c r="H255" s="204">
        <f>SUMIFS('caseload data'!I:I,'caseload data'!$D:$D,"TPO",'caseload data'!$A:$A,$B253,'caseload data'!$B:$B,"custody")</f>
        <v>0</v>
      </c>
      <c r="I255" s="204">
        <f>SUMIFS('caseload data'!J:J,'caseload data'!$D:$D,"TPO",'caseload data'!$A:$A,$B253,'caseload data'!$B:$B,"custody")</f>
        <v>0</v>
      </c>
      <c r="J255" s="204">
        <f>SUMIFS('caseload data'!K:K,'caseload data'!$D:$D,"TPO",'caseload data'!$A:$A,$B253,'caseload data'!$B:$B,"custody")</f>
        <v>0</v>
      </c>
      <c r="K255" s="204">
        <f>SUMIFS('caseload data'!L:L,'caseload data'!$D:$D,"TPO",'caseload data'!$A:$A,$B253,'caseload data'!$B:$B,"custody")</f>
        <v>0</v>
      </c>
      <c r="L255" s="204">
        <f>SUMIFS('caseload data'!M:M,'caseload data'!$D:$D,"TPO",'caseload data'!$A:$A,$B253,'caseload data'!$B:$B,"custody")</f>
        <v>0</v>
      </c>
      <c r="M255" s="204">
        <f>SUMIFS('caseload data'!N:N,'caseload data'!$D:$D,"TPO",'caseload data'!$A:$A,$B253,'caseload data'!$B:$B,"custody")</f>
        <v>0</v>
      </c>
      <c r="N255" s="204">
        <f>SUMIFS('caseload data'!O:O,'caseload data'!$D:$D,"TPO",'caseload data'!$A:$A,$B253,'caseload data'!$B:$B,"custody")</f>
        <v>0</v>
      </c>
      <c r="O255" s="204">
        <f>SUMIFS('caseload data'!P:P,'caseload data'!$D:$D,"TPO",'caseload data'!$A:$A,$B253,'caseload data'!$B:$B,"custody")</f>
        <v>0</v>
      </c>
      <c r="P255" s="204">
        <f>SUMIFS('caseload data'!Q:Q,'caseload data'!$D:$D,"TPO",'caseload data'!$A:$A,$B253,'caseload data'!$B:$B,"custody")</f>
        <v>0</v>
      </c>
      <c r="Q255" s="204">
        <f>SUMIFS('caseload data'!R:R,'caseload data'!$D:$D,"TPO",'caseload data'!$A:$A,$B253,'caseload data'!$B:$B,"custody")</f>
        <v>0</v>
      </c>
      <c r="R255" s="204">
        <f>SUMIFS('caseload data'!S:S,'caseload data'!$D:$D,"TPO",'caseload data'!$A:$A,$B253,'caseload data'!$B:$B,"custody")</f>
        <v>0</v>
      </c>
      <c r="S255" s="204">
        <f>SUMIFS('caseload data'!T:T,'caseload data'!$D:$D,"TPO",'caseload data'!$A:$A,$B253,'caseload data'!$B:$B,"custody")</f>
        <v>0</v>
      </c>
      <c r="T255" s="204">
        <f>SUMIFS('caseload data'!V:V,'caseload data'!$D:$D,"TPO",'caseload data'!$A:$A,$B253,'caseload data'!$B:$B,"custody")</f>
        <v>0</v>
      </c>
      <c r="U255" s="95"/>
      <c r="V255" s="95"/>
      <c r="W255" s="330"/>
      <c r="X255" s="162" t="s">
        <v>186</v>
      </c>
      <c r="Y255" s="209" t="e">
        <f t="shared" si="78"/>
        <v>#DIV/0!</v>
      </c>
      <c r="Z255" s="209" t="e">
        <f t="shared" si="77"/>
        <v>#DIV/0!</v>
      </c>
      <c r="AA255" s="209" t="e">
        <f t="shared" si="77"/>
        <v>#DIV/0!</v>
      </c>
      <c r="AB255" s="209" t="e">
        <f t="shared" si="77"/>
        <v>#DIV/0!</v>
      </c>
      <c r="AC255" s="209" t="e">
        <f t="shared" si="77"/>
        <v>#DIV/0!</v>
      </c>
      <c r="AD255" s="209" t="e">
        <f t="shared" si="77"/>
        <v>#DIV/0!</v>
      </c>
      <c r="AE255" s="209" t="e">
        <f t="shared" si="77"/>
        <v>#DIV/0!</v>
      </c>
      <c r="AF255" s="209" t="e">
        <f t="shared" si="77"/>
        <v>#DIV/0!</v>
      </c>
      <c r="AG255" s="209" t="e">
        <f t="shared" si="77"/>
        <v>#DIV/0!</v>
      </c>
      <c r="AH255" s="209" t="e">
        <f t="shared" si="77"/>
        <v>#DIV/0!</v>
      </c>
      <c r="AI255" s="209" t="e">
        <f t="shared" si="77"/>
        <v>#DIV/0!</v>
      </c>
      <c r="AJ255" s="209" t="e">
        <f t="shared" si="77"/>
        <v>#DIV/0!</v>
      </c>
      <c r="AK255" s="209" t="e">
        <f t="shared" si="77"/>
        <v>#DIV/0!</v>
      </c>
      <c r="AL255" s="209" t="e">
        <f t="shared" si="77"/>
        <v>#DIV/0!</v>
      </c>
      <c r="AM255" s="209" t="e">
        <f t="shared" si="77"/>
        <v>#DIV/0!</v>
      </c>
      <c r="AN255" s="209" t="e">
        <f t="shared" si="77"/>
        <v>#DIV/0!</v>
      </c>
    </row>
    <row r="256" spans="2:40" s="30" customFormat="1" x14ac:dyDescent="0.15">
      <c r="B256" s="331"/>
      <c r="C256" s="163" t="s">
        <v>187</v>
      </c>
      <c r="D256" s="204">
        <f>SUMIFS('caseload data'!E:E,'caseload data'!$D:$D,"SPO",'caseload data'!$A:$A,$B253,'caseload data'!$B:$B,"custody")</f>
        <v>0</v>
      </c>
      <c r="E256" s="204">
        <f>SUMIFS('caseload data'!F:F,'caseload data'!$D:$D,"SPO",'caseload data'!$A:$A,$B253,'caseload data'!$B:$B,"custody")</f>
        <v>0</v>
      </c>
      <c r="F256" s="204">
        <f>SUMIFS('caseload data'!G:G,'caseload data'!$D:$D,"SPO",'caseload data'!$A:$A,$B253,'caseload data'!$B:$B,"custody")</f>
        <v>0</v>
      </c>
      <c r="G256" s="204">
        <f>SUMIFS('caseload data'!H:H,'caseload data'!$D:$D,"SPO",'caseload data'!$A:$A,$B253,'caseload data'!$B:$B,"custody")</f>
        <v>0</v>
      </c>
      <c r="H256" s="204">
        <f>SUMIFS('caseload data'!I:I,'caseload data'!$D:$D,"SPO",'caseload data'!$A:$A,$B253,'caseload data'!$B:$B,"custody")</f>
        <v>0</v>
      </c>
      <c r="I256" s="204">
        <f>SUMIFS('caseload data'!J:J,'caseload data'!$D:$D,"SPO",'caseload data'!$A:$A,$B253,'caseload data'!$B:$B,"custody")</f>
        <v>0</v>
      </c>
      <c r="J256" s="204">
        <f>SUMIFS('caseload data'!K:K,'caseload data'!$D:$D,"SPO",'caseload data'!$A:$A,$B253,'caseload data'!$B:$B,"custody")</f>
        <v>0</v>
      </c>
      <c r="K256" s="204">
        <f>SUMIFS('caseload data'!L:L,'caseload data'!$D:$D,"SPO",'caseload data'!$A:$A,$B253,'caseload data'!$B:$B,"custody")</f>
        <v>0</v>
      </c>
      <c r="L256" s="204">
        <f>SUMIFS('caseload data'!M:M,'caseload data'!$D:$D,"SPO",'caseload data'!$A:$A,$B253,'caseload data'!$B:$B,"custody")</f>
        <v>0</v>
      </c>
      <c r="M256" s="204">
        <f>SUMIFS('caseload data'!N:N,'caseload data'!$D:$D,"SPO",'caseload data'!$A:$A,$B253,'caseload data'!$B:$B,"custody")</f>
        <v>0</v>
      </c>
      <c r="N256" s="204">
        <f>SUMIFS('caseload data'!O:O,'caseload data'!$D:$D,"SPO",'caseload data'!$A:$A,$B253,'caseload data'!$B:$B,"custody")</f>
        <v>0</v>
      </c>
      <c r="O256" s="204">
        <f>SUMIFS('caseload data'!P:P,'caseload data'!$D:$D,"SPO",'caseload data'!$A:$A,$B253,'caseload data'!$B:$B,"custody")</f>
        <v>0</v>
      </c>
      <c r="P256" s="204">
        <f>SUMIFS('caseload data'!Q:Q,'caseload data'!$D:$D,"SPO",'caseload data'!$A:$A,$B253,'caseload data'!$B:$B,"custody")</f>
        <v>0</v>
      </c>
      <c r="Q256" s="204">
        <f>SUMIFS('caseload data'!R:R,'caseload data'!$D:$D,"SPO",'caseload data'!$A:$A,$B253,'caseload data'!$B:$B,"custody")</f>
        <v>0</v>
      </c>
      <c r="R256" s="204">
        <f>SUMIFS('caseload data'!S:S,'caseload data'!$D:$D,"SPO",'caseload data'!$A:$A,$B253,'caseload data'!$B:$B,"custody")</f>
        <v>0</v>
      </c>
      <c r="S256" s="204">
        <f>SUMIFS('caseload data'!T:T,'caseload data'!$D:$D,"SPO",'caseload data'!$A:$A,$B253,'caseload data'!$B:$B,"custody")</f>
        <v>0</v>
      </c>
      <c r="T256" s="204">
        <f>SUMIFS('caseload data'!V:V,'caseload data'!$D:$D,"SPO",'caseload data'!$A:$A,$B253,'caseload data'!$B:$B,"custody")</f>
        <v>0</v>
      </c>
      <c r="U256" s="95"/>
      <c r="V256" s="95"/>
      <c r="W256" s="331"/>
      <c r="X256" s="163" t="s">
        <v>187</v>
      </c>
      <c r="Y256" s="209" t="e">
        <f t="shared" si="78"/>
        <v>#DIV/0!</v>
      </c>
      <c r="Z256" s="209" t="e">
        <f t="shared" si="77"/>
        <v>#DIV/0!</v>
      </c>
      <c r="AA256" s="209" t="e">
        <f t="shared" si="77"/>
        <v>#DIV/0!</v>
      </c>
      <c r="AB256" s="209" t="e">
        <f t="shared" si="77"/>
        <v>#DIV/0!</v>
      </c>
      <c r="AC256" s="209" t="e">
        <f t="shared" si="77"/>
        <v>#DIV/0!</v>
      </c>
      <c r="AD256" s="209" t="e">
        <f t="shared" si="77"/>
        <v>#DIV/0!</v>
      </c>
      <c r="AE256" s="209" t="e">
        <f t="shared" si="77"/>
        <v>#DIV/0!</v>
      </c>
      <c r="AF256" s="209" t="e">
        <f t="shared" si="77"/>
        <v>#DIV/0!</v>
      </c>
      <c r="AG256" s="209" t="e">
        <f t="shared" si="77"/>
        <v>#DIV/0!</v>
      </c>
      <c r="AH256" s="209" t="e">
        <f t="shared" si="77"/>
        <v>#DIV/0!</v>
      </c>
      <c r="AI256" s="209" t="e">
        <f t="shared" si="77"/>
        <v>#DIV/0!</v>
      </c>
      <c r="AJ256" s="209" t="e">
        <f t="shared" si="77"/>
        <v>#DIV/0!</v>
      </c>
      <c r="AK256" s="209" t="e">
        <f t="shared" si="77"/>
        <v>#DIV/0!</v>
      </c>
      <c r="AL256" s="209" t="e">
        <f t="shared" si="77"/>
        <v>#DIV/0!</v>
      </c>
      <c r="AM256" s="209" t="e">
        <f t="shared" si="77"/>
        <v>#DIV/0!</v>
      </c>
      <c r="AN256" s="209" t="e">
        <f t="shared" si="77"/>
        <v>#DIV/0!</v>
      </c>
    </row>
    <row r="257" spans="2:40" s="30" customFormat="1" x14ac:dyDescent="0.15">
      <c r="B257" s="329" t="s">
        <v>515</v>
      </c>
      <c r="C257" s="161" t="s">
        <v>184</v>
      </c>
      <c r="D257" s="204">
        <f>SUMIFS('caseload data'!E:E,'caseload data'!$D:$D,"PO",'caseload data'!$A:$A,$B257,'caseload data'!$B:$B,"custody")</f>
        <v>0</v>
      </c>
      <c r="E257" s="204">
        <f>SUMIFS('caseload data'!F:F,'caseload data'!$D:$D,"PO",'caseload data'!$A:$A,$B257,'caseload data'!$B:$B,"custody")</f>
        <v>0</v>
      </c>
      <c r="F257" s="204">
        <f>SUMIFS('caseload data'!G:G,'caseload data'!$D:$D,"PO",'caseload data'!$A:$A,$B257,'caseload data'!$B:$B,"custody")</f>
        <v>0</v>
      </c>
      <c r="G257" s="204">
        <f>SUMIFS('caseload data'!H:H,'caseload data'!$D:$D,"PO",'caseload data'!$A:$A,$B257,'caseload data'!$B:$B,"custody")</f>
        <v>0</v>
      </c>
      <c r="H257" s="204">
        <f>SUMIFS('caseload data'!I:I,'caseload data'!$D:$D,"PO",'caseload data'!$A:$A,$B257,'caseload data'!$B:$B,"custody")</f>
        <v>0</v>
      </c>
      <c r="I257" s="204">
        <f>SUMIFS('caseload data'!J:J,'caseload data'!$D:$D,"PO",'caseload data'!$A:$A,$B257,'caseload data'!$B:$B,"custody")</f>
        <v>0</v>
      </c>
      <c r="J257" s="204">
        <f>SUMIFS('caseload data'!K:K,'caseload data'!$D:$D,"PO",'caseload data'!$A:$A,$B257,'caseload data'!$B:$B,"custody")</f>
        <v>0</v>
      </c>
      <c r="K257" s="204">
        <f>SUMIFS('caseload data'!L:L,'caseload data'!$D:$D,"PO",'caseload data'!$A:$A,$B257,'caseload data'!$B:$B,"custody")</f>
        <v>0</v>
      </c>
      <c r="L257" s="204">
        <f>SUMIFS('caseload data'!M:M,'caseload data'!$D:$D,"PO",'caseload data'!$A:$A,$B257,'caseload data'!$B:$B,"custody")</f>
        <v>0</v>
      </c>
      <c r="M257" s="204">
        <f>SUMIFS('caseload data'!N:N,'caseload data'!$D:$D,"PO",'caseload data'!$A:$A,$B257,'caseload data'!$B:$B,"custody")</f>
        <v>0</v>
      </c>
      <c r="N257" s="204">
        <f>SUMIFS('caseload data'!O:O,'caseload data'!$D:$D,"PO",'caseload data'!$A:$A,$B257,'caseload data'!$B:$B,"custody")</f>
        <v>0</v>
      </c>
      <c r="O257" s="204">
        <f>SUMIFS('caseload data'!P:P,'caseload data'!$D:$D,"PO",'caseload data'!$A:$A,$B257,'caseload data'!$B:$B,"custody")</f>
        <v>0</v>
      </c>
      <c r="P257" s="204">
        <f>SUMIFS('caseload data'!Q:Q,'caseload data'!$D:$D,"PO",'caseload data'!$A:$A,$B257,'caseload data'!$B:$B,"custody")</f>
        <v>0</v>
      </c>
      <c r="Q257" s="204">
        <f>SUMIFS('caseload data'!R:R,'caseload data'!$D:$D,"PO",'caseload data'!$A:$A,$B257,'caseload data'!$B:$B,"custody")</f>
        <v>0</v>
      </c>
      <c r="R257" s="204">
        <f>SUMIFS('caseload data'!S:S,'caseload data'!$D:$D,"PO",'caseload data'!$A:$A,$B257,'caseload data'!$B:$B,"custody")</f>
        <v>0</v>
      </c>
      <c r="S257" s="204">
        <f>SUMIFS('caseload data'!T:T,'caseload data'!$D:$D,"PO",'caseload data'!$A:$A,$B257,'caseload data'!$B:$B,"custody")</f>
        <v>0</v>
      </c>
      <c r="T257" s="204">
        <f>SUMIFS('caseload data'!V:V,'caseload data'!$D:$D,"PO",'caseload data'!$A:$A,$B257,'caseload data'!$B:$B,"custody")</f>
        <v>0</v>
      </c>
      <c r="U257" s="95"/>
      <c r="V257" s="95"/>
      <c r="W257" s="329" t="s">
        <v>515</v>
      </c>
      <c r="X257" s="161" t="s">
        <v>184</v>
      </c>
      <c r="Y257" s="209" t="e">
        <f>SUM(D257)/SUM(D$257:D$260)</f>
        <v>#DIV/0!</v>
      </c>
      <c r="Z257" s="209" t="e">
        <f t="shared" ref="Z257:AN260" si="79">SUM(E257)/SUM(E$257:E$260)</f>
        <v>#DIV/0!</v>
      </c>
      <c r="AA257" s="209" t="e">
        <f t="shared" si="79"/>
        <v>#DIV/0!</v>
      </c>
      <c r="AB257" s="209" t="e">
        <f t="shared" si="79"/>
        <v>#DIV/0!</v>
      </c>
      <c r="AC257" s="209" t="e">
        <f t="shared" si="79"/>
        <v>#DIV/0!</v>
      </c>
      <c r="AD257" s="209" t="e">
        <f t="shared" si="79"/>
        <v>#DIV/0!</v>
      </c>
      <c r="AE257" s="209" t="e">
        <f t="shared" si="79"/>
        <v>#DIV/0!</v>
      </c>
      <c r="AF257" s="209" t="e">
        <f t="shared" si="79"/>
        <v>#DIV/0!</v>
      </c>
      <c r="AG257" s="209" t="e">
        <f t="shared" si="79"/>
        <v>#DIV/0!</v>
      </c>
      <c r="AH257" s="209" t="e">
        <f t="shared" si="79"/>
        <v>#DIV/0!</v>
      </c>
      <c r="AI257" s="209" t="e">
        <f t="shared" si="79"/>
        <v>#DIV/0!</v>
      </c>
      <c r="AJ257" s="209" t="e">
        <f t="shared" si="79"/>
        <v>#DIV/0!</v>
      </c>
      <c r="AK257" s="209" t="e">
        <f t="shared" si="79"/>
        <v>#DIV/0!</v>
      </c>
      <c r="AL257" s="209" t="e">
        <f t="shared" si="79"/>
        <v>#DIV/0!</v>
      </c>
      <c r="AM257" s="209" t="e">
        <f t="shared" si="79"/>
        <v>#DIV/0!</v>
      </c>
      <c r="AN257" s="209" t="e">
        <f t="shared" si="79"/>
        <v>#DIV/0!</v>
      </c>
    </row>
    <row r="258" spans="2:40" s="30" customFormat="1" x14ac:dyDescent="0.15">
      <c r="B258" s="330"/>
      <c r="C258" s="162" t="s">
        <v>185</v>
      </c>
      <c r="D258" s="204">
        <f>SUMIFS('caseload data'!E:E,'caseload data'!$D:$D,"PSO",'caseload data'!$A:$A,$B257,'caseload data'!$B:$B,"custody")</f>
        <v>0</v>
      </c>
      <c r="E258" s="204">
        <f>SUMIFS('caseload data'!F:F,'caseload data'!$D:$D,"PSO",'caseload data'!$A:$A,$B257,'caseload data'!$B:$B,"custody")</f>
        <v>0</v>
      </c>
      <c r="F258" s="204">
        <f>SUMIFS('caseload data'!G:G,'caseload data'!$D:$D,"PSO",'caseload data'!$A:$A,$B257,'caseload data'!$B:$B,"custody")</f>
        <v>0</v>
      </c>
      <c r="G258" s="204">
        <f>SUMIFS('caseload data'!H:H,'caseload data'!$D:$D,"PSO",'caseload data'!$A:$A,$B257,'caseload data'!$B:$B,"custody")</f>
        <v>0</v>
      </c>
      <c r="H258" s="204">
        <f>SUMIFS('caseload data'!I:I,'caseload data'!$D:$D,"PSO",'caseload data'!$A:$A,$B257,'caseload data'!$B:$B,"custody")</f>
        <v>0</v>
      </c>
      <c r="I258" s="204">
        <f>SUMIFS('caseload data'!J:J,'caseload data'!$D:$D,"PSO",'caseload data'!$A:$A,$B257,'caseload data'!$B:$B,"custody")</f>
        <v>0</v>
      </c>
      <c r="J258" s="204">
        <f>SUMIFS('caseload data'!K:K,'caseload data'!$D:$D,"PSO",'caseload data'!$A:$A,$B257,'caseload data'!$B:$B,"custody")</f>
        <v>0</v>
      </c>
      <c r="K258" s="204">
        <f>SUMIFS('caseload data'!L:L,'caseload data'!$D:$D,"PSO",'caseload data'!$A:$A,$B257,'caseload data'!$B:$B,"custody")</f>
        <v>0</v>
      </c>
      <c r="L258" s="204">
        <f>SUMIFS('caseload data'!M:M,'caseload data'!$D:$D,"PSO",'caseload data'!$A:$A,$B257,'caseload data'!$B:$B,"custody")</f>
        <v>0</v>
      </c>
      <c r="M258" s="204">
        <f>SUMIFS('caseload data'!N:N,'caseload data'!$D:$D,"PSO",'caseload data'!$A:$A,$B257,'caseload data'!$B:$B,"custody")</f>
        <v>0</v>
      </c>
      <c r="N258" s="204">
        <f>SUMIFS('caseload data'!O:O,'caseload data'!$D:$D,"PSO",'caseload data'!$A:$A,$B257,'caseload data'!$B:$B,"custody")</f>
        <v>0</v>
      </c>
      <c r="O258" s="204">
        <f>SUMIFS('caseload data'!P:P,'caseload data'!$D:$D,"PSO",'caseload data'!$A:$A,$B257,'caseload data'!$B:$B,"custody")</f>
        <v>0</v>
      </c>
      <c r="P258" s="204">
        <f>SUMIFS('caseload data'!Q:Q,'caseload data'!$D:$D,"PSO",'caseload data'!$A:$A,$B257,'caseload data'!$B:$B,"custody")</f>
        <v>0</v>
      </c>
      <c r="Q258" s="204">
        <f>SUMIFS('caseload data'!R:R,'caseload data'!$D:$D,"PSO",'caseload data'!$A:$A,$B257,'caseload data'!$B:$B,"custody")</f>
        <v>0</v>
      </c>
      <c r="R258" s="204">
        <f>SUMIFS('caseload data'!S:S,'caseload data'!$D:$D,"PSO",'caseload data'!$A:$A,$B257,'caseload data'!$B:$B,"custody")</f>
        <v>0</v>
      </c>
      <c r="S258" s="204">
        <f>SUMIFS('caseload data'!T:T,'caseload data'!$D:$D,"PSO",'caseload data'!$A:$A,$B257,'caseload data'!$B:$B,"custody")</f>
        <v>0</v>
      </c>
      <c r="T258" s="204">
        <f>SUMIFS('caseload data'!V:V,'caseload data'!$D:$D,"PSO",'caseload data'!$A:$A,$B257,'caseload data'!$B:$B,"custody")</f>
        <v>0</v>
      </c>
      <c r="U258" s="95"/>
      <c r="V258" s="95"/>
      <c r="W258" s="330"/>
      <c r="X258" s="162" t="s">
        <v>185</v>
      </c>
      <c r="Y258" s="209" t="e">
        <f t="shared" ref="Y258:Y260" si="80">SUM(D258)/SUM(D$257:D$260)</f>
        <v>#DIV/0!</v>
      </c>
      <c r="Z258" s="209" t="e">
        <f t="shared" si="79"/>
        <v>#DIV/0!</v>
      </c>
      <c r="AA258" s="209" t="e">
        <f t="shared" si="79"/>
        <v>#DIV/0!</v>
      </c>
      <c r="AB258" s="209" t="e">
        <f t="shared" si="79"/>
        <v>#DIV/0!</v>
      </c>
      <c r="AC258" s="209" t="e">
        <f t="shared" si="79"/>
        <v>#DIV/0!</v>
      </c>
      <c r="AD258" s="209" t="e">
        <f t="shared" si="79"/>
        <v>#DIV/0!</v>
      </c>
      <c r="AE258" s="209" t="e">
        <f t="shared" si="79"/>
        <v>#DIV/0!</v>
      </c>
      <c r="AF258" s="209" t="e">
        <f t="shared" si="79"/>
        <v>#DIV/0!</v>
      </c>
      <c r="AG258" s="209" t="e">
        <f t="shared" si="79"/>
        <v>#DIV/0!</v>
      </c>
      <c r="AH258" s="209" t="e">
        <f t="shared" si="79"/>
        <v>#DIV/0!</v>
      </c>
      <c r="AI258" s="209" t="e">
        <f t="shared" si="79"/>
        <v>#DIV/0!</v>
      </c>
      <c r="AJ258" s="209" t="e">
        <f t="shared" si="79"/>
        <v>#DIV/0!</v>
      </c>
      <c r="AK258" s="209" t="e">
        <f t="shared" si="79"/>
        <v>#DIV/0!</v>
      </c>
      <c r="AL258" s="209" t="e">
        <f t="shared" si="79"/>
        <v>#DIV/0!</v>
      </c>
      <c r="AM258" s="209" t="e">
        <f t="shared" si="79"/>
        <v>#DIV/0!</v>
      </c>
      <c r="AN258" s="209" t="e">
        <f t="shared" si="79"/>
        <v>#DIV/0!</v>
      </c>
    </row>
    <row r="259" spans="2:40" s="30" customFormat="1" x14ac:dyDescent="0.15">
      <c r="B259" s="330"/>
      <c r="C259" s="162" t="s">
        <v>186</v>
      </c>
      <c r="D259" s="204">
        <f>SUMIFS('caseload data'!E:E,'caseload data'!$D:$D,"TPO",'caseload data'!$A:$A,$B257,'caseload data'!$B:$B,"custody")</f>
        <v>0</v>
      </c>
      <c r="E259" s="204">
        <f>SUMIFS('caseload data'!F:F,'caseload data'!$D:$D,"TPO",'caseload data'!$A:$A,$B257,'caseload data'!$B:$B,"custody")</f>
        <v>0</v>
      </c>
      <c r="F259" s="204">
        <f>SUMIFS('caseload data'!G:G,'caseload data'!$D:$D,"TPO",'caseload data'!$A:$A,$B257,'caseload data'!$B:$B,"custody")</f>
        <v>0</v>
      </c>
      <c r="G259" s="204">
        <f>SUMIFS('caseload data'!H:H,'caseload data'!$D:$D,"TPO",'caseload data'!$A:$A,$B257,'caseload data'!$B:$B,"custody")</f>
        <v>0</v>
      </c>
      <c r="H259" s="204">
        <f>SUMIFS('caseload data'!I:I,'caseload data'!$D:$D,"TPO",'caseload data'!$A:$A,$B257,'caseload data'!$B:$B,"custody")</f>
        <v>0</v>
      </c>
      <c r="I259" s="204">
        <f>SUMIFS('caseload data'!J:J,'caseload data'!$D:$D,"TPO",'caseload data'!$A:$A,$B257,'caseload data'!$B:$B,"custody")</f>
        <v>0</v>
      </c>
      <c r="J259" s="204">
        <f>SUMIFS('caseload data'!K:K,'caseload data'!$D:$D,"TPO",'caseload data'!$A:$A,$B257,'caseload data'!$B:$B,"custody")</f>
        <v>0</v>
      </c>
      <c r="K259" s="204">
        <f>SUMIFS('caseload data'!L:L,'caseload data'!$D:$D,"TPO",'caseload data'!$A:$A,$B257,'caseload data'!$B:$B,"custody")</f>
        <v>0</v>
      </c>
      <c r="L259" s="204">
        <f>SUMIFS('caseload data'!M:M,'caseload data'!$D:$D,"TPO",'caseload data'!$A:$A,$B257,'caseload data'!$B:$B,"custody")</f>
        <v>0</v>
      </c>
      <c r="M259" s="204">
        <f>SUMIFS('caseload data'!N:N,'caseload data'!$D:$D,"TPO",'caseload data'!$A:$A,$B257,'caseload data'!$B:$B,"custody")</f>
        <v>0</v>
      </c>
      <c r="N259" s="204">
        <f>SUMIFS('caseload data'!O:O,'caseload data'!$D:$D,"TPO",'caseload data'!$A:$A,$B257,'caseload data'!$B:$B,"custody")</f>
        <v>0</v>
      </c>
      <c r="O259" s="204">
        <f>SUMIFS('caseload data'!P:P,'caseload data'!$D:$D,"TPO",'caseload data'!$A:$A,$B257,'caseload data'!$B:$B,"custody")</f>
        <v>0</v>
      </c>
      <c r="P259" s="204">
        <f>SUMIFS('caseload data'!Q:Q,'caseload data'!$D:$D,"TPO",'caseload data'!$A:$A,$B257,'caseload data'!$B:$B,"custody")</f>
        <v>0</v>
      </c>
      <c r="Q259" s="204">
        <f>SUMIFS('caseload data'!R:R,'caseload data'!$D:$D,"TPO",'caseload data'!$A:$A,$B257,'caseload data'!$B:$B,"custody")</f>
        <v>0</v>
      </c>
      <c r="R259" s="204">
        <f>SUMIFS('caseload data'!S:S,'caseload data'!$D:$D,"TPO",'caseload data'!$A:$A,$B257,'caseload data'!$B:$B,"custody")</f>
        <v>0</v>
      </c>
      <c r="S259" s="204">
        <f>SUMIFS('caseload data'!T:T,'caseload data'!$D:$D,"TPO",'caseload data'!$A:$A,$B257,'caseload data'!$B:$B,"custody")</f>
        <v>0</v>
      </c>
      <c r="T259" s="204">
        <f>SUMIFS('caseload data'!V:V,'caseload data'!$D:$D,"TPO",'caseload data'!$A:$A,$B257,'caseload data'!$B:$B,"custody")</f>
        <v>0</v>
      </c>
      <c r="U259" s="95"/>
      <c r="V259" s="95"/>
      <c r="W259" s="330"/>
      <c r="X259" s="162" t="s">
        <v>186</v>
      </c>
      <c r="Y259" s="209" t="e">
        <f t="shared" si="80"/>
        <v>#DIV/0!</v>
      </c>
      <c r="Z259" s="209" t="e">
        <f t="shared" si="79"/>
        <v>#DIV/0!</v>
      </c>
      <c r="AA259" s="209" t="e">
        <f t="shared" si="79"/>
        <v>#DIV/0!</v>
      </c>
      <c r="AB259" s="209" t="e">
        <f t="shared" si="79"/>
        <v>#DIV/0!</v>
      </c>
      <c r="AC259" s="209" t="e">
        <f t="shared" si="79"/>
        <v>#DIV/0!</v>
      </c>
      <c r="AD259" s="209" t="e">
        <f t="shared" si="79"/>
        <v>#DIV/0!</v>
      </c>
      <c r="AE259" s="209" t="e">
        <f t="shared" si="79"/>
        <v>#DIV/0!</v>
      </c>
      <c r="AF259" s="209" t="e">
        <f t="shared" si="79"/>
        <v>#DIV/0!</v>
      </c>
      <c r="AG259" s="209" t="e">
        <f t="shared" si="79"/>
        <v>#DIV/0!</v>
      </c>
      <c r="AH259" s="209" t="e">
        <f t="shared" si="79"/>
        <v>#DIV/0!</v>
      </c>
      <c r="AI259" s="209" t="e">
        <f t="shared" si="79"/>
        <v>#DIV/0!</v>
      </c>
      <c r="AJ259" s="209" t="e">
        <f t="shared" si="79"/>
        <v>#DIV/0!</v>
      </c>
      <c r="AK259" s="209" t="e">
        <f t="shared" si="79"/>
        <v>#DIV/0!</v>
      </c>
      <c r="AL259" s="209" t="e">
        <f t="shared" si="79"/>
        <v>#DIV/0!</v>
      </c>
      <c r="AM259" s="209" t="e">
        <f t="shared" si="79"/>
        <v>#DIV/0!</v>
      </c>
      <c r="AN259" s="209" t="e">
        <f t="shared" si="79"/>
        <v>#DIV/0!</v>
      </c>
    </row>
    <row r="260" spans="2:40" s="30" customFormat="1" x14ac:dyDescent="0.15">
      <c r="B260" s="331"/>
      <c r="C260" s="163" t="s">
        <v>187</v>
      </c>
      <c r="D260" s="204">
        <f>SUMIFS('caseload data'!E:E,'caseload data'!$D:$D,"SPO",'caseload data'!$A:$A,$B257,'caseload data'!$B:$B,"custody")</f>
        <v>0</v>
      </c>
      <c r="E260" s="204">
        <f>SUMIFS('caseload data'!F:F,'caseload data'!$D:$D,"SPO",'caseload data'!$A:$A,$B257,'caseload data'!$B:$B,"custody")</f>
        <v>0</v>
      </c>
      <c r="F260" s="204">
        <f>SUMIFS('caseload data'!G:G,'caseload data'!$D:$D,"SPO",'caseload data'!$A:$A,$B257,'caseload data'!$B:$B,"custody")</f>
        <v>0</v>
      </c>
      <c r="G260" s="204">
        <f>SUMIFS('caseload data'!H:H,'caseload data'!$D:$D,"SPO",'caseload data'!$A:$A,$B257,'caseload data'!$B:$B,"custody")</f>
        <v>0</v>
      </c>
      <c r="H260" s="204">
        <f>SUMIFS('caseload data'!I:I,'caseload data'!$D:$D,"SPO",'caseload data'!$A:$A,$B257,'caseload data'!$B:$B,"custody")</f>
        <v>0</v>
      </c>
      <c r="I260" s="204">
        <f>SUMIFS('caseload data'!J:J,'caseload data'!$D:$D,"SPO",'caseload data'!$A:$A,$B257,'caseload data'!$B:$B,"custody")</f>
        <v>0</v>
      </c>
      <c r="J260" s="204">
        <f>SUMIFS('caseload data'!K:K,'caseload data'!$D:$D,"SPO",'caseload data'!$A:$A,$B257,'caseload data'!$B:$B,"custody")</f>
        <v>0</v>
      </c>
      <c r="K260" s="204">
        <f>SUMIFS('caseload data'!L:L,'caseload data'!$D:$D,"SPO",'caseload data'!$A:$A,$B257,'caseload data'!$B:$B,"custody")</f>
        <v>0</v>
      </c>
      <c r="L260" s="204">
        <f>SUMIFS('caseload data'!M:M,'caseload data'!$D:$D,"SPO",'caseload data'!$A:$A,$B257,'caseload data'!$B:$B,"custody")</f>
        <v>0</v>
      </c>
      <c r="M260" s="204">
        <f>SUMIFS('caseload data'!N:N,'caseload data'!$D:$D,"SPO",'caseload data'!$A:$A,$B257,'caseload data'!$B:$B,"custody")</f>
        <v>0</v>
      </c>
      <c r="N260" s="204">
        <f>SUMIFS('caseload data'!O:O,'caseload data'!$D:$D,"SPO",'caseload data'!$A:$A,$B257,'caseload data'!$B:$B,"custody")</f>
        <v>0</v>
      </c>
      <c r="O260" s="204">
        <f>SUMIFS('caseload data'!P:P,'caseload data'!$D:$D,"SPO",'caseload data'!$A:$A,$B257,'caseload data'!$B:$B,"custody")</f>
        <v>0</v>
      </c>
      <c r="P260" s="204">
        <f>SUMIFS('caseload data'!Q:Q,'caseload data'!$D:$D,"SPO",'caseload data'!$A:$A,$B257,'caseload data'!$B:$B,"custody")</f>
        <v>0</v>
      </c>
      <c r="Q260" s="204">
        <f>SUMIFS('caseload data'!R:R,'caseload data'!$D:$D,"SPO",'caseload data'!$A:$A,$B257,'caseload data'!$B:$B,"custody")</f>
        <v>0</v>
      </c>
      <c r="R260" s="204">
        <f>SUMIFS('caseload data'!S:S,'caseload data'!$D:$D,"SPO",'caseload data'!$A:$A,$B257,'caseload data'!$B:$B,"custody")</f>
        <v>0</v>
      </c>
      <c r="S260" s="204">
        <f>SUMIFS('caseload data'!T:T,'caseload data'!$D:$D,"SPO",'caseload data'!$A:$A,$B257,'caseload data'!$B:$B,"custody")</f>
        <v>0</v>
      </c>
      <c r="T260" s="204">
        <f>SUMIFS('caseload data'!V:V,'caseload data'!$D:$D,"SPO",'caseload data'!$A:$A,$B257,'caseload data'!$B:$B,"custody")</f>
        <v>0</v>
      </c>
      <c r="U260" s="95"/>
      <c r="V260" s="95"/>
      <c r="W260" s="331"/>
      <c r="X260" s="163" t="s">
        <v>187</v>
      </c>
      <c r="Y260" s="209" t="e">
        <f t="shared" si="80"/>
        <v>#DIV/0!</v>
      </c>
      <c r="Z260" s="209" t="e">
        <f t="shared" si="79"/>
        <v>#DIV/0!</v>
      </c>
      <c r="AA260" s="209" t="e">
        <f t="shared" si="79"/>
        <v>#DIV/0!</v>
      </c>
      <c r="AB260" s="209" t="e">
        <f t="shared" si="79"/>
        <v>#DIV/0!</v>
      </c>
      <c r="AC260" s="209" t="e">
        <f t="shared" si="79"/>
        <v>#DIV/0!</v>
      </c>
      <c r="AD260" s="209" t="e">
        <f t="shared" si="79"/>
        <v>#DIV/0!</v>
      </c>
      <c r="AE260" s="209" t="e">
        <f t="shared" si="79"/>
        <v>#DIV/0!</v>
      </c>
      <c r="AF260" s="209" t="e">
        <f t="shared" si="79"/>
        <v>#DIV/0!</v>
      </c>
      <c r="AG260" s="209" t="e">
        <f t="shared" si="79"/>
        <v>#DIV/0!</v>
      </c>
      <c r="AH260" s="209" t="e">
        <f t="shared" si="79"/>
        <v>#DIV/0!</v>
      </c>
      <c r="AI260" s="209" t="e">
        <f t="shared" si="79"/>
        <v>#DIV/0!</v>
      </c>
      <c r="AJ260" s="209" t="e">
        <f t="shared" si="79"/>
        <v>#DIV/0!</v>
      </c>
      <c r="AK260" s="209" t="e">
        <f t="shared" si="79"/>
        <v>#DIV/0!</v>
      </c>
      <c r="AL260" s="209" t="e">
        <f t="shared" si="79"/>
        <v>#DIV/0!</v>
      </c>
      <c r="AM260" s="209" t="e">
        <f t="shared" si="79"/>
        <v>#DIV/0!</v>
      </c>
      <c r="AN260" s="209" t="e">
        <f t="shared" si="79"/>
        <v>#DIV/0!</v>
      </c>
    </row>
    <row r="261" spans="2:40" s="30" customFormat="1" x14ac:dyDescent="0.15">
      <c r="B261" s="329" t="s">
        <v>516</v>
      </c>
      <c r="C261" s="161" t="s">
        <v>184</v>
      </c>
      <c r="D261" s="204">
        <f>SUMIFS('caseload data'!E:E,'caseload data'!$D:$D,"PO",'caseload data'!$A:$A,$B261,'caseload data'!$B:$B,"custody")</f>
        <v>0</v>
      </c>
      <c r="E261" s="204">
        <f>SUMIFS('caseload data'!F:F,'caseload data'!$D:$D,"PO",'caseload data'!$A:$A,$B261,'caseload data'!$B:$B,"custody")</f>
        <v>0</v>
      </c>
      <c r="F261" s="204">
        <f>SUMIFS('caseload data'!G:G,'caseload data'!$D:$D,"PO",'caseload data'!$A:$A,$B261,'caseload data'!$B:$B,"custody")</f>
        <v>0</v>
      </c>
      <c r="G261" s="204">
        <f>SUMIFS('caseload data'!H:H,'caseload data'!$D:$D,"PO",'caseload data'!$A:$A,$B261,'caseload data'!$B:$B,"custody")</f>
        <v>0</v>
      </c>
      <c r="H261" s="204">
        <f>SUMIFS('caseload data'!I:I,'caseload data'!$D:$D,"PO",'caseload data'!$A:$A,$B261,'caseload data'!$B:$B,"custody")</f>
        <v>0</v>
      </c>
      <c r="I261" s="204">
        <f>SUMIFS('caseload data'!J:J,'caseload data'!$D:$D,"PO",'caseload data'!$A:$A,$B261,'caseload data'!$B:$B,"custody")</f>
        <v>0</v>
      </c>
      <c r="J261" s="204">
        <f>SUMIFS('caseload data'!K:K,'caseload data'!$D:$D,"PO",'caseload data'!$A:$A,$B261,'caseload data'!$B:$B,"custody")</f>
        <v>0</v>
      </c>
      <c r="K261" s="204">
        <f>SUMIFS('caseload data'!L:L,'caseload data'!$D:$D,"PO",'caseload data'!$A:$A,$B261,'caseload data'!$B:$B,"custody")</f>
        <v>0</v>
      </c>
      <c r="L261" s="204">
        <f>SUMIFS('caseload data'!M:M,'caseload data'!$D:$D,"PO",'caseload data'!$A:$A,$B261,'caseload data'!$B:$B,"custody")</f>
        <v>0</v>
      </c>
      <c r="M261" s="204">
        <f>SUMIFS('caseload data'!N:N,'caseload data'!$D:$D,"PO",'caseload data'!$A:$A,$B261,'caseload data'!$B:$B,"custody")</f>
        <v>0</v>
      </c>
      <c r="N261" s="204">
        <f>SUMIFS('caseload data'!O:O,'caseload data'!$D:$D,"PO",'caseload data'!$A:$A,$B261,'caseload data'!$B:$B,"custody")</f>
        <v>0</v>
      </c>
      <c r="O261" s="204">
        <f>SUMIFS('caseload data'!P:P,'caseload data'!$D:$D,"PO",'caseload data'!$A:$A,$B261,'caseload data'!$B:$B,"custody")</f>
        <v>0</v>
      </c>
      <c r="P261" s="204">
        <f>SUMIFS('caseload data'!Q:Q,'caseload data'!$D:$D,"PO",'caseload data'!$A:$A,$B261,'caseload data'!$B:$B,"custody")</f>
        <v>0</v>
      </c>
      <c r="Q261" s="204">
        <f>SUMIFS('caseload data'!R:R,'caseload data'!$D:$D,"PO",'caseload data'!$A:$A,$B261,'caseload data'!$B:$B,"custody")</f>
        <v>0</v>
      </c>
      <c r="R261" s="204">
        <f>SUMIFS('caseload data'!S:S,'caseload data'!$D:$D,"PO",'caseload data'!$A:$A,$B261,'caseload data'!$B:$B,"custody")</f>
        <v>0</v>
      </c>
      <c r="S261" s="204">
        <f>SUMIFS('caseload data'!T:T,'caseload data'!$D:$D,"PO",'caseload data'!$A:$A,$B261,'caseload data'!$B:$B,"custody")</f>
        <v>0</v>
      </c>
      <c r="T261" s="204">
        <f>SUMIFS('caseload data'!V:V,'caseload data'!$D:$D,"PO",'caseload data'!$A:$A,$B261,'caseload data'!$B:$B,"custody")</f>
        <v>0</v>
      </c>
      <c r="U261" s="95"/>
      <c r="V261" s="95"/>
      <c r="W261" s="329" t="s">
        <v>516</v>
      </c>
      <c r="X261" s="161" t="s">
        <v>184</v>
      </c>
      <c r="Y261" s="209" t="e">
        <f>SUM(D261)/SUM(D$261:D$264)</f>
        <v>#DIV/0!</v>
      </c>
      <c r="Z261" s="209" t="e">
        <f t="shared" ref="Z261:AN264" si="81">SUM(E261)/SUM(E$261:E$264)</f>
        <v>#DIV/0!</v>
      </c>
      <c r="AA261" s="209" t="e">
        <f t="shared" si="81"/>
        <v>#DIV/0!</v>
      </c>
      <c r="AB261" s="209" t="e">
        <f t="shared" si="81"/>
        <v>#DIV/0!</v>
      </c>
      <c r="AC261" s="209" t="e">
        <f t="shared" si="81"/>
        <v>#DIV/0!</v>
      </c>
      <c r="AD261" s="209" t="e">
        <f t="shared" si="81"/>
        <v>#DIV/0!</v>
      </c>
      <c r="AE261" s="209" t="e">
        <f t="shared" si="81"/>
        <v>#DIV/0!</v>
      </c>
      <c r="AF261" s="209" t="e">
        <f t="shared" si="81"/>
        <v>#DIV/0!</v>
      </c>
      <c r="AG261" s="209" t="e">
        <f t="shared" si="81"/>
        <v>#DIV/0!</v>
      </c>
      <c r="AH261" s="209" t="e">
        <f t="shared" si="81"/>
        <v>#DIV/0!</v>
      </c>
      <c r="AI261" s="209" t="e">
        <f t="shared" si="81"/>
        <v>#DIV/0!</v>
      </c>
      <c r="AJ261" s="209" t="e">
        <f t="shared" si="81"/>
        <v>#DIV/0!</v>
      </c>
      <c r="AK261" s="209" t="e">
        <f t="shared" si="81"/>
        <v>#DIV/0!</v>
      </c>
      <c r="AL261" s="209" t="e">
        <f t="shared" si="81"/>
        <v>#DIV/0!</v>
      </c>
      <c r="AM261" s="209" t="e">
        <f t="shared" si="81"/>
        <v>#DIV/0!</v>
      </c>
      <c r="AN261" s="209" t="e">
        <f t="shared" si="81"/>
        <v>#DIV/0!</v>
      </c>
    </row>
    <row r="262" spans="2:40" s="30" customFormat="1" x14ac:dyDescent="0.15">
      <c r="B262" s="330"/>
      <c r="C262" s="162" t="s">
        <v>185</v>
      </c>
      <c r="D262" s="204">
        <f>SUMIFS('caseload data'!E:E,'caseload data'!$D:$D,"PSO",'caseload data'!$A:$A,$B261,'caseload data'!$B:$B,"custody")</f>
        <v>0</v>
      </c>
      <c r="E262" s="204">
        <f>SUMIFS('caseload data'!F:F,'caseload data'!$D:$D,"PSO",'caseload data'!$A:$A,$B261,'caseload data'!$B:$B,"custody")</f>
        <v>0</v>
      </c>
      <c r="F262" s="204">
        <f>SUMIFS('caseload data'!G:G,'caseload data'!$D:$D,"PSO",'caseload data'!$A:$A,$B261,'caseload data'!$B:$B,"custody")</f>
        <v>0</v>
      </c>
      <c r="G262" s="204">
        <f>SUMIFS('caseload data'!H:H,'caseload data'!$D:$D,"PSO",'caseload data'!$A:$A,$B261,'caseload data'!$B:$B,"custody")</f>
        <v>0</v>
      </c>
      <c r="H262" s="204">
        <f>SUMIFS('caseload data'!I:I,'caseload data'!$D:$D,"PSO",'caseload data'!$A:$A,$B261,'caseload data'!$B:$B,"custody")</f>
        <v>0</v>
      </c>
      <c r="I262" s="204">
        <f>SUMIFS('caseload data'!J:J,'caseload data'!$D:$D,"PSO",'caseload data'!$A:$A,$B261,'caseload data'!$B:$B,"custody")</f>
        <v>0</v>
      </c>
      <c r="J262" s="204">
        <f>SUMIFS('caseload data'!K:K,'caseload data'!$D:$D,"PSO",'caseload data'!$A:$A,$B261,'caseload data'!$B:$B,"custody")</f>
        <v>0</v>
      </c>
      <c r="K262" s="204">
        <f>SUMIFS('caseload data'!L:L,'caseload data'!$D:$D,"PSO",'caseload data'!$A:$A,$B261,'caseload data'!$B:$B,"custody")</f>
        <v>0</v>
      </c>
      <c r="L262" s="204">
        <f>SUMIFS('caseload data'!M:M,'caseload data'!$D:$D,"PSO",'caseload data'!$A:$A,$B261,'caseload data'!$B:$B,"custody")</f>
        <v>0</v>
      </c>
      <c r="M262" s="204">
        <f>SUMIFS('caseload data'!N:N,'caseload data'!$D:$D,"PSO",'caseload data'!$A:$A,$B261,'caseload data'!$B:$B,"custody")</f>
        <v>0</v>
      </c>
      <c r="N262" s="204">
        <f>SUMIFS('caseload data'!O:O,'caseload data'!$D:$D,"PSO",'caseload data'!$A:$A,$B261,'caseload data'!$B:$B,"custody")</f>
        <v>0</v>
      </c>
      <c r="O262" s="204">
        <f>SUMIFS('caseload data'!P:P,'caseload data'!$D:$D,"PSO",'caseload data'!$A:$A,$B261,'caseload data'!$B:$B,"custody")</f>
        <v>0</v>
      </c>
      <c r="P262" s="204">
        <f>SUMIFS('caseload data'!Q:Q,'caseload data'!$D:$D,"PSO",'caseload data'!$A:$A,$B261,'caseload data'!$B:$B,"custody")</f>
        <v>0</v>
      </c>
      <c r="Q262" s="204">
        <f>SUMIFS('caseload data'!R:R,'caseload data'!$D:$D,"PSO",'caseload data'!$A:$A,$B261,'caseload data'!$B:$B,"custody")</f>
        <v>0</v>
      </c>
      <c r="R262" s="204">
        <f>SUMIFS('caseload data'!S:S,'caseload data'!$D:$D,"PSO",'caseload data'!$A:$A,$B261,'caseload data'!$B:$B,"custody")</f>
        <v>0</v>
      </c>
      <c r="S262" s="204">
        <f>SUMIFS('caseload data'!T:T,'caseload data'!$D:$D,"PSO",'caseload data'!$A:$A,$B261,'caseload data'!$B:$B,"custody")</f>
        <v>0</v>
      </c>
      <c r="T262" s="204">
        <f>SUMIFS('caseload data'!V:V,'caseload data'!$D:$D,"PSO",'caseload data'!$A:$A,$B261,'caseload data'!$B:$B,"custody")</f>
        <v>0</v>
      </c>
      <c r="U262" s="95"/>
      <c r="V262" s="95"/>
      <c r="W262" s="330"/>
      <c r="X262" s="162" t="s">
        <v>185</v>
      </c>
      <c r="Y262" s="209" t="e">
        <f t="shared" ref="Y262:Y264" si="82">SUM(D262)/SUM(D$261:D$264)</f>
        <v>#DIV/0!</v>
      </c>
      <c r="Z262" s="209" t="e">
        <f t="shared" si="81"/>
        <v>#DIV/0!</v>
      </c>
      <c r="AA262" s="209" t="e">
        <f t="shared" si="81"/>
        <v>#DIV/0!</v>
      </c>
      <c r="AB262" s="209" t="e">
        <f t="shared" si="81"/>
        <v>#DIV/0!</v>
      </c>
      <c r="AC262" s="209" t="e">
        <f t="shared" si="81"/>
        <v>#DIV/0!</v>
      </c>
      <c r="AD262" s="209" t="e">
        <f t="shared" si="81"/>
        <v>#DIV/0!</v>
      </c>
      <c r="AE262" s="209" t="e">
        <f t="shared" si="81"/>
        <v>#DIV/0!</v>
      </c>
      <c r="AF262" s="209" t="e">
        <f t="shared" si="81"/>
        <v>#DIV/0!</v>
      </c>
      <c r="AG262" s="209" t="e">
        <f t="shared" si="81"/>
        <v>#DIV/0!</v>
      </c>
      <c r="AH262" s="209" t="e">
        <f t="shared" si="81"/>
        <v>#DIV/0!</v>
      </c>
      <c r="AI262" s="209" t="e">
        <f t="shared" si="81"/>
        <v>#DIV/0!</v>
      </c>
      <c r="AJ262" s="209" t="e">
        <f t="shared" si="81"/>
        <v>#DIV/0!</v>
      </c>
      <c r="AK262" s="209" t="e">
        <f t="shared" si="81"/>
        <v>#DIV/0!</v>
      </c>
      <c r="AL262" s="209" t="e">
        <f t="shared" si="81"/>
        <v>#DIV/0!</v>
      </c>
      <c r="AM262" s="209" t="e">
        <f t="shared" si="81"/>
        <v>#DIV/0!</v>
      </c>
      <c r="AN262" s="209" t="e">
        <f t="shared" si="81"/>
        <v>#DIV/0!</v>
      </c>
    </row>
    <row r="263" spans="2:40" s="30" customFormat="1" x14ac:dyDescent="0.15">
      <c r="B263" s="330"/>
      <c r="C263" s="162" t="s">
        <v>186</v>
      </c>
      <c r="D263" s="204">
        <f>SUMIFS('caseload data'!E:E,'caseload data'!$D:$D,"TPO",'caseload data'!$A:$A,$B261,'caseload data'!$B:$B,"custody")</f>
        <v>0</v>
      </c>
      <c r="E263" s="204">
        <f>SUMIFS('caseload data'!F:F,'caseload data'!$D:$D,"TPO",'caseload data'!$A:$A,$B261,'caseload data'!$B:$B,"custody")</f>
        <v>0</v>
      </c>
      <c r="F263" s="204">
        <f>SUMIFS('caseload data'!G:G,'caseload data'!$D:$D,"TPO",'caseload data'!$A:$A,$B261,'caseload data'!$B:$B,"custody")</f>
        <v>0</v>
      </c>
      <c r="G263" s="204">
        <f>SUMIFS('caseload data'!H:H,'caseload data'!$D:$D,"TPO",'caseload data'!$A:$A,$B261,'caseload data'!$B:$B,"custody")</f>
        <v>0</v>
      </c>
      <c r="H263" s="204">
        <f>SUMIFS('caseload data'!I:I,'caseload data'!$D:$D,"TPO",'caseload data'!$A:$A,$B261,'caseload data'!$B:$B,"custody")</f>
        <v>0</v>
      </c>
      <c r="I263" s="204">
        <f>SUMIFS('caseload data'!J:J,'caseload data'!$D:$D,"TPO",'caseload data'!$A:$A,$B261,'caseload data'!$B:$B,"custody")</f>
        <v>0</v>
      </c>
      <c r="J263" s="204">
        <f>SUMIFS('caseload data'!K:K,'caseload data'!$D:$D,"TPO",'caseload data'!$A:$A,$B261,'caseload data'!$B:$B,"custody")</f>
        <v>0</v>
      </c>
      <c r="K263" s="204">
        <f>SUMIFS('caseload data'!L:L,'caseload data'!$D:$D,"TPO",'caseload data'!$A:$A,$B261,'caseload data'!$B:$B,"custody")</f>
        <v>0</v>
      </c>
      <c r="L263" s="204">
        <f>SUMIFS('caseload data'!M:M,'caseload data'!$D:$D,"TPO",'caseload data'!$A:$A,$B261,'caseload data'!$B:$B,"custody")</f>
        <v>0</v>
      </c>
      <c r="M263" s="204">
        <f>SUMIFS('caseload data'!N:N,'caseload data'!$D:$D,"TPO",'caseload data'!$A:$A,$B261,'caseload data'!$B:$B,"custody")</f>
        <v>0</v>
      </c>
      <c r="N263" s="204">
        <f>SUMIFS('caseload data'!O:O,'caseload data'!$D:$D,"TPO",'caseload data'!$A:$A,$B261,'caseload data'!$B:$B,"custody")</f>
        <v>0</v>
      </c>
      <c r="O263" s="204">
        <f>SUMIFS('caseload data'!P:P,'caseload data'!$D:$D,"TPO",'caseload data'!$A:$A,$B261,'caseload data'!$B:$B,"custody")</f>
        <v>0</v>
      </c>
      <c r="P263" s="204">
        <f>SUMIFS('caseload data'!Q:Q,'caseload data'!$D:$D,"TPO",'caseload data'!$A:$A,$B261,'caseload data'!$B:$B,"custody")</f>
        <v>0</v>
      </c>
      <c r="Q263" s="204">
        <f>SUMIFS('caseload data'!R:R,'caseload data'!$D:$D,"TPO",'caseload data'!$A:$A,$B261,'caseload data'!$B:$B,"custody")</f>
        <v>0</v>
      </c>
      <c r="R263" s="204">
        <f>SUMIFS('caseload data'!S:S,'caseload data'!$D:$D,"TPO",'caseload data'!$A:$A,$B261,'caseload data'!$B:$B,"custody")</f>
        <v>0</v>
      </c>
      <c r="S263" s="204">
        <f>SUMIFS('caseload data'!T:T,'caseload data'!$D:$D,"TPO",'caseload data'!$A:$A,$B261,'caseload data'!$B:$B,"custody")</f>
        <v>0</v>
      </c>
      <c r="T263" s="204">
        <f>SUMIFS('caseload data'!V:V,'caseload data'!$D:$D,"TPO",'caseload data'!$A:$A,$B261,'caseload data'!$B:$B,"custody")</f>
        <v>0</v>
      </c>
      <c r="U263" s="95"/>
      <c r="V263" s="95"/>
      <c r="W263" s="330"/>
      <c r="X263" s="162" t="s">
        <v>186</v>
      </c>
      <c r="Y263" s="209" t="e">
        <f t="shared" si="82"/>
        <v>#DIV/0!</v>
      </c>
      <c r="Z263" s="209" t="e">
        <f t="shared" si="81"/>
        <v>#DIV/0!</v>
      </c>
      <c r="AA263" s="209" t="e">
        <f t="shared" si="81"/>
        <v>#DIV/0!</v>
      </c>
      <c r="AB263" s="209" t="e">
        <f t="shared" si="81"/>
        <v>#DIV/0!</v>
      </c>
      <c r="AC263" s="209" t="e">
        <f t="shared" si="81"/>
        <v>#DIV/0!</v>
      </c>
      <c r="AD263" s="209" t="e">
        <f t="shared" si="81"/>
        <v>#DIV/0!</v>
      </c>
      <c r="AE263" s="209" t="e">
        <f t="shared" si="81"/>
        <v>#DIV/0!</v>
      </c>
      <c r="AF263" s="209" t="e">
        <f t="shared" si="81"/>
        <v>#DIV/0!</v>
      </c>
      <c r="AG263" s="209" t="e">
        <f t="shared" si="81"/>
        <v>#DIV/0!</v>
      </c>
      <c r="AH263" s="209" t="e">
        <f t="shared" si="81"/>
        <v>#DIV/0!</v>
      </c>
      <c r="AI263" s="209" t="e">
        <f t="shared" si="81"/>
        <v>#DIV/0!</v>
      </c>
      <c r="AJ263" s="209" t="e">
        <f t="shared" si="81"/>
        <v>#DIV/0!</v>
      </c>
      <c r="AK263" s="209" t="e">
        <f t="shared" si="81"/>
        <v>#DIV/0!</v>
      </c>
      <c r="AL263" s="209" t="e">
        <f t="shared" si="81"/>
        <v>#DIV/0!</v>
      </c>
      <c r="AM263" s="209" t="e">
        <f t="shared" si="81"/>
        <v>#DIV/0!</v>
      </c>
      <c r="AN263" s="209" t="e">
        <f t="shared" si="81"/>
        <v>#DIV/0!</v>
      </c>
    </row>
    <row r="264" spans="2:40" s="30" customFormat="1" x14ac:dyDescent="0.15">
      <c r="B264" s="331"/>
      <c r="C264" s="163" t="s">
        <v>187</v>
      </c>
      <c r="D264" s="204">
        <f>SUMIFS('caseload data'!E:E,'caseload data'!$D:$D,"SPO",'caseload data'!$A:$A,$B261,'caseload data'!$B:$B,"custody")</f>
        <v>0</v>
      </c>
      <c r="E264" s="204">
        <f>SUMIFS('caseload data'!F:F,'caseload data'!$D:$D,"SPO",'caseload data'!$A:$A,$B261,'caseload data'!$B:$B,"custody")</f>
        <v>0</v>
      </c>
      <c r="F264" s="204">
        <f>SUMIFS('caseload data'!G:G,'caseload data'!$D:$D,"SPO",'caseload data'!$A:$A,$B261,'caseload data'!$B:$B,"custody")</f>
        <v>0</v>
      </c>
      <c r="G264" s="204">
        <f>SUMIFS('caseload data'!H:H,'caseload data'!$D:$D,"SPO",'caseload data'!$A:$A,$B261,'caseload data'!$B:$B,"custody")</f>
        <v>0</v>
      </c>
      <c r="H264" s="204">
        <f>SUMIFS('caseload data'!I:I,'caseload data'!$D:$D,"SPO",'caseload data'!$A:$A,$B261,'caseload data'!$B:$B,"custody")</f>
        <v>0</v>
      </c>
      <c r="I264" s="204">
        <f>SUMIFS('caseload data'!J:J,'caseload data'!$D:$D,"SPO",'caseload data'!$A:$A,$B261,'caseload data'!$B:$B,"custody")</f>
        <v>0</v>
      </c>
      <c r="J264" s="204">
        <f>SUMIFS('caseload data'!K:K,'caseload data'!$D:$D,"SPO",'caseload data'!$A:$A,$B261,'caseload data'!$B:$B,"custody")</f>
        <v>0</v>
      </c>
      <c r="K264" s="204">
        <f>SUMIFS('caseload data'!L:L,'caseload data'!$D:$D,"SPO",'caseload data'!$A:$A,$B261,'caseload data'!$B:$B,"custody")</f>
        <v>0</v>
      </c>
      <c r="L264" s="204">
        <f>SUMIFS('caseload data'!M:M,'caseload data'!$D:$D,"SPO",'caseload data'!$A:$A,$B261,'caseload data'!$B:$B,"custody")</f>
        <v>0</v>
      </c>
      <c r="M264" s="204">
        <f>SUMIFS('caseload data'!N:N,'caseload data'!$D:$D,"SPO",'caseload data'!$A:$A,$B261,'caseload data'!$B:$B,"custody")</f>
        <v>0</v>
      </c>
      <c r="N264" s="204">
        <f>SUMIFS('caseload data'!O:O,'caseload data'!$D:$D,"SPO",'caseload data'!$A:$A,$B261,'caseload data'!$B:$B,"custody")</f>
        <v>0</v>
      </c>
      <c r="O264" s="204">
        <f>SUMIFS('caseload data'!P:P,'caseload data'!$D:$D,"SPO",'caseload data'!$A:$A,$B261,'caseload data'!$B:$B,"custody")</f>
        <v>0</v>
      </c>
      <c r="P264" s="204">
        <f>SUMIFS('caseload data'!Q:Q,'caseload data'!$D:$D,"SPO",'caseload data'!$A:$A,$B261,'caseload data'!$B:$B,"custody")</f>
        <v>0</v>
      </c>
      <c r="Q264" s="204">
        <f>SUMIFS('caseload data'!R:R,'caseload data'!$D:$D,"SPO",'caseload data'!$A:$A,$B261,'caseload data'!$B:$B,"custody")</f>
        <v>0</v>
      </c>
      <c r="R264" s="204">
        <f>SUMIFS('caseload data'!S:S,'caseload data'!$D:$D,"SPO",'caseload data'!$A:$A,$B261,'caseload data'!$B:$B,"custody")</f>
        <v>0</v>
      </c>
      <c r="S264" s="204">
        <f>SUMIFS('caseload data'!T:T,'caseload data'!$D:$D,"SPO",'caseload data'!$A:$A,$B261,'caseload data'!$B:$B,"custody")</f>
        <v>0</v>
      </c>
      <c r="T264" s="204">
        <f>SUMIFS('caseload data'!V:V,'caseload data'!$D:$D,"SPO",'caseload data'!$A:$A,$B261,'caseload data'!$B:$B,"custody")</f>
        <v>0</v>
      </c>
      <c r="U264" s="95"/>
      <c r="V264" s="95"/>
      <c r="W264" s="331"/>
      <c r="X264" s="163" t="s">
        <v>187</v>
      </c>
      <c r="Y264" s="209" t="e">
        <f t="shared" si="82"/>
        <v>#DIV/0!</v>
      </c>
      <c r="Z264" s="209" t="e">
        <f t="shared" si="81"/>
        <v>#DIV/0!</v>
      </c>
      <c r="AA264" s="209" t="e">
        <f t="shared" si="81"/>
        <v>#DIV/0!</v>
      </c>
      <c r="AB264" s="209" t="e">
        <f t="shared" si="81"/>
        <v>#DIV/0!</v>
      </c>
      <c r="AC264" s="209" t="e">
        <f t="shared" si="81"/>
        <v>#DIV/0!</v>
      </c>
      <c r="AD264" s="209" t="e">
        <f t="shared" si="81"/>
        <v>#DIV/0!</v>
      </c>
      <c r="AE264" s="209" t="e">
        <f t="shared" si="81"/>
        <v>#DIV/0!</v>
      </c>
      <c r="AF264" s="209" t="e">
        <f t="shared" si="81"/>
        <v>#DIV/0!</v>
      </c>
      <c r="AG264" s="209" t="e">
        <f t="shared" si="81"/>
        <v>#DIV/0!</v>
      </c>
      <c r="AH264" s="209" t="e">
        <f t="shared" si="81"/>
        <v>#DIV/0!</v>
      </c>
      <c r="AI264" s="209" t="e">
        <f t="shared" si="81"/>
        <v>#DIV/0!</v>
      </c>
      <c r="AJ264" s="209" t="e">
        <f t="shared" si="81"/>
        <v>#DIV/0!</v>
      </c>
      <c r="AK264" s="209" t="e">
        <f t="shared" si="81"/>
        <v>#DIV/0!</v>
      </c>
      <c r="AL264" s="209" t="e">
        <f t="shared" si="81"/>
        <v>#DIV/0!</v>
      </c>
      <c r="AM264" s="209" t="e">
        <f t="shared" si="81"/>
        <v>#DIV/0!</v>
      </c>
      <c r="AN264" s="209" t="e">
        <f t="shared" si="81"/>
        <v>#DIV/0!</v>
      </c>
    </row>
    <row r="265" spans="2:40" s="30" customFormat="1" x14ac:dyDescent="0.15">
      <c r="B265" s="329" t="s">
        <v>517</v>
      </c>
      <c r="C265" s="161" t="s">
        <v>184</v>
      </c>
      <c r="D265" s="204">
        <f>SUMIFS('caseload data'!E:E,'caseload data'!$D:$D,"PO",'caseload data'!$A:$A,$B265,'caseload data'!$B:$B,"custody")</f>
        <v>0</v>
      </c>
      <c r="E265" s="204">
        <f>SUMIFS('caseload data'!F:F,'caseload data'!$D:$D,"PO",'caseload data'!$A:$A,$B265,'caseload data'!$B:$B,"custody")</f>
        <v>0</v>
      </c>
      <c r="F265" s="204">
        <f>SUMIFS('caseload data'!G:G,'caseload data'!$D:$D,"PO",'caseload data'!$A:$A,$B265,'caseload data'!$B:$B,"custody")</f>
        <v>0</v>
      </c>
      <c r="G265" s="204">
        <f>SUMIFS('caseload data'!H:H,'caseload data'!$D:$D,"PO",'caseload data'!$A:$A,$B265,'caseload data'!$B:$B,"custody")</f>
        <v>0</v>
      </c>
      <c r="H265" s="204">
        <f>SUMIFS('caseload data'!I:I,'caseload data'!$D:$D,"PO",'caseload data'!$A:$A,$B265,'caseload data'!$B:$B,"custody")</f>
        <v>0</v>
      </c>
      <c r="I265" s="204">
        <f>SUMIFS('caseload data'!J:J,'caseload data'!$D:$D,"PO",'caseload data'!$A:$A,$B265,'caseload data'!$B:$B,"custody")</f>
        <v>0</v>
      </c>
      <c r="J265" s="204">
        <f>SUMIFS('caseload data'!K:K,'caseload data'!$D:$D,"PO",'caseload data'!$A:$A,$B265,'caseload data'!$B:$B,"custody")</f>
        <v>0</v>
      </c>
      <c r="K265" s="204">
        <f>SUMIFS('caseload data'!L:L,'caseload data'!$D:$D,"PO",'caseload data'!$A:$A,$B265,'caseload data'!$B:$B,"custody")</f>
        <v>0</v>
      </c>
      <c r="L265" s="204">
        <f>SUMIFS('caseload data'!M:M,'caseload data'!$D:$D,"PO",'caseload data'!$A:$A,$B265,'caseload data'!$B:$B,"custody")</f>
        <v>0</v>
      </c>
      <c r="M265" s="204">
        <f>SUMIFS('caseload data'!N:N,'caseload data'!$D:$D,"PO",'caseload data'!$A:$A,$B265,'caseload data'!$B:$B,"custody")</f>
        <v>0</v>
      </c>
      <c r="N265" s="204">
        <f>SUMIFS('caseload data'!O:O,'caseload data'!$D:$D,"PO",'caseload data'!$A:$A,$B265,'caseload data'!$B:$B,"custody")</f>
        <v>0</v>
      </c>
      <c r="O265" s="204">
        <f>SUMIFS('caseload data'!P:P,'caseload data'!$D:$D,"PO",'caseload data'!$A:$A,$B265,'caseload data'!$B:$B,"custody")</f>
        <v>0</v>
      </c>
      <c r="P265" s="204">
        <f>SUMIFS('caseload data'!Q:Q,'caseload data'!$D:$D,"PO",'caseload data'!$A:$A,$B265,'caseload data'!$B:$B,"custody")</f>
        <v>0</v>
      </c>
      <c r="Q265" s="204">
        <f>SUMIFS('caseload data'!R:R,'caseload data'!$D:$D,"PO",'caseload data'!$A:$A,$B265,'caseload data'!$B:$B,"custody")</f>
        <v>0</v>
      </c>
      <c r="R265" s="204">
        <f>SUMIFS('caseload data'!S:S,'caseload data'!$D:$D,"PO",'caseload data'!$A:$A,$B265,'caseload data'!$B:$B,"custody")</f>
        <v>0</v>
      </c>
      <c r="S265" s="204">
        <f>SUMIFS('caseload data'!T:T,'caseload data'!$D:$D,"PO",'caseload data'!$A:$A,$B265,'caseload data'!$B:$B,"custody")</f>
        <v>0</v>
      </c>
      <c r="T265" s="204">
        <f>SUMIFS('caseload data'!V:V,'caseload data'!$D:$D,"PO",'caseload data'!$A:$A,$B265,'caseload data'!$B:$B,"custody")</f>
        <v>0</v>
      </c>
      <c r="U265" s="95"/>
      <c r="V265" s="95"/>
      <c r="W265" s="329" t="s">
        <v>517</v>
      </c>
      <c r="X265" s="161" t="s">
        <v>184</v>
      </c>
      <c r="Y265" s="209" t="e">
        <f>SUM(D265)/SUM(D$265:D$268)</f>
        <v>#DIV/0!</v>
      </c>
      <c r="Z265" s="209" t="e">
        <f t="shared" ref="Z265:AN268" si="83">SUM(E265)/SUM(E$265:E$268)</f>
        <v>#DIV/0!</v>
      </c>
      <c r="AA265" s="209" t="e">
        <f t="shared" si="83"/>
        <v>#DIV/0!</v>
      </c>
      <c r="AB265" s="209" t="e">
        <f t="shared" si="83"/>
        <v>#DIV/0!</v>
      </c>
      <c r="AC265" s="209" t="e">
        <f t="shared" si="83"/>
        <v>#DIV/0!</v>
      </c>
      <c r="AD265" s="209" t="e">
        <f t="shared" si="83"/>
        <v>#DIV/0!</v>
      </c>
      <c r="AE265" s="209" t="e">
        <f t="shared" si="83"/>
        <v>#DIV/0!</v>
      </c>
      <c r="AF265" s="209" t="e">
        <f t="shared" si="83"/>
        <v>#DIV/0!</v>
      </c>
      <c r="AG265" s="209" t="e">
        <f t="shared" si="83"/>
        <v>#DIV/0!</v>
      </c>
      <c r="AH265" s="209" t="e">
        <f t="shared" si="83"/>
        <v>#DIV/0!</v>
      </c>
      <c r="AI265" s="209" t="e">
        <f t="shared" si="83"/>
        <v>#DIV/0!</v>
      </c>
      <c r="AJ265" s="209" t="e">
        <f t="shared" si="83"/>
        <v>#DIV/0!</v>
      </c>
      <c r="AK265" s="209" t="e">
        <f t="shared" si="83"/>
        <v>#DIV/0!</v>
      </c>
      <c r="AL265" s="209" t="e">
        <f t="shared" si="83"/>
        <v>#DIV/0!</v>
      </c>
      <c r="AM265" s="209" t="e">
        <f t="shared" si="83"/>
        <v>#DIV/0!</v>
      </c>
      <c r="AN265" s="209" t="e">
        <f t="shared" si="83"/>
        <v>#DIV/0!</v>
      </c>
    </row>
    <row r="266" spans="2:40" s="30" customFormat="1" x14ac:dyDescent="0.15">
      <c r="B266" s="330"/>
      <c r="C266" s="162" t="s">
        <v>185</v>
      </c>
      <c r="D266" s="204">
        <f>SUMIFS('caseload data'!E:E,'caseload data'!$D:$D,"PSO",'caseload data'!$A:$A,$B265,'caseload data'!$B:$B,"custody")</f>
        <v>0</v>
      </c>
      <c r="E266" s="204">
        <f>SUMIFS('caseload data'!F:F,'caseload data'!$D:$D,"PSO",'caseload data'!$A:$A,$B265,'caseload data'!$B:$B,"custody")</f>
        <v>0</v>
      </c>
      <c r="F266" s="204">
        <f>SUMIFS('caseload data'!G:G,'caseload data'!$D:$D,"PSO",'caseload data'!$A:$A,$B265,'caseload data'!$B:$B,"custody")</f>
        <v>0</v>
      </c>
      <c r="G266" s="204">
        <f>SUMIFS('caseload data'!H:H,'caseload data'!$D:$D,"PSO",'caseload data'!$A:$A,$B265,'caseload data'!$B:$B,"custody")</f>
        <v>0</v>
      </c>
      <c r="H266" s="204">
        <f>SUMIFS('caseload data'!I:I,'caseload data'!$D:$D,"PSO",'caseload data'!$A:$A,$B265,'caseload data'!$B:$B,"custody")</f>
        <v>0</v>
      </c>
      <c r="I266" s="204">
        <f>SUMIFS('caseload data'!J:J,'caseload data'!$D:$D,"PSO",'caseload data'!$A:$A,$B265,'caseload data'!$B:$B,"custody")</f>
        <v>0</v>
      </c>
      <c r="J266" s="204">
        <f>SUMIFS('caseload data'!K:K,'caseload data'!$D:$D,"PSO",'caseload data'!$A:$A,$B265,'caseload data'!$B:$B,"custody")</f>
        <v>0</v>
      </c>
      <c r="K266" s="204">
        <f>SUMIFS('caseload data'!L:L,'caseload data'!$D:$D,"PSO",'caseload data'!$A:$A,$B265,'caseload data'!$B:$B,"custody")</f>
        <v>0</v>
      </c>
      <c r="L266" s="204">
        <f>SUMIFS('caseload data'!M:M,'caseload data'!$D:$D,"PSO",'caseload data'!$A:$A,$B265,'caseload data'!$B:$B,"custody")</f>
        <v>0</v>
      </c>
      <c r="M266" s="204">
        <f>SUMIFS('caseload data'!N:N,'caseload data'!$D:$D,"PSO",'caseload data'!$A:$A,$B265,'caseload data'!$B:$B,"custody")</f>
        <v>0</v>
      </c>
      <c r="N266" s="204">
        <f>SUMIFS('caseload data'!O:O,'caseload data'!$D:$D,"PSO",'caseload data'!$A:$A,$B265,'caseload data'!$B:$B,"custody")</f>
        <v>0</v>
      </c>
      <c r="O266" s="204">
        <f>SUMIFS('caseload data'!P:P,'caseload data'!$D:$D,"PSO",'caseload data'!$A:$A,$B265,'caseload data'!$B:$B,"custody")</f>
        <v>0</v>
      </c>
      <c r="P266" s="204">
        <f>SUMIFS('caseload data'!Q:Q,'caseload data'!$D:$D,"PSO",'caseload data'!$A:$A,$B265,'caseload data'!$B:$B,"custody")</f>
        <v>0</v>
      </c>
      <c r="Q266" s="204">
        <f>SUMIFS('caseload data'!R:R,'caseload data'!$D:$D,"PSO",'caseload data'!$A:$A,$B265,'caseload data'!$B:$B,"custody")</f>
        <v>0</v>
      </c>
      <c r="R266" s="204">
        <f>SUMIFS('caseload data'!S:S,'caseload data'!$D:$D,"PSO",'caseload data'!$A:$A,$B265,'caseload data'!$B:$B,"custody")</f>
        <v>0</v>
      </c>
      <c r="S266" s="204">
        <f>SUMIFS('caseload data'!T:T,'caseload data'!$D:$D,"PSO",'caseload data'!$A:$A,$B265,'caseload data'!$B:$B,"custody")</f>
        <v>0</v>
      </c>
      <c r="T266" s="204">
        <f>SUMIFS('caseload data'!V:V,'caseload data'!$D:$D,"PSO",'caseload data'!$A:$A,$B265,'caseload data'!$B:$B,"custody")</f>
        <v>0</v>
      </c>
      <c r="U266" s="95"/>
      <c r="V266" s="95"/>
      <c r="W266" s="330"/>
      <c r="X266" s="162" t="s">
        <v>185</v>
      </c>
      <c r="Y266" s="209" t="e">
        <f t="shared" ref="Y266:Y268" si="84">SUM(D266)/SUM(D$265:D$268)</f>
        <v>#DIV/0!</v>
      </c>
      <c r="Z266" s="209" t="e">
        <f t="shared" si="83"/>
        <v>#DIV/0!</v>
      </c>
      <c r="AA266" s="209" t="e">
        <f t="shared" si="83"/>
        <v>#DIV/0!</v>
      </c>
      <c r="AB266" s="209" t="e">
        <f t="shared" si="83"/>
        <v>#DIV/0!</v>
      </c>
      <c r="AC266" s="209" t="e">
        <f t="shared" si="83"/>
        <v>#DIV/0!</v>
      </c>
      <c r="AD266" s="209" t="e">
        <f t="shared" si="83"/>
        <v>#DIV/0!</v>
      </c>
      <c r="AE266" s="209" t="e">
        <f t="shared" si="83"/>
        <v>#DIV/0!</v>
      </c>
      <c r="AF266" s="209" t="e">
        <f t="shared" si="83"/>
        <v>#DIV/0!</v>
      </c>
      <c r="AG266" s="209" t="e">
        <f t="shared" si="83"/>
        <v>#DIV/0!</v>
      </c>
      <c r="AH266" s="209" t="e">
        <f t="shared" si="83"/>
        <v>#DIV/0!</v>
      </c>
      <c r="AI266" s="209" t="e">
        <f t="shared" si="83"/>
        <v>#DIV/0!</v>
      </c>
      <c r="AJ266" s="209" t="e">
        <f t="shared" si="83"/>
        <v>#DIV/0!</v>
      </c>
      <c r="AK266" s="209" t="e">
        <f t="shared" si="83"/>
        <v>#DIV/0!</v>
      </c>
      <c r="AL266" s="209" t="e">
        <f t="shared" si="83"/>
        <v>#DIV/0!</v>
      </c>
      <c r="AM266" s="209" t="e">
        <f t="shared" si="83"/>
        <v>#DIV/0!</v>
      </c>
      <c r="AN266" s="209" t="e">
        <f t="shared" si="83"/>
        <v>#DIV/0!</v>
      </c>
    </row>
    <row r="267" spans="2:40" s="30" customFormat="1" x14ac:dyDescent="0.15">
      <c r="B267" s="330"/>
      <c r="C267" s="162" t="s">
        <v>186</v>
      </c>
      <c r="D267" s="204">
        <f>SUMIFS('caseload data'!E:E,'caseload data'!$D:$D,"TPO",'caseload data'!$A:$A,$B265,'caseload data'!$B:$B,"custody")</f>
        <v>0</v>
      </c>
      <c r="E267" s="204">
        <f>SUMIFS('caseload data'!F:F,'caseload data'!$D:$D,"TPO",'caseload data'!$A:$A,$B265,'caseload data'!$B:$B,"custody")</f>
        <v>0</v>
      </c>
      <c r="F267" s="204">
        <f>SUMIFS('caseload data'!G:G,'caseload data'!$D:$D,"TPO",'caseload data'!$A:$A,$B265,'caseload data'!$B:$B,"custody")</f>
        <v>0</v>
      </c>
      <c r="G267" s="204">
        <f>SUMIFS('caseload data'!H:H,'caseload data'!$D:$D,"TPO",'caseload data'!$A:$A,$B265,'caseload data'!$B:$B,"custody")</f>
        <v>0</v>
      </c>
      <c r="H267" s="204">
        <f>SUMIFS('caseload data'!I:I,'caseload data'!$D:$D,"TPO",'caseload data'!$A:$A,$B265,'caseload data'!$B:$B,"custody")</f>
        <v>0</v>
      </c>
      <c r="I267" s="204">
        <f>SUMIFS('caseload data'!J:J,'caseload data'!$D:$D,"TPO",'caseload data'!$A:$A,$B265,'caseload data'!$B:$B,"custody")</f>
        <v>0</v>
      </c>
      <c r="J267" s="204">
        <f>SUMIFS('caseload data'!K:K,'caseload data'!$D:$D,"TPO",'caseload data'!$A:$A,$B265,'caseload data'!$B:$B,"custody")</f>
        <v>0</v>
      </c>
      <c r="K267" s="204">
        <f>SUMIFS('caseload data'!L:L,'caseload data'!$D:$D,"TPO",'caseload data'!$A:$A,$B265,'caseload data'!$B:$B,"custody")</f>
        <v>0</v>
      </c>
      <c r="L267" s="204">
        <f>SUMIFS('caseload data'!M:M,'caseload data'!$D:$D,"TPO",'caseload data'!$A:$A,$B265,'caseload data'!$B:$B,"custody")</f>
        <v>0</v>
      </c>
      <c r="M267" s="204">
        <f>SUMIFS('caseload data'!N:N,'caseload data'!$D:$D,"TPO",'caseload data'!$A:$A,$B265,'caseload data'!$B:$B,"custody")</f>
        <v>0</v>
      </c>
      <c r="N267" s="204">
        <f>SUMIFS('caseload data'!O:O,'caseload data'!$D:$D,"TPO",'caseload data'!$A:$A,$B265,'caseload data'!$B:$B,"custody")</f>
        <v>0</v>
      </c>
      <c r="O267" s="204">
        <f>SUMIFS('caseload data'!P:P,'caseload data'!$D:$D,"TPO",'caseload data'!$A:$A,$B265,'caseload data'!$B:$B,"custody")</f>
        <v>0</v>
      </c>
      <c r="P267" s="204">
        <f>SUMIFS('caseload data'!Q:Q,'caseload data'!$D:$D,"TPO",'caseload data'!$A:$A,$B265,'caseload data'!$B:$B,"custody")</f>
        <v>0</v>
      </c>
      <c r="Q267" s="204">
        <f>SUMIFS('caseload data'!R:R,'caseload data'!$D:$D,"TPO",'caseload data'!$A:$A,$B265,'caseload data'!$B:$B,"custody")</f>
        <v>0</v>
      </c>
      <c r="R267" s="204">
        <f>SUMIFS('caseload data'!S:S,'caseload data'!$D:$D,"TPO",'caseload data'!$A:$A,$B265,'caseload data'!$B:$B,"custody")</f>
        <v>0</v>
      </c>
      <c r="S267" s="204">
        <f>SUMIFS('caseload data'!T:T,'caseload data'!$D:$D,"TPO",'caseload data'!$A:$A,$B265,'caseload data'!$B:$B,"custody")</f>
        <v>0</v>
      </c>
      <c r="T267" s="204">
        <f>SUMIFS('caseload data'!V:V,'caseload data'!$D:$D,"TPO",'caseload data'!$A:$A,$B265,'caseload data'!$B:$B,"custody")</f>
        <v>0</v>
      </c>
      <c r="U267" s="95"/>
      <c r="V267" s="95"/>
      <c r="W267" s="330"/>
      <c r="X267" s="162" t="s">
        <v>186</v>
      </c>
      <c r="Y267" s="209" t="e">
        <f t="shared" si="84"/>
        <v>#DIV/0!</v>
      </c>
      <c r="Z267" s="209" t="e">
        <f t="shared" si="83"/>
        <v>#DIV/0!</v>
      </c>
      <c r="AA267" s="209" t="e">
        <f t="shared" si="83"/>
        <v>#DIV/0!</v>
      </c>
      <c r="AB267" s="209" t="e">
        <f t="shared" si="83"/>
        <v>#DIV/0!</v>
      </c>
      <c r="AC267" s="209" t="e">
        <f t="shared" si="83"/>
        <v>#DIV/0!</v>
      </c>
      <c r="AD267" s="209" t="e">
        <f t="shared" si="83"/>
        <v>#DIV/0!</v>
      </c>
      <c r="AE267" s="209" t="e">
        <f t="shared" si="83"/>
        <v>#DIV/0!</v>
      </c>
      <c r="AF267" s="209" t="e">
        <f t="shared" si="83"/>
        <v>#DIV/0!</v>
      </c>
      <c r="AG267" s="209" t="e">
        <f t="shared" si="83"/>
        <v>#DIV/0!</v>
      </c>
      <c r="AH267" s="209" t="e">
        <f t="shared" si="83"/>
        <v>#DIV/0!</v>
      </c>
      <c r="AI267" s="209" t="e">
        <f t="shared" si="83"/>
        <v>#DIV/0!</v>
      </c>
      <c r="AJ267" s="209" t="e">
        <f t="shared" si="83"/>
        <v>#DIV/0!</v>
      </c>
      <c r="AK267" s="209" t="e">
        <f t="shared" si="83"/>
        <v>#DIV/0!</v>
      </c>
      <c r="AL267" s="209" t="e">
        <f t="shared" si="83"/>
        <v>#DIV/0!</v>
      </c>
      <c r="AM267" s="209" t="e">
        <f t="shared" si="83"/>
        <v>#DIV/0!</v>
      </c>
      <c r="AN267" s="209" t="e">
        <f t="shared" si="83"/>
        <v>#DIV/0!</v>
      </c>
    </row>
    <row r="268" spans="2:40" s="30" customFormat="1" x14ac:dyDescent="0.15">
      <c r="B268" s="331"/>
      <c r="C268" s="163" t="s">
        <v>187</v>
      </c>
      <c r="D268" s="204">
        <f>SUMIFS('caseload data'!E:E,'caseload data'!$D:$D,"SPO",'caseload data'!$A:$A,$B265,'caseload data'!$B:$B,"custody")</f>
        <v>0</v>
      </c>
      <c r="E268" s="204">
        <f>SUMIFS('caseload data'!F:F,'caseload data'!$D:$D,"SPO",'caseload data'!$A:$A,$B265,'caseload data'!$B:$B,"custody")</f>
        <v>0</v>
      </c>
      <c r="F268" s="204">
        <f>SUMIFS('caseload data'!G:G,'caseload data'!$D:$D,"SPO",'caseload data'!$A:$A,$B265,'caseload data'!$B:$B,"custody")</f>
        <v>0</v>
      </c>
      <c r="G268" s="204">
        <f>SUMIFS('caseload data'!H:H,'caseload data'!$D:$D,"SPO",'caseload data'!$A:$A,$B265,'caseload data'!$B:$B,"custody")</f>
        <v>0</v>
      </c>
      <c r="H268" s="204">
        <f>SUMIFS('caseload data'!I:I,'caseload data'!$D:$D,"SPO",'caseload data'!$A:$A,$B265,'caseload data'!$B:$B,"custody")</f>
        <v>0</v>
      </c>
      <c r="I268" s="204">
        <f>SUMIFS('caseload data'!J:J,'caseload data'!$D:$D,"SPO",'caseload data'!$A:$A,$B265,'caseload data'!$B:$B,"custody")</f>
        <v>0</v>
      </c>
      <c r="J268" s="204">
        <f>SUMIFS('caseload data'!K:K,'caseload data'!$D:$D,"SPO",'caseload data'!$A:$A,$B265,'caseload data'!$B:$B,"custody")</f>
        <v>0</v>
      </c>
      <c r="K268" s="204">
        <f>SUMIFS('caseload data'!L:L,'caseload data'!$D:$D,"SPO",'caseload data'!$A:$A,$B265,'caseload data'!$B:$B,"custody")</f>
        <v>0</v>
      </c>
      <c r="L268" s="204">
        <f>SUMIFS('caseload data'!M:M,'caseload data'!$D:$D,"SPO",'caseload data'!$A:$A,$B265,'caseload data'!$B:$B,"custody")</f>
        <v>0</v>
      </c>
      <c r="M268" s="204">
        <f>SUMIFS('caseload data'!N:N,'caseload data'!$D:$D,"SPO",'caseload data'!$A:$A,$B265,'caseload data'!$B:$B,"custody")</f>
        <v>0</v>
      </c>
      <c r="N268" s="204">
        <f>SUMIFS('caseload data'!O:O,'caseload data'!$D:$D,"SPO",'caseload data'!$A:$A,$B265,'caseload data'!$B:$B,"custody")</f>
        <v>0</v>
      </c>
      <c r="O268" s="204">
        <f>SUMIFS('caseload data'!P:P,'caseload data'!$D:$D,"SPO",'caseload data'!$A:$A,$B265,'caseload data'!$B:$B,"custody")</f>
        <v>0</v>
      </c>
      <c r="P268" s="204">
        <f>SUMIFS('caseload data'!Q:Q,'caseload data'!$D:$D,"SPO",'caseload data'!$A:$A,$B265,'caseload data'!$B:$B,"custody")</f>
        <v>0</v>
      </c>
      <c r="Q268" s="204">
        <f>SUMIFS('caseload data'!R:R,'caseload data'!$D:$D,"SPO",'caseload data'!$A:$A,$B265,'caseload data'!$B:$B,"custody")</f>
        <v>0</v>
      </c>
      <c r="R268" s="204">
        <f>SUMIFS('caseload data'!S:S,'caseload data'!$D:$D,"SPO",'caseload data'!$A:$A,$B265,'caseload data'!$B:$B,"custody")</f>
        <v>0</v>
      </c>
      <c r="S268" s="204">
        <f>SUMIFS('caseload data'!T:T,'caseload data'!$D:$D,"SPO",'caseload data'!$A:$A,$B265,'caseload data'!$B:$B,"custody")</f>
        <v>0</v>
      </c>
      <c r="T268" s="204">
        <f>SUMIFS('caseload data'!V:V,'caseload data'!$D:$D,"SPO",'caseload data'!$A:$A,$B265,'caseload data'!$B:$B,"custody")</f>
        <v>0</v>
      </c>
      <c r="U268" s="95"/>
      <c r="V268" s="95"/>
      <c r="W268" s="331"/>
      <c r="X268" s="163" t="s">
        <v>187</v>
      </c>
      <c r="Y268" s="209" t="e">
        <f t="shared" si="84"/>
        <v>#DIV/0!</v>
      </c>
      <c r="Z268" s="209" t="e">
        <f t="shared" si="83"/>
        <v>#DIV/0!</v>
      </c>
      <c r="AA268" s="209" t="e">
        <f t="shared" si="83"/>
        <v>#DIV/0!</v>
      </c>
      <c r="AB268" s="209" t="e">
        <f t="shared" si="83"/>
        <v>#DIV/0!</v>
      </c>
      <c r="AC268" s="209" t="e">
        <f t="shared" si="83"/>
        <v>#DIV/0!</v>
      </c>
      <c r="AD268" s="209" t="e">
        <f t="shared" si="83"/>
        <v>#DIV/0!</v>
      </c>
      <c r="AE268" s="209" t="e">
        <f t="shared" si="83"/>
        <v>#DIV/0!</v>
      </c>
      <c r="AF268" s="209" t="e">
        <f t="shared" si="83"/>
        <v>#DIV/0!</v>
      </c>
      <c r="AG268" s="209" t="e">
        <f t="shared" si="83"/>
        <v>#DIV/0!</v>
      </c>
      <c r="AH268" s="209" t="e">
        <f t="shared" si="83"/>
        <v>#DIV/0!</v>
      </c>
      <c r="AI268" s="209" t="e">
        <f t="shared" si="83"/>
        <v>#DIV/0!</v>
      </c>
      <c r="AJ268" s="209" t="e">
        <f t="shared" si="83"/>
        <v>#DIV/0!</v>
      </c>
      <c r="AK268" s="209" t="e">
        <f t="shared" si="83"/>
        <v>#DIV/0!</v>
      </c>
      <c r="AL268" s="209" t="e">
        <f t="shared" si="83"/>
        <v>#DIV/0!</v>
      </c>
      <c r="AM268" s="209" t="e">
        <f t="shared" si="83"/>
        <v>#DIV/0!</v>
      </c>
      <c r="AN268" s="209" t="e">
        <f t="shared" si="83"/>
        <v>#DIV/0!</v>
      </c>
    </row>
    <row r="269" spans="2:40" s="30" customFormat="1" x14ac:dyDescent="0.15">
      <c r="B269" s="329" t="s">
        <v>518</v>
      </c>
      <c r="C269" s="161" t="s">
        <v>184</v>
      </c>
      <c r="D269" s="204">
        <f>SUMIFS('caseload data'!E:E,'caseload data'!$D:$D,"PO",'caseload data'!$A:$A,$B269,'caseload data'!$B:$B,"custody")</f>
        <v>0</v>
      </c>
      <c r="E269" s="204">
        <f>SUMIFS('caseload data'!F:F,'caseload data'!$D:$D,"PO",'caseload data'!$A:$A,$B269,'caseload data'!$B:$B,"custody")</f>
        <v>0</v>
      </c>
      <c r="F269" s="204">
        <f>SUMIFS('caseload data'!G:G,'caseload data'!$D:$D,"PO",'caseload data'!$A:$A,$B269,'caseload data'!$B:$B,"custody")</f>
        <v>0</v>
      </c>
      <c r="G269" s="204">
        <f>SUMIFS('caseload data'!H:H,'caseload data'!$D:$D,"PO",'caseload data'!$A:$A,$B269,'caseload data'!$B:$B,"custody")</f>
        <v>0</v>
      </c>
      <c r="H269" s="204">
        <f>SUMIFS('caseload data'!I:I,'caseload data'!$D:$D,"PO",'caseload data'!$A:$A,$B269,'caseload data'!$B:$B,"custody")</f>
        <v>0</v>
      </c>
      <c r="I269" s="204">
        <f>SUMIFS('caseload data'!J:J,'caseload data'!$D:$D,"PO",'caseload data'!$A:$A,$B269,'caseload data'!$B:$B,"custody")</f>
        <v>0</v>
      </c>
      <c r="J269" s="204">
        <f>SUMIFS('caseload data'!K:K,'caseload data'!$D:$D,"PO",'caseload data'!$A:$A,$B269,'caseload data'!$B:$B,"custody")</f>
        <v>0</v>
      </c>
      <c r="K269" s="204">
        <f>SUMIFS('caseload data'!L:L,'caseload data'!$D:$D,"PO",'caseload data'!$A:$A,$B269,'caseload data'!$B:$B,"custody")</f>
        <v>0</v>
      </c>
      <c r="L269" s="204">
        <f>SUMIFS('caseload data'!M:M,'caseload data'!$D:$D,"PO",'caseload data'!$A:$A,$B269,'caseload data'!$B:$B,"custody")</f>
        <v>0</v>
      </c>
      <c r="M269" s="204">
        <f>SUMIFS('caseload data'!N:N,'caseload data'!$D:$D,"PO",'caseload data'!$A:$A,$B269,'caseload data'!$B:$B,"custody")</f>
        <v>0</v>
      </c>
      <c r="N269" s="204">
        <f>SUMIFS('caseload data'!O:O,'caseload data'!$D:$D,"PO",'caseload data'!$A:$A,$B269,'caseload data'!$B:$B,"custody")</f>
        <v>0</v>
      </c>
      <c r="O269" s="204">
        <f>SUMIFS('caseload data'!P:P,'caseload data'!$D:$D,"PO",'caseload data'!$A:$A,$B269,'caseload data'!$B:$B,"custody")</f>
        <v>0</v>
      </c>
      <c r="P269" s="204">
        <f>SUMIFS('caseload data'!Q:Q,'caseload data'!$D:$D,"PO",'caseload data'!$A:$A,$B269,'caseload data'!$B:$B,"custody")</f>
        <v>0</v>
      </c>
      <c r="Q269" s="204">
        <f>SUMIFS('caseload data'!R:R,'caseload data'!$D:$D,"PO",'caseload data'!$A:$A,$B269,'caseload data'!$B:$B,"custody")</f>
        <v>0</v>
      </c>
      <c r="R269" s="204">
        <f>SUMIFS('caseload data'!S:S,'caseload data'!$D:$D,"PO",'caseload data'!$A:$A,$B269,'caseload data'!$B:$B,"custody")</f>
        <v>0</v>
      </c>
      <c r="S269" s="204">
        <f>SUMIFS('caseload data'!T:T,'caseload data'!$D:$D,"PO",'caseload data'!$A:$A,$B269,'caseload data'!$B:$B,"custody")</f>
        <v>0</v>
      </c>
      <c r="T269" s="204">
        <f>SUMIFS('caseload data'!V:V,'caseload data'!$D:$D,"PO",'caseload data'!$A:$A,$B269,'caseload data'!$B:$B,"custody")</f>
        <v>0</v>
      </c>
      <c r="U269" s="95"/>
      <c r="V269" s="95"/>
      <c r="W269" s="329" t="s">
        <v>518</v>
      </c>
      <c r="X269" s="161" t="s">
        <v>184</v>
      </c>
      <c r="Y269" s="209" t="e">
        <f>SUM(D269)/SUM(D$269:D$272)</f>
        <v>#DIV/0!</v>
      </c>
      <c r="Z269" s="209" t="e">
        <f t="shared" ref="Z269:AN272" si="85">SUM(E269)/SUM(E$269:E$272)</f>
        <v>#DIV/0!</v>
      </c>
      <c r="AA269" s="209" t="e">
        <f t="shared" si="85"/>
        <v>#DIV/0!</v>
      </c>
      <c r="AB269" s="209" t="e">
        <f t="shared" si="85"/>
        <v>#DIV/0!</v>
      </c>
      <c r="AC269" s="209" t="e">
        <f t="shared" si="85"/>
        <v>#DIV/0!</v>
      </c>
      <c r="AD269" s="209" t="e">
        <f t="shared" si="85"/>
        <v>#DIV/0!</v>
      </c>
      <c r="AE269" s="209" t="e">
        <f t="shared" si="85"/>
        <v>#DIV/0!</v>
      </c>
      <c r="AF269" s="209" t="e">
        <f t="shared" si="85"/>
        <v>#DIV/0!</v>
      </c>
      <c r="AG269" s="209" t="e">
        <f t="shared" si="85"/>
        <v>#DIV/0!</v>
      </c>
      <c r="AH269" s="209" t="e">
        <f t="shared" si="85"/>
        <v>#DIV/0!</v>
      </c>
      <c r="AI269" s="209" t="e">
        <f t="shared" si="85"/>
        <v>#DIV/0!</v>
      </c>
      <c r="AJ269" s="209" t="e">
        <f t="shared" si="85"/>
        <v>#DIV/0!</v>
      </c>
      <c r="AK269" s="209" t="e">
        <f t="shared" si="85"/>
        <v>#DIV/0!</v>
      </c>
      <c r="AL269" s="209" t="e">
        <f t="shared" si="85"/>
        <v>#DIV/0!</v>
      </c>
      <c r="AM269" s="209" t="e">
        <f t="shared" si="85"/>
        <v>#DIV/0!</v>
      </c>
      <c r="AN269" s="209" t="e">
        <f t="shared" si="85"/>
        <v>#DIV/0!</v>
      </c>
    </row>
    <row r="270" spans="2:40" s="30" customFormat="1" x14ac:dyDescent="0.15">
      <c r="B270" s="330"/>
      <c r="C270" s="162" t="s">
        <v>185</v>
      </c>
      <c r="D270" s="204">
        <f>SUMIFS('caseload data'!E:E,'caseload data'!$D:$D,"PSO",'caseload data'!$A:$A,$B269,'caseload data'!$B:$B,"custody")</f>
        <v>0</v>
      </c>
      <c r="E270" s="204">
        <f>SUMIFS('caseload data'!F:F,'caseload data'!$D:$D,"PSO",'caseload data'!$A:$A,$B269,'caseload data'!$B:$B,"custody")</f>
        <v>0</v>
      </c>
      <c r="F270" s="204">
        <f>SUMIFS('caseload data'!G:G,'caseload data'!$D:$D,"PSO",'caseload data'!$A:$A,$B269,'caseload data'!$B:$B,"custody")</f>
        <v>0</v>
      </c>
      <c r="G270" s="204">
        <f>SUMIFS('caseload data'!H:H,'caseload data'!$D:$D,"PSO",'caseload data'!$A:$A,$B269,'caseload data'!$B:$B,"custody")</f>
        <v>0</v>
      </c>
      <c r="H270" s="204">
        <f>SUMIFS('caseload data'!I:I,'caseload data'!$D:$D,"PSO",'caseload data'!$A:$A,$B269,'caseload data'!$B:$B,"custody")</f>
        <v>0</v>
      </c>
      <c r="I270" s="204">
        <f>SUMIFS('caseload data'!J:J,'caseload data'!$D:$D,"PSO",'caseload data'!$A:$A,$B269,'caseload data'!$B:$B,"custody")</f>
        <v>0</v>
      </c>
      <c r="J270" s="204">
        <f>SUMIFS('caseload data'!K:K,'caseload data'!$D:$D,"PSO",'caseload data'!$A:$A,$B269,'caseload data'!$B:$B,"custody")</f>
        <v>0</v>
      </c>
      <c r="K270" s="204">
        <f>SUMIFS('caseload data'!L:L,'caseload data'!$D:$D,"PSO",'caseload data'!$A:$A,$B269,'caseload data'!$B:$B,"custody")</f>
        <v>0</v>
      </c>
      <c r="L270" s="204">
        <f>SUMIFS('caseload data'!M:M,'caseload data'!$D:$D,"PSO",'caseload data'!$A:$A,$B269,'caseload data'!$B:$B,"custody")</f>
        <v>0</v>
      </c>
      <c r="M270" s="204">
        <f>SUMIFS('caseload data'!N:N,'caseload data'!$D:$D,"PSO",'caseload data'!$A:$A,$B269,'caseload data'!$B:$B,"custody")</f>
        <v>0</v>
      </c>
      <c r="N270" s="204">
        <f>SUMIFS('caseload data'!O:O,'caseload data'!$D:$D,"PSO",'caseload data'!$A:$A,$B269,'caseload data'!$B:$B,"custody")</f>
        <v>0</v>
      </c>
      <c r="O270" s="204">
        <f>SUMIFS('caseload data'!P:P,'caseload data'!$D:$D,"PSO",'caseload data'!$A:$A,$B269,'caseload data'!$B:$B,"custody")</f>
        <v>0</v>
      </c>
      <c r="P270" s="204">
        <f>SUMIFS('caseload data'!Q:Q,'caseload data'!$D:$D,"PSO",'caseload data'!$A:$A,$B269,'caseload data'!$B:$B,"custody")</f>
        <v>0</v>
      </c>
      <c r="Q270" s="204">
        <f>SUMIFS('caseload data'!R:R,'caseload data'!$D:$D,"PSO",'caseload data'!$A:$A,$B269,'caseload data'!$B:$B,"custody")</f>
        <v>0</v>
      </c>
      <c r="R270" s="204">
        <f>SUMIFS('caseload data'!S:S,'caseload data'!$D:$D,"PSO",'caseload data'!$A:$A,$B269,'caseload data'!$B:$B,"custody")</f>
        <v>0</v>
      </c>
      <c r="S270" s="204">
        <f>SUMIFS('caseload data'!T:T,'caseload data'!$D:$D,"PSO",'caseload data'!$A:$A,$B269,'caseload data'!$B:$B,"custody")</f>
        <v>0</v>
      </c>
      <c r="T270" s="204">
        <f>SUMIFS('caseload data'!V:V,'caseload data'!$D:$D,"PSO",'caseload data'!$A:$A,$B269,'caseload data'!$B:$B,"custody")</f>
        <v>0</v>
      </c>
      <c r="U270" s="95"/>
      <c r="V270" s="95"/>
      <c r="W270" s="330"/>
      <c r="X270" s="162" t="s">
        <v>185</v>
      </c>
      <c r="Y270" s="209" t="e">
        <f t="shared" ref="Y270:Y272" si="86">SUM(D270)/SUM(D$269:D$272)</f>
        <v>#DIV/0!</v>
      </c>
      <c r="Z270" s="209" t="e">
        <f t="shared" si="85"/>
        <v>#DIV/0!</v>
      </c>
      <c r="AA270" s="209" t="e">
        <f t="shared" si="85"/>
        <v>#DIV/0!</v>
      </c>
      <c r="AB270" s="209" t="e">
        <f t="shared" si="85"/>
        <v>#DIV/0!</v>
      </c>
      <c r="AC270" s="209" t="e">
        <f t="shared" si="85"/>
        <v>#DIV/0!</v>
      </c>
      <c r="AD270" s="209" t="e">
        <f t="shared" si="85"/>
        <v>#DIV/0!</v>
      </c>
      <c r="AE270" s="209" t="e">
        <f t="shared" si="85"/>
        <v>#DIV/0!</v>
      </c>
      <c r="AF270" s="209" t="e">
        <f t="shared" si="85"/>
        <v>#DIV/0!</v>
      </c>
      <c r="AG270" s="209" t="e">
        <f t="shared" si="85"/>
        <v>#DIV/0!</v>
      </c>
      <c r="AH270" s="209" t="e">
        <f t="shared" si="85"/>
        <v>#DIV/0!</v>
      </c>
      <c r="AI270" s="209" t="e">
        <f t="shared" si="85"/>
        <v>#DIV/0!</v>
      </c>
      <c r="AJ270" s="209" t="e">
        <f t="shared" si="85"/>
        <v>#DIV/0!</v>
      </c>
      <c r="AK270" s="209" t="e">
        <f t="shared" si="85"/>
        <v>#DIV/0!</v>
      </c>
      <c r="AL270" s="209" t="e">
        <f t="shared" si="85"/>
        <v>#DIV/0!</v>
      </c>
      <c r="AM270" s="209" t="e">
        <f t="shared" si="85"/>
        <v>#DIV/0!</v>
      </c>
      <c r="AN270" s="209" t="e">
        <f t="shared" si="85"/>
        <v>#DIV/0!</v>
      </c>
    </row>
    <row r="271" spans="2:40" s="30" customFormat="1" x14ac:dyDescent="0.15">
      <c r="B271" s="330"/>
      <c r="C271" s="162" t="s">
        <v>186</v>
      </c>
      <c r="D271" s="204">
        <f>SUMIFS('caseload data'!E:E,'caseload data'!$D:$D,"TPO",'caseload data'!$A:$A,$B269,'caseload data'!$B:$B,"custody")</f>
        <v>0</v>
      </c>
      <c r="E271" s="204">
        <f>SUMIFS('caseload data'!F:F,'caseload data'!$D:$D,"TPO",'caseload data'!$A:$A,$B269,'caseload data'!$B:$B,"custody")</f>
        <v>0</v>
      </c>
      <c r="F271" s="204">
        <f>SUMIFS('caseload data'!G:G,'caseload data'!$D:$D,"TPO",'caseload data'!$A:$A,$B269,'caseload data'!$B:$B,"custody")</f>
        <v>0</v>
      </c>
      <c r="G271" s="204">
        <f>SUMIFS('caseload data'!H:H,'caseload data'!$D:$D,"TPO",'caseload data'!$A:$A,$B269,'caseload data'!$B:$B,"custody")</f>
        <v>0</v>
      </c>
      <c r="H271" s="204">
        <f>SUMIFS('caseload data'!I:I,'caseload data'!$D:$D,"TPO",'caseload data'!$A:$A,$B269,'caseload data'!$B:$B,"custody")</f>
        <v>0</v>
      </c>
      <c r="I271" s="204">
        <f>SUMIFS('caseload data'!J:J,'caseload data'!$D:$D,"TPO",'caseload data'!$A:$A,$B269,'caseload data'!$B:$B,"custody")</f>
        <v>0</v>
      </c>
      <c r="J271" s="204">
        <f>SUMIFS('caseload data'!K:K,'caseload data'!$D:$D,"TPO",'caseload data'!$A:$A,$B269,'caseload data'!$B:$B,"custody")</f>
        <v>0</v>
      </c>
      <c r="K271" s="204">
        <f>SUMIFS('caseload data'!L:L,'caseload data'!$D:$D,"TPO",'caseload data'!$A:$A,$B269,'caseload data'!$B:$B,"custody")</f>
        <v>0</v>
      </c>
      <c r="L271" s="204">
        <f>SUMIFS('caseload data'!M:M,'caseload data'!$D:$D,"TPO",'caseload data'!$A:$A,$B269,'caseload data'!$B:$B,"custody")</f>
        <v>0</v>
      </c>
      <c r="M271" s="204">
        <f>SUMIFS('caseload data'!N:N,'caseload data'!$D:$D,"TPO",'caseload data'!$A:$A,$B269,'caseload data'!$B:$B,"custody")</f>
        <v>0</v>
      </c>
      <c r="N271" s="204">
        <f>SUMIFS('caseload data'!O:O,'caseload data'!$D:$D,"TPO",'caseload data'!$A:$A,$B269,'caseload data'!$B:$B,"custody")</f>
        <v>0</v>
      </c>
      <c r="O271" s="204">
        <f>SUMIFS('caseload data'!P:P,'caseload data'!$D:$D,"TPO",'caseload data'!$A:$A,$B269,'caseload data'!$B:$B,"custody")</f>
        <v>0</v>
      </c>
      <c r="P271" s="204">
        <f>SUMIFS('caseload data'!Q:Q,'caseload data'!$D:$D,"TPO",'caseload data'!$A:$A,$B269,'caseload data'!$B:$B,"custody")</f>
        <v>0</v>
      </c>
      <c r="Q271" s="204">
        <f>SUMIFS('caseload data'!R:R,'caseload data'!$D:$D,"TPO",'caseload data'!$A:$A,$B269,'caseload data'!$B:$B,"custody")</f>
        <v>0</v>
      </c>
      <c r="R271" s="204">
        <f>SUMIFS('caseload data'!S:S,'caseload data'!$D:$D,"TPO",'caseload data'!$A:$A,$B269,'caseload data'!$B:$B,"custody")</f>
        <v>0</v>
      </c>
      <c r="S271" s="204">
        <f>SUMIFS('caseload data'!T:T,'caseload data'!$D:$D,"TPO",'caseload data'!$A:$A,$B269,'caseload data'!$B:$B,"custody")</f>
        <v>0</v>
      </c>
      <c r="T271" s="204">
        <f>SUMIFS('caseload data'!V:V,'caseload data'!$D:$D,"TPO",'caseload data'!$A:$A,$B269,'caseload data'!$B:$B,"custody")</f>
        <v>0</v>
      </c>
      <c r="U271" s="95"/>
      <c r="V271" s="95"/>
      <c r="W271" s="330"/>
      <c r="X271" s="162" t="s">
        <v>186</v>
      </c>
      <c r="Y271" s="209" t="e">
        <f t="shared" si="86"/>
        <v>#DIV/0!</v>
      </c>
      <c r="Z271" s="209" t="e">
        <f t="shared" si="85"/>
        <v>#DIV/0!</v>
      </c>
      <c r="AA271" s="209" t="e">
        <f t="shared" si="85"/>
        <v>#DIV/0!</v>
      </c>
      <c r="AB271" s="209" t="e">
        <f t="shared" si="85"/>
        <v>#DIV/0!</v>
      </c>
      <c r="AC271" s="209" t="e">
        <f t="shared" si="85"/>
        <v>#DIV/0!</v>
      </c>
      <c r="AD271" s="209" t="e">
        <f t="shared" si="85"/>
        <v>#DIV/0!</v>
      </c>
      <c r="AE271" s="209" t="e">
        <f t="shared" si="85"/>
        <v>#DIV/0!</v>
      </c>
      <c r="AF271" s="209" t="e">
        <f t="shared" si="85"/>
        <v>#DIV/0!</v>
      </c>
      <c r="AG271" s="209" t="e">
        <f t="shared" si="85"/>
        <v>#DIV/0!</v>
      </c>
      <c r="AH271" s="209" t="e">
        <f t="shared" si="85"/>
        <v>#DIV/0!</v>
      </c>
      <c r="AI271" s="209" t="e">
        <f t="shared" si="85"/>
        <v>#DIV/0!</v>
      </c>
      <c r="AJ271" s="209" t="e">
        <f t="shared" si="85"/>
        <v>#DIV/0!</v>
      </c>
      <c r="AK271" s="209" t="e">
        <f t="shared" si="85"/>
        <v>#DIV/0!</v>
      </c>
      <c r="AL271" s="209" t="e">
        <f t="shared" si="85"/>
        <v>#DIV/0!</v>
      </c>
      <c r="AM271" s="209" t="e">
        <f t="shared" si="85"/>
        <v>#DIV/0!</v>
      </c>
      <c r="AN271" s="209" t="e">
        <f t="shared" si="85"/>
        <v>#DIV/0!</v>
      </c>
    </row>
    <row r="272" spans="2:40" s="30" customFormat="1" x14ac:dyDescent="0.15">
      <c r="B272" s="331"/>
      <c r="C272" s="163" t="s">
        <v>187</v>
      </c>
      <c r="D272" s="204">
        <f>SUMIFS('caseload data'!E:E,'caseload data'!$D:$D,"SPO",'caseload data'!$A:$A,$B269,'caseload data'!$B:$B,"custody")</f>
        <v>0</v>
      </c>
      <c r="E272" s="204">
        <f>SUMIFS('caseload data'!F:F,'caseload data'!$D:$D,"SPO",'caseload data'!$A:$A,$B269,'caseload data'!$B:$B,"custody")</f>
        <v>0</v>
      </c>
      <c r="F272" s="204">
        <f>SUMIFS('caseload data'!G:G,'caseload data'!$D:$D,"SPO",'caseload data'!$A:$A,$B269,'caseload data'!$B:$B,"custody")</f>
        <v>0</v>
      </c>
      <c r="G272" s="204">
        <f>SUMIFS('caseload data'!H:H,'caseload data'!$D:$D,"SPO",'caseload data'!$A:$A,$B269,'caseload data'!$B:$B,"custody")</f>
        <v>0</v>
      </c>
      <c r="H272" s="204">
        <f>SUMIFS('caseload data'!I:I,'caseload data'!$D:$D,"SPO",'caseload data'!$A:$A,$B269,'caseload data'!$B:$B,"custody")</f>
        <v>0</v>
      </c>
      <c r="I272" s="204">
        <f>SUMIFS('caseload data'!J:J,'caseload data'!$D:$D,"SPO",'caseload data'!$A:$A,$B269,'caseload data'!$B:$B,"custody")</f>
        <v>0</v>
      </c>
      <c r="J272" s="204">
        <f>SUMIFS('caseload data'!K:K,'caseload data'!$D:$D,"SPO",'caseload data'!$A:$A,$B269,'caseload data'!$B:$B,"custody")</f>
        <v>0</v>
      </c>
      <c r="K272" s="204">
        <f>SUMIFS('caseload data'!L:L,'caseload data'!$D:$D,"SPO",'caseload data'!$A:$A,$B269,'caseload data'!$B:$B,"custody")</f>
        <v>0</v>
      </c>
      <c r="L272" s="204">
        <f>SUMIFS('caseload data'!M:M,'caseload data'!$D:$D,"SPO",'caseload data'!$A:$A,$B269,'caseload data'!$B:$B,"custody")</f>
        <v>0</v>
      </c>
      <c r="M272" s="204">
        <f>SUMIFS('caseload data'!N:N,'caseload data'!$D:$D,"SPO",'caseload data'!$A:$A,$B269,'caseload data'!$B:$B,"custody")</f>
        <v>0</v>
      </c>
      <c r="N272" s="204">
        <f>SUMIFS('caseload data'!O:O,'caseload data'!$D:$D,"SPO",'caseload data'!$A:$A,$B269,'caseload data'!$B:$B,"custody")</f>
        <v>0</v>
      </c>
      <c r="O272" s="204">
        <f>SUMIFS('caseload data'!P:P,'caseload data'!$D:$D,"SPO",'caseload data'!$A:$A,$B269,'caseload data'!$B:$B,"custody")</f>
        <v>0</v>
      </c>
      <c r="P272" s="204">
        <f>SUMIFS('caseload data'!Q:Q,'caseload data'!$D:$D,"SPO",'caseload data'!$A:$A,$B269,'caseload data'!$B:$B,"custody")</f>
        <v>0</v>
      </c>
      <c r="Q272" s="204">
        <f>SUMIFS('caseload data'!R:R,'caseload data'!$D:$D,"SPO",'caseload data'!$A:$A,$B269,'caseload data'!$B:$B,"custody")</f>
        <v>0</v>
      </c>
      <c r="R272" s="204">
        <f>SUMIFS('caseload data'!S:S,'caseload data'!$D:$D,"SPO",'caseload data'!$A:$A,$B269,'caseload data'!$B:$B,"custody")</f>
        <v>0</v>
      </c>
      <c r="S272" s="204">
        <f>SUMIFS('caseload data'!T:T,'caseload data'!$D:$D,"SPO",'caseload data'!$A:$A,$B269,'caseload data'!$B:$B,"custody")</f>
        <v>0</v>
      </c>
      <c r="T272" s="204">
        <f>SUMIFS('caseload data'!V:V,'caseload data'!$D:$D,"SPO",'caseload data'!$A:$A,$B269,'caseload data'!$B:$B,"custody")</f>
        <v>0</v>
      </c>
      <c r="U272" s="95"/>
      <c r="V272" s="95"/>
      <c r="W272" s="331"/>
      <c r="X272" s="163" t="s">
        <v>187</v>
      </c>
      <c r="Y272" s="209" t="e">
        <f t="shared" si="86"/>
        <v>#DIV/0!</v>
      </c>
      <c r="Z272" s="209" t="e">
        <f t="shared" si="85"/>
        <v>#DIV/0!</v>
      </c>
      <c r="AA272" s="209" t="e">
        <f t="shared" si="85"/>
        <v>#DIV/0!</v>
      </c>
      <c r="AB272" s="209" t="e">
        <f t="shared" si="85"/>
        <v>#DIV/0!</v>
      </c>
      <c r="AC272" s="209" t="e">
        <f t="shared" si="85"/>
        <v>#DIV/0!</v>
      </c>
      <c r="AD272" s="209" t="e">
        <f t="shared" si="85"/>
        <v>#DIV/0!</v>
      </c>
      <c r="AE272" s="209" t="e">
        <f t="shared" si="85"/>
        <v>#DIV/0!</v>
      </c>
      <c r="AF272" s="209" t="e">
        <f t="shared" si="85"/>
        <v>#DIV/0!</v>
      </c>
      <c r="AG272" s="209" t="e">
        <f t="shared" si="85"/>
        <v>#DIV/0!</v>
      </c>
      <c r="AH272" s="209" t="e">
        <f t="shared" si="85"/>
        <v>#DIV/0!</v>
      </c>
      <c r="AI272" s="209" t="e">
        <f t="shared" si="85"/>
        <v>#DIV/0!</v>
      </c>
      <c r="AJ272" s="209" t="e">
        <f t="shared" si="85"/>
        <v>#DIV/0!</v>
      </c>
      <c r="AK272" s="209" t="e">
        <f t="shared" si="85"/>
        <v>#DIV/0!</v>
      </c>
      <c r="AL272" s="209" t="e">
        <f t="shared" si="85"/>
        <v>#DIV/0!</v>
      </c>
      <c r="AM272" s="209" t="e">
        <f t="shared" si="85"/>
        <v>#DIV/0!</v>
      </c>
      <c r="AN272" s="209" t="e">
        <f t="shared" si="85"/>
        <v>#DIV/0!</v>
      </c>
    </row>
    <row r="273" spans="2:40" s="30" customFormat="1" x14ac:dyDescent="0.15">
      <c r="B273" s="329" t="s">
        <v>519</v>
      </c>
      <c r="C273" s="161" t="s">
        <v>184</v>
      </c>
      <c r="D273" s="204">
        <f>SUMIFS('caseload data'!E:E,'caseload data'!$D:$D,"PO",'caseload data'!$A:$A,$B273,'caseload data'!$B:$B,"custody")</f>
        <v>0</v>
      </c>
      <c r="E273" s="204">
        <f>SUMIFS('caseload data'!F:F,'caseload data'!$D:$D,"PO",'caseload data'!$A:$A,$B273,'caseload data'!$B:$B,"custody")</f>
        <v>0</v>
      </c>
      <c r="F273" s="204">
        <f>SUMIFS('caseload data'!G:G,'caseload data'!$D:$D,"PO",'caseload data'!$A:$A,$B273,'caseload data'!$B:$B,"custody")</f>
        <v>0</v>
      </c>
      <c r="G273" s="204">
        <f>SUMIFS('caseload data'!H:H,'caseload data'!$D:$D,"PO",'caseload data'!$A:$A,$B273,'caseload data'!$B:$B,"custody")</f>
        <v>0</v>
      </c>
      <c r="H273" s="204">
        <f>SUMIFS('caseload data'!I:I,'caseload data'!$D:$D,"PO",'caseload data'!$A:$A,$B273,'caseload data'!$B:$B,"custody")</f>
        <v>0</v>
      </c>
      <c r="I273" s="204">
        <f>SUMIFS('caseload data'!J:J,'caseload data'!$D:$D,"PO",'caseload data'!$A:$A,$B273,'caseload data'!$B:$B,"custody")</f>
        <v>0</v>
      </c>
      <c r="J273" s="204">
        <f>SUMIFS('caseload data'!K:K,'caseload data'!$D:$D,"PO",'caseload data'!$A:$A,$B273,'caseload data'!$B:$B,"custody")</f>
        <v>0</v>
      </c>
      <c r="K273" s="204">
        <f>SUMIFS('caseload data'!L:L,'caseload data'!$D:$D,"PO",'caseload data'!$A:$A,$B273,'caseload data'!$B:$B,"custody")</f>
        <v>0</v>
      </c>
      <c r="L273" s="204">
        <f>SUMIFS('caseload data'!M:M,'caseload data'!$D:$D,"PO",'caseload data'!$A:$A,$B273,'caseload data'!$B:$B,"custody")</f>
        <v>0</v>
      </c>
      <c r="M273" s="204">
        <f>SUMIFS('caseload data'!N:N,'caseload data'!$D:$D,"PO",'caseload data'!$A:$A,$B273,'caseload data'!$B:$B,"custody")</f>
        <v>0</v>
      </c>
      <c r="N273" s="204">
        <f>SUMIFS('caseload data'!O:O,'caseload data'!$D:$D,"PO",'caseload data'!$A:$A,$B273,'caseload data'!$B:$B,"custody")</f>
        <v>0</v>
      </c>
      <c r="O273" s="204">
        <f>SUMIFS('caseload data'!P:P,'caseload data'!$D:$D,"PO",'caseload data'!$A:$A,$B273,'caseload data'!$B:$B,"custody")</f>
        <v>0</v>
      </c>
      <c r="P273" s="204">
        <f>SUMIFS('caseload data'!Q:Q,'caseload data'!$D:$D,"PO",'caseload data'!$A:$A,$B273,'caseload data'!$B:$B,"custody")</f>
        <v>0</v>
      </c>
      <c r="Q273" s="204">
        <f>SUMIFS('caseload data'!R:R,'caseload data'!$D:$D,"PO",'caseload data'!$A:$A,$B273,'caseload data'!$B:$B,"custody")</f>
        <v>0</v>
      </c>
      <c r="R273" s="204">
        <f>SUMIFS('caseload data'!S:S,'caseload data'!$D:$D,"PO",'caseload data'!$A:$A,$B273,'caseload data'!$B:$B,"custody")</f>
        <v>0</v>
      </c>
      <c r="S273" s="204">
        <f>SUMIFS('caseload data'!T:T,'caseload data'!$D:$D,"PO",'caseload data'!$A:$A,$B273,'caseload data'!$B:$B,"custody")</f>
        <v>0</v>
      </c>
      <c r="T273" s="204">
        <f>SUMIFS('caseload data'!V:V,'caseload data'!$D:$D,"PO",'caseload data'!$A:$A,$B273,'caseload data'!$B:$B,"custody")</f>
        <v>0</v>
      </c>
      <c r="U273" s="95"/>
      <c r="V273" s="95"/>
      <c r="W273" s="329" t="s">
        <v>519</v>
      </c>
      <c r="X273" s="161" t="s">
        <v>184</v>
      </c>
      <c r="Y273" s="209" t="e">
        <f>SUM(D273)/SUM(D$273:D$276)</f>
        <v>#DIV/0!</v>
      </c>
      <c r="Z273" s="209" t="e">
        <f t="shared" ref="Z273:AN276" si="87">SUM(E273)/SUM(E$273:E$276)</f>
        <v>#DIV/0!</v>
      </c>
      <c r="AA273" s="209" t="e">
        <f t="shared" si="87"/>
        <v>#DIV/0!</v>
      </c>
      <c r="AB273" s="209" t="e">
        <f t="shared" si="87"/>
        <v>#DIV/0!</v>
      </c>
      <c r="AC273" s="209" t="e">
        <f t="shared" si="87"/>
        <v>#DIV/0!</v>
      </c>
      <c r="AD273" s="209" t="e">
        <f t="shared" si="87"/>
        <v>#DIV/0!</v>
      </c>
      <c r="AE273" s="209" t="e">
        <f t="shared" si="87"/>
        <v>#DIV/0!</v>
      </c>
      <c r="AF273" s="209" t="e">
        <f t="shared" si="87"/>
        <v>#DIV/0!</v>
      </c>
      <c r="AG273" s="209" t="e">
        <f t="shared" si="87"/>
        <v>#DIV/0!</v>
      </c>
      <c r="AH273" s="209" t="e">
        <f t="shared" si="87"/>
        <v>#DIV/0!</v>
      </c>
      <c r="AI273" s="209" t="e">
        <f t="shared" si="87"/>
        <v>#DIV/0!</v>
      </c>
      <c r="AJ273" s="209" t="e">
        <f t="shared" si="87"/>
        <v>#DIV/0!</v>
      </c>
      <c r="AK273" s="209" t="e">
        <f t="shared" si="87"/>
        <v>#DIV/0!</v>
      </c>
      <c r="AL273" s="209" t="e">
        <f t="shared" si="87"/>
        <v>#DIV/0!</v>
      </c>
      <c r="AM273" s="209" t="e">
        <f t="shared" si="87"/>
        <v>#DIV/0!</v>
      </c>
      <c r="AN273" s="209" t="e">
        <f t="shared" si="87"/>
        <v>#DIV/0!</v>
      </c>
    </row>
    <row r="274" spans="2:40" s="30" customFormat="1" x14ac:dyDescent="0.15">
      <c r="B274" s="330"/>
      <c r="C274" s="162" t="s">
        <v>185</v>
      </c>
      <c r="D274" s="204">
        <f>SUMIFS('caseload data'!E:E,'caseload data'!$D:$D,"PSO",'caseload data'!$A:$A,$B273,'caseload data'!$B:$B,"custody")</f>
        <v>0</v>
      </c>
      <c r="E274" s="204">
        <f>SUMIFS('caseload data'!F:F,'caseload data'!$D:$D,"PSO",'caseload data'!$A:$A,$B273,'caseload data'!$B:$B,"custody")</f>
        <v>0</v>
      </c>
      <c r="F274" s="204">
        <f>SUMIFS('caseload data'!G:G,'caseload data'!$D:$D,"PSO",'caseload data'!$A:$A,$B273,'caseload data'!$B:$B,"custody")</f>
        <v>0</v>
      </c>
      <c r="G274" s="204">
        <f>SUMIFS('caseload data'!H:H,'caseload data'!$D:$D,"PSO",'caseload data'!$A:$A,$B273,'caseload data'!$B:$B,"custody")</f>
        <v>0</v>
      </c>
      <c r="H274" s="204">
        <f>SUMIFS('caseload data'!I:I,'caseload data'!$D:$D,"PSO",'caseload data'!$A:$A,$B273,'caseload data'!$B:$B,"custody")</f>
        <v>0</v>
      </c>
      <c r="I274" s="204">
        <f>SUMIFS('caseload data'!J:J,'caseload data'!$D:$D,"PSO",'caseload data'!$A:$A,$B273,'caseload data'!$B:$B,"custody")</f>
        <v>0</v>
      </c>
      <c r="J274" s="204">
        <f>SUMIFS('caseload data'!K:K,'caseload data'!$D:$D,"PSO",'caseload data'!$A:$A,$B273,'caseload data'!$B:$B,"custody")</f>
        <v>0</v>
      </c>
      <c r="K274" s="204">
        <f>SUMIFS('caseload data'!L:L,'caseload data'!$D:$D,"PSO",'caseload data'!$A:$A,$B273,'caseload data'!$B:$B,"custody")</f>
        <v>0</v>
      </c>
      <c r="L274" s="204">
        <f>SUMIFS('caseload data'!M:M,'caseload data'!$D:$D,"PSO",'caseload data'!$A:$A,$B273,'caseload data'!$B:$B,"custody")</f>
        <v>0</v>
      </c>
      <c r="M274" s="204">
        <f>SUMIFS('caseload data'!N:N,'caseload data'!$D:$D,"PSO",'caseload data'!$A:$A,$B273,'caseload data'!$B:$B,"custody")</f>
        <v>0</v>
      </c>
      <c r="N274" s="204">
        <f>SUMIFS('caseload data'!O:O,'caseload data'!$D:$D,"PSO",'caseload data'!$A:$A,$B273,'caseload data'!$B:$B,"custody")</f>
        <v>0</v>
      </c>
      <c r="O274" s="204">
        <f>SUMIFS('caseload data'!P:P,'caseload data'!$D:$D,"PSO",'caseload data'!$A:$A,$B273,'caseload data'!$B:$B,"custody")</f>
        <v>0</v>
      </c>
      <c r="P274" s="204">
        <f>SUMIFS('caseload data'!Q:Q,'caseload data'!$D:$D,"PSO",'caseload data'!$A:$A,$B273,'caseload data'!$B:$B,"custody")</f>
        <v>0</v>
      </c>
      <c r="Q274" s="204">
        <f>SUMIFS('caseload data'!R:R,'caseload data'!$D:$D,"PSO",'caseload data'!$A:$A,$B273,'caseload data'!$B:$B,"custody")</f>
        <v>0</v>
      </c>
      <c r="R274" s="204">
        <f>SUMIFS('caseload data'!S:S,'caseload data'!$D:$D,"PSO",'caseload data'!$A:$A,$B273,'caseload data'!$B:$B,"custody")</f>
        <v>0</v>
      </c>
      <c r="S274" s="204">
        <f>SUMIFS('caseload data'!T:T,'caseload data'!$D:$D,"PSO",'caseload data'!$A:$A,$B273,'caseload data'!$B:$B,"custody")</f>
        <v>0</v>
      </c>
      <c r="T274" s="204">
        <f>SUMIFS('caseload data'!V:V,'caseload data'!$D:$D,"PSO",'caseload data'!$A:$A,$B273,'caseload data'!$B:$B,"custody")</f>
        <v>0</v>
      </c>
      <c r="U274" s="95"/>
      <c r="V274" s="95"/>
      <c r="W274" s="330"/>
      <c r="X274" s="162" t="s">
        <v>185</v>
      </c>
      <c r="Y274" s="209" t="e">
        <f t="shared" ref="Y274:Y276" si="88">SUM(D274)/SUM(D$273:D$276)</f>
        <v>#DIV/0!</v>
      </c>
      <c r="Z274" s="209" t="e">
        <f t="shared" si="87"/>
        <v>#DIV/0!</v>
      </c>
      <c r="AA274" s="209" t="e">
        <f t="shared" si="87"/>
        <v>#DIV/0!</v>
      </c>
      <c r="AB274" s="209" t="e">
        <f t="shared" si="87"/>
        <v>#DIV/0!</v>
      </c>
      <c r="AC274" s="209" t="e">
        <f t="shared" si="87"/>
        <v>#DIV/0!</v>
      </c>
      <c r="AD274" s="209" t="e">
        <f t="shared" si="87"/>
        <v>#DIV/0!</v>
      </c>
      <c r="AE274" s="209" t="e">
        <f t="shared" si="87"/>
        <v>#DIV/0!</v>
      </c>
      <c r="AF274" s="209" t="e">
        <f t="shared" si="87"/>
        <v>#DIV/0!</v>
      </c>
      <c r="AG274" s="209" t="e">
        <f t="shared" si="87"/>
        <v>#DIV/0!</v>
      </c>
      <c r="AH274" s="209" t="e">
        <f t="shared" si="87"/>
        <v>#DIV/0!</v>
      </c>
      <c r="AI274" s="209" t="e">
        <f t="shared" si="87"/>
        <v>#DIV/0!</v>
      </c>
      <c r="AJ274" s="209" t="e">
        <f t="shared" si="87"/>
        <v>#DIV/0!</v>
      </c>
      <c r="AK274" s="209" t="e">
        <f t="shared" si="87"/>
        <v>#DIV/0!</v>
      </c>
      <c r="AL274" s="209" t="e">
        <f t="shared" si="87"/>
        <v>#DIV/0!</v>
      </c>
      <c r="AM274" s="209" t="e">
        <f t="shared" si="87"/>
        <v>#DIV/0!</v>
      </c>
      <c r="AN274" s="209" t="e">
        <f t="shared" si="87"/>
        <v>#DIV/0!</v>
      </c>
    </row>
    <row r="275" spans="2:40" s="30" customFormat="1" x14ac:dyDescent="0.15">
      <c r="B275" s="330"/>
      <c r="C275" s="162" t="s">
        <v>186</v>
      </c>
      <c r="D275" s="204">
        <f>SUMIFS('caseload data'!E:E,'caseload data'!$D:$D,"TPO",'caseload data'!$A:$A,$B273,'caseload data'!$B:$B,"custody")</f>
        <v>0</v>
      </c>
      <c r="E275" s="204">
        <f>SUMIFS('caseload data'!F:F,'caseload data'!$D:$D,"TPO",'caseload data'!$A:$A,$B273,'caseload data'!$B:$B,"custody")</f>
        <v>0</v>
      </c>
      <c r="F275" s="204">
        <f>SUMIFS('caseload data'!G:G,'caseload data'!$D:$D,"TPO",'caseload data'!$A:$A,$B273,'caseload data'!$B:$B,"custody")</f>
        <v>0</v>
      </c>
      <c r="G275" s="204">
        <f>SUMIFS('caseload data'!H:H,'caseload data'!$D:$D,"TPO",'caseload data'!$A:$A,$B273,'caseload data'!$B:$B,"custody")</f>
        <v>0</v>
      </c>
      <c r="H275" s="204">
        <f>SUMIFS('caseload data'!I:I,'caseload data'!$D:$D,"TPO",'caseload data'!$A:$A,$B273,'caseload data'!$B:$B,"custody")</f>
        <v>0</v>
      </c>
      <c r="I275" s="204">
        <f>SUMIFS('caseload data'!J:J,'caseload data'!$D:$D,"TPO",'caseload data'!$A:$A,$B273,'caseload data'!$B:$B,"custody")</f>
        <v>0</v>
      </c>
      <c r="J275" s="204">
        <f>SUMIFS('caseload data'!K:K,'caseload data'!$D:$D,"TPO",'caseload data'!$A:$A,$B273,'caseload data'!$B:$B,"custody")</f>
        <v>0</v>
      </c>
      <c r="K275" s="204">
        <f>SUMIFS('caseload data'!L:L,'caseload data'!$D:$D,"TPO",'caseload data'!$A:$A,$B273,'caseload data'!$B:$B,"custody")</f>
        <v>0</v>
      </c>
      <c r="L275" s="204">
        <f>SUMIFS('caseload data'!M:M,'caseload data'!$D:$D,"TPO",'caseload data'!$A:$A,$B273,'caseload data'!$B:$B,"custody")</f>
        <v>0</v>
      </c>
      <c r="M275" s="204">
        <f>SUMIFS('caseload data'!N:N,'caseload data'!$D:$D,"TPO",'caseload data'!$A:$A,$B273,'caseload data'!$B:$B,"custody")</f>
        <v>0</v>
      </c>
      <c r="N275" s="204">
        <f>SUMIFS('caseload data'!O:O,'caseload data'!$D:$D,"TPO",'caseload data'!$A:$A,$B273,'caseload data'!$B:$B,"custody")</f>
        <v>0</v>
      </c>
      <c r="O275" s="204">
        <f>SUMIFS('caseload data'!P:P,'caseload data'!$D:$D,"TPO",'caseload data'!$A:$A,$B273,'caseload data'!$B:$B,"custody")</f>
        <v>0</v>
      </c>
      <c r="P275" s="204">
        <f>SUMIFS('caseload data'!Q:Q,'caseload data'!$D:$D,"TPO",'caseload data'!$A:$A,$B273,'caseload data'!$B:$B,"custody")</f>
        <v>0</v>
      </c>
      <c r="Q275" s="204">
        <f>SUMIFS('caseload data'!R:R,'caseload data'!$D:$D,"TPO",'caseload data'!$A:$A,$B273,'caseload data'!$B:$B,"custody")</f>
        <v>0</v>
      </c>
      <c r="R275" s="204">
        <f>SUMIFS('caseload data'!S:S,'caseload data'!$D:$D,"TPO",'caseload data'!$A:$A,$B273,'caseload data'!$B:$B,"custody")</f>
        <v>0</v>
      </c>
      <c r="S275" s="204">
        <f>SUMIFS('caseload data'!T:T,'caseload data'!$D:$D,"TPO",'caseload data'!$A:$A,$B273,'caseload data'!$B:$B,"custody")</f>
        <v>0</v>
      </c>
      <c r="T275" s="204">
        <f>SUMIFS('caseload data'!V:V,'caseload data'!$D:$D,"TPO",'caseload data'!$A:$A,$B273,'caseload data'!$B:$B,"custody")</f>
        <v>0</v>
      </c>
      <c r="U275" s="95"/>
      <c r="V275" s="95"/>
      <c r="W275" s="330"/>
      <c r="X275" s="162" t="s">
        <v>186</v>
      </c>
      <c r="Y275" s="209" t="e">
        <f t="shared" si="88"/>
        <v>#DIV/0!</v>
      </c>
      <c r="Z275" s="209" t="e">
        <f t="shared" si="87"/>
        <v>#DIV/0!</v>
      </c>
      <c r="AA275" s="209" t="e">
        <f t="shared" si="87"/>
        <v>#DIV/0!</v>
      </c>
      <c r="AB275" s="209" t="e">
        <f t="shared" si="87"/>
        <v>#DIV/0!</v>
      </c>
      <c r="AC275" s="209" t="e">
        <f t="shared" si="87"/>
        <v>#DIV/0!</v>
      </c>
      <c r="AD275" s="209" t="e">
        <f t="shared" si="87"/>
        <v>#DIV/0!</v>
      </c>
      <c r="AE275" s="209" t="e">
        <f t="shared" si="87"/>
        <v>#DIV/0!</v>
      </c>
      <c r="AF275" s="209" t="e">
        <f t="shared" si="87"/>
        <v>#DIV/0!</v>
      </c>
      <c r="AG275" s="209" t="e">
        <f t="shared" si="87"/>
        <v>#DIV/0!</v>
      </c>
      <c r="AH275" s="209" t="e">
        <f t="shared" si="87"/>
        <v>#DIV/0!</v>
      </c>
      <c r="AI275" s="209" t="e">
        <f t="shared" si="87"/>
        <v>#DIV/0!</v>
      </c>
      <c r="AJ275" s="209" t="e">
        <f t="shared" si="87"/>
        <v>#DIV/0!</v>
      </c>
      <c r="AK275" s="209" t="e">
        <f t="shared" si="87"/>
        <v>#DIV/0!</v>
      </c>
      <c r="AL275" s="209" t="e">
        <f t="shared" si="87"/>
        <v>#DIV/0!</v>
      </c>
      <c r="AM275" s="209" t="e">
        <f t="shared" si="87"/>
        <v>#DIV/0!</v>
      </c>
      <c r="AN275" s="209" t="e">
        <f t="shared" si="87"/>
        <v>#DIV/0!</v>
      </c>
    </row>
    <row r="276" spans="2:40" s="30" customFormat="1" x14ac:dyDescent="0.15">
      <c r="B276" s="331"/>
      <c r="C276" s="163" t="s">
        <v>187</v>
      </c>
      <c r="D276" s="204">
        <f>SUMIFS('caseload data'!E:E,'caseload data'!$D:$D,"SPO",'caseload data'!$A:$A,$B273,'caseload data'!$B:$B,"custody")</f>
        <v>0</v>
      </c>
      <c r="E276" s="204">
        <f>SUMIFS('caseload data'!F:F,'caseload data'!$D:$D,"SPO",'caseload data'!$A:$A,$B273,'caseload data'!$B:$B,"custody")</f>
        <v>0</v>
      </c>
      <c r="F276" s="204">
        <f>SUMIFS('caseload data'!G:G,'caseload data'!$D:$D,"SPO",'caseload data'!$A:$A,$B273,'caseload data'!$B:$B,"custody")</f>
        <v>0</v>
      </c>
      <c r="G276" s="204">
        <f>SUMIFS('caseload data'!H:H,'caseload data'!$D:$D,"SPO",'caseload data'!$A:$A,$B273,'caseload data'!$B:$B,"custody")</f>
        <v>0</v>
      </c>
      <c r="H276" s="204">
        <f>SUMIFS('caseload data'!I:I,'caseload data'!$D:$D,"SPO",'caseload data'!$A:$A,$B273,'caseload data'!$B:$B,"custody")</f>
        <v>0</v>
      </c>
      <c r="I276" s="204">
        <f>SUMIFS('caseload data'!J:J,'caseload data'!$D:$D,"SPO",'caseload data'!$A:$A,$B273,'caseload data'!$B:$B,"custody")</f>
        <v>0</v>
      </c>
      <c r="J276" s="204">
        <f>SUMIFS('caseload data'!K:K,'caseload data'!$D:$D,"SPO",'caseload data'!$A:$A,$B273,'caseload data'!$B:$B,"custody")</f>
        <v>0</v>
      </c>
      <c r="K276" s="204">
        <f>SUMIFS('caseload data'!L:L,'caseload data'!$D:$D,"SPO",'caseload data'!$A:$A,$B273,'caseload data'!$B:$B,"custody")</f>
        <v>0</v>
      </c>
      <c r="L276" s="204">
        <f>SUMIFS('caseload data'!M:M,'caseload data'!$D:$D,"SPO",'caseload data'!$A:$A,$B273,'caseload data'!$B:$B,"custody")</f>
        <v>0</v>
      </c>
      <c r="M276" s="204">
        <f>SUMIFS('caseload data'!N:N,'caseload data'!$D:$D,"SPO",'caseload data'!$A:$A,$B273,'caseload data'!$B:$B,"custody")</f>
        <v>0</v>
      </c>
      <c r="N276" s="204">
        <f>SUMIFS('caseload data'!O:O,'caseload data'!$D:$D,"SPO",'caseload data'!$A:$A,$B273,'caseload data'!$B:$B,"custody")</f>
        <v>0</v>
      </c>
      <c r="O276" s="204">
        <f>SUMIFS('caseload data'!P:P,'caseload data'!$D:$D,"SPO",'caseload data'!$A:$A,$B273,'caseload data'!$B:$B,"custody")</f>
        <v>0</v>
      </c>
      <c r="P276" s="204">
        <f>SUMIFS('caseload data'!Q:Q,'caseload data'!$D:$D,"SPO",'caseload data'!$A:$A,$B273,'caseload data'!$B:$B,"custody")</f>
        <v>0</v>
      </c>
      <c r="Q276" s="204">
        <f>SUMIFS('caseload data'!R:R,'caseload data'!$D:$D,"SPO",'caseload data'!$A:$A,$B273,'caseload data'!$B:$B,"custody")</f>
        <v>0</v>
      </c>
      <c r="R276" s="204">
        <f>SUMIFS('caseload data'!S:S,'caseload data'!$D:$D,"SPO",'caseload data'!$A:$A,$B273,'caseload data'!$B:$B,"custody")</f>
        <v>0</v>
      </c>
      <c r="S276" s="204">
        <f>SUMIFS('caseload data'!T:T,'caseload data'!$D:$D,"SPO",'caseload data'!$A:$A,$B273,'caseload data'!$B:$B,"custody")</f>
        <v>0</v>
      </c>
      <c r="T276" s="204">
        <f>SUMIFS('caseload data'!V:V,'caseload data'!$D:$D,"SPO",'caseload data'!$A:$A,$B273,'caseload data'!$B:$B,"custody")</f>
        <v>0</v>
      </c>
      <c r="U276" s="95"/>
      <c r="V276" s="95"/>
      <c r="W276" s="331"/>
      <c r="X276" s="163" t="s">
        <v>187</v>
      </c>
      <c r="Y276" s="209" t="e">
        <f t="shared" si="88"/>
        <v>#DIV/0!</v>
      </c>
      <c r="Z276" s="209" t="e">
        <f t="shared" si="87"/>
        <v>#DIV/0!</v>
      </c>
      <c r="AA276" s="209" t="e">
        <f t="shared" si="87"/>
        <v>#DIV/0!</v>
      </c>
      <c r="AB276" s="209" t="e">
        <f t="shared" si="87"/>
        <v>#DIV/0!</v>
      </c>
      <c r="AC276" s="209" t="e">
        <f t="shared" si="87"/>
        <v>#DIV/0!</v>
      </c>
      <c r="AD276" s="209" t="e">
        <f t="shared" si="87"/>
        <v>#DIV/0!</v>
      </c>
      <c r="AE276" s="209" t="e">
        <f t="shared" si="87"/>
        <v>#DIV/0!</v>
      </c>
      <c r="AF276" s="209" t="e">
        <f t="shared" si="87"/>
        <v>#DIV/0!</v>
      </c>
      <c r="AG276" s="209" t="e">
        <f t="shared" si="87"/>
        <v>#DIV/0!</v>
      </c>
      <c r="AH276" s="209" t="e">
        <f t="shared" si="87"/>
        <v>#DIV/0!</v>
      </c>
      <c r="AI276" s="209" t="e">
        <f t="shared" si="87"/>
        <v>#DIV/0!</v>
      </c>
      <c r="AJ276" s="209" t="e">
        <f t="shared" si="87"/>
        <v>#DIV/0!</v>
      </c>
      <c r="AK276" s="209" t="e">
        <f t="shared" si="87"/>
        <v>#DIV/0!</v>
      </c>
      <c r="AL276" s="209" t="e">
        <f t="shared" si="87"/>
        <v>#DIV/0!</v>
      </c>
      <c r="AM276" s="209" t="e">
        <f t="shared" si="87"/>
        <v>#DIV/0!</v>
      </c>
      <c r="AN276" s="209" t="e">
        <f t="shared" si="87"/>
        <v>#DIV/0!</v>
      </c>
    </row>
    <row r="277" spans="2:40" s="30" customFormat="1" x14ac:dyDescent="0.15">
      <c r="B277" s="329" t="s">
        <v>520</v>
      </c>
      <c r="C277" s="161" t="s">
        <v>184</v>
      </c>
      <c r="D277" s="204">
        <f>SUMIFS('caseload data'!E:E,'caseload data'!$D:$D,"PO",'caseload data'!$A:$A,$B277,'caseload data'!$B:$B,"custody")</f>
        <v>0</v>
      </c>
      <c r="E277" s="204">
        <f>SUMIFS('caseload data'!F:F,'caseload data'!$D:$D,"PO",'caseload data'!$A:$A,$B277,'caseload data'!$B:$B,"custody")</f>
        <v>0</v>
      </c>
      <c r="F277" s="204">
        <f>SUMIFS('caseload data'!G:G,'caseload data'!$D:$D,"PO",'caseload data'!$A:$A,$B277,'caseload data'!$B:$B,"custody")</f>
        <v>0</v>
      </c>
      <c r="G277" s="204">
        <f>SUMIFS('caseload data'!H:H,'caseload data'!$D:$D,"PO",'caseload data'!$A:$A,$B277,'caseload data'!$B:$B,"custody")</f>
        <v>0</v>
      </c>
      <c r="H277" s="204">
        <f>SUMIFS('caseload data'!I:I,'caseload data'!$D:$D,"PO",'caseload data'!$A:$A,$B277,'caseload data'!$B:$B,"custody")</f>
        <v>0</v>
      </c>
      <c r="I277" s="204">
        <f>SUMIFS('caseload data'!J:J,'caseload data'!$D:$D,"PO",'caseload data'!$A:$A,$B277,'caseload data'!$B:$B,"custody")</f>
        <v>0</v>
      </c>
      <c r="J277" s="204">
        <f>SUMIFS('caseload data'!K:K,'caseload data'!$D:$D,"PO",'caseload data'!$A:$A,$B277,'caseload data'!$B:$B,"custody")</f>
        <v>0</v>
      </c>
      <c r="K277" s="204">
        <f>SUMIFS('caseload data'!L:L,'caseload data'!$D:$D,"PO",'caseload data'!$A:$A,$B277,'caseload data'!$B:$B,"custody")</f>
        <v>0</v>
      </c>
      <c r="L277" s="204">
        <f>SUMIFS('caseload data'!M:M,'caseload data'!$D:$D,"PO",'caseload data'!$A:$A,$B277,'caseload data'!$B:$B,"custody")</f>
        <v>0</v>
      </c>
      <c r="M277" s="204">
        <f>SUMIFS('caseload data'!N:N,'caseload data'!$D:$D,"PO",'caseload data'!$A:$A,$B277,'caseload data'!$B:$B,"custody")</f>
        <v>0</v>
      </c>
      <c r="N277" s="204">
        <f>SUMIFS('caseload data'!O:O,'caseload data'!$D:$D,"PO",'caseload data'!$A:$A,$B277,'caseload data'!$B:$B,"custody")</f>
        <v>0</v>
      </c>
      <c r="O277" s="204">
        <f>SUMIFS('caseload data'!P:P,'caseload data'!$D:$D,"PO",'caseload data'!$A:$A,$B277,'caseload data'!$B:$B,"custody")</f>
        <v>0</v>
      </c>
      <c r="P277" s="204">
        <f>SUMIFS('caseload data'!Q:Q,'caseload data'!$D:$D,"PO",'caseload data'!$A:$A,$B277,'caseload data'!$B:$B,"custody")</f>
        <v>0</v>
      </c>
      <c r="Q277" s="204">
        <f>SUMIFS('caseload data'!R:R,'caseload data'!$D:$D,"PO",'caseload data'!$A:$A,$B277,'caseload data'!$B:$B,"custody")</f>
        <v>0</v>
      </c>
      <c r="R277" s="204">
        <f>SUMIFS('caseload data'!S:S,'caseload data'!$D:$D,"PO",'caseload data'!$A:$A,$B277,'caseload data'!$B:$B,"custody")</f>
        <v>0</v>
      </c>
      <c r="S277" s="204">
        <f>SUMIFS('caseload data'!T:T,'caseload data'!$D:$D,"PO",'caseload data'!$A:$A,$B277,'caseload data'!$B:$B,"custody")</f>
        <v>0</v>
      </c>
      <c r="T277" s="204">
        <f>SUMIFS('caseload data'!V:V,'caseload data'!$D:$D,"PO",'caseload data'!$A:$A,$B277,'caseload data'!$B:$B,"custody")</f>
        <v>0</v>
      </c>
      <c r="U277" s="95"/>
      <c r="V277" s="95"/>
      <c r="W277" s="329" t="s">
        <v>520</v>
      </c>
      <c r="X277" s="161" t="s">
        <v>184</v>
      </c>
      <c r="Y277" s="209" t="e">
        <f>SUM(D277)/SUM(D$277:D$280)</f>
        <v>#DIV/0!</v>
      </c>
      <c r="Z277" s="209" t="e">
        <f t="shared" ref="Z277:AN280" si="89">SUM(E277)/SUM(E$277:E$280)</f>
        <v>#DIV/0!</v>
      </c>
      <c r="AA277" s="209" t="e">
        <f t="shared" si="89"/>
        <v>#DIV/0!</v>
      </c>
      <c r="AB277" s="209" t="e">
        <f t="shared" si="89"/>
        <v>#DIV/0!</v>
      </c>
      <c r="AC277" s="209" t="e">
        <f t="shared" si="89"/>
        <v>#DIV/0!</v>
      </c>
      <c r="AD277" s="209" t="e">
        <f t="shared" si="89"/>
        <v>#DIV/0!</v>
      </c>
      <c r="AE277" s="209" t="e">
        <f t="shared" si="89"/>
        <v>#DIV/0!</v>
      </c>
      <c r="AF277" s="209" t="e">
        <f t="shared" si="89"/>
        <v>#DIV/0!</v>
      </c>
      <c r="AG277" s="209" t="e">
        <f t="shared" si="89"/>
        <v>#DIV/0!</v>
      </c>
      <c r="AH277" s="209" t="e">
        <f t="shared" si="89"/>
        <v>#DIV/0!</v>
      </c>
      <c r="AI277" s="209" t="e">
        <f t="shared" si="89"/>
        <v>#DIV/0!</v>
      </c>
      <c r="AJ277" s="209" t="e">
        <f t="shared" si="89"/>
        <v>#DIV/0!</v>
      </c>
      <c r="AK277" s="209" t="e">
        <f t="shared" si="89"/>
        <v>#DIV/0!</v>
      </c>
      <c r="AL277" s="209" t="e">
        <f t="shared" si="89"/>
        <v>#DIV/0!</v>
      </c>
      <c r="AM277" s="209" t="e">
        <f t="shared" si="89"/>
        <v>#DIV/0!</v>
      </c>
      <c r="AN277" s="209" t="e">
        <f t="shared" si="89"/>
        <v>#DIV/0!</v>
      </c>
    </row>
    <row r="278" spans="2:40" s="30" customFormat="1" x14ac:dyDescent="0.15">
      <c r="B278" s="330"/>
      <c r="C278" s="162" t="s">
        <v>185</v>
      </c>
      <c r="D278" s="204">
        <f>SUMIFS('caseload data'!E:E,'caseload data'!$D:$D,"PSO",'caseload data'!$A:$A,$B277,'caseload data'!$B:$B,"custody")</f>
        <v>0</v>
      </c>
      <c r="E278" s="204">
        <f>SUMIFS('caseload data'!F:F,'caseload data'!$D:$D,"PSO",'caseload data'!$A:$A,$B277,'caseload data'!$B:$B,"custody")</f>
        <v>0</v>
      </c>
      <c r="F278" s="204">
        <f>SUMIFS('caseload data'!G:G,'caseload data'!$D:$D,"PSO",'caseload data'!$A:$A,$B277,'caseload data'!$B:$B,"custody")</f>
        <v>0</v>
      </c>
      <c r="G278" s="204">
        <f>SUMIFS('caseload data'!H:H,'caseload data'!$D:$D,"PSO",'caseload data'!$A:$A,$B277,'caseload data'!$B:$B,"custody")</f>
        <v>0</v>
      </c>
      <c r="H278" s="204">
        <f>SUMIFS('caseload data'!I:I,'caseload data'!$D:$D,"PSO",'caseload data'!$A:$A,$B277,'caseload data'!$B:$B,"custody")</f>
        <v>0</v>
      </c>
      <c r="I278" s="204">
        <f>SUMIFS('caseload data'!J:J,'caseload data'!$D:$D,"PSO",'caseload data'!$A:$A,$B277,'caseload data'!$B:$B,"custody")</f>
        <v>0</v>
      </c>
      <c r="J278" s="204">
        <f>SUMIFS('caseload data'!K:K,'caseload data'!$D:$D,"PSO",'caseload data'!$A:$A,$B277,'caseload data'!$B:$B,"custody")</f>
        <v>0</v>
      </c>
      <c r="K278" s="204">
        <f>SUMIFS('caseload data'!L:L,'caseload data'!$D:$D,"PSO",'caseload data'!$A:$A,$B277,'caseload data'!$B:$B,"custody")</f>
        <v>0</v>
      </c>
      <c r="L278" s="204">
        <f>SUMIFS('caseload data'!M:M,'caseload data'!$D:$D,"PSO",'caseload data'!$A:$A,$B277,'caseload data'!$B:$B,"custody")</f>
        <v>0</v>
      </c>
      <c r="M278" s="204">
        <f>SUMIFS('caseload data'!N:N,'caseload data'!$D:$D,"PSO",'caseload data'!$A:$A,$B277,'caseload data'!$B:$B,"custody")</f>
        <v>0</v>
      </c>
      <c r="N278" s="204">
        <f>SUMIFS('caseload data'!O:O,'caseload data'!$D:$D,"PSO",'caseload data'!$A:$A,$B277,'caseload data'!$B:$B,"custody")</f>
        <v>0</v>
      </c>
      <c r="O278" s="204">
        <f>SUMIFS('caseload data'!P:P,'caseload data'!$D:$D,"PSO",'caseload data'!$A:$A,$B277,'caseload data'!$B:$B,"custody")</f>
        <v>0</v>
      </c>
      <c r="P278" s="204">
        <f>SUMIFS('caseload data'!Q:Q,'caseload data'!$D:$D,"PSO",'caseload data'!$A:$A,$B277,'caseload data'!$B:$B,"custody")</f>
        <v>0</v>
      </c>
      <c r="Q278" s="204">
        <f>SUMIFS('caseload data'!R:R,'caseload data'!$D:$D,"PSO",'caseload data'!$A:$A,$B277,'caseload data'!$B:$B,"custody")</f>
        <v>0</v>
      </c>
      <c r="R278" s="204">
        <f>SUMIFS('caseload data'!S:S,'caseload data'!$D:$D,"PSO",'caseload data'!$A:$A,$B277,'caseload data'!$B:$B,"custody")</f>
        <v>0</v>
      </c>
      <c r="S278" s="204">
        <f>SUMIFS('caseload data'!T:T,'caseload data'!$D:$D,"PSO",'caseload data'!$A:$A,$B277,'caseload data'!$B:$B,"custody")</f>
        <v>0</v>
      </c>
      <c r="T278" s="204">
        <f>SUMIFS('caseload data'!V:V,'caseload data'!$D:$D,"PSO",'caseload data'!$A:$A,$B277,'caseload data'!$B:$B,"custody")</f>
        <v>0</v>
      </c>
      <c r="U278" s="95"/>
      <c r="V278" s="95"/>
      <c r="W278" s="330"/>
      <c r="X278" s="162" t="s">
        <v>185</v>
      </c>
      <c r="Y278" s="209" t="e">
        <f t="shared" ref="Y278:Y280" si="90">SUM(D278)/SUM(D$277:D$280)</f>
        <v>#DIV/0!</v>
      </c>
      <c r="Z278" s="209" t="e">
        <f t="shared" si="89"/>
        <v>#DIV/0!</v>
      </c>
      <c r="AA278" s="209" t="e">
        <f t="shared" si="89"/>
        <v>#DIV/0!</v>
      </c>
      <c r="AB278" s="209" t="e">
        <f t="shared" si="89"/>
        <v>#DIV/0!</v>
      </c>
      <c r="AC278" s="209" t="e">
        <f t="shared" si="89"/>
        <v>#DIV/0!</v>
      </c>
      <c r="AD278" s="209" t="e">
        <f t="shared" si="89"/>
        <v>#DIV/0!</v>
      </c>
      <c r="AE278" s="209" t="e">
        <f t="shared" si="89"/>
        <v>#DIV/0!</v>
      </c>
      <c r="AF278" s="209" t="e">
        <f t="shared" si="89"/>
        <v>#DIV/0!</v>
      </c>
      <c r="AG278" s="209" t="e">
        <f t="shared" si="89"/>
        <v>#DIV/0!</v>
      </c>
      <c r="AH278" s="209" t="e">
        <f t="shared" si="89"/>
        <v>#DIV/0!</v>
      </c>
      <c r="AI278" s="209" t="e">
        <f t="shared" si="89"/>
        <v>#DIV/0!</v>
      </c>
      <c r="AJ278" s="209" t="e">
        <f t="shared" si="89"/>
        <v>#DIV/0!</v>
      </c>
      <c r="AK278" s="209" t="e">
        <f t="shared" si="89"/>
        <v>#DIV/0!</v>
      </c>
      <c r="AL278" s="209" t="e">
        <f t="shared" si="89"/>
        <v>#DIV/0!</v>
      </c>
      <c r="AM278" s="209" t="e">
        <f t="shared" si="89"/>
        <v>#DIV/0!</v>
      </c>
      <c r="AN278" s="209" t="e">
        <f t="shared" si="89"/>
        <v>#DIV/0!</v>
      </c>
    </row>
    <row r="279" spans="2:40" s="30" customFormat="1" x14ac:dyDescent="0.15">
      <c r="B279" s="330"/>
      <c r="C279" s="162" t="s">
        <v>186</v>
      </c>
      <c r="D279" s="204">
        <f>SUMIFS('caseload data'!E:E,'caseload data'!$D:$D,"TPO",'caseload data'!$A:$A,$B277,'caseload data'!$B:$B,"custody")</f>
        <v>0</v>
      </c>
      <c r="E279" s="204">
        <f>SUMIFS('caseload data'!F:F,'caseload data'!$D:$D,"TPO",'caseload data'!$A:$A,$B277,'caseload data'!$B:$B,"custody")</f>
        <v>0</v>
      </c>
      <c r="F279" s="204">
        <f>SUMIFS('caseload data'!G:G,'caseload data'!$D:$D,"TPO",'caseload data'!$A:$A,$B277,'caseload data'!$B:$B,"custody")</f>
        <v>0</v>
      </c>
      <c r="G279" s="204">
        <f>SUMIFS('caseload data'!H:H,'caseload data'!$D:$D,"TPO",'caseload data'!$A:$A,$B277,'caseload data'!$B:$B,"custody")</f>
        <v>0</v>
      </c>
      <c r="H279" s="204">
        <f>SUMIFS('caseload data'!I:I,'caseload data'!$D:$D,"TPO",'caseload data'!$A:$A,$B277,'caseload data'!$B:$B,"custody")</f>
        <v>0</v>
      </c>
      <c r="I279" s="204">
        <f>SUMIFS('caseload data'!J:J,'caseload data'!$D:$D,"TPO",'caseload data'!$A:$A,$B277,'caseload data'!$B:$B,"custody")</f>
        <v>0</v>
      </c>
      <c r="J279" s="204">
        <f>SUMIFS('caseload data'!K:K,'caseload data'!$D:$D,"TPO",'caseload data'!$A:$A,$B277,'caseload data'!$B:$B,"custody")</f>
        <v>0</v>
      </c>
      <c r="K279" s="204">
        <f>SUMIFS('caseload data'!L:L,'caseload data'!$D:$D,"TPO",'caseload data'!$A:$A,$B277,'caseload data'!$B:$B,"custody")</f>
        <v>0</v>
      </c>
      <c r="L279" s="204">
        <f>SUMIFS('caseload data'!M:M,'caseload data'!$D:$D,"TPO",'caseload data'!$A:$A,$B277,'caseload data'!$B:$B,"custody")</f>
        <v>0</v>
      </c>
      <c r="M279" s="204">
        <f>SUMIFS('caseload data'!N:N,'caseload data'!$D:$D,"TPO",'caseload data'!$A:$A,$B277,'caseload data'!$B:$B,"custody")</f>
        <v>0</v>
      </c>
      <c r="N279" s="204">
        <f>SUMIFS('caseload data'!O:O,'caseload data'!$D:$D,"TPO",'caseload data'!$A:$A,$B277,'caseload data'!$B:$B,"custody")</f>
        <v>0</v>
      </c>
      <c r="O279" s="204">
        <f>SUMIFS('caseload data'!P:P,'caseload data'!$D:$D,"TPO",'caseload data'!$A:$A,$B277,'caseload data'!$B:$B,"custody")</f>
        <v>0</v>
      </c>
      <c r="P279" s="204">
        <f>SUMIFS('caseload data'!Q:Q,'caseload data'!$D:$D,"TPO",'caseload data'!$A:$A,$B277,'caseload data'!$B:$B,"custody")</f>
        <v>0</v>
      </c>
      <c r="Q279" s="204">
        <f>SUMIFS('caseload data'!R:R,'caseload data'!$D:$D,"TPO",'caseload data'!$A:$A,$B277,'caseload data'!$B:$B,"custody")</f>
        <v>0</v>
      </c>
      <c r="R279" s="204">
        <f>SUMIFS('caseload data'!S:S,'caseload data'!$D:$D,"TPO",'caseload data'!$A:$A,$B277,'caseload data'!$B:$B,"custody")</f>
        <v>0</v>
      </c>
      <c r="S279" s="204">
        <f>SUMIFS('caseload data'!T:T,'caseload data'!$D:$D,"TPO",'caseload data'!$A:$A,$B277,'caseload data'!$B:$B,"custody")</f>
        <v>0</v>
      </c>
      <c r="T279" s="204">
        <f>SUMIFS('caseload data'!V:V,'caseload data'!$D:$D,"TPO",'caseload data'!$A:$A,$B277,'caseload data'!$B:$B,"custody")</f>
        <v>0</v>
      </c>
      <c r="U279" s="95"/>
      <c r="V279" s="95"/>
      <c r="W279" s="330"/>
      <c r="X279" s="162" t="s">
        <v>186</v>
      </c>
      <c r="Y279" s="209" t="e">
        <f t="shared" si="90"/>
        <v>#DIV/0!</v>
      </c>
      <c r="Z279" s="209" t="e">
        <f t="shared" si="89"/>
        <v>#DIV/0!</v>
      </c>
      <c r="AA279" s="209" t="e">
        <f t="shared" si="89"/>
        <v>#DIV/0!</v>
      </c>
      <c r="AB279" s="209" t="e">
        <f t="shared" si="89"/>
        <v>#DIV/0!</v>
      </c>
      <c r="AC279" s="209" t="e">
        <f t="shared" si="89"/>
        <v>#DIV/0!</v>
      </c>
      <c r="AD279" s="209" t="e">
        <f t="shared" si="89"/>
        <v>#DIV/0!</v>
      </c>
      <c r="AE279" s="209" t="e">
        <f t="shared" si="89"/>
        <v>#DIV/0!</v>
      </c>
      <c r="AF279" s="209" t="e">
        <f t="shared" si="89"/>
        <v>#DIV/0!</v>
      </c>
      <c r="AG279" s="209" t="e">
        <f t="shared" si="89"/>
        <v>#DIV/0!</v>
      </c>
      <c r="AH279" s="209" t="e">
        <f t="shared" si="89"/>
        <v>#DIV/0!</v>
      </c>
      <c r="AI279" s="209" t="e">
        <f t="shared" si="89"/>
        <v>#DIV/0!</v>
      </c>
      <c r="AJ279" s="209" t="e">
        <f t="shared" si="89"/>
        <v>#DIV/0!</v>
      </c>
      <c r="AK279" s="209" t="e">
        <f t="shared" si="89"/>
        <v>#DIV/0!</v>
      </c>
      <c r="AL279" s="209" t="e">
        <f t="shared" si="89"/>
        <v>#DIV/0!</v>
      </c>
      <c r="AM279" s="209" t="e">
        <f t="shared" si="89"/>
        <v>#DIV/0!</v>
      </c>
      <c r="AN279" s="209" t="e">
        <f t="shared" si="89"/>
        <v>#DIV/0!</v>
      </c>
    </row>
    <row r="280" spans="2:40" s="30" customFormat="1" x14ac:dyDescent="0.15">
      <c r="B280" s="331"/>
      <c r="C280" s="163" t="s">
        <v>187</v>
      </c>
      <c r="D280" s="204">
        <f>SUMIFS('caseload data'!E:E,'caseload data'!$D:$D,"SPO",'caseload data'!$A:$A,$B277,'caseload data'!$B:$B,"custody")</f>
        <v>0</v>
      </c>
      <c r="E280" s="204">
        <f>SUMIFS('caseload data'!F:F,'caseload data'!$D:$D,"SPO",'caseload data'!$A:$A,$B277,'caseload data'!$B:$B,"custody")</f>
        <v>0</v>
      </c>
      <c r="F280" s="204">
        <f>SUMIFS('caseload data'!G:G,'caseload data'!$D:$D,"SPO",'caseload data'!$A:$A,$B277,'caseload data'!$B:$B,"custody")</f>
        <v>0</v>
      </c>
      <c r="G280" s="204">
        <f>SUMIFS('caseload data'!H:H,'caseload data'!$D:$D,"SPO",'caseload data'!$A:$A,$B277,'caseload data'!$B:$B,"custody")</f>
        <v>0</v>
      </c>
      <c r="H280" s="204">
        <f>SUMIFS('caseload data'!I:I,'caseload data'!$D:$D,"SPO",'caseload data'!$A:$A,$B277,'caseload data'!$B:$B,"custody")</f>
        <v>0</v>
      </c>
      <c r="I280" s="204">
        <f>SUMIFS('caseload data'!J:J,'caseload data'!$D:$D,"SPO",'caseload data'!$A:$A,$B277,'caseload data'!$B:$B,"custody")</f>
        <v>0</v>
      </c>
      <c r="J280" s="204">
        <f>SUMIFS('caseload data'!K:K,'caseload data'!$D:$D,"SPO",'caseload data'!$A:$A,$B277,'caseload data'!$B:$B,"custody")</f>
        <v>0</v>
      </c>
      <c r="K280" s="204">
        <f>SUMIFS('caseload data'!L:L,'caseload data'!$D:$D,"SPO",'caseload data'!$A:$A,$B277,'caseload data'!$B:$B,"custody")</f>
        <v>0</v>
      </c>
      <c r="L280" s="204">
        <f>SUMIFS('caseload data'!M:M,'caseload data'!$D:$D,"SPO",'caseload data'!$A:$A,$B277,'caseload data'!$B:$B,"custody")</f>
        <v>0</v>
      </c>
      <c r="M280" s="204">
        <f>SUMIFS('caseload data'!N:N,'caseload data'!$D:$D,"SPO",'caseload data'!$A:$A,$B277,'caseload data'!$B:$B,"custody")</f>
        <v>0</v>
      </c>
      <c r="N280" s="204">
        <f>SUMIFS('caseload data'!O:O,'caseload data'!$D:$D,"SPO",'caseload data'!$A:$A,$B277,'caseload data'!$B:$B,"custody")</f>
        <v>0</v>
      </c>
      <c r="O280" s="204">
        <f>SUMIFS('caseload data'!P:P,'caseload data'!$D:$D,"SPO",'caseload data'!$A:$A,$B277,'caseload data'!$B:$B,"custody")</f>
        <v>0</v>
      </c>
      <c r="P280" s="204">
        <f>SUMIFS('caseload data'!Q:Q,'caseload data'!$D:$D,"SPO",'caseload data'!$A:$A,$B277,'caseload data'!$B:$B,"custody")</f>
        <v>0</v>
      </c>
      <c r="Q280" s="204">
        <f>SUMIFS('caseload data'!R:R,'caseload data'!$D:$D,"SPO",'caseload data'!$A:$A,$B277,'caseload data'!$B:$B,"custody")</f>
        <v>0</v>
      </c>
      <c r="R280" s="204">
        <f>SUMIFS('caseload data'!S:S,'caseload data'!$D:$D,"SPO",'caseload data'!$A:$A,$B277,'caseload data'!$B:$B,"custody")</f>
        <v>0</v>
      </c>
      <c r="S280" s="204">
        <f>SUMIFS('caseload data'!T:T,'caseload data'!$D:$D,"SPO",'caseload data'!$A:$A,$B277,'caseload data'!$B:$B,"custody")</f>
        <v>0</v>
      </c>
      <c r="T280" s="204">
        <f>SUMIFS('caseload data'!V:V,'caseload data'!$D:$D,"SPO",'caseload data'!$A:$A,$B277,'caseload data'!$B:$B,"custody")</f>
        <v>0</v>
      </c>
      <c r="U280" s="95"/>
      <c r="V280" s="95"/>
      <c r="W280" s="331"/>
      <c r="X280" s="163" t="s">
        <v>187</v>
      </c>
      <c r="Y280" s="209" t="e">
        <f t="shared" si="90"/>
        <v>#DIV/0!</v>
      </c>
      <c r="Z280" s="209" t="e">
        <f t="shared" si="89"/>
        <v>#DIV/0!</v>
      </c>
      <c r="AA280" s="209" t="e">
        <f t="shared" si="89"/>
        <v>#DIV/0!</v>
      </c>
      <c r="AB280" s="209" t="e">
        <f t="shared" si="89"/>
        <v>#DIV/0!</v>
      </c>
      <c r="AC280" s="209" t="e">
        <f t="shared" si="89"/>
        <v>#DIV/0!</v>
      </c>
      <c r="AD280" s="209" t="e">
        <f t="shared" si="89"/>
        <v>#DIV/0!</v>
      </c>
      <c r="AE280" s="209" t="e">
        <f t="shared" si="89"/>
        <v>#DIV/0!</v>
      </c>
      <c r="AF280" s="209" t="e">
        <f t="shared" si="89"/>
        <v>#DIV/0!</v>
      </c>
      <c r="AG280" s="209" t="e">
        <f t="shared" si="89"/>
        <v>#DIV/0!</v>
      </c>
      <c r="AH280" s="209" t="e">
        <f t="shared" si="89"/>
        <v>#DIV/0!</v>
      </c>
      <c r="AI280" s="209" t="e">
        <f t="shared" si="89"/>
        <v>#DIV/0!</v>
      </c>
      <c r="AJ280" s="209" t="e">
        <f t="shared" si="89"/>
        <v>#DIV/0!</v>
      </c>
      <c r="AK280" s="209" t="e">
        <f t="shared" si="89"/>
        <v>#DIV/0!</v>
      </c>
      <c r="AL280" s="209" t="e">
        <f t="shared" si="89"/>
        <v>#DIV/0!</v>
      </c>
      <c r="AM280" s="209" t="e">
        <f t="shared" si="89"/>
        <v>#DIV/0!</v>
      </c>
      <c r="AN280" s="209" t="e">
        <f t="shared" si="89"/>
        <v>#DIV/0!</v>
      </c>
    </row>
    <row r="281" spans="2:40" s="30" customFormat="1" x14ac:dyDescent="0.15">
      <c r="B281" s="329" t="s">
        <v>521</v>
      </c>
      <c r="C281" s="161" t="s">
        <v>184</v>
      </c>
      <c r="D281" s="204">
        <f>SUMIFS('caseload data'!E:E,'caseload data'!$D:$D,"PO",'caseload data'!$A:$A,$B281,'caseload data'!$B:$B,"custody")</f>
        <v>0</v>
      </c>
      <c r="E281" s="204">
        <f>SUMIFS('caseload data'!F:F,'caseload data'!$D:$D,"PO",'caseload data'!$A:$A,$B281,'caseload data'!$B:$B,"custody")</f>
        <v>0</v>
      </c>
      <c r="F281" s="204">
        <f>SUMIFS('caseload data'!G:G,'caseload data'!$D:$D,"PO",'caseload data'!$A:$A,$B281,'caseload data'!$B:$B,"custody")</f>
        <v>0</v>
      </c>
      <c r="G281" s="204">
        <f>SUMIFS('caseload data'!H:H,'caseload data'!$D:$D,"PO",'caseload data'!$A:$A,$B281,'caseload data'!$B:$B,"custody")</f>
        <v>0</v>
      </c>
      <c r="H281" s="204">
        <f>SUMIFS('caseload data'!I:I,'caseload data'!$D:$D,"PO",'caseload data'!$A:$A,$B281,'caseload data'!$B:$B,"custody")</f>
        <v>0</v>
      </c>
      <c r="I281" s="204">
        <f>SUMIFS('caseload data'!J:J,'caseload data'!$D:$D,"PO",'caseload data'!$A:$A,$B281,'caseload data'!$B:$B,"custody")</f>
        <v>0</v>
      </c>
      <c r="J281" s="204">
        <f>SUMIFS('caseload data'!K:K,'caseload data'!$D:$D,"PO",'caseload data'!$A:$A,$B281,'caseload data'!$B:$B,"custody")</f>
        <v>0</v>
      </c>
      <c r="K281" s="204">
        <f>SUMIFS('caseload data'!L:L,'caseload data'!$D:$D,"PO",'caseload data'!$A:$A,$B281,'caseload data'!$B:$B,"custody")</f>
        <v>0</v>
      </c>
      <c r="L281" s="204">
        <f>SUMIFS('caseload data'!M:M,'caseload data'!$D:$D,"PO",'caseload data'!$A:$A,$B281,'caseload data'!$B:$B,"custody")</f>
        <v>0</v>
      </c>
      <c r="M281" s="204">
        <f>SUMIFS('caseload data'!N:N,'caseload data'!$D:$D,"PO",'caseload data'!$A:$A,$B281,'caseload data'!$B:$B,"custody")</f>
        <v>0</v>
      </c>
      <c r="N281" s="204">
        <f>SUMIFS('caseload data'!O:O,'caseload data'!$D:$D,"PO",'caseload data'!$A:$A,$B281,'caseload data'!$B:$B,"custody")</f>
        <v>0</v>
      </c>
      <c r="O281" s="204">
        <f>SUMIFS('caseload data'!P:P,'caseload data'!$D:$D,"PO",'caseload data'!$A:$A,$B281,'caseload data'!$B:$B,"custody")</f>
        <v>0</v>
      </c>
      <c r="P281" s="204">
        <f>SUMIFS('caseload data'!Q:Q,'caseload data'!$D:$D,"PO",'caseload data'!$A:$A,$B281,'caseload data'!$B:$B,"custody")</f>
        <v>0</v>
      </c>
      <c r="Q281" s="204">
        <f>SUMIFS('caseload data'!R:R,'caseload data'!$D:$D,"PO",'caseload data'!$A:$A,$B281,'caseload data'!$B:$B,"custody")</f>
        <v>0</v>
      </c>
      <c r="R281" s="204">
        <f>SUMIFS('caseload data'!S:S,'caseload data'!$D:$D,"PO",'caseload data'!$A:$A,$B281,'caseload data'!$B:$B,"custody")</f>
        <v>0</v>
      </c>
      <c r="S281" s="204">
        <f>SUMIFS('caseload data'!T:T,'caseload data'!$D:$D,"PO",'caseload data'!$A:$A,$B281,'caseload data'!$B:$B,"custody")</f>
        <v>0</v>
      </c>
      <c r="T281" s="204">
        <f>SUMIFS('caseload data'!V:V,'caseload data'!$D:$D,"PO",'caseload data'!$A:$A,$B281,'caseload data'!$B:$B,"custody")</f>
        <v>0</v>
      </c>
      <c r="U281" s="95"/>
      <c r="V281" s="95"/>
      <c r="W281" s="329" t="s">
        <v>521</v>
      </c>
      <c r="X281" s="161" t="s">
        <v>184</v>
      </c>
      <c r="Y281" s="209" t="e">
        <f>SUM(D281)/SUM(D$281:D$284)</f>
        <v>#DIV/0!</v>
      </c>
      <c r="Z281" s="209" t="e">
        <f t="shared" ref="Z281:AN284" si="91">SUM(E281)/SUM(E$281:E$284)</f>
        <v>#DIV/0!</v>
      </c>
      <c r="AA281" s="209" t="e">
        <f t="shared" si="91"/>
        <v>#DIV/0!</v>
      </c>
      <c r="AB281" s="209" t="e">
        <f t="shared" si="91"/>
        <v>#DIV/0!</v>
      </c>
      <c r="AC281" s="209" t="e">
        <f t="shared" si="91"/>
        <v>#DIV/0!</v>
      </c>
      <c r="AD281" s="209" t="e">
        <f t="shared" si="91"/>
        <v>#DIV/0!</v>
      </c>
      <c r="AE281" s="209" t="e">
        <f t="shared" si="91"/>
        <v>#DIV/0!</v>
      </c>
      <c r="AF281" s="209" t="e">
        <f t="shared" si="91"/>
        <v>#DIV/0!</v>
      </c>
      <c r="AG281" s="209" t="e">
        <f t="shared" si="91"/>
        <v>#DIV/0!</v>
      </c>
      <c r="AH281" s="209" t="e">
        <f t="shared" si="91"/>
        <v>#DIV/0!</v>
      </c>
      <c r="AI281" s="209" t="e">
        <f t="shared" si="91"/>
        <v>#DIV/0!</v>
      </c>
      <c r="AJ281" s="209" t="e">
        <f t="shared" si="91"/>
        <v>#DIV/0!</v>
      </c>
      <c r="AK281" s="209" t="e">
        <f t="shared" si="91"/>
        <v>#DIV/0!</v>
      </c>
      <c r="AL281" s="209" t="e">
        <f t="shared" si="91"/>
        <v>#DIV/0!</v>
      </c>
      <c r="AM281" s="209" t="e">
        <f t="shared" si="91"/>
        <v>#DIV/0!</v>
      </c>
      <c r="AN281" s="209" t="e">
        <f t="shared" si="91"/>
        <v>#DIV/0!</v>
      </c>
    </row>
    <row r="282" spans="2:40" s="30" customFormat="1" x14ac:dyDescent="0.15">
      <c r="B282" s="330"/>
      <c r="C282" s="162" t="s">
        <v>185</v>
      </c>
      <c r="D282" s="204">
        <f>SUMIFS('caseload data'!E:E,'caseload data'!$D:$D,"PSO",'caseload data'!$A:$A,$B281,'caseload data'!$B:$B,"custody")</f>
        <v>0</v>
      </c>
      <c r="E282" s="204">
        <f>SUMIFS('caseload data'!F:F,'caseload data'!$D:$D,"PSO",'caseload data'!$A:$A,$B281,'caseload data'!$B:$B,"custody")</f>
        <v>0</v>
      </c>
      <c r="F282" s="204">
        <f>SUMIFS('caseload data'!G:G,'caseload data'!$D:$D,"PSO",'caseload data'!$A:$A,$B281,'caseload data'!$B:$B,"custody")</f>
        <v>0</v>
      </c>
      <c r="G282" s="204">
        <f>SUMIFS('caseload data'!H:H,'caseload data'!$D:$D,"PSO",'caseload data'!$A:$A,$B281,'caseload data'!$B:$B,"custody")</f>
        <v>0</v>
      </c>
      <c r="H282" s="204">
        <f>SUMIFS('caseload data'!I:I,'caseload data'!$D:$D,"PSO",'caseload data'!$A:$A,$B281,'caseload data'!$B:$B,"custody")</f>
        <v>0</v>
      </c>
      <c r="I282" s="204">
        <f>SUMIFS('caseload data'!J:J,'caseload data'!$D:$D,"PSO",'caseload data'!$A:$A,$B281,'caseload data'!$B:$B,"custody")</f>
        <v>0</v>
      </c>
      <c r="J282" s="204">
        <f>SUMIFS('caseload data'!K:K,'caseload data'!$D:$D,"PSO",'caseload data'!$A:$A,$B281,'caseload data'!$B:$B,"custody")</f>
        <v>0</v>
      </c>
      <c r="K282" s="204">
        <f>SUMIFS('caseload data'!L:L,'caseload data'!$D:$D,"PSO",'caseload data'!$A:$A,$B281,'caseload data'!$B:$B,"custody")</f>
        <v>0</v>
      </c>
      <c r="L282" s="204">
        <f>SUMIFS('caseload data'!M:M,'caseload data'!$D:$D,"PSO",'caseload data'!$A:$A,$B281,'caseload data'!$B:$B,"custody")</f>
        <v>0</v>
      </c>
      <c r="M282" s="204">
        <f>SUMIFS('caseload data'!N:N,'caseload data'!$D:$D,"PSO",'caseload data'!$A:$A,$B281,'caseload data'!$B:$B,"custody")</f>
        <v>0</v>
      </c>
      <c r="N282" s="204">
        <f>SUMIFS('caseload data'!O:O,'caseload data'!$D:$D,"PSO",'caseload data'!$A:$A,$B281,'caseload data'!$B:$B,"custody")</f>
        <v>0</v>
      </c>
      <c r="O282" s="204">
        <f>SUMIFS('caseload data'!P:P,'caseload data'!$D:$D,"PSO",'caseload data'!$A:$A,$B281,'caseload data'!$B:$B,"custody")</f>
        <v>0</v>
      </c>
      <c r="P282" s="204">
        <f>SUMIFS('caseload data'!Q:Q,'caseload data'!$D:$D,"PSO",'caseload data'!$A:$A,$B281,'caseload data'!$B:$B,"custody")</f>
        <v>0</v>
      </c>
      <c r="Q282" s="204">
        <f>SUMIFS('caseload data'!R:R,'caseload data'!$D:$D,"PSO",'caseload data'!$A:$A,$B281,'caseload data'!$B:$B,"custody")</f>
        <v>0</v>
      </c>
      <c r="R282" s="204">
        <f>SUMIFS('caseload data'!S:S,'caseload data'!$D:$D,"PSO",'caseload data'!$A:$A,$B281,'caseload data'!$B:$B,"custody")</f>
        <v>0</v>
      </c>
      <c r="S282" s="204">
        <f>SUMIFS('caseload data'!T:T,'caseload data'!$D:$D,"PSO",'caseload data'!$A:$A,$B281,'caseload data'!$B:$B,"custody")</f>
        <v>0</v>
      </c>
      <c r="T282" s="204">
        <f>SUMIFS('caseload data'!V:V,'caseload data'!$D:$D,"PSO",'caseload data'!$A:$A,$B281,'caseload data'!$B:$B,"custody")</f>
        <v>0</v>
      </c>
      <c r="U282" s="95"/>
      <c r="V282" s="95"/>
      <c r="W282" s="330"/>
      <c r="X282" s="162" t="s">
        <v>185</v>
      </c>
      <c r="Y282" s="209" t="e">
        <f t="shared" ref="Y282:Y284" si="92">SUM(D282)/SUM(D$281:D$284)</f>
        <v>#DIV/0!</v>
      </c>
      <c r="Z282" s="209" t="e">
        <f t="shared" si="91"/>
        <v>#DIV/0!</v>
      </c>
      <c r="AA282" s="209" t="e">
        <f t="shared" si="91"/>
        <v>#DIV/0!</v>
      </c>
      <c r="AB282" s="209" t="e">
        <f t="shared" si="91"/>
        <v>#DIV/0!</v>
      </c>
      <c r="AC282" s="209" t="e">
        <f t="shared" si="91"/>
        <v>#DIV/0!</v>
      </c>
      <c r="AD282" s="209" t="e">
        <f t="shared" si="91"/>
        <v>#DIV/0!</v>
      </c>
      <c r="AE282" s="209" t="e">
        <f t="shared" si="91"/>
        <v>#DIV/0!</v>
      </c>
      <c r="AF282" s="209" t="e">
        <f t="shared" si="91"/>
        <v>#DIV/0!</v>
      </c>
      <c r="AG282" s="209" t="e">
        <f t="shared" si="91"/>
        <v>#DIV/0!</v>
      </c>
      <c r="AH282" s="209" t="e">
        <f t="shared" si="91"/>
        <v>#DIV/0!</v>
      </c>
      <c r="AI282" s="209" t="e">
        <f t="shared" si="91"/>
        <v>#DIV/0!</v>
      </c>
      <c r="AJ282" s="209" t="e">
        <f t="shared" si="91"/>
        <v>#DIV/0!</v>
      </c>
      <c r="AK282" s="209" t="e">
        <f t="shared" si="91"/>
        <v>#DIV/0!</v>
      </c>
      <c r="AL282" s="209" t="e">
        <f t="shared" si="91"/>
        <v>#DIV/0!</v>
      </c>
      <c r="AM282" s="209" t="e">
        <f t="shared" si="91"/>
        <v>#DIV/0!</v>
      </c>
      <c r="AN282" s="209" t="e">
        <f t="shared" si="91"/>
        <v>#DIV/0!</v>
      </c>
    </row>
    <row r="283" spans="2:40" s="30" customFormat="1" x14ac:dyDescent="0.15">
      <c r="B283" s="330"/>
      <c r="C283" s="162" t="s">
        <v>186</v>
      </c>
      <c r="D283" s="204">
        <f>SUMIFS('caseload data'!E:E,'caseload data'!$D:$D,"TPO",'caseload data'!$A:$A,$B281,'caseload data'!$B:$B,"custody")</f>
        <v>0</v>
      </c>
      <c r="E283" s="204">
        <f>SUMIFS('caseload data'!F:F,'caseload data'!$D:$D,"TPO",'caseload data'!$A:$A,$B281,'caseload data'!$B:$B,"custody")</f>
        <v>0</v>
      </c>
      <c r="F283" s="204">
        <f>SUMIFS('caseload data'!G:G,'caseload data'!$D:$D,"TPO",'caseload data'!$A:$A,$B281,'caseload data'!$B:$B,"custody")</f>
        <v>0</v>
      </c>
      <c r="G283" s="204">
        <f>SUMIFS('caseload data'!H:H,'caseload data'!$D:$D,"TPO",'caseload data'!$A:$A,$B281,'caseload data'!$B:$B,"custody")</f>
        <v>0</v>
      </c>
      <c r="H283" s="204">
        <f>SUMIFS('caseload data'!I:I,'caseload data'!$D:$D,"TPO",'caseload data'!$A:$A,$B281,'caseload data'!$B:$B,"custody")</f>
        <v>0</v>
      </c>
      <c r="I283" s="204">
        <f>SUMIFS('caseload data'!J:J,'caseload data'!$D:$D,"TPO",'caseload data'!$A:$A,$B281,'caseload data'!$B:$B,"custody")</f>
        <v>0</v>
      </c>
      <c r="J283" s="204">
        <f>SUMIFS('caseload data'!K:K,'caseload data'!$D:$D,"TPO",'caseload data'!$A:$A,$B281,'caseload data'!$B:$B,"custody")</f>
        <v>0</v>
      </c>
      <c r="K283" s="204">
        <f>SUMIFS('caseload data'!L:L,'caseload data'!$D:$D,"TPO",'caseload data'!$A:$A,$B281,'caseload data'!$B:$B,"custody")</f>
        <v>0</v>
      </c>
      <c r="L283" s="204">
        <f>SUMIFS('caseload data'!M:M,'caseload data'!$D:$D,"TPO",'caseload data'!$A:$A,$B281,'caseload data'!$B:$B,"custody")</f>
        <v>0</v>
      </c>
      <c r="M283" s="204">
        <f>SUMIFS('caseload data'!N:N,'caseload data'!$D:$D,"TPO",'caseload data'!$A:$A,$B281,'caseload data'!$B:$B,"custody")</f>
        <v>0</v>
      </c>
      <c r="N283" s="204">
        <f>SUMIFS('caseload data'!O:O,'caseload data'!$D:$D,"TPO",'caseload data'!$A:$A,$B281,'caseload data'!$B:$B,"custody")</f>
        <v>0</v>
      </c>
      <c r="O283" s="204">
        <f>SUMIFS('caseload data'!P:P,'caseload data'!$D:$D,"TPO",'caseload data'!$A:$A,$B281,'caseload data'!$B:$B,"custody")</f>
        <v>0</v>
      </c>
      <c r="P283" s="204">
        <f>SUMIFS('caseload data'!Q:Q,'caseload data'!$D:$D,"TPO",'caseload data'!$A:$A,$B281,'caseload data'!$B:$B,"custody")</f>
        <v>0</v>
      </c>
      <c r="Q283" s="204">
        <f>SUMIFS('caseload data'!R:R,'caseload data'!$D:$D,"TPO",'caseload data'!$A:$A,$B281,'caseload data'!$B:$B,"custody")</f>
        <v>0</v>
      </c>
      <c r="R283" s="204">
        <f>SUMIFS('caseload data'!S:S,'caseload data'!$D:$D,"TPO",'caseload data'!$A:$A,$B281,'caseload data'!$B:$B,"custody")</f>
        <v>0</v>
      </c>
      <c r="S283" s="204">
        <f>SUMIFS('caseload data'!T:T,'caseload data'!$D:$D,"TPO",'caseload data'!$A:$A,$B281,'caseload data'!$B:$B,"custody")</f>
        <v>0</v>
      </c>
      <c r="T283" s="204">
        <f>SUMIFS('caseload data'!V:V,'caseload data'!$D:$D,"TPO",'caseload data'!$A:$A,$B281,'caseload data'!$B:$B,"custody")</f>
        <v>0</v>
      </c>
      <c r="U283" s="95"/>
      <c r="V283" s="95"/>
      <c r="W283" s="330"/>
      <c r="X283" s="162" t="s">
        <v>186</v>
      </c>
      <c r="Y283" s="209" t="e">
        <f t="shared" si="92"/>
        <v>#DIV/0!</v>
      </c>
      <c r="Z283" s="209" t="e">
        <f t="shared" si="91"/>
        <v>#DIV/0!</v>
      </c>
      <c r="AA283" s="209" t="e">
        <f t="shared" si="91"/>
        <v>#DIV/0!</v>
      </c>
      <c r="AB283" s="209" t="e">
        <f t="shared" si="91"/>
        <v>#DIV/0!</v>
      </c>
      <c r="AC283" s="209" t="e">
        <f t="shared" si="91"/>
        <v>#DIV/0!</v>
      </c>
      <c r="AD283" s="209" t="e">
        <f t="shared" si="91"/>
        <v>#DIV/0!</v>
      </c>
      <c r="AE283" s="209" t="e">
        <f t="shared" si="91"/>
        <v>#DIV/0!</v>
      </c>
      <c r="AF283" s="209" t="e">
        <f t="shared" si="91"/>
        <v>#DIV/0!</v>
      </c>
      <c r="AG283" s="209" t="e">
        <f t="shared" si="91"/>
        <v>#DIV/0!</v>
      </c>
      <c r="AH283" s="209" t="e">
        <f t="shared" si="91"/>
        <v>#DIV/0!</v>
      </c>
      <c r="AI283" s="209" t="e">
        <f t="shared" si="91"/>
        <v>#DIV/0!</v>
      </c>
      <c r="AJ283" s="209" t="e">
        <f t="shared" si="91"/>
        <v>#DIV/0!</v>
      </c>
      <c r="AK283" s="209" t="e">
        <f t="shared" si="91"/>
        <v>#DIV/0!</v>
      </c>
      <c r="AL283" s="209" t="e">
        <f t="shared" si="91"/>
        <v>#DIV/0!</v>
      </c>
      <c r="AM283" s="209" t="e">
        <f t="shared" si="91"/>
        <v>#DIV/0!</v>
      </c>
      <c r="AN283" s="209" t="e">
        <f t="shared" si="91"/>
        <v>#DIV/0!</v>
      </c>
    </row>
    <row r="284" spans="2:40" s="30" customFormat="1" x14ac:dyDescent="0.15">
      <c r="B284" s="331"/>
      <c r="C284" s="163" t="s">
        <v>187</v>
      </c>
      <c r="D284" s="204">
        <f>SUMIFS('caseload data'!E:E,'caseload data'!$D:$D,"SPO",'caseload data'!$A:$A,$B281,'caseload data'!$B:$B,"custody")</f>
        <v>0</v>
      </c>
      <c r="E284" s="204">
        <f>SUMIFS('caseload data'!F:F,'caseload data'!$D:$D,"SPO",'caseload data'!$A:$A,$B281,'caseload data'!$B:$B,"custody")</f>
        <v>0</v>
      </c>
      <c r="F284" s="204">
        <f>SUMIFS('caseload data'!G:G,'caseload data'!$D:$D,"SPO",'caseload data'!$A:$A,$B281,'caseload data'!$B:$B,"custody")</f>
        <v>0</v>
      </c>
      <c r="G284" s="204">
        <f>SUMIFS('caseload data'!H:H,'caseload data'!$D:$D,"SPO",'caseload data'!$A:$A,$B281,'caseload data'!$B:$B,"custody")</f>
        <v>0</v>
      </c>
      <c r="H284" s="204">
        <f>SUMIFS('caseload data'!I:I,'caseload data'!$D:$D,"SPO",'caseload data'!$A:$A,$B281,'caseload data'!$B:$B,"custody")</f>
        <v>0</v>
      </c>
      <c r="I284" s="204">
        <f>SUMIFS('caseload data'!J:J,'caseload data'!$D:$D,"SPO",'caseload data'!$A:$A,$B281,'caseload data'!$B:$B,"custody")</f>
        <v>0</v>
      </c>
      <c r="J284" s="204">
        <f>SUMIFS('caseload data'!K:K,'caseload data'!$D:$D,"SPO",'caseload data'!$A:$A,$B281,'caseload data'!$B:$B,"custody")</f>
        <v>0</v>
      </c>
      <c r="K284" s="204">
        <f>SUMIFS('caseload data'!L:L,'caseload data'!$D:$D,"SPO",'caseload data'!$A:$A,$B281,'caseload data'!$B:$B,"custody")</f>
        <v>0</v>
      </c>
      <c r="L284" s="204">
        <f>SUMIFS('caseload data'!M:M,'caseload data'!$D:$D,"SPO",'caseload data'!$A:$A,$B281,'caseload data'!$B:$B,"custody")</f>
        <v>0</v>
      </c>
      <c r="M284" s="204">
        <f>SUMIFS('caseload data'!N:N,'caseload data'!$D:$D,"SPO",'caseload data'!$A:$A,$B281,'caseload data'!$B:$B,"custody")</f>
        <v>0</v>
      </c>
      <c r="N284" s="204">
        <f>SUMIFS('caseload data'!O:O,'caseload data'!$D:$D,"SPO",'caseload data'!$A:$A,$B281,'caseload data'!$B:$B,"custody")</f>
        <v>0</v>
      </c>
      <c r="O284" s="204">
        <f>SUMIFS('caseload data'!P:P,'caseload data'!$D:$D,"SPO",'caseload data'!$A:$A,$B281,'caseload data'!$B:$B,"custody")</f>
        <v>0</v>
      </c>
      <c r="P284" s="204">
        <f>SUMIFS('caseload data'!Q:Q,'caseload data'!$D:$D,"SPO",'caseload data'!$A:$A,$B281,'caseload data'!$B:$B,"custody")</f>
        <v>0</v>
      </c>
      <c r="Q284" s="204">
        <f>SUMIFS('caseload data'!R:R,'caseload data'!$D:$D,"SPO",'caseload data'!$A:$A,$B281,'caseload data'!$B:$B,"custody")</f>
        <v>0</v>
      </c>
      <c r="R284" s="204">
        <f>SUMIFS('caseload data'!S:S,'caseload data'!$D:$D,"SPO",'caseload data'!$A:$A,$B281,'caseload data'!$B:$B,"custody")</f>
        <v>0</v>
      </c>
      <c r="S284" s="204">
        <f>SUMIFS('caseload data'!T:T,'caseload data'!$D:$D,"SPO",'caseload data'!$A:$A,$B281,'caseload data'!$B:$B,"custody")</f>
        <v>0</v>
      </c>
      <c r="T284" s="204">
        <f>SUMIFS('caseload data'!V:V,'caseload data'!$D:$D,"SPO",'caseload data'!$A:$A,$B281,'caseload data'!$B:$B,"custody")</f>
        <v>0</v>
      </c>
      <c r="U284" s="95"/>
      <c r="V284" s="95"/>
      <c r="W284" s="331"/>
      <c r="X284" s="163" t="s">
        <v>187</v>
      </c>
      <c r="Y284" s="209" t="e">
        <f t="shared" si="92"/>
        <v>#DIV/0!</v>
      </c>
      <c r="Z284" s="209" t="e">
        <f t="shared" si="91"/>
        <v>#DIV/0!</v>
      </c>
      <c r="AA284" s="209" t="e">
        <f t="shared" si="91"/>
        <v>#DIV/0!</v>
      </c>
      <c r="AB284" s="209" t="e">
        <f t="shared" si="91"/>
        <v>#DIV/0!</v>
      </c>
      <c r="AC284" s="209" t="e">
        <f t="shared" si="91"/>
        <v>#DIV/0!</v>
      </c>
      <c r="AD284" s="209" t="e">
        <f t="shared" si="91"/>
        <v>#DIV/0!</v>
      </c>
      <c r="AE284" s="209" t="e">
        <f t="shared" si="91"/>
        <v>#DIV/0!</v>
      </c>
      <c r="AF284" s="209" t="e">
        <f t="shared" si="91"/>
        <v>#DIV/0!</v>
      </c>
      <c r="AG284" s="209" t="e">
        <f t="shared" si="91"/>
        <v>#DIV/0!</v>
      </c>
      <c r="AH284" s="209" t="e">
        <f t="shared" si="91"/>
        <v>#DIV/0!</v>
      </c>
      <c r="AI284" s="209" t="e">
        <f t="shared" si="91"/>
        <v>#DIV/0!</v>
      </c>
      <c r="AJ284" s="209" t="e">
        <f t="shared" si="91"/>
        <v>#DIV/0!</v>
      </c>
      <c r="AK284" s="209" t="e">
        <f t="shared" si="91"/>
        <v>#DIV/0!</v>
      </c>
      <c r="AL284" s="209" t="e">
        <f t="shared" si="91"/>
        <v>#DIV/0!</v>
      </c>
      <c r="AM284" s="209" t="e">
        <f t="shared" si="91"/>
        <v>#DIV/0!</v>
      </c>
      <c r="AN284" s="209" t="e">
        <f t="shared" si="91"/>
        <v>#DIV/0!</v>
      </c>
    </row>
    <row r="285" spans="2:40" s="30" customFormat="1" x14ac:dyDescent="0.15">
      <c r="B285" s="329" t="s">
        <v>522</v>
      </c>
      <c r="C285" s="161" t="s">
        <v>184</v>
      </c>
      <c r="D285" s="204">
        <f>SUMIFS('caseload data'!E:E,'caseload data'!$D:$D,"PO",'caseload data'!$A:$A,$B285,'caseload data'!$B:$B,"custody")</f>
        <v>0</v>
      </c>
      <c r="E285" s="204">
        <f>SUMIFS('caseload data'!F:F,'caseload data'!$D:$D,"PO",'caseload data'!$A:$A,$B285,'caseload data'!$B:$B,"custody")</f>
        <v>0</v>
      </c>
      <c r="F285" s="204">
        <f>SUMIFS('caseload data'!G:G,'caseload data'!$D:$D,"PO",'caseload data'!$A:$A,$B285,'caseload data'!$B:$B,"custody")</f>
        <v>0</v>
      </c>
      <c r="G285" s="204">
        <f>SUMIFS('caseload data'!H:H,'caseload data'!$D:$D,"PO",'caseload data'!$A:$A,$B285,'caseload data'!$B:$B,"custody")</f>
        <v>0</v>
      </c>
      <c r="H285" s="204">
        <f>SUMIFS('caseload data'!I:I,'caseload data'!$D:$D,"PO",'caseload data'!$A:$A,$B285,'caseload data'!$B:$B,"custody")</f>
        <v>0</v>
      </c>
      <c r="I285" s="204">
        <f>SUMIFS('caseload data'!J:J,'caseload data'!$D:$D,"PO",'caseload data'!$A:$A,$B285,'caseload data'!$B:$B,"custody")</f>
        <v>0</v>
      </c>
      <c r="J285" s="204">
        <f>SUMIFS('caseload data'!K:K,'caseload data'!$D:$D,"PO",'caseload data'!$A:$A,$B285,'caseload data'!$B:$B,"custody")</f>
        <v>0</v>
      </c>
      <c r="K285" s="204">
        <f>SUMIFS('caseload data'!L:L,'caseload data'!$D:$D,"PO",'caseload data'!$A:$A,$B285,'caseload data'!$B:$B,"custody")</f>
        <v>0</v>
      </c>
      <c r="L285" s="204">
        <f>SUMIFS('caseload data'!M:M,'caseload data'!$D:$D,"PO",'caseload data'!$A:$A,$B285,'caseload data'!$B:$B,"custody")</f>
        <v>0</v>
      </c>
      <c r="M285" s="204">
        <f>SUMIFS('caseload data'!N:N,'caseload data'!$D:$D,"PO",'caseload data'!$A:$A,$B285,'caseload data'!$B:$B,"custody")</f>
        <v>0</v>
      </c>
      <c r="N285" s="204">
        <f>SUMIFS('caseload data'!O:O,'caseload data'!$D:$D,"PO",'caseload data'!$A:$A,$B285,'caseload data'!$B:$B,"custody")</f>
        <v>0</v>
      </c>
      <c r="O285" s="204">
        <f>SUMIFS('caseload data'!P:P,'caseload data'!$D:$D,"PO",'caseload data'!$A:$A,$B285,'caseload data'!$B:$B,"custody")</f>
        <v>0</v>
      </c>
      <c r="P285" s="204">
        <f>SUMIFS('caseload data'!Q:Q,'caseload data'!$D:$D,"PO",'caseload data'!$A:$A,$B285,'caseload data'!$B:$B,"custody")</f>
        <v>0</v>
      </c>
      <c r="Q285" s="204">
        <f>SUMIFS('caseload data'!R:R,'caseload data'!$D:$D,"PO",'caseload data'!$A:$A,$B285,'caseload data'!$B:$B,"custody")</f>
        <v>0</v>
      </c>
      <c r="R285" s="204">
        <f>SUMIFS('caseload data'!S:S,'caseload data'!$D:$D,"PO",'caseload data'!$A:$A,$B285,'caseload data'!$B:$B,"custody")</f>
        <v>0</v>
      </c>
      <c r="S285" s="204">
        <f>SUMIFS('caseload data'!T:T,'caseload data'!$D:$D,"PO",'caseload data'!$A:$A,$B285,'caseload data'!$B:$B,"custody")</f>
        <v>0</v>
      </c>
      <c r="T285" s="204">
        <f>SUMIFS('caseload data'!V:V,'caseload data'!$D:$D,"PO",'caseload data'!$A:$A,$B285,'caseload data'!$B:$B,"custody")</f>
        <v>0</v>
      </c>
      <c r="U285" s="95"/>
      <c r="V285" s="95"/>
      <c r="W285" s="329" t="s">
        <v>522</v>
      </c>
      <c r="X285" s="161" t="s">
        <v>184</v>
      </c>
      <c r="Y285" s="209" t="e">
        <f>SUM(D285)/SUM(D$285:D$288)</f>
        <v>#DIV/0!</v>
      </c>
      <c r="Z285" s="209" t="e">
        <f t="shared" ref="Z285:AN288" si="93">SUM(E285)/SUM(E$285:E$288)</f>
        <v>#DIV/0!</v>
      </c>
      <c r="AA285" s="209" t="e">
        <f t="shared" si="93"/>
        <v>#DIV/0!</v>
      </c>
      <c r="AB285" s="209" t="e">
        <f t="shared" si="93"/>
        <v>#DIV/0!</v>
      </c>
      <c r="AC285" s="209" t="e">
        <f t="shared" si="93"/>
        <v>#DIV/0!</v>
      </c>
      <c r="AD285" s="209" t="e">
        <f t="shared" si="93"/>
        <v>#DIV/0!</v>
      </c>
      <c r="AE285" s="209" t="e">
        <f t="shared" si="93"/>
        <v>#DIV/0!</v>
      </c>
      <c r="AF285" s="209" t="e">
        <f t="shared" si="93"/>
        <v>#DIV/0!</v>
      </c>
      <c r="AG285" s="209" t="e">
        <f t="shared" si="93"/>
        <v>#DIV/0!</v>
      </c>
      <c r="AH285" s="209" t="e">
        <f t="shared" si="93"/>
        <v>#DIV/0!</v>
      </c>
      <c r="AI285" s="209" t="e">
        <f t="shared" si="93"/>
        <v>#DIV/0!</v>
      </c>
      <c r="AJ285" s="209" t="e">
        <f t="shared" si="93"/>
        <v>#DIV/0!</v>
      </c>
      <c r="AK285" s="209" t="e">
        <f t="shared" si="93"/>
        <v>#DIV/0!</v>
      </c>
      <c r="AL285" s="209" t="e">
        <f t="shared" si="93"/>
        <v>#DIV/0!</v>
      </c>
      <c r="AM285" s="209" t="e">
        <f t="shared" si="93"/>
        <v>#DIV/0!</v>
      </c>
      <c r="AN285" s="209" t="e">
        <f t="shared" si="93"/>
        <v>#DIV/0!</v>
      </c>
    </row>
    <row r="286" spans="2:40" s="30" customFormat="1" x14ac:dyDescent="0.15">
      <c r="B286" s="330"/>
      <c r="C286" s="162" t="s">
        <v>185</v>
      </c>
      <c r="D286" s="204">
        <f>SUMIFS('caseload data'!E:E,'caseload data'!$D:$D,"PSO",'caseload data'!$A:$A,$B285,'caseload data'!$B:$B,"custody")</f>
        <v>0</v>
      </c>
      <c r="E286" s="204">
        <f>SUMIFS('caseload data'!F:F,'caseload data'!$D:$D,"PSO",'caseload data'!$A:$A,$B285,'caseload data'!$B:$B,"custody")</f>
        <v>0</v>
      </c>
      <c r="F286" s="204">
        <f>SUMIFS('caseload data'!G:G,'caseload data'!$D:$D,"PSO",'caseload data'!$A:$A,$B285,'caseload data'!$B:$B,"custody")</f>
        <v>0</v>
      </c>
      <c r="G286" s="204">
        <f>SUMIFS('caseload data'!H:H,'caseload data'!$D:$D,"PSO",'caseload data'!$A:$A,$B285,'caseload data'!$B:$B,"custody")</f>
        <v>0</v>
      </c>
      <c r="H286" s="204">
        <f>SUMIFS('caseload data'!I:I,'caseload data'!$D:$D,"PSO",'caseload data'!$A:$A,$B285,'caseload data'!$B:$B,"custody")</f>
        <v>0</v>
      </c>
      <c r="I286" s="204">
        <f>SUMIFS('caseload data'!J:J,'caseload data'!$D:$D,"PSO",'caseload data'!$A:$A,$B285,'caseload data'!$B:$B,"custody")</f>
        <v>0</v>
      </c>
      <c r="J286" s="204">
        <f>SUMIFS('caseload data'!K:K,'caseload data'!$D:$D,"PSO",'caseload data'!$A:$A,$B285,'caseload data'!$B:$B,"custody")</f>
        <v>0</v>
      </c>
      <c r="K286" s="204">
        <f>SUMIFS('caseload data'!L:L,'caseload data'!$D:$D,"PSO",'caseload data'!$A:$A,$B285,'caseload data'!$B:$B,"custody")</f>
        <v>0</v>
      </c>
      <c r="L286" s="204">
        <f>SUMIFS('caseload data'!M:M,'caseload data'!$D:$D,"PSO",'caseload data'!$A:$A,$B285,'caseload data'!$B:$B,"custody")</f>
        <v>0</v>
      </c>
      <c r="M286" s="204">
        <f>SUMIFS('caseload data'!N:N,'caseload data'!$D:$D,"PSO",'caseload data'!$A:$A,$B285,'caseload data'!$B:$B,"custody")</f>
        <v>0</v>
      </c>
      <c r="N286" s="204">
        <f>SUMIFS('caseload data'!O:O,'caseload data'!$D:$D,"PSO",'caseload data'!$A:$A,$B285,'caseload data'!$B:$B,"custody")</f>
        <v>0</v>
      </c>
      <c r="O286" s="204">
        <f>SUMIFS('caseload data'!P:P,'caseload data'!$D:$D,"PSO",'caseload data'!$A:$A,$B285,'caseload data'!$B:$B,"custody")</f>
        <v>0</v>
      </c>
      <c r="P286" s="204">
        <f>SUMIFS('caseload data'!Q:Q,'caseload data'!$D:$D,"PSO",'caseload data'!$A:$A,$B285,'caseload data'!$B:$B,"custody")</f>
        <v>0</v>
      </c>
      <c r="Q286" s="204">
        <f>SUMIFS('caseload data'!R:R,'caseload data'!$D:$D,"PSO",'caseload data'!$A:$A,$B285,'caseload data'!$B:$B,"custody")</f>
        <v>0</v>
      </c>
      <c r="R286" s="204">
        <f>SUMIFS('caseload data'!S:S,'caseload data'!$D:$D,"PSO",'caseload data'!$A:$A,$B285,'caseload data'!$B:$B,"custody")</f>
        <v>0</v>
      </c>
      <c r="S286" s="204">
        <f>SUMIFS('caseload data'!T:T,'caseload data'!$D:$D,"PSO",'caseload data'!$A:$A,$B285,'caseload data'!$B:$B,"custody")</f>
        <v>0</v>
      </c>
      <c r="T286" s="204">
        <f>SUMIFS('caseload data'!V:V,'caseload data'!$D:$D,"PSO",'caseload data'!$A:$A,$B285,'caseload data'!$B:$B,"custody")</f>
        <v>0</v>
      </c>
      <c r="U286" s="95"/>
      <c r="V286" s="95"/>
      <c r="W286" s="330"/>
      <c r="X286" s="162" t="s">
        <v>185</v>
      </c>
      <c r="Y286" s="209" t="e">
        <f t="shared" ref="Y286:Y288" si="94">SUM(D286)/SUM(D$285:D$288)</f>
        <v>#DIV/0!</v>
      </c>
      <c r="Z286" s="209" t="e">
        <f t="shared" si="93"/>
        <v>#DIV/0!</v>
      </c>
      <c r="AA286" s="209" t="e">
        <f t="shared" si="93"/>
        <v>#DIV/0!</v>
      </c>
      <c r="AB286" s="209" t="e">
        <f t="shared" si="93"/>
        <v>#DIV/0!</v>
      </c>
      <c r="AC286" s="209" t="e">
        <f t="shared" si="93"/>
        <v>#DIV/0!</v>
      </c>
      <c r="AD286" s="209" t="e">
        <f t="shared" si="93"/>
        <v>#DIV/0!</v>
      </c>
      <c r="AE286" s="209" t="e">
        <f t="shared" si="93"/>
        <v>#DIV/0!</v>
      </c>
      <c r="AF286" s="209" t="e">
        <f t="shared" si="93"/>
        <v>#DIV/0!</v>
      </c>
      <c r="AG286" s="209" t="e">
        <f t="shared" si="93"/>
        <v>#DIV/0!</v>
      </c>
      <c r="AH286" s="209" t="e">
        <f t="shared" si="93"/>
        <v>#DIV/0!</v>
      </c>
      <c r="AI286" s="209" t="e">
        <f t="shared" si="93"/>
        <v>#DIV/0!</v>
      </c>
      <c r="AJ286" s="209" t="e">
        <f t="shared" si="93"/>
        <v>#DIV/0!</v>
      </c>
      <c r="AK286" s="209" t="e">
        <f t="shared" si="93"/>
        <v>#DIV/0!</v>
      </c>
      <c r="AL286" s="209" t="e">
        <f t="shared" si="93"/>
        <v>#DIV/0!</v>
      </c>
      <c r="AM286" s="209" t="e">
        <f t="shared" si="93"/>
        <v>#DIV/0!</v>
      </c>
      <c r="AN286" s="209" t="e">
        <f t="shared" si="93"/>
        <v>#DIV/0!</v>
      </c>
    </row>
    <row r="287" spans="2:40" s="30" customFormat="1" x14ac:dyDescent="0.15">
      <c r="B287" s="330"/>
      <c r="C287" s="162" t="s">
        <v>186</v>
      </c>
      <c r="D287" s="204">
        <f>SUMIFS('caseload data'!E:E,'caseload data'!$D:$D,"TPO",'caseload data'!$A:$A,$B285,'caseload data'!$B:$B,"custody")</f>
        <v>0</v>
      </c>
      <c r="E287" s="204">
        <f>SUMIFS('caseload data'!F:F,'caseload data'!$D:$D,"TPO",'caseload data'!$A:$A,$B285,'caseload data'!$B:$B,"custody")</f>
        <v>0</v>
      </c>
      <c r="F287" s="204">
        <f>SUMIFS('caseload data'!G:G,'caseload data'!$D:$D,"TPO",'caseload data'!$A:$A,$B285,'caseload data'!$B:$B,"custody")</f>
        <v>0</v>
      </c>
      <c r="G287" s="204">
        <f>SUMIFS('caseload data'!H:H,'caseload data'!$D:$D,"TPO",'caseload data'!$A:$A,$B285,'caseload data'!$B:$B,"custody")</f>
        <v>0</v>
      </c>
      <c r="H287" s="204">
        <f>SUMIFS('caseload data'!I:I,'caseload data'!$D:$D,"TPO",'caseload data'!$A:$A,$B285,'caseload data'!$B:$B,"custody")</f>
        <v>0</v>
      </c>
      <c r="I287" s="204">
        <f>SUMIFS('caseload data'!J:J,'caseload data'!$D:$D,"TPO",'caseload data'!$A:$A,$B285,'caseload data'!$B:$B,"custody")</f>
        <v>0</v>
      </c>
      <c r="J287" s="204">
        <f>SUMIFS('caseload data'!K:K,'caseload data'!$D:$D,"TPO",'caseload data'!$A:$A,$B285,'caseload data'!$B:$B,"custody")</f>
        <v>0</v>
      </c>
      <c r="K287" s="204">
        <f>SUMIFS('caseload data'!L:L,'caseload data'!$D:$D,"TPO",'caseload data'!$A:$A,$B285,'caseload data'!$B:$B,"custody")</f>
        <v>0</v>
      </c>
      <c r="L287" s="204">
        <f>SUMIFS('caseload data'!M:M,'caseload data'!$D:$D,"TPO",'caseload data'!$A:$A,$B285,'caseload data'!$B:$B,"custody")</f>
        <v>0</v>
      </c>
      <c r="M287" s="204">
        <f>SUMIFS('caseload data'!N:N,'caseload data'!$D:$D,"TPO",'caseload data'!$A:$A,$B285,'caseload data'!$B:$B,"custody")</f>
        <v>0</v>
      </c>
      <c r="N287" s="204">
        <f>SUMIFS('caseload data'!O:O,'caseload data'!$D:$D,"TPO",'caseload data'!$A:$A,$B285,'caseload data'!$B:$B,"custody")</f>
        <v>0</v>
      </c>
      <c r="O287" s="204">
        <f>SUMIFS('caseload data'!P:P,'caseload data'!$D:$D,"TPO",'caseload data'!$A:$A,$B285,'caseload data'!$B:$B,"custody")</f>
        <v>0</v>
      </c>
      <c r="P287" s="204">
        <f>SUMIFS('caseload data'!Q:Q,'caseload data'!$D:$D,"TPO",'caseload data'!$A:$A,$B285,'caseload data'!$B:$B,"custody")</f>
        <v>0</v>
      </c>
      <c r="Q287" s="204">
        <f>SUMIFS('caseload data'!R:R,'caseload data'!$D:$D,"TPO",'caseload data'!$A:$A,$B285,'caseload data'!$B:$B,"custody")</f>
        <v>0</v>
      </c>
      <c r="R287" s="204">
        <f>SUMIFS('caseload data'!S:S,'caseload data'!$D:$D,"TPO",'caseload data'!$A:$A,$B285,'caseload data'!$B:$B,"custody")</f>
        <v>0</v>
      </c>
      <c r="S287" s="204">
        <f>SUMIFS('caseload data'!T:T,'caseload data'!$D:$D,"TPO",'caseload data'!$A:$A,$B285,'caseload data'!$B:$B,"custody")</f>
        <v>0</v>
      </c>
      <c r="T287" s="204">
        <f>SUMIFS('caseload data'!V:V,'caseload data'!$D:$D,"TPO",'caseload data'!$A:$A,$B285,'caseload data'!$B:$B,"custody")</f>
        <v>0</v>
      </c>
      <c r="U287" s="95"/>
      <c r="V287" s="95"/>
      <c r="W287" s="330"/>
      <c r="X287" s="162" t="s">
        <v>186</v>
      </c>
      <c r="Y287" s="209" t="e">
        <f t="shared" si="94"/>
        <v>#DIV/0!</v>
      </c>
      <c r="Z287" s="209" t="e">
        <f t="shared" si="93"/>
        <v>#DIV/0!</v>
      </c>
      <c r="AA287" s="209" t="e">
        <f t="shared" si="93"/>
        <v>#DIV/0!</v>
      </c>
      <c r="AB287" s="209" t="e">
        <f t="shared" si="93"/>
        <v>#DIV/0!</v>
      </c>
      <c r="AC287" s="209" t="e">
        <f t="shared" si="93"/>
        <v>#DIV/0!</v>
      </c>
      <c r="AD287" s="209" t="e">
        <f t="shared" si="93"/>
        <v>#DIV/0!</v>
      </c>
      <c r="AE287" s="209" t="e">
        <f t="shared" si="93"/>
        <v>#DIV/0!</v>
      </c>
      <c r="AF287" s="209" t="e">
        <f t="shared" si="93"/>
        <v>#DIV/0!</v>
      </c>
      <c r="AG287" s="209" t="e">
        <f t="shared" si="93"/>
        <v>#DIV/0!</v>
      </c>
      <c r="AH287" s="209" t="e">
        <f t="shared" si="93"/>
        <v>#DIV/0!</v>
      </c>
      <c r="AI287" s="209" t="e">
        <f t="shared" si="93"/>
        <v>#DIV/0!</v>
      </c>
      <c r="AJ287" s="209" t="e">
        <f t="shared" si="93"/>
        <v>#DIV/0!</v>
      </c>
      <c r="AK287" s="209" t="e">
        <f t="shared" si="93"/>
        <v>#DIV/0!</v>
      </c>
      <c r="AL287" s="209" t="e">
        <f t="shared" si="93"/>
        <v>#DIV/0!</v>
      </c>
      <c r="AM287" s="209" t="e">
        <f t="shared" si="93"/>
        <v>#DIV/0!</v>
      </c>
      <c r="AN287" s="209" t="e">
        <f t="shared" si="93"/>
        <v>#DIV/0!</v>
      </c>
    </row>
    <row r="288" spans="2:40" s="30" customFormat="1" x14ac:dyDescent="0.15">
      <c r="B288" s="331"/>
      <c r="C288" s="163" t="s">
        <v>187</v>
      </c>
      <c r="D288" s="204">
        <f>SUMIFS('caseload data'!E:E,'caseload data'!$D:$D,"SPO",'caseload data'!$A:$A,$B285,'caseload data'!$B:$B,"custody")</f>
        <v>0</v>
      </c>
      <c r="E288" s="204">
        <f>SUMIFS('caseload data'!F:F,'caseload data'!$D:$D,"SPO",'caseload data'!$A:$A,$B285,'caseload data'!$B:$B,"custody")</f>
        <v>0</v>
      </c>
      <c r="F288" s="204">
        <f>SUMIFS('caseload data'!G:G,'caseload data'!$D:$D,"SPO",'caseload data'!$A:$A,$B285,'caseload data'!$B:$B,"custody")</f>
        <v>0</v>
      </c>
      <c r="G288" s="204">
        <f>SUMIFS('caseload data'!H:H,'caseload data'!$D:$D,"SPO",'caseload data'!$A:$A,$B285,'caseload data'!$B:$B,"custody")</f>
        <v>0</v>
      </c>
      <c r="H288" s="204">
        <f>SUMIFS('caseload data'!I:I,'caseload data'!$D:$D,"SPO",'caseload data'!$A:$A,$B285,'caseload data'!$B:$B,"custody")</f>
        <v>0</v>
      </c>
      <c r="I288" s="204">
        <f>SUMIFS('caseload data'!J:J,'caseload data'!$D:$D,"SPO",'caseload data'!$A:$A,$B285,'caseload data'!$B:$B,"custody")</f>
        <v>0</v>
      </c>
      <c r="J288" s="204">
        <f>SUMIFS('caseload data'!K:K,'caseload data'!$D:$D,"SPO",'caseload data'!$A:$A,$B285,'caseload data'!$B:$B,"custody")</f>
        <v>0</v>
      </c>
      <c r="K288" s="204">
        <f>SUMIFS('caseload data'!L:L,'caseload data'!$D:$D,"SPO",'caseload data'!$A:$A,$B285,'caseload data'!$B:$B,"custody")</f>
        <v>0</v>
      </c>
      <c r="L288" s="204">
        <f>SUMIFS('caseload data'!M:M,'caseload data'!$D:$D,"SPO",'caseload data'!$A:$A,$B285,'caseload data'!$B:$B,"custody")</f>
        <v>0</v>
      </c>
      <c r="M288" s="204">
        <f>SUMIFS('caseload data'!N:N,'caseload data'!$D:$D,"SPO",'caseload data'!$A:$A,$B285,'caseload data'!$B:$B,"custody")</f>
        <v>0</v>
      </c>
      <c r="N288" s="204">
        <f>SUMIFS('caseload data'!O:O,'caseload data'!$D:$D,"SPO",'caseload data'!$A:$A,$B285,'caseload data'!$B:$B,"custody")</f>
        <v>0</v>
      </c>
      <c r="O288" s="204">
        <f>SUMIFS('caseload data'!P:P,'caseload data'!$D:$D,"SPO",'caseload data'!$A:$A,$B285,'caseload data'!$B:$B,"custody")</f>
        <v>0</v>
      </c>
      <c r="P288" s="204">
        <f>SUMIFS('caseload data'!Q:Q,'caseload data'!$D:$D,"SPO",'caseload data'!$A:$A,$B285,'caseload data'!$B:$B,"custody")</f>
        <v>0</v>
      </c>
      <c r="Q288" s="204">
        <f>SUMIFS('caseload data'!R:R,'caseload data'!$D:$D,"SPO",'caseload data'!$A:$A,$B285,'caseload data'!$B:$B,"custody")</f>
        <v>0</v>
      </c>
      <c r="R288" s="204">
        <f>SUMIFS('caseload data'!S:S,'caseload data'!$D:$D,"SPO",'caseload data'!$A:$A,$B285,'caseload data'!$B:$B,"custody")</f>
        <v>0</v>
      </c>
      <c r="S288" s="204">
        <f>SUMIFS('caseload data'!T:T,'caseload data'!$D:$D,"SPO",'caseload data'!$A:$A,$B285,'caseload data'!$B:$B,"custody")</f>
        <v>0</v>
      </c>
      <c r="T288" s="204">
        <f>SUMIFS('caseload data'!V:V,'caseload data'!$D:$D,"SPO",'caseload data'!$A:$A,$B285,'caseload data'!$B:$B,"custody")</f>
        <v>0</v>
      </c>
      <c r="U288" s="95"/>
      <c r="V288" s="95"/>
      <c r="W288" s="331"/>
      <c r="X288" s="163" t="s">
        <v>187</v>
      </c>
      <c r="Y288" s="209" t="e">
        <f t="shared" si="94"/>
        <v>#DIV/0!</v>
      </c>
      <c r="Z288" s="209" t="e">
        <f t="shared" si="93"/>
        <v>#DIV/0!</v>
      </c>
      <c r="AA288" s="209" t="e">
        <f t="shared" si="93"/>
        <v>#DIV/0!</v>
      </c>
      <c r="AB288" s="209" t="e">
        <f t="shared" si="93"/>
        <v>#DIV/0!</v>
      </c>
      <c r="AC288" s="209" t="e">
        <f t="shared" si="93"/>
        <v>#DIV/0!</v>
      </c>
      <c r="AD288" s="209" t="e">
        <f t="shared" si="93"/>
        <v>#DIV/0!</v>
      </c>
      <c r="AE288" s="209" t="e">
        <f t="shared" si="93"/>
        <v>#DIV/0!</v>
      </c>
      <c r="AF288" s="209" t="e">
        <f t="shared" si="93"/>
        <v>#DIV/0!</v>
      </c>
      <c r="AG288" s="209" t="e">
        <f t="shared" si="93"/>
        <v>#DIV/0!</v>
      </c>
      <c r="AH288" s="209" t="e">
        <f t="shared" si="93"/>
        <v>#DIV/0!</v>
      </c>
      <c r="AI288" s="209" t="e">
        <f t="shared" si="93"/>
        <v>#DIV/0!</v>
      </c>
      <c r="AJ288" s="209" t="e">
        <f t="shared" si="93"/>
        <v>#DIV/0!</v>
      </c>
      <c r="AK288" s="209" t="e">
        <f t="shared" si="93"/>
        <v>#DIV/0!</v>
      </c>
      <c r="AL288" s="209" t="e">
        <f t="shared" si="93"/>
        <v>#DIV/0!</v>
      </c>
      <c r="AM288" s="209" t="e">
        <f t="shared" si="93"/>
        <v>#DIV/0!</v>
      </c>
      <c r="AN288" s="209" t="e">
        <f t="shared" si="93"/>
        <v>#DIV/0!</v>
      </c>
    </row>
    <row r="289" spans="2:40" s="30" customFormat="1" x14ac:dyDescent="0.15">
      <c r="B289" s="329" t="s">
        <v>523</v>
      </c>
      <c r="C289" s="161" t="s">
        <v>184</v>
      </c>
      <c r="D289" s="204">
        <f>SUMIFS('caseload data'!E:E,'caseload data'!$D:$D,"PO",'caseload data'!$A:$A,$B289,'caseload data'!$B:$B,"custody")</f>
        <v>0</v>
      </c>
      <c r="E289" s="204">
        <f>SUMIFS('caseload data'!F:F,'caseload data'!$D:$D,"PO",'caseload data'!$A:$A,$B289,'caseload data'!$B:$B,"custody")</f>
        <v>0</v>
      </c>
      <c r="F289" s="204">
        <f>SUMIFS('caseload data'!G:G,'caseload data'!$D:$D,"PO",'caseload data'!$A:$A,$B289,'caseload data'!$B:$B,"custody")</f>
        <v>0</v>
      </c>
      <c r="G289" s="204">
        <f>SUMIFS('caseload data'!H:H,'caseload data'!$D:$D,"PO",'caseload data'!$A:$A,$B289,'caseload data'!$B:$B,"custody")</f>
        <v>0</v>
      </c>
      <c r="H289" s="204">
        <f>SUMIFS('caseload data'!I:I,'caseload data'!$D:$D,"PO",'caseload data'!$A:$A,$B289,'caseload data'!$B:$B,"custody")</f>
        <v>0</v>
      </c>
      <c r="I289" s="204">
        <f>SUMIFS('caseload data'!J:J,'caseload data'!$D:$D,"PO",'caseload data'!$A:$A,$B289,'caseload data'!$B:$B,"custody")</f>
        <v>0</v>
      </c>
      <c r="J289" s="204">
        <f>SUMIFS('caseload data'!K:K,'caseload data'!$D:$D,"PO",'caseload data'!$A:$A,$B289,'caseload data'!$B:$B,"custody")</f>
        <v>0</v>
      </c>
      <c r="K289" s="204">
        <f>SUMIFS('caseload data'!L:L,'caseload data'!$D:$D,"PO",'caseload data'!$A:$A,$B289,'caseload data'!$B:$B,"custody")</f>
        <v>0</v>
      </c>
      <c r="L289" s="204">
        <f>SUMIFS('caseload data'!M:M,'caseload data'!$D:$D,"PO",'caseload data'!$A:$A,$B289,'caseload data'!$B:$B,"custody")</f>
        <v>0</v>
      </c>
      <c r="M289" s="204">
        <f>SUMIFS('caseload data'!N:N,'caseload data'!$D:$D,"PO",'caseload data'!$A:$A,$B289,'caseload data'!$B:$B,"custody")</f>
        <v>0</v>
      </c>
      <c r="N289" s="204">
        <f>SUMIFS('caseload data'!O:O,'caseload data'!$D:$D,"PO",'caseload data'!$A:$A,$B289,'caseload data'!$B:$B,"custody")</f>
        <v>0</v>
      </c>
      <c r="O289" s="204">
        <f>SUMIFS('caseload data'!P:P,'caseload data'!$D:$D,"PO",'caseload data'!$A:$A,$B289,'caseload data'!$B:$B,"custody")</f>
        <v>0</v>
      </c>
      <c r="P289" s="204">
        <f>SUMIFS('caseload data'!Q:Q,'caseload data'!$D:$D,"PO",'caseload data'!$A:$A,$B289,'caseload data'!$B:$B,"custody")</f>
        <v>0</v>
      </c>
      <c r="Q289" s="204">
        <f>SUMIFS('caseload data'!R:R,'caseload data'!$D:$D,"PO",'caseload data'!$A:$A,$B289,'caseload data'!$B:$B,"custody")</f>
        <v>0</v>
      </c>
      <c r="R289" s="204">
        <f>SUMIFS('caseload data'!S:S,'caseload data'!$D:$D,"PO",'caseload data'!$A:$A,$B289,'caseload data'!$B:$B,"custody")</f>
        <v>0</v>
      </c>
      <c r="S289" s="204">
        <f>SUMIFS('caseload data'!T:T,'caseload data'!$D:$D,"PO",'caseload data'!$A:$A,$B289,'caseload data'!$B:$B,"custody")</f>
        <v>0</v>
      </c>
      <c r="T289" s="204">
        <f>SUMIFS('caseload data'!V:V,'caseload data'!$D:$D,"PO",'caseload data'!$A:$A,$B289,'caseload data'!$B:$B,"custody")</f>
        <v>0</v>
      </c>
      <c r="U289" s="95"/>
      <c r="V289" s="95"/>
      <c r="W289" s="329" t="s">
        <v>523</v>
      </c>
      <c r="X289" s="161" t="s">
        <v>184</v>
      </c>
      <c r="Y289" s="209" t="e">
        <f>SUM(D289)/SUM(D289:D292)</f>
        <v>#DIV/0!</v>
      </c>
      <c r="Z289" s="209" t="e">
        <f t="shared" ref="Z289:AN289" si="95">SUM(E289)/SUM(E289:E292)</f>
        <v>#DIV/0!</v>
      </c>
      <c r="AA289" s="209" t="e">
        <f t="shared" si="95"/>
        <v>#DIV/0!</v>
      </c>
      <c r="AB289" s="209" t="e">
        <f t="shared" si="95"/>
        <v>#DIV/0!</v>
      </c>
      <c r="AC289" s="209" t="e">
        <f t="shared" si="95"/>
        <v>#DIV/0!</v>
      </c>
      <c r="AD289" s="209" t="e">
        <f t="shared" si="95"/>
        <v>#DIV/0!</v>
      </c>
      <c r="AE289" s="209" t="e">
        <f t="shared" si="95"/>
        <v>#DIV/0!</v>
      </c>
      <c r="AF289" s="209" t="e">
        <f t="shared" si="95"/>
        <v>#DIV/0!</v>
      </c>
      <c r="AG289" s="209" t="e">
        <f t="shared" si="95"/>
        <v>#DIV/0!</v>
      </c>
      <c r="AH289" s="209" t="e">
        <f t="shared" si="95"/>
        <v>#DIV/0!</v>
      </c>
      <c r="AI289" s="209" t="e">
        <f t="shared" si="95"/>
        <v>#DIV/0!</v>
      </c>
      <c r="AJ289" s="209" t="e">
        <f t="shared" si="95"/>
        <v>#DIV/0!</v>
      </c>
      <c r="AK289" s="209" t="e">
        <f t="shared" si="95"/>
        <v>#DIV/0!</v>
      </c>
      <c r="AL289" s="209" t="e">
        <f t="shared" si="95"/>
        <v>#DIV/0!</v>
      </c>
      <c r="AM289" s="209" t="e">
        <f t="shared" si="95"/>
        <v>#DIV/0!</v>
      </c>
      <c r="AN289" s="209" t="e">
        <f t="shared" si="95"/>
        <v>#DIV/0!</v>
      </c>
    </row>
    <row r="290" spans="2:40" s="30" customFormat="1" x14ac:dyDescent="0.15">
      <c r="B290" s="330"/>
      <c r="C290" s="162" t="s">
        <v>185</v>
      </c>
      <c r="D290" s="204">
        <f>SUMIFS('caseload data'!E:E,'caseload data'!$D:$D,"PSO",'caseload data'!$A:$A,$B289,'caseload data'!$B:$B,"custody")</f>
        <v>0</v>
      </c>
      <c r="E290" s="204">
        <f>SUMIFS('caseload data'!F:F,'caseload data'!$D:$D,"PSO",'caseload data'!$A:$A,$B289,'caseload data'!$B:$B,"custody")</f>
        <v>0</v>
      </c>
      <c r="F290" s="204">
        <f>SUMIFS('caseload data'!G:G,'caseload data'!$D:$D,"PSO",'caseload data'!$A:$A,$B289,'caseload data'!$B:$B,"custody")</f>
        <v>0</v>
      </c>
      <c r="G290" s="204">
        <f>SUMIFS('caseload data'!H:H,'caseload data'!$D:$D,"PSO",'caseload data'!$A:$A,$B289,'caseload data'!$B:$B,"custody")</f>
        <v>0</v>
      </c>
      <c r="H290" s="204">
        <f>SUMIFS('caseload data'!I:I,'caseload data'!$D:$D,"PSO",'caseload data'!$A:$A,$B289,'caseload data'!$B:$B,"custody")</f>
        <v>0</v>
      </c>
      <c r="I290" s="204">
        <f>SUMIFS('caseload data'!J:J,'caseload data'!$D:$D,"PSO",'caseload data'!$A:$A,$B289,'caseload data'!$B:$B,"custody")</f>
        <v>0</v>
      </c>
      <c r="J290" s="204">
        <f>SUMIFS('caseload data'!K:K,'caseload data'!$D:$D,"PSO",'caseload data'!$A:$A,$B289,'caseload data'!$B:$B,"custody")</f>
        <v>0</v>
      </c>
      <c r="K290" s="204">
        <f>SUMIFS('caseload data'!L:L,'caseload data'!$D:$D,"PSO",'caseload data'!$A:$A,$B289,'caseload data'!$B:$B,"custody")</f>
        <v>0</v>
      </c>
      <c r="L290" s="204">
        <f>SUMIFS('caseload data'!M:M,'caseload data'!$D:$D,"PSO",'caseload data'!$A:$A,$B289,'caseload data'!$B:$B,"custody")</f>
        <v>0</v>
      </c>
      <c r="M290" s="204">
        <f>SUMIFS('caseload data'!N:N,'caseload data'!$D:$D,"PSO",'caseload data'!$A:$A,$B289,'caseload data'!$B:$B,"custody")</f>
        <v>0</v>
      </c>
      <c r="N290" s="204">
        <f>SUMIFS('caseload data'!O:O,'caseload data'!$D:$D,"PSO",'caseload data'!$A:$A,$B289,'caseload data'!$B:$B,"custody")</f>
        <v>0</v>
      </c>
      <c r="O290" s="204">
        <f>SUMIFS('caseload data'!P:P,'caseload data'!$D:$D,"PSO",'caseload data'!$A:$A,$B289,'caseload data'!$B:$B,"custody")</f>
        <v>0</v>
      </c>
      <c r="P290" s="204">
        <f>SUMIFS('caseload data'!Q:Q,'caseload data'!$D:$D,"PSO",'caseload data'!$A:$A,$B289,'caseload data'!$B:$B,"custody")</f>
        <v>0</v>
      </c>
      <c r="Q290" s="204">
        <f>SUMIFS('caseload data'!R:R,'caseload data'!$D:$D,"PSO",'caseload data'!$A:$A,$B289,'caseload data'!$B:$B,"custody")</f>
        <v>0</v>
      </c>
      <c r="R290" s="204">
        <f>SUMIFS('caseload data'!S:S,'caseload data'!$D:$D,"PSO",'caseload data'!$A:$A,$B289,'caseload data'!$B:$B,"custody")</f>
        <v>0</v>
      </c>
      <c r="S290" s="204">
        <f>SUMIFS('caseload data'!T:T,'caseload data'!$D:$D,"PSO",'caseload data'!$A:$A,$B289,'caseload data'!$B:$B,"custody")</f>
        <v>0</v>
      </c>
      <c r="T290" s="204">
        <f>SUMIFS('caseload data'!V:V,'caseload data'!$D:$D,"PSO",'caseload data'!$A:$A,$B289,'caseload data'!$B:$B,"custody")</f>
        <v>0</v>
      </c>
      <c r="U290" s="95"/>
      <c r="V290" s="95"/>
      <c r="W290" s="330"/>
      <c r="X290" s="162" t="s">
        <v>185</v>
      </c>
      <c r="Y290" s="209" t="e">
        <f t="shared" ref="Y290:Y292" si="96">SUM(D290)/SUM(D$289:D$292)</f>
        <v>#DIV/0!</v>
      </c>
      <c r="Z290" s="209" t="e">
        <f t="shared" ref="Z290:Z292" si="97">SUM(E290)/SUM(E$289:E$292)</f>
        <v>#DIV/0!</v>
      </c>
      <c r="AA290" s="209" t="e">
        <f t="shared" ref="AA290:AA292" si="98">SUM(F290)/SUM(F$289:F$292)</f>
        <v>#DIV/0!</v>
      </c>
      <c r="AB290" s="209" t="e">
        <f t="shared" ref="AB290:AB292" si="99">SUM(G290)/SUM(G$289:G$292)</f>
        <v>#DIV/0!</v>
      </c>
      <c r="AC290" s="209" t="e">
        <f t="shared" ref="AC290:AC292" si="100">SUM(H290)/SUM(H$289:H$292)</f>
        <v>#DIV/0!</v>
      </c>
      <c r="AD290" s="209" t="e">
        <f t="shared" ref="AD290:AD292" si="101">SUM(I290)/SUM(I$289:I$292)</f>
        <v>#DIV/0!</v>
      </c>
      <c r="AE290" s="209" t="e">
        <f t="shared" ref="AE290:AE292" si="102">SUM(J290)/SUM(J$289:J$292)</f>
        <v>#DIV/0!</v>
      </c>
      <c r="AF290" s="209" t="e">
        <f t="shared" ref="AF290:AF292" si="103">SUM(K290)/SUM(K$289:K$292)</f>
        <v>#DIV/0!</v>
      </c>
      <c r="AG290" s="209" t="e">
        <f t="shared" ref="AG290:AG292" si="104">SUM(L290)/SUM(L$289:L$292)</f>
        <v>#DIV/0!</v>
      </c>
      <c r="AH290" s="209" t="e">
        <f t="shared" ref="AH290:AH292" si="105">SUM(M290)/SUM(M$289:M$292)</f>
        <v>#DIV/0!</v>
      </c>
      <c r="AI290" s="209" t="e">
        <f t="shared" ref="AI290:AI292" si="106">SUM(N290)/SUM(N$289:N$292)</f>
        <v>#DIV/0!</v>
      </c>
      <c r="AJ290" s="209" t="e">
        <f t="shared" ref="AJ290:AJ292" si="107">SUM(O290)/SUM(O$289:O$292)</f>
        <v>#DIV/0!</v>
      </c>
      <c r="AK290" s="209" t="e">
        <f t="shared" ref="AK290:AK292" si="108">SUM(P290)/SUM(P$289:P$292)</f>
        <v>#DIV/0!</v>
      </c>
      <c r="AL290" s="209" t="e">
        <f t="shared" ref="AL290:AL292" si="109">SUM(Q290)/SUM(Q$289:Q$292)</f>
        <v>#DIV/0!</v>
      </c>
      <c r="AM290" s="209" t="e">
        <f t="shared" ref="AM290:AM292" si="110">SUM(R290)/SUM(R$289:R$292)</f>
        <v>#DIV/0!</v>
      </c>
      <c r="AN290" s="209" t="e">
        <f t="shared" ref="AN290:AN292" si="111">SUM(S290)/SUM(S$289:S$292)</f>
        <v>#DIV/0!</v>
      </c>
    </row>
    <row r="291" spans="2:40" s="30" customFormat="1" x14ac:dyDescent="0.15">
      <c r="B291" s="330"/>
      <c r="C291" s="162" t="s">
        <v>186</v>
      </c>
      <c r="D291" s="204">
        <f>SUMIFS('caseload data'!E:E,'caseload data'!$D:$D,"TPO",'caseload data'!$A:$A,$B289,'caseload data'!$B:$B,"custody")</f>
        <v>0</v>
      </c>
      <c r="E291" s="204">
        <f>SUMIFS('caseload data'!F:F,'caseload data'!$D:$D,"TPO",'caseload data'!$A:$A,$B289,'caseload data'!$B:$B,"custody")</f>
        <v>0</v>
      </c>
      <c r="F291" s="204">
        <f>SUMIFS('caseload data'!G:G,'caseload data'!$D:$D,"TPO",'caseload data'!$A:$A,$B289,'caseload data'!$B:$B,"custody")</f>
        <v>0</v>
      </c>
      <c r="G291" s="204">
        <f>SUMIFS('caseload data'!H:H,'caseload data'!$D:$D,"TPO",'caseload data'!$A:$A,$B289,'caseload data'!$B:$B,"custody")</f>
        <v>0</v>
      </c>
      <c r="H291" s="204">
        <f>SUMIFS('caseload data'!I:I,'caseload data'!$D:$D,"TPO",'caseload data'!$A:$A,$B289,'caseload data'!$B:$B,"custody")</f>
        <v>0</v>
      </c>
      <c r="I291" s="204">
        <f>SUMIFS('caseload data'!J:J,'caseload data'!$D:$D,"TPO",'caseload data'!$A:$A,$B289,'caseload data'!$B:$B,"custody")</f>
        <v>0</v>
      </c>
      <c r="J291" s="204">
        <f>SUMIFS('caseload data'!K:K,'caseload data'!$D:$D,"TPO",'caseload data'!$A:$A,$B289,'caseload data'!$B:$B,"custody")</f>
        <v>0</v>
      </c>
      <c r="K291" s="204">
        <f>SUMIFS('caseload data'!L:L,'caseload data'!$D:$D,"TPO",'caseload data'!$A:$A,$B289,'caseload data'!$B:$B,"custody")</f>
        <v>0</v>
      </c>
      <c r="L291" s="204">
        <f>SUMIFS('caseload data'!M:M,'caseload data'!$D:$D,"TPO",'caseload data'!$A:$A,$B289,'caseload data'!$B:$B,"custody")</f>
        <v>0</v>
      </c>
      <c r="M291" s="204">
        <f>SUMIFS('caseload data'!N:N,'caseload data'!$D:$D,"TPO",'caseload data'!$A:$A,$B289,'caseload data'!$B:$B,"custody")</f>
        <v>0</v>
      </c>
      <c r="N291" s="204">
        <f>SUMIFS('caseload data'!O:O,'caseload data'!$D:$D,"TPO",'caseload data'!$A:$A,$B289,'caseload data'!$B:$B,"custody")</f>
        <v>0</v>
      </c>
      <c r="O291" s="204">
        <f>SUMIFS('caseload data'!P:P,'caseload data'!$D:$D,"TPO",'caseload data'!$A:$A,$B289,'caseload data'!$B:$B,"custody")</f>
        <v>0</v>
      </c>
      <c r="P291" s="204">
        <f>SUMIFS('caseload data'!Q:Q,'caseload data'!$D:$D,"TPO",'caseload data'!$A:$A,$B289,'caseload data'!$B:$B,"custody")</f>
        <v>0</v>
      </c>
      <c r="Q291" s="204">
        <f>SUMIFS('caseload data'!R:R,'caseload data'!$D:$D,"TPO",'caseload data'!$A:$A,$B289,'caseload data'!$B:$B,"custody")</f>
        <v>0</v>
      </c>
      <c r="R291" s="204">
        <f>SUMIFS('caseload data'!S:S,'caseload data'!$D:$D,"TPO",'caseload data'!$A:$A,$B289,'caseload data'!$B:$B,"custody")</f>
        <v>0</v>
      </c>
      <c r="S291" s="204">
        <f>SUMIFS('caseload data'!T:T,'caseload data'!$D:$D,"TPO",'caseload data'!$A:$A,$B289,'caseload data'!$B:$B,"custody")</f>
        <v>0</v>
      </c>
      <c r="T291" s="204">
        <f>SUMIFS('caseload data'!V:V,'caseload data'!$D:$D,"TPO",'caseload data'!$A:$A,$B289,'caseload data'!$B:$B,"custody")</f>
        <v>0</v>
      </c>
      <c r="U291" s="95"/>
      <c r="V291" s="95"/>
      <c r="W291" s="330"/>
      <c r="X291" s="162" t="s">
        <v>186</v>
      </c>
      <c r="Y291" s="209" t="e">
        <f t="shared" si="96"/>
        <v>#DIV/0!</v>
      </c>
      <c r="Z291" s="209" t="e">
        <f t="shared" si="97"/>
        <v>#DIV/0!</v>
      </c>
      <c r="AA291" s="209" t="e">
        <f t="shared" si="98"/>
        <v>#DIV/0!</v>
      </c>
      <c r="AB291" s="209" t="e">
        <f t="shared" si="99"/>
        <v>#DIV/0!</v>
      </c>
      <c r="AC291" s="209" t="e">
        <f t="shared" si="100"/>
        <v>#DIV/0!</v>
      </c>
      <c r="AD291" s="209" t="e">
        <f t="shared" si="101"/>
        <v>#DIV/0!</v>
      </c>
      <c r="AE291" s="209" t="e">
        <f t="shared" si="102"/>
        <v>#DIV/0!</v>
      </c>
      <c r="AF291" s="209" t="e">
        <f t="shared" si="103"/>
        <v>#DIV/0!</v>
      </c>
      <c r="AG291" s="209" t="e">
        <f t="shared" si="104"/>
        <v>#DIV/0!</v>
      </c>
      <c r="AH291" s="209" t="e">
        <f t="shared" si="105"/>
        <v>#DIV/0!</v>
      </c>
      <c r="AI291" s="209" t="e">
        <f t="shared" si="106"/>
        <v>#DIV/0!</v>
      </c>
      <c r="AJ291" s="209" t="e">
        <f t="shared" si="107"/>
        <v>#DIV/0!</v>
      </c>
      <c r="AK291" s="209" t="e">
        <f t="shared" si="108"/>
        <v>#DIV/0!</v>
      </c>
      <c r="AL291" s="209" t="e">
        <f t="shared" si="109"/>
        <v>#DIV/0!</v>
      </c>
      <c r="AM291" s="209" t="e">
        <f t="shared" si="110"/>
        <v>#DIV/0!</v>
      </c>
      <c r="AN291" s="209" t="e">
        <f t="shared" si="111"/>
        <v>#DIV/0!</v>
      </c>
    </row>
    <row r="292" spans="2:40" s="30" customFormat="1" ht="15" thickBot="1" x14ac:dyDescent="0.2">
      <c r="B292" s="331"/>
      <c r="C292" s="163" t="s">
        <v>187</v>
      </c>
      <c r="D292" s="204">
        <f>SUMIFS('caseload data'!E:E,'caseload data'!$D:$D,"SPO",'caseload data'!$A:$A,$B289,'caseload data'!$B:$B,"custody")</f>
        <v>0</v>
      </c>
      <c r="E292" s="204">
        <f>SUMIFS('caseload data'!F:F,'caseload data'!$D:$D,"SPO",'caseload data'!$A:$A,$B289,'caseload data'!$B:$B,"custody")</f>
        <v>0</v>
      </c>
      <c r="F292" s="204">
        <f>SUMIFS('caseload data'!G:G,'caseload data'!$D:$D,"SPO",'caseload data'!$A:$A,$B289,'caseload data'!$B:$B,"custody")</f>
        <v>0</v>
      </c>
      <c r="G292" s="204">
        <f>SUMIFS('caseload data'!H:H,'caseload data'!$D:$D,"SPO",'caseload data'!$A:$A,$B289,'caseload data'!$B:$B,"custody")</f>
        <v>0</v>
      </c>
      <c r="H292" s="204">
        <f>SUMIFS('caseload data'!I:I,'caseload data'!$D:$D,"SPO",'caseload data'!$A:$A,$B289,'caseload data'!$B:$B,"custody")</f>
        <v>0</v>
      </c>
      <c r="I292" s="204">
        <f>SUMIFS('caseload data'!J:J,'caseload data'!$D:$D,"SPO",'caseload data'!$A:$A,$B289,'caseload data'!$B:$B,"custody")</f>
        <v>0</v>
      </c>
      <c r="J292" s="204">
        <f>SUMIFS('caseload data'!K:K,'caseload data'!$D:$D,"SPO",'caseload data'!$A:$A,$B289,'caseload data'!$B:$B,"custody")</f>
        <v>0</v>
      </c>
      <c r="K292" s="204">
        <f>SUMIFS('caseload data'!L:L,'caseload data'!$D:$D,"SPO",'caseload data'!$A:$A,$B289,'caseload data'!$B:$B,"custody")</f>
        <v>0</v>
      </c>
      <c r="L292" s="204">
        <f>SUMIFS('caseload data'!M:M,'caseload data'!$D:$D,"SPO",'caseload data'!$A:$A,$B289,'caseload data'!$B:$B,"custody")</f>
        <v>0</v>
      </c>
      <c r="M292" s="204">
        <f>SUMIFS('caseload data'!N:N,'caseload data'!$D:$D,"SPO",'caseload data'!$A:$A,$B289,'caseload data'!$B:$B,"custody")</f>
        <v>0</v>
      </c>
      <c r="N292" s="204">
        <f>SUMIFS('caseload data'!O:O,'caseload data'!$D:$D,"SPO",'caseload data'!$A:$A,$B289,'caseload data'!$B:$B,"custody")</f>
        <v>0</v>
      </c>
      <c r="O292" s="204">
        <f>SUMIFS('caseload data'!P:P,'caseload data'!$D:$D,"SPO",'caseload data'!$A:$A,$B289,'caseload data'!$B:$B,"custody")</f>
        <v>0</v>
      </c>
      <c r="P292" s="204">
        <f>SUMIFS('caseload data'!Q:Q,'caseload data'!$D:$D,"SPO",'caseload data'!$A:$A,$B289,'caseload data'!$B:$B,"custody")</f>
        <v>0</v>
      </c>
      <c r="Q292" s="204">
        <f>SUMIFS('caseload data'!R:R,'caseload data'!$D:$D,"SPO",'caseload data'!$A:$A,$B289,'caseload data'!$B:$B,"custody")</f>
        <v>0</v>
      </c>
      <c r="R292" s="204">
        <f>SUMIFS('caseload data'!S:S,'caseload data'!$D:$D,"SPO",'caseload data'!$A:$A,$B289,'caseload data'!$B:$B,"custody")</f>
        <v>0</v>
      </c>
      <c r="S292" s="204">
        <f>SUMIFS('caseload data'!T:T,'caseload data'!$D:$D,"SPO",'caseload data'!$A:$A,$B289,'caseload data'!$B:$B,"custody")</f>
        <v>0</v>
      </c>
      <c r="T292" s="204">
        <f>SUMIFS('caseload data'!V:V,'caseload data'!$D:$D,"SPO",'caseload data'!$A:$A,$B289,'caseload data'!$B:$B,"custody")</f>
        <v>0</v>
      </c>
      <c r="U292" s="95"/>
      <c r="V292" s="95"/>
      <c r="W292" s="331"/>
      <c r="X292" s="163" t="s">
        <v>187</v>
      </c>
      <c r="Y292" s="209" t="e">
        <f t="shared" si="96"/>
        <v>#DIV/0!</v>
      </c>
      <c r="Z292" s="209" t="e">
        <f t="shared" si="97"/>
        <v>#DIV/0!</v>
      </c>
      <c r="AA292" s="209" t="e">
        <f t="shared" si="98"/>
        <v>#DIV/0!</v>
      </c>
      <c r="AB292" s="209" t="e">
        <f t="shared" si="99"/>
        <v>#DIV/0!</v>
      </c>
      <c r="AC292" s="209" t="e">
        <f t="shared" si="100"/>
        <v>#DIV/0!</v>
      </c>
      <c r="AD292" s="209" t="e">
        <f t="shared" si="101"/>
        <v>#DIV/0!</v>
      </c>
      <c r="AE292" s="209" t="e">
        <f t="shared" si="102"/>
        <v>#DIV/0!</v>
      </c>
      <c r="AF292" s="209" t="e">
        <f t="shared" si="103"/>
        <v>#DIV/0!</v>
      </c>
      <c r="AG292" s="209" t="e">
        <f t="shared" si="104"/>
        <v>#DIV/0!</v>
      </c>
      <c r="AH292" s="209" t="e">
        <f t="shared" si="105"/>
        <v>#DIV/0!</v>
      </c>
      <c r="AI292" s="209" t="e">
        <f t="shared" si="106"/>
        <v>#DIV/0!</v>
      </c>
      <c r="AJ292" s="209" t="e">
        <f t="shared" si="107"/>
        <v>#DIV/0!</v>
      </c>
      <c r="AK292" s="209" t="e">
        <f t="shared" si="108"/>
        <v>#DIV/0!</v>
      </c>
      <c r="AL292" s="209" t="e">
        <f t="shared" si="109"/>
        <v>#DIV/0!</v>
      </c>
      <c r="AM292" s="209" t="e">
        <f t="shared" si="110"/>
        <v>#DIV/0!</v>
      </c>
      <c r="AN292" s="209" t="e">
        <f t="shared" si="111"/>
        <v>#DIV/0!</v>
      </c>
    </row>
    <row r="293" spans="2:40" s="30" customFormat="1" x14ac:dyDescent="0.15">
      <c r="B293" s="336" t="s">
        <v>357</v>
      </c>
      <c r="C293" s="170" t="s">
        <v>184</v>
      </c>
      <c r="D293" s="171">
        <f>SUMIFS('caseload data'!E:E,'caseload data'!$D:$D,"PO",'caseload data'!$B:$B,"custody")</f>
        <v>0</v>
      </c>
      <c r="E293" s="171">
        <f>SUMIFS('caseload data'!F:F,'caseload data'!$D:$D,"PO",'caseload data'!$B:$B,"custody")</f>
        <v>0</v>
      </c>
      <c r="F293" s="171">
        <f>SUMIFS('caseload data'!G:G,'caseload data'!$D:$D,"PO",'caseload data'!$B:$B,"custody")</f>
        <v>0</v>
      </c>
      <c r="G293" s="171">
        <f>SUMIFS('caseload data'!H:H,'caseload data'!$D:$D,"PO",'caseload data'!$B:$B,"custody")</f>
        <v>0</v>
      </c>
      <c r="H293" s="171">
        <f>SUMIFS('caseload data'!I:I,'caseload data'!$D:$D,"PO",'caseload data'!$B:$B,"custody")</f>
        <v>0</v>
      </c>
      <c r="I293" s="171">
        <f>SUMIFS('caseload data'!J:J,'caseload data'!$D:$D,"PO",'caseload data'!$B:$B,"custody")</f>
        <v>0</v>
      </c>
      <c r="J293" s="171">
        <f>SUMIFS('caseload data'!K:K,'caseload data'!$D:$D,"PO",'caseload data'!$B:$B,"custody")</f>
        <v>0</v>
      </c>
      <c r="K293" s="171">
        <f>SUMIFS('caseload data'!L:L,'caseload data'!$D:$D,"PO",'caseload data'!$B:$B,"custody")</f>
        <v>0</v>
      </c>
      <c r="L293" s="171">
        <f>SUMIFS('caseload data'!M:M,'caseload data'!$D:$D,"PO",'caseload data'!$B:$B,"custody")</f>
        <v>0</v>
      </c>
      <c r="M293" s="171">
        <f>SUMIFS('caseload data'!N:N,'caseload data'!$D:$D,"PO",'caseload data'!$B:$B,"custody")</f>
        <v>0</v>
      </c>
      <c r="N293" s="171">
        <f>SUMIFS('caseload data'!O:O,'caseload data'!$D:$D,"PO",'caseload data'!$B:$B,"custody")</f>
        <v>0</v>
      </c>
      <c r="O293" s="171">
        <f>SUMIFS('caseload data'!P:P,'caseload data'!$D:$D,"PO",'caseload data'!$B:$B,"custody")</f>
        <v>0</v>
      </c>
      <c r="P293" s="171">
        <f>SUMIFS('caseload data'!Q:Q,'caseload data'!$D:$D,"PO",'caseload data'!$B:$B,"custody")</f>
        <v>0</v>
      </c>
      <c r="Q293" s="171">
        <f>SUMIFS('caseload data'!R:R,'caseload data'!$D:$D,"PO",'caseload data'!$B:$B,"custody")</f>
        <v>0</v>
      </c>
      <c r="R293" s="171">
        <f>SUMIFS('caseload data'!S:S,'caseload data'!$D:$D,"PO",'caseload data'!$B:$B,"custody")</f>
        <v>0</v>
      </c>
      <c r="S293" s="171">
        <f>SUMIFS('caseload data'!T:T,'caseload data'!$D:$D,"PO",'caseload data'!$B:$B,"custody")</f>
        <v>0</v>
      </c>
      <c r="T293" s="172">
        <f>SUMIFS('caseload data'!V:V,'caseload data'!D:D,"PO",'caseload data'!B:B,"custody")</f>
        <v>0</v>
      </c>
      <c r="U293" s="95"/>
      <c r="V293" s="95"/>
      <c r="W293" s="349" t="s">
        <v>357</v>
      </c>
      <c r="X293" s="170" t="s">
        <v>184</v>
      </c>
      <c r="Y293" s="174" t="e">
        <f>SUM(D293)/SUM(D$293:D$296)</f>
        <v>#DIV/0!</v>
      </c>
      <c r="Z293" s="174" t="e">
        <f t="shared" ref="Z293:AN296" si="112">SUM(E293)/SUM(E$293:E$296)</f>
        <v>#DIV/0!</v>
      </c>
      <c r="AA293" s="174" t="e">
        <f t="shared" si="112"/>
        <v>#DIV/0!</v>
      </c>
      <c r="AB293" s="174" t="e">
        <f t="shared" si="112"/>
        <v>#DIV/0!</v>
      </c>
      <c r="AC293" s="174" t="e">
        <f t="shared" si="112"/>
        <v>#DIV/0!</v>
      </c>
      <c r="AD293" s="174" t="e">
        <f t="shared" si="112"/>
        <v>#DIV/0!</v>
      </c>
      <c r="AE293" s="174" t="e">
        <f t="shared" si="112"/>
        <v>#DIV/0!</v>
      </c>
      <c r="AF293" s="174" t="e">
        <f t="shared" si="112"/>
        <v>#DIV/0!</v>
      </c>
      <c r="AG293" s="174" t="e">
        <f t="shared" si="112"/>
        <v>#DIV/0!</v>
      </c>
      <c r="AH293" s="174" t="e">
        <f t="shared" si="112"/>
        <v>#DIV/0!</v>
      </c>
      <c r="AI293" s="174" t="e">
        <f t="shared" si="112"/>
        <v>#DIV/0!</v>
      </c>
      <c r="AJ293" s="174" t="e">
        <f t="shared" si="112"/>
        <v>#DIV/0!</v>
      </c>
      <c r="AK293" s="174" t="e">
        <f t="shared" si="112"/>
        <v>#DIV/0!</v>
      </c>
      <c r="AL293" s="174" t="e">
        <f t="shared" si="112"/>
        <v>#DIV/0!</v>
      </c>
      <c r="AM293" s="174" t="e">
        <f t="shared" si="112"/>
        <v>#DIV/0!</v>
      </c>
      <c r="AN293" s="174" t="e">
        <f t="shared" si="112"/>
        <v>#DIV/0!</v>
      </c>
    </row>
    <row r="294" spans="2:40" s="30" customFormat="1" x14ac:dyDescent="0.15">
      <c r="B294" s="337"/>
      <c r="C294" s="173" t="s">
        <v>185</v>
      </c>
      <c r="D294" s="171">
        <f>SUMIFS('caseload data'!E:E,'caseload data'!$D:$D,"PSO",'caseload data'!$B:$B,"custody")</f>
        <v>0</v>
      </c>
      <c r="E294" s="171">
        <f>SUMIFS('caseload data'!F:F,'caseload data'!$D:$D,"PSO",'caseload data'!$B:$B,"custody")</f>
        <v>0</v>
      </c>
      <c r="F294" s="171">
        <f>SUMIFS('caseload data'!G:G,'caseload data'!$D:$D,"PSO",'caseload data'!$B:$B,"custody")</f>
        <v>0</v>
      </c>
      <c r="G294" s="171">
        <f>SUMIFS('caseload data'!H:H,'caseload data'!$D:$D,"PSO",'caseload data'!$B:$B,"custody")</f>
        <v>0</v>
      </c>
      <c r="H294" s="171">
        <f>SUMIFS('caseload data'!I:I,'caseload data'!$D:$D,"PSO",'caseload data'!$B:$B,"custody")</f>
        <v>0</v>
      </c>
      <c r="I294" s="171">
        <f>SUMIFS('caseload data'!J:J,'caseload data'!$D:$D,"PSO",'caseload data'!$B:$B,"custody")</f>
        <v>0</v>
      </c>
      <c r="J294" s="171">
        <f>SUMIFS('caseload data'!K:K,'caseload data'!$D:$D,"PSO",'caseload data'!$B:$B,"custody")</f>
        <v>0</v>
      </c>
      <c r="K294" s="171">
        <f>SUMIFS('caseload data'!L:L,'caseload data'!$D:$D,"PSO",'caseload data'!$B:$B,"custody")</f>
        <v>0</v>
      </c>
      <c r="L294" s="171">
        <f>SUMIFS('caseload data'!M:M,'caseload data'!$D:$D,"PSO",'caseload data'!$B:$B,"custody")</f>
        <v>0</v>
      </c>
      <c r="M294" s="171">
        <f>SUMIFS('caseload data'!N:N,'caseload data'!$D:$D,"PSO",'caseload data'!$B:$B,"custody")</f>
        <v>0</v>
      </c>
      <c r="N294" s="171">
        <f>SUMIFS('caseload data'!O:O,'caseload data'!$D:$D,"PSO",'caseload data'!$B:$B,"custody")</f>
        <v>0</v>
      </c>
      <c r="O294" s="171">
        <f>SUMIFS('caseload data'!P:P,'caseload data'!$D:$D,"PSO",'caseload data'!$B:$B,"custody")</f>
        <v>0</v>
      </c>
      <c r="P294" s="171">
        <f>SUMIFS('caseload data'!Q:Q,'caseload data'!$D:$D,"PSO",'caseload data'!$B:$B,"custody")</f>
        <v>0</v>
      </c>
      <c r="Q294" s="171">
        <f>SUMIFS('caseload data'!R:R,'caseload data'!$D:$D,"PSO",'caseload data'!$B:$B,"custody")</f>
        <v>0</v>
      </c>
      <c r="R294" s="171">
        <f>SUMIFS('caseload data'!S:S,'caseload data'!$D:$D,"PSO",'caseload data'!$B:$B,"custody")</f>
        <v>0</v>
      </c>
      <c r="S294" s="171">
        <f>SUMIFS('caseload data'!T:T,'caseload data'!$D:$D,"PSO",'caseload data'!$B:$B,"custody")</f>
        <v>0</v>
      </c>
      <c r="T294" s="172">
        <f>SUMIFS('caseload data'!V:V,'caseload data'!D:D,"PSO",'caseload data'!B:B,"custody")</f>
        <v>0</v>
      </c>
      <c r="U294" s="95"/>
      <c r="V294" s="95"/>
      <c r="W294" s="354"/>
      <c r="X294" s="173" t="s">
        <v>185</v>
      </c>
      <c r="Y294" s="174" t="e">
        <f>SUM(D294)/SUM(D$293:D$296)</f>
        <v>#DIV/0!</v>
      </c>
      <c r="Z294" s="174" t="e">
        <f t="shared" si="112"/>
        <v>#DIV/0!</v>
      </c>
      <c r="AA294" s="174" t="e">
        <f t="shared" si="112"/>
        <v>#DIV/0!</v>
      </c>
      <c r="AB294" s="174" t="e">
        <f t="shared" si="112"/>
        <v>#DIV/0!</v>
      </c>
      <c r="AC294" s="174" t="e">
        <f t="shared" si="112"/>
        <v>#DIV/0!</v>
      </c>
      <c r="AD294" s="174" t="e">
        <f t="shared" si="112"/>
        <v>#DIV/0!</v>
      </c>
      <c r="AE294" s="174" t="e">
        <f t="shared" si="112"/>
        <v>#DIV/0!</v>
      </c>
      <c r="AF294" s="174" t="e">
        <f t="shared" si="112"/>
        <v>#DIV/0!</v>
      </c>
      <c r="AG294" s="174" t="e">
        <f t="shared" si="112"/>
        <v>#DIV/0!</v>
      </c>
      <c r="AH294" s="174" t="e">
        <f t="shared" si="112"/>
        <v>#DIV/0!</v>
      </c>
      <c r="AI294" s="174" t="e">
        <f t="shared" si="112"/>
        <v>#DIV/0!</v>
      </c>
      <c r="AJ294" s="174" t="e">
        <f t="shared" si="112"/>
        <v>#DIV/0!</v>
      </c>
      <c r="AK294" s="174" t="e">
        <f t="shared" si="112"/>
        <v>#DIV/0!</v>
      </c>
      <c r="AL294" s="174" t="e">
        <f t="shared" si="112"/>
        <v>#DIV/0!</v>
      </c>
      <c r="AM294" s="174" t="e">
        <f t="shared" si="112"/>
        <v>#DIV/0!</v>
      </c>
      <c r="AN294" s="174" t="e">
        <f t="shared" si="112"/>
        <v>#DIV/0!</v>
      </c>
    </row>
    <row r="295" spans="2:40" s="30" customFormat="1" x14ac:dyDescent="0.15">
      <c r="B295" s="337"/>
      <c r="C295" s="173" t="s">
        <v>186</v>
      </c>
      <c r="D295" s="171">
        <f>SUMIFS('caseload data'!E:E,'caseload data'!$D:$D,"TPO",'caseload data'!$B:$B,"custody")</f>
        <v>0</v>
      </c>
      <c r="E295" s="171">
        <f>SUMIFS('caseload data'!F:F,'caseload data'!$D:$D,"TPO",'caseload data'!$B:$B,"custody")</f>
        <v>0</v>
      </c>
      <c r="F295" s="171">
        <f>SUMIFS('caseload data'!G:G,'caseload data'!$D:$D,"TPO",'caseload data'!$B:$B,"custody")</f>
        <v>0</v>
      </c>
      <c r="G295" s="171">
        <f>SUMIFS('caseload data'!H:H,'caseload data'!$D:$D,"TPO",'caseload data'!$B:$B,"custody")</f>
        <v>0</v>
      </c>
      <c r="H295" s="171">
        <f>SUMIFS('caseload data'!I:I,'caseload data'!$D:$D,"TPO",'caseload data'!$B:$B,"custody")</f>
        <v>0</v>
      </c>
      <c r="I295" s="171">
        <f>SUMIFS('caseload data'!J:J,'caseload data'!$D:$D,"TPO",'caseload data'!$B:$B,"custody")</f>
        <v>0</v>
      </c>
      <c r="J295" s="171">
        <f>SUMIFS('caseload data'!K:K,'caseload data'!$D:$D,"TPO",'caseload data'!$B:$B,"custody")</f>
        <v>0</v>
      </c>
      <c r="K295" s="171">
        <f>SUMIFS('caseload data'!L:L,'caseload data'!$D:$D,"TPO",'caseload data'!$B:$B,"custody")</f>
        <v>0</v>
      </c>
      <c r="L295" s="171">
        <f>SUMIFS('caseload data'!M:M,'caseload data'!$D:$D,"TPO",'caseload data'!$B:$B,"custody")</f>
        <v>0</v>
      </c>
      <c r="M295" s="171">
        <f>SUMIFS('caseload data'!N:N,'caseload data'!$D:$D,"TPO",'caseload data'!$B:$B,"custody")</f>
        <v>0</v>
      </c>
      <c r="N295" s="171">
        <f>SUMIFS('caseload data'!O:O,'caseload data'!$D:$D,"TPO",'caseload data'!$B:$B,"custody")</f>
        <v>0</v>
      </c>
      <c r="O295" s="171">
        <f>SUMIFS('caseload data'!P:P,'caseload data'!$D:$D,"TPO",'caseload data'!$B:$B,"custody")</f>
        <v>0</v>
      </c>
      <c r="P295" s="171">
        <f>SUMIFS('caseload data'!Q:Q,'caseload data'!$D:$D,"TPO",'caseload data'!$B:$B,"custody")</f>
        <v>0</v>
      </c>
      <c r="Q295" s="171">
        <f>SUMIFS('caseload data'!R:R,'caseload data'!$D:$D,"TPO",'caseload data'!$B:$B,"custody")</f>
        <v>0</v>
      </c>
      <c r="R295" s="171">
        <f>SUMIFS('caseload data'!S:S,'caseload data'!$D:$D,"TPO",'caseload data'!$B:$B,"custody")</f>
        <v>0</v>
      </c>
      <c r="S295" s="171">
        <f>SUMIFS('caseload data'!T:T,'caseload data'!$D:$D,"TPO",'caseload data'!$B:$B,"custody")</f>
        <v>0</v>
      </c>
      <c r="T295" s="172">
        <f>SUMIFS('caseload data'!V:V,'caseload data'!D:D,"TPO",'caseload data'!B:B,"custody")</f>
        <v>0</v>
      </c>
      <c r="U295" s="95"/>
      <c r="V295" s="95"/>
      <c r="W295" s="354"/>
      <c r="X295" s="173" t="s">
        <v>186</v>
      </c>
      <c r="Y295" s="174" t="e">
        <f>SUM(D295)/SUM(D$293:D$296)</f>
        <v>#DIV/0!</v>
      </c>
      <c r="Z295" s="174" t="e">
        <f t="shared" si="112"/>
        <v>#DIV/0!</v>
      </c>
      <c r="AA295" s="174" t="e">
        <f t="shared" si="112"/>
        <v>#DIV/0!</v>
      </c>
      <c r="AB295" s="174" t="e">
        <f t="shared" si="112"/>
        <v>#DIV/0!</v>
      </c>
      <c r="AC295" s="174" t="e">
        <f t="shared" si="112"/>
        <v>#DIV/0!</v>
      </c>
      <c r="AD295" s="174" t="e">
        <f t="shared" si="112"/>
        <v>#DIV/0!</v>
      </c>
      <c r="AE295" s="174" t="e">
        <f t="shared" si="112"/>
        <v>#DIV/0!</v>
      </c>
      <c r="AF295" s="174" t="e">
        <f t="shared" si="112"/>
        <v>#DIV/0!</v>
      </c>
      <c r="AG295" s="174" t="e">
        <f t="shared" si="112"/>
        <v>#DIV/0!</v>
      </c>
      <c r="AH295" s="174" t="e">
        <f t="shared" si="112"/>
        <v>#DIV/0!</v>
      </c>
      <c r="AI295" s="174" t="e">
        <f t="shared" si="112"/>
        <v>#DIV/0!</v>
      </c>
      <c r="AJ295" s="174" t="e">
        <f t="shared" si="112"/>
        <v>#DIV/0!</v>
      </c>
      <c r="AK295" s="174" t="e">
        <f t="shared" si="112"/>
        <v>#DIV/0!</v>
      </c>
      <c r="AL295" s="174" t="e">
        <f t="shared" si="112"/>
        <v>#DIV/0!</v>
      </c>
      <c r="AM295" s="174" t="e">
        <f t="shared" si="112"/>
        <v>#DIV/0!</v>
      </c>
      <c r="AN295" s="174" t="e">
        <f t="shared" si="112"/>
        <v>#DIV/0!</v>
      </c>
    </row>
    <row r="296" spans="2:40" s="30" customFormat="1" ht="15" thickBot="1" x14ac:dyDescent="0.2">
      <c r="B296" s="337"/>
      <c r="C296" s="173" t="s">
        <v>187</v>
      </c>
      <c r="D296" s="171">
        <f>SUMIFS('caseload data'!E:E,'caseload data'!$D:$D,"SPO",'caseload data'!$B:$B,"custody")</f>
        <v>0</v>
      </c>
      <c r="E296" s="171">
        <f>SUMIFS('caseload data'!F:F,'caseload data'!$D:$D,"SPO",'caseload data'!$B:$B,"custody")</f>
        <v>0</v>
      </c>
      <c r="F296" s="171">
        <f>SUMIFS('caseload data'!G:G,'caseload data'!$D:$D,"SPO",'caseload data'!$B:$B,"custody")</f>
        <v>0</v>
      </c>
      <c r="G296" s="171">
        <f>SUMIFS('caseload data'!H:H,'caseload data'!$D:$D,"SPO",'caseload data'!$B:$B,"custody")</f>
        <v>0</v>
      </c>
      <c r="H296" s="171">
        <f>SUMIFS('caseload data'!I:I,'caseload data'!$D:$D,"SPO",'caseload data'!$B:$B,"custody")</f>
        <v>0</v>
      </c>
      <c r="I296" s="171">
        <f>SUMIFS('caseload data'!J:J,'caseload data'!$D:$D,"SPO",'caseload data'!$B:$B,"custody")</f>
        <v>0</v>
      </c>
      <c r="J296" s="171">
        <f>SUMIFS('caseload data'!K:K,'caseload data'!$D:$D,"SPO",'caseload data'!$B:$B,"custody")</f>
        <v>0</v>
      </c>
      <c r="K296" s="171">
        <f>SUMIFS('caseload data'!L:L,'caseload data'!$D:$D,"SPO",'caseload data'!$B:$B,"custody")</f>
        <v>0</v>
      </c>
      <c r="L296" s="171">
        <f>SUMIFS('caseload data'!M:M,'caseload data'!$D:$D,"SPO",'caseload data'!$B:$B,"custody")</f>
        <v>0</v>
      </c>
      <c r="M296" s="171">
        <f>SUMIFS('caseload data'!N:N,'caseload data'!$D:$D,"SPO",'caseload data'!$B:$B,"custody")</f>
        <v>0</v>
      </c>
      <c r="N296" s="171">
        <f>SUMIFS('caseload data'!O:O,'caseload data'!$D:$D,"SPO",'caseload data'!$B:$B,"custody")</f>
        <v>0</v>
      </c>
      <c r="O296" s="171">
        <f>SUMIFS('caseload data'!P:P,'caseload data'!$D:$D,"SPO",'caseload data'!$B:$B,"custody")</f>
        <v>0</v>
      </c>
      <c r="P296" s="171">
        <f>SUMIFS('caseload data'!Q:Q,'caseload data'!$D:$D,"SPO",'caseload data'!$B:$B,"custody")</f>
        <v>0</v>
      </c>
      <c r="Q296" s="171">
        <f>SUMIFS('caseload data'!R:R,'caseload data'!$D:$D,"SPO",'caseload data'!$B:$B,"custody")</f>
        <v>0</v>
      </c>
      <c r="R296" s="171">
        <f>SUMIFS('caseload data'!S:S,'caseload data'!$D:$D,"SPO",'caseload data'!$B:$B,"custody")</f>
        <v>0</v>
      </c>
      <c r="S296" s="171">
        <f>SUMIFS('caseload data'!T:T,'caseload data'!$D:$D,"SPO",'caseload data'!$B:$B,"custody")</f>
        <v>0</v>
      </c>
      <c r="T296" s="172">
        <f>SUMIFS('caseload data'!V:V,'caseload data'!$D:$D,"SPO",'caseload data'!$B:$B,"custody")</f>
        <v>0</v>
      </c>
      <c r="U296" s="95"/>
      <c r="V296" s="95"/>
      <c r="W296" s="355"/>
      <c r="X296" s="175" t="s">
        <v>187</v>
      </c>
      <c r="Y296" s="174" t="e">
        <f>SUM(D296)/SUM(D$293:D$296)</f>
        <v>#DIV/0!</v>
      </c>
      <c r="Z296" s="174" t="e">
        <f t="shared" si="112"/>
        <v>#DIV/0!</v>
      </c>
      <c r="AA296" s="174" t="e">
        <f t="shared" si="112"/>
        <v>#DIV/0!</v>
      </c>
      <c r="AB296" s="174" t="e">
        <f t="shared" si="112"/>
        <v>#DIV/0!</v>
      </c>
      <c r="AC296" s="174" t="e">
        <f t="shared" si="112"/>
        <v>#DIV/0!</v>
      </c>
      <c r="AD296" s="174" t="e">
        <f t="shared" si="112"/>
        <v>#DIV/0!</v>
      </c>
      <c r="AE296" s="174" t="e">
        <f t="shared" si="112"/>
        <v>#DIV/0!</v>
      </c>
      <c r="AF296" s="174" t="e">
        <f t="shared" si="112"/>
        <v>#DIV/0!</v>
      </c>
      <c r="AG296" s="174" t="e">
        <f t="shared" si="112"/>
        <v>#DIV/0!</v>
      </c>
      <c r="AH296" s="174" t="e">
        <f t="shared" si="112"/>
        <v>#DIV/0!</v>
      </c>
      <c r="AI296" s="174" t="e">
        <f t="shared" si="112"/>
        <v>#DIV/0!</v>
      </c>
      <c r="AJ296" s="174" t="e">
        <f t="shared" si="112"/>
        <v>#DIV/0!</v>
      </c>
      <c r="AK296" s="174" t="e">
        <f t="shared" si="112"/>
        <v>#DIV/0!</v>
      </c>
      <c r="AL296" s="174" t="e">
        <f t="shared" si="112"/>
        <v>#DIV/0!</v>
      </c>
      <c r="AM296" s="174" t="e">
        <f t="shared" si="112"/>
        <v>#DIV/0!</v>
      </c>
      <c r="AN296" s="174" t="e">
        <f t="shared" si="112"/>
        <v>#DIV/0!</v>
      </c>
    </row>
    <row r="297" spans="2:40" ht="31.5" customHeight="1" thickBot="1" x14ac:dyDescent="0.2">
      <c r="B297" s="338"/>
      <c r="C297" s="167" t="s">
        <v>358</v>
      </c>
      <c r="D297" s="168">
        <f>SUMIF('caseload data'!$B:$B,"custody",'caseload data'!E:E)</f>
        <v>0</v>
      </c>
      <c r="E297" s="168">
        <f>SUMIF('caseload data'!$B:$B,"custody",'caseload data'!F:F)</f>
        <v>0</v>
      </c>
      <c r="F297" s="168">
        <f>SUMIF('caseload data'!$B:$B,"custody",'caseload data'!G:G)</f>
        <v>0</v>
      </c>
      <c r="G297" s="168">
        <f>SUMIF('caseload data'!$B:$B,"custody",'caseload data'!H:H)</f>
        <v>0</v>
      </c>
      <c r="H297" s="168">
        <f>SUMIF('caseload data'!$B:$B,"custody",'caseload data'!I:I)</f>
        <v>0</v>
      </c>
      <c r="I297" s="168">
        <f>SUMIF('caseload data'!$B:$B,"custody",'caseload data'!J:J)</f>
        <v>0</v>
      </c>
      <c r="J297" s="168">
        <f>SUMIF('caseload data'!$B:$B,"custody",'caseload data'!K:K)</f>
        <v>0</v>
      </c>
      <c r="K297" s="168">
        <f>SUMIF('caseload data'!$B:$B,"custody",'caseload data'!L:L)</f>
        <v>0</v>
      </c>
      <c r="L297" s="168">
        <f>SUMIF('caseload data'!$B:$B,"custody",'caseload data'!M:M)</f>
        <v>0</v>
      </c>
      <c r="M297" s="168">
        <f>SUMIF('caseload data'!$B:$B,"custody",'caseload data'!N:N)</f>
        <v>0</v>
      </c>
      <c r="N297" s="168">
        <f>SUMIF('caseload data'!$B:$B,"custody",'caseload data'!O:O)</f>
        <v>0</v>
      </c>
      <c r="O297" s="168">
        <f>SUMIF('caseload data'!$B:$B,"custody",'caseload data'!P:P)</f>
        <v>0</v>
      </c>
      <c r="P297" s="168">
        <f>SUMIF('caseload data'!$B:$B,"custody",'caseload data'!Q:Q)</f>
        <v>0</v>
      </c>
      <c r="Q297" s="168">
        <f>SUMIF('caseload data'!$B:$B,"custody",'caseload data'!R:R)</f>
        <v>0</v>
      </c>
      <c r="R297" s="168">
        <f>SUMIF('caseload data'!$B:$B,"custody",'caseload data'!S:S)</f>
        <v>0</v>
      </c>
      <c r="S297" s="168">
        <f>SUMIF('caseload data'!$B:$B,"custody",'caseload data'!T:T)</f>
        <v>0</v>
      </c>
      <c r="T297" s="169">
        <f>SUMIF('caseload data'!B:B,"custody",'caseload data'!V:V)</f>
        <v>0</v>
      </c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</row>
    <row r="298" spans="2:40" x14ac:dyDescent="0.15">
      <c r="Y298" s="30"/>
    </row>
  </sheetData>
  <mergeCells count="146">
    <mergeCell ref="B144:B147"/>
    <mergeCell ref="B152:B155"/>
    <mergeCell ref="W140:W143"/>
    <mergeCell ref="B140:B143"/>
    <mergeCell ref="B293:B297"/>
    <mergeCell ref="W221:W224"/>
    <mergeCell ref="W293:W296"/>
    <mergeCell ref="W168:W171"/>
    <mergeCell ref="W172:W175"/>
    <mergeCell ref="B229:B232"/>
    <mergeCell ref="B168:B171"/>
    <mergeCell ref="W184:W187"/>
    <mergeCell ref="W237:W240"/>
    <mergeCell ref="W209:W212"/>
    <mergeCell ref="W281:W284"/>
    <mergeCell ref="B209:B212"/>
    <mergeCell ref="B221:B224"/>
    <mergeCell ref="B213:B216"/>
    <mergeCell ref="W176:W179"/>
    <mergeCell ref="B180:B183"/>
    <mergeCell ref="B184:B187"/>
    <mergeCell ref="B188:B191"/>
    <mergeCell ref="B156:B159"/>
    <mergeCell ref="B172:B175"/>
    <mergeCell ref="W11:W14"/>
    <mergeCell ref="B19:B22"/>
    <mergeCell ref="B79:B82"/>
    <mergeCell ref="B27:B30"/>
    <mergeCell ref="W27:W30"/>
    <mergeCell ref="W19:W22"/>
    <mergeCell ref="B23:B26"/>
    <mergeCell ref="W23:W26"/>
    <mergeCell ref="W35:W38"/>
    <mergeCell ref="W31:W34"/>
    <mergeCell ref="B63:B66"/>
    <mergeCell ref="W67:W70"/>
    <mergeCell ref="W75:W78"/>
    <mergeCell ref="B71:B74"/>
    <mergeCell ref="W71:W74"/>
    <mergeCell ref="B75:B78"/>
    <mergeCell ref="W59:W62"/>
    <mergeCell ref="W63:W66"/>
    <mergeCell ref="B47:B50"/>
    <mergeCell ref="W47:W50"/>
    <mergeCell ref="B55:B58"/>
    <mergeCell ref="W55:W58"/>
    <mergeCell ref="W51:W54"/>
    <mergeCell ref="B59:B62"/>
    <mergeCell ref="D9:T9"/>
    <mergeCell ref="B99:B103"/>
    <mergeCell ref="B51:B54"/>
    <mergeCell ref="B35:B38"/>
    <mergeCell ref="W79:W82"/>
    <mergeCell ref="A1:AN1"/>
    <mergeCell ref="A2:AN2"/>
    <mergeCell ref="B233:B236"/>
    <mergeCell ref="W233:W236"/>
    <mergeCell ref="B148:B151"/>
    <mergeCell ref="W148:W151"/>
    <mergeCell ref="W196:W199"/>
    <mergeCell ref="D203:T203"/>
    <mergeCell ref="Y9:AN9"/>
    <mergeCell ref="Y106:AN106"/>
    <mergeCell ref="Y203:AN203"/>
    <mergeCell ref="B39:B42"/>
    <mergeCell ref="W39:W42"/>
    <mergeCell ref="B136:B139"/>
    <mergeCell ref="W136:W139"/>
    <mergeCell ref="W144:W147"/>
    <mergeCell ref="B120:B123"/>
    <mergeCell ref="W120:W123"/>
    <mergeCell ref="B11:B14"/>
    <mergeCell ref="B15:B18"/>
    <mergeCell ref="W15:W18"/>
    <mergeCell ref="W43:W46"/>
    <mergeCell ref="B43:B46"/>
    <mergeCell ref="B31:B34"/>
    <mergeCell ref="B67:B70"/>
    <mergeCell ref="B83:B86"/>
    <mergeCell ref="B87:B90"/>
    <mergeCell ref="B112:B115"/>
    <mergeCell ref="B128:B131"/>
    <mergeCell ref="W91:W94"/>
    <mergeCell ref="B91:B94"/>
    <mergeCell ref="B95:B98"/>
    <mergeCell ref="W83:W86"/>
    <mergeCell ref="W87:W90"/>
    <mergeCell ref="B132:B135"/>
    <mergeCell ref="W132:W135"/>
    <mergeCell ref="W99:W102"/>
    <mergeCell ref="D106:T106"/>
    <mergeCell ref="B124:B127"/>
    <mergeCell ref="W124:W127"/>
    <mergeCell ref="B108:B111"/>
    <mergeCell ref="B116:B119"/>
    <mergeCell ref="W95:W98"/>
    <mergeCell ref="W108:W111"/>
    <mergeCell ref="W112:W115"/>
    <mergeCell ref="W116:W119"/>
    <mergeCell ref="W128:W131"/>
    <mergeCell ref="W156:W159"/>
    <mergeCell ref="W160:W163"/>
    <mergeCell ref="W180:W183"/>
    <mergeCell ref="W249:W252"/>
    <mergeCell ref="W245:W248"/>
    <mergeCell ref="W241:W244"/>
    <mergeCell ref="W164:W167"/>
    <mergeCell ref="W188:W191"/>
    <mergeCell ref="W192:W195"/>
    <mergeCell ref="W152:W155"/>
    <mergeCell ref="B192:B195"/>
    <mergeCell ref="W253:W256"/>
    <mergeCell ref="W257:W260"/>
    <mergeCell ref="W261:W264"/>
    <mergeCell ref="B253:B256"/>
    <mergeCell ref="B257:B260"/>
    <mergeCell ref="B261:B264"/>
    <mergeCell ref="W229:W232"/>
    <mergeCell ref="B225:B228"/>
    <mergeCell ref="W225:W228"/>
    <mergeCell ref="B217:B220"/>
    <mergeCell ref="W217:W220"/>
    <mergeCell ref="B196:B200"/>
    <mergeCell ref="B205:B208"/>
    <mergeCell ref="B249:B252"/>
    <mergeCell ref="B245:B248"/>
    <mergeCell ref="B241:B244"/>
    <mergeCell ref="B237:B240"/>
    <mergeCell ref="W213:W216"/>
    <mergeCell ref="W205:W208"/>
    <mergeCell ref="B176:B179"/>
    <mergeCell ref="B160:B163"/>
    <mergeCell ref="B164:B167"/>
    <mergeCell ref="W285:W288"/>
    <mergeCell ref="W289:W292"/>
    <mergeCell ref="W273:W276"/>
    <mergeCell ref="B285:B288"/>
    <mergeCell ref="B289:B292"/>
    <mergeCell ref="B273:B276"/>
    <mergeCell ref="B277:B280"/>
    <mergeCell ref="B265:B268"/>
    <mergeCell ref="B269:B272"/>
    <mergeCell ref="B281:B284"/>
    <mergeCell ref="W265:W268"/>
    <mergeCell ref="W269:W272"/>
    <mergeCell ref="W277:W280"/>
  </mergeCells>
  <conditionalFormatting sqref="T18 T34 T38 T46 T50 T102 Y58 Y155 Y59:AN98 Y156:AN195">
    <cfRule type="cellIs" dxfId="5557" priority="3905" operator="equal">
      <formula>0</formula>
    </cfRule>
  </conditionalFormatting>
  <conditionalFormatting sqref="T208 T212 T216 T224 T244 T248 T252 T296">
    <cfRule type="cellIs" dxfId="5556" priority="3904" operator="equal">
      <formula>0</formula>
    </cfRule>
  </conditionalFormatting>
  <conditionalFormatting sqref="T111 T131 T135 T143 T147 D199:T199">
    <cfRule type="cellIs" dxfId="5555" priority="3903" operator="equal">
      <formula>0</formula>
    </cfRule>
  </conditionalFormatting>
  <conditionalFormatting sqref="T14">
    <cfRule type="cellIs" dxfId="5554" priority="3886" operator="equal">
      <formula>0</formula>
    </cfRule>
  </conditionalFormatting>
  <conditionalFormatting sqref="T22">
    <cfRule type="cellIs" dxfId="5553" priority="3869" operator="equal">
      <formula>0</formula>
    </cfRule>
  </conditionalFormatting>
  <conditionalFormatting sqref="T26">
    <cfRule type="cellIs" dxfId="5552" priority="3852" operator="equal">
      <formula>0</formula>
    </cfRule>
  </conditionalFormatting>
  <conditionalFormatting sqref="T30">
    <cfRule type="cellIs" dxfId="5551" priority="3835" operator="equal">
      <formula>0</formula>
    </cfRule>
  </conditionalFormatting>
  <conditionalFormatting sqref="T54">
    <cfRule type="cellIs" dxfId="5550" priority="3824" operator="equal">
      <formula>0</formula>
    </cfRule>
  </conditionalFormatting>
  <conditionalFormatting sqref="T58">
    <cfRule type="cellIs" dxfId="5549" priority="3813" operator="equal">
      <formula>0</formula>
    </cfRule>
  </conditionalFormatting>
  <conditionalFormatting sqref="T115">
    <cfRule type="cellIs" dxfId="5548" priority="3798" operator="equal">
      <formula>0</formula>
    </cfRule>
  </conditionalFormatting>
  <conditionalFormatting sqref="T119">
    <cfRule type="cellIs" dxfId="5547" priority="3783" operator="equal">
      <formula>0</formula>
    </cfRule>
  </conditionalFormatting>
  <conditionalFormatting sqref="T123">
    <cfRule type="cellIs" dxfId="5546" priority="3768" operator="equal">
      <formula>0</formula>
    </cfRule>
  </conditionalFormatting>
  <conditionalFormatting sqref="T127">
    <cfRule type="cellIs" dxfId="5545" priority="3753" operator="equal">
      <formula>0</formula>
    </cfRule>
  </conditionalFormatting>
  <conditionalFormatting sqref="T228">
    <cfRule type="cellIs" dxfId="5544" priority="3738" operator="equal">
      <formula>0</formula>
    </cfRule>
  </conditionalFormatting>
  <conditionalFormatting sqref="T220">
    <cfRule type="cellIs" dxfId="5543" priority="3723" operator="equal">
      <formula>0</formula>
    </cfRule>
  </conditionalFormatting>
  <conditionalFormatting sqref="T240">
    <cfRule type="cellIs" dxfId="5542" priority="3708" operator="equal">
      <formula>0</formula>
    </cfRule>
  </conditionalFormatting>
  <conditionalFormatting sqref="T232">
    <cfRule type="cellIs" dxfId="5541" priority="3693" operator="equal">
      <formula>0</formula>
    </cfRule>
  </conditionalFormatting>
  <conditionalFormatting sqref="T151">
    <cfRule type="cellIs" dxfId="5540" priority="3678" operator="equal">
      <formula>0</formula>
    </cfRule>
  </conditionalFormatting>
  <conditionalFormatting sqref="T155">
    <cfRule type="cellIs" dxfId="5539" priority="3663" operator="equal">
      <formula>0</formula>
    </cfRule>
  </conditionalFormatting>
  <conditionalFormatting sqref="T42">
    <cfRule type="cellIs" dxfId="5538" priority="3652" operator="equal">
      <formula>0</formula>
    </cfRule>
  </conditionalFormatting>
  <conditionalFormatting sqref="T139">
    <cfRule type="cellIs" dxfId="5537" priority="3641" operator="equal">
      <formula>0</formula>
    </cfRule>
  </conditionalFormatting>
  <conditionalFormatting sqref="T236">
    <cfRule type="cellIs" dxfId="5536" priority="3625" operator="equal">
      <formula>0</formula>
    </cfRule>
  </conditionalFormatting>
  <conditionalFormatting sqref="D12:D13">
    <cfRule type="cellIs" dxfId="5535" priority="3618" operator="equal">
      <formula>0</formula>
    </cfRule>
    <cfRule type="cellIs" dxfId="5534" priority="3619" operator="notEqual">
      <formula>0</formula>
    </cfRule>
  </conditionalFormatting>
  <conditionalFormatting sqref="D14">
    <cfRule type="cellIs" dxfId="5533" priority="3617" operator="equal">
      <formula>0</formula>
    </cfRule>
  </conditionalFormatting>
  <conditionalFormatting sqref="E12:E13">
    <cfRule type="cellIs" dxfId="5532" priority="3615" operator="equal">
      <formula>0</formula>
    </cfRule>
    <cfRule type="cellIs" dxfId="5531" priority="3616" operator="notEqual">
      <formula>0</formula>
    </cfRule>
  </conditionalFormatting>
  <conditionalFormatting sqref="E14">
    <cfRule type="cellIs" dxfId="5530" priority="3614" operator="equal">
      <formula>0</formula>
    </cfRule>
  </conditionalFormatting>
  <conditionalFormatting sqref="F12:F13">
    <cfRule type="cellIs" dxfId="5529" priority="3612" operator="equal">
      <formula>0</formula>
    </cfRule>
    <cfRule type="cellIs" dxfId="5528" priority="3613" operator="notEqual">
      <formula>0</formula>
    </cfRule>
  </conditionalFormatting>
  <conditionalFormatting sqref="F14">
    <cfRule type="cellIs" dxfId="5527" priority="3611" operator="equal">
      <formula>0</formula>
    </cfRule>
  </conditionalFormatting>
  <conditionalFormatting sqref="G12:G13">
    <cfRule type="cellIs" dxfId="5526" priority="3609" operator="equal">
      <formula>0</formula>
    </cfRule>
    <cfRule type="cellIs" dxfId="5525" priority="3610" operator="notEqual">
      <formula>0</formula>
    </cfRule>
  </conditionalFormatting>
  <conditionalFormatting sqref="G14">
    <cfRule type="cellIs" dxfId="5524" priority="3608" operator="equal">
      <formula>0</formula>
    </cfRule>
  </conditionalFormatting>
  <conditionalFormatting sqref="H12:H13">
    <cfRule type="cellIs" dxfId="5523" priority="3606" operator="equal">
      <formula>0</formula>
    </cfRule>
    <cfRule type="cellIs" dxfId="5522" priority="3607" operator="notEqual">
      <formula>0</formula>
    </cfRule>
  </conditionalFormatting>
  <conditionalFormatting sqref="H14">
    <cfRule type="cellIs" dxfId="5521" priority="3605" operator="equal">
      <formula>0</formula>
    </cfRule>
  </conditionalFormatting>
  <conditionalFormatting sqref="I12:I13">
    <cfRule type="cellIs" dxfId="5520" priority="3603" operator="equal">
      <formula>0</formula>
    </cfRule>
    <cfRule type="cellIs" dxfId="5519" priority="3604" operator="notEqual">
      <formula>0</formula>
    </cfRule>
  </conditionalFormatting>
  <conditionalFormatting sqref="I14">
    <cfRule type="cellIs" dxfId="5518" priority="3602" operator="equal">
      <formula>0</formula>
    </cfRule>
  </conditionalFormatting>
  <conditionalFormatting sqref="J12:J13">
    <cfRule type="cellIs" dxfId="5517" priority="3600" operator="equal">
      <formula>0</formula>
    </cfRule>
    <cfRule type="cellIs" dxfId="5516" priority="3601" operator="notEqual">
      <formula>0</formula>
    </cfRule>
  </conditionalFormatting>
  <conditionalFormatting sqref="J14">
    <cfRule type="cellIs" dxfId="5515" priority="3599" operator="equal">
      <formula>0</formula>
    </cfRule>
  </conditionalFormatting>
  <conditionalFormatting sqref="K12:K13">
    <cfRule type="cellIs" dxfId="5514" priority="3597" operator="equal">
      <formula>0</formula>
    </cfRule>
    <cfRule type="cellIs" dxfId="5513" priority="3598" operator="notEqual">
      <formula>0</formula>
    </cfRule>
  </conditionalFormatting>
  <conditionalFormatting sqref="K14">
    <cfRule type="cellIs" dxfId="5512" priority="3596" operator="equal">
      <formula>0</formula>
    </cfRule>
  </conditionalFormatting>
  <conditionalFormatting sqref="L14">
    <cfRule type="cellIs" dxfId="5511" priority="3595" operator="equal">
      <formula>0</formula>
    </cfRule>
  </conditionalFormatting>
  <conditionalFormatting sqref="M14">
    <cfRule type="cellIs" dxfId="5510" priority="3594" operator="equal">
      <formula>0</formula>
    </cfRule>
  </conditionalFormatting>
  <conditionalFormatting sqref="N14">
    <cfRule type="cellIs" dxfId="5509" priority="3593" operator="equal">
      <formula>0</formula>
    </cfRule>
  </conditionalFormatting>
  <conditionalFormatting sqref="O14">
    <cfRule type="cellIs" dxfId="5508" priority="3592" operator="equal">
      <formula>0</formula>
    </cfRule>
  </conditionalFormatting>
  <conditionalFormatting sqref="P11">
    <cfRule type="cellIs" dxfId="5507" priority="3590" operator="equal">
      <formula>0</formula>
    </cfRule>
    <cfRule type="cellIs" dxfId="5506" priority="3591" operator="notEqual">
      <formula>0</formula>
    </cfRule>
  </conditionalFormatting>
  <conditionalFormatting sqref="P14">
    <cfRule type="cellIs" dxfId="5505" priority="3589" operator="equal">
      <formula>0</formula>
    </cfRule>
  </conditionalFormatting>
  <conditionalFormatting sqref="Q11">
    <cfRule type="cellIs" dxfId="5504" priority="3587" operator="equal">
      <formula>0</formula>
    </cfRule>
    <cfRule type="cellIs" dxfId="5503" priority="3588" operator="notEqual">
      <formula>0</formula>
    </cfRule>
  </conditionalFormatting>
  <conditionalFormatting sqref="Q14">
    <cfRule type="cellIs" dxfId="5502" priority="3586" operator="equal">
      <formula>0</formula>
    </cfRule>
  </conditionalFormatting>
  <conditionalFormatting sqref="R11">
    <cfRule type="cellIs" dxfId="5501" priority="3584" operator="equal">
      <formula>0</formula>
    </cfRule>
    <cfRule type="cellIs" dxfId="5500" priority="3585" operator="notEqual">
      <formula>0</formula>
    </cfRule>
  </conditionalFormatting>
  <conditionalFormatting sqref="R14">
    <cfRule type="cellIs" dxfId="5499" priority="3583" operator="equal">
      <formula>0</formula>
    </cfRule>
  </conditionalFormatting>
  <conditionalFormatting sqref="S11">
    <cfRule type="cellIs" dxfId="5498" priority="3581" operator="equal">
      <formula>0</formula>
    </cfRule>
    <cfRule type="cellIs" dxfId="5497" priority="3582" operator="notEqual">
      <formula>0</formula>
    </cfRule>
  </conditionalFormatting>
  <conditionalFormatting sqref="S14">
    <cfRule type="cellIs" dxfId="5496" priority="3580" operator="equal">
      <formula>0</formula>
    </cfRule>
  </conditionalFormatting>
  <conditionalFormatting sqref="D16:D17">
    <cfRule type="cellIs" dxfId="5495" priority="3578" operator="equal">
      <formula>0</formula>
    </cfRule>
    <cfRule type="cellIs" dxfId="5494" priority="3579" operator="notEqual">
      <formula>0</formula>
    </cfRule>
  </conditionalFormatting>
  <conditionalFormatting sqref="D18">
    <cfRule type="cellIs" dxfId="5493" priority="3577" operator="equal">
      <formula>0</formula>
    </cfRule>
  </conditionalFormatting>
  <conditionalFormatting sqref="E16:E17">
    <cfRule type="cellIs" dxfId="5492" priority="3575" operator="equal">
      <formula>0</formula>
    </cfRule>
    <cfRule type="cellIs" dxfId="5491" priority="3576" operator="notEqual">
      <formula>0</formula>
    </cfRule>
  </conditionalFormatting>
  <conditionalFormatting sqref="E18">
    <cfRule type="cellIs" dxfId="5490" priority="3574" operator="equal">
      <formula>0</formula>
    </cfRule>
  </conditionalFormatting>
  <conditionalFormatting sqref="F16:F17">
    <cfRule type="cellIs" dxfId="5489" priority="3572" operator="equal">
      <formula>0</formula>
    </cfRule>
    <cfRule type="cellIs" dxfId="5488" priority="3573" operator="notEqual">
      <formula>0</formula>
    </cfRule>
  </conditionalFormatting>
  <conditionalFormatting sqref="F18">
    <cfRule type="cellIs" dxfId="5487" priority="3571" operator="equal">
      <formula>0</formula>
    </cfRule>
  </conditionalFormatting>
  <conditionalFormatting sqref="G16:G17">
    <cfRule type="cellIs" dxfId="5486" priority="3569" operator="equal">
      <formula>0</formula>
    </cfRule>
    <cfRule type="cellIs" dxfId="5485" priority="3570" operator="notEqual">
      <formula>0</formula>
    </cfRule>
  </conditionalFormatting>
  <conditionalFormatting sqref="G18">
    <cfRule type="cellIs" dxfId="5484" priority="3568" operator="equal">
      <formula>0</formula>
    </cfRule>
  </conditionalFormatting>
  <conditionalFormatting sqref="H16:H17">
    <cfRule type="cellIs" dxfId="5483" priority="3566" operator="equal">
      <formula>0</formula>
    </cfRule>
    <cfRule type="cellIs" dxfId="5482" priority="3567" operator="notEqual">
      <formula>0</formula>
    </cfRule>
  </conditionalFormatting>
  <conditionalFormatting sqref="H18">
    <cfRule type="cellIs" dxfId="5481" priority="3565" operator="equal">
      <formula>0</formula>
    </cfRule>
  </conditionalFormatting>
  <conditionalFormatting sqref="I16:I17">
    <cfRule type="cellIs" dxfId="5480" priority="3563" operator="equal">
      <formula>0</formula>
    </cfRule>
    <cfRule type="cellIs" dxfId="5479" priority="3564" operator="notEqual">
      <formula>0</formula>
    </cfRule>
  </conditionalFormatting>
  <conditionalFormatting sqref="I18">
    <cfRule type="cellIs" dxfId="5478" priority="3562" operator="equal">
      <formula>0</formula>
    </cfRule>
  </conditionalFormatting>
  <conditionalFormatting sqref="J16:J17">
    <cfRule type="cellIs" dxfId="5477" priority="3560" operator="equal">
      <formula>0</formula>
    </cfRule>
    <cfRule type="cellIs" dxfId="5476" priority="3561" operator="notEqual">
      <formula>0</formula>
    </cfRule>
  </conditionalFormatting>
  <conditionalFormatting sqref="J18">
    <cfRule type="cellIs" dxfId="5475" priority="3559" operator="equal">
      <formula>0</formula>
    </cfRule>
  </conditionalFormatting>
  <conditionalFormatting sqref="K16:K17">
    <cfRule type="cellIs" dxfId="5474" priority="3557" operator="equal">
      <formula>0</formula>
    </cfRule>
    <cfRule type="cellIs" dxfId="5473" priority="3558" operator="notEqual">
      <formula>0</formula>
    </cfRule>
  </conditionalFormatting>
  <conditionalFormatting sqref="K18">
    <cfRule type="cellIs" dxfId="5472" priority="3556" operator="equal">
      <formula>0</formula>
    </cfRule>
  </conditionalFormatting>
  <conditionalFormatting sqref="L18">
    <cfRule type="cellIs" dxfId="5471" priority="3555" operator="equal">
      <formula>0</formula>
    </cfRule>
  </conditionalFormatting>
  <conditionalFormatting sqref="M18">
    <cfRule type="cellIs" dxfId="5470" priority="3554" operator="equal">
      <formula>0</formula>
    </cfRule>
  </conditionalFormatting>
  <conditionalFormatting sqref="N18">
    <cfRule type="cellIs" dxfId="5469" priority="3553" operator="equal">
      <formula>0</formula>
    </cfRule>
  </conditionalFormatting>
  <conditionalFormatting sqref="O18">
    <cfRule type="cellIs" dxfId="5468" priority="3552" operator="equal">
      <formula>0</formula>
    </cfRule>
  </conditionalFormatting>
  <conditionalFormatting sqref="P15">
    <cfRule type="cellIs" dxfId="5467" priority="3550" operator="equal">
      <formula>0</formula>
    </cfRule>
    <cfRule type="cellIs" dxfId="5466" priority="3551" operator="notEqual">
      <formula>0</formula>
    </cfRule>
  </conditionalFormatting>
  <conditionalFormatting sqref="P18">
    <cfRule type="cellIs" dxfId="5465" priority="3549" operator="equal">
      <formula>0</formula>
    </cfRule>
  </conditionalFormatting>
  <conditionalFormatting sqref="Q15">
    <cfRule type="cellIs" dxfId="5464" priority="3547" operator="equal">
      <formula>0</formula>
    </cfRule>
    <cfRule type="cellIs" dxfId="5463" priority="3548" operator="notEqual">
      <formula>0</formula>
    </cfRule>
  </conditionalFormatting>
  <conditionalFormatting sqref="Q18">
    <cfRule type="cellIs" dxfId="5462" priority="3546" operator="equal">
      <formula>0</formula>
    </cfRule>
  </conditionalFormatting>
  <conditionalFormatting sqref="R15">
    <cfRule type="cellIs" dxfId="5461" priority="3544" operator="equal">
      <formula>0</formula>
    </cfRule>
    <cfRule type="cellIs" dxfId="5460" priority="3545" operator="notEqual">
      <formula>0</formula>
    </cfRule>
  </conditionalFormatting>
  <conditionalFormatting sqref="R18">
    <cfRule type="cellIs" dxfId="5459" priority="3543" operator="equal">
      <formula>0</formula>
    </cfRule>
  </conditionalFormatting>
  <conditionalFormatting sqref="S15">
    <cfRule type="cellIs" dxfId="5458" priority="3541" operator="equal">
      <formula>0</formula>
    </cfRule>
    <cfRule type="cellIs" dxfId="5457" priority="3542" operator="notEqual">
      <formula>0</formula>
    </cfRule>
  </conditionalFormatting>
  <conditionalFormatting sqref="S18">
    <cfRule type="cellIs" dxfId="5456" priority="3540" operator="equal">
      <formula>0</formula>
    </cfRule>
  </conditionalFormatting>
  <conditionalFormatting sqref="D20:D21">
    <cfRule type="cellIs" dxfId="5455" priority="3538" operator="equal">
      <formula>0</formula>
    </cfRule>
    <cfRule type="cellIs" dxfId="5454" priority="3539" operator="notEqual">
      <formula>0</formula>
    </cfRule>
  </conditionalFormatting>
  <conditionalFormatting sqref="D22">
    <cfRule type="cellIs" dxfId="5453" priority="3537" operator="equal">
      <formula>0</formula>
    </cfRule>
  </conditionalFormatting>
  <conditionalFormatting sqref="E20:E21">
    <cfRule type="cellIs" dxfId="5452" priority="3535" operator="equal">
      <formula>0</formula>
    </cfRule>
    <cfRule type="cellIs" dxfId="5451" priority="3536" operator="notEqual">
      <formula>0</formula>
    </cfRule>
  </conditionalFormatting>
  <conditionalFormatting sqref="E22">
    <cfRule type="cellIs" dxfId="5450" priority="3534" operator="equal">
      <formula>0</formula>
    </cfRule>
  </conditionalFormatting>
  <conditionalFormatting sqref="F20:F21">
    <cfRule type="cellIs" dxfId="5449" priority="3532" operator="equal">
      <formula>0</formula>
    </cfRule>
    <cfRule type="cellIs" dxfId="5448" priority="3533" operator="notEqual">
      <formula>0</formula>
    </cfRule>
  </conditionalFormatting>
  <conditionalFormatting sqref="F22">
    <cfRule type="cellIs" dxfId="5447" priority="3531" operator="equal">
      <formula>0</formula>
    </cfRule>
  </conditionalFormatting>
  <conditionalFormatting sqref="G20:G21">
    <cfRule type="cellIs" dxfId="5446" priority="3529" operator="equal">
      <formula>0</formula>
    </cfRule>
    <cfRule type="cellIs" dxfId="5445" priority="3530" operator="notEqual">
      <formula>0</formula>
    </cfRule>
  </conditionalFormatting>
  <conditionalFormatting sqref="G22">
    <cfRule type="cellIs" dxfId="5444" priority="3528" operator="equal">
      <formula>0</formula>
    </cfRule>
  </conditionalFormatting>
  <conditionalFormatting sqref="H20:H21">
    <cfRule type="cellIs" dxfId="5443" priority="3526" operator="equal">
      <formula>0</formula>
    </cfRule>
    <cfRule type="cellIs" dxfId="5442" priority="3527" operator="notEqual">
      <formula>0</formula>
    </cfRule>
  </conditionalFormatting>
  <conditionalFormatting sqref="H22">
    <cfRule type="cellIs" dxfId="5441" priority="3525" operator="equal">
      <formula>0</formula>
    </cfRule>
  </conditionalFormatting>
  <conditionalFormatting sqref="I20:I21">
    <cfRule type="cellIs" dxfId="5440" priority="3523" operator="equal">
      <formula>0</formula>
    </cfRule>
    <cfRule type="cellIs" dxfId="5439" priority="3524" operator="notEqual">
      <formula>0</formula>
    </cfRule>
  </conditionalFormatting>
  <conditionalFormatting sqref="I22">
    <cfRule type="cellIs" dxfId="5438" priority="3522" operator="equal">
      <formula>0</formula>
    </cfRule>
  </conditionalFormatting>
  <conditionalFormatting sqref="J20:J21">
    <cfRule type="cellIs" dxfId="5437" priority="3520" operator="equal">
      <formula>0</formula>
    </cfRule>
    <cfRule type="cellIs" dxfId="5436" priority="3521" operator="notEqual">
      <formula>0</formula>
    </cfRule>
  </conditionalFormatting>
  <conditionalFormatting sqref="J22">
    <cfRule type="cellIs" dxfId="5435" priority="3519" operator="equal">
      <formula>0</formula>
    </cfRule>
  </conditionalFormatting>
  <conditionalFormatting sqref="K20:K21">
    <cfRule type="cellIs" dxfId="5434" priority="3517" operator="equal">
      <formula>0</formula>
    </cfRule>
    <cfRule type="cellIs" dxfId="5433" priority="3518" operator="notEqual">
      <formula>0</formula>
    </cfRule>
  </conditionalFormatting>
  <conditionalFormatting sqref="K22">
    <cfRule type="cellIs" dxfId="5432" priority="3516" operator="equal">
      <formula>0</formula>
    </cfRule>
  </conditionalFormatting>
  <conditionalFormatting sqref="L22">
    <cfRule type="cellIs" dxfId="5431" priority="3515" operator="equal">
      <formula>0</formula>
    </cfRule>
  </conditionalFormatting>
  <conditionalFormatting sqref="M22">
    <cfRule type="cellIs" dxfId="5430" priority="3514" operator="equal">
      <formula>0</formula>
    </cfRule>
  </conditionalFormatting>
  <conditionalFormatting sqref="N22">
    <cfRule type="cellIs" dxfId="5429" priority="3513" operator="equal">
      <formula>0</formula>
    </cfRule>
  </conditionalFormatting>
  <conditionalFormatting sqref="O22">
    <cfRule type="cellIs" dxfId="5428" priority="3512" operator="equal">
      <formula>0</formula>
    </cfRule>
  </conditionalFormatting>
  <conditionalFormatting sqref="P19">
    <cfRule type="cellIs" dxfId="5427" priority="3510" operator="equal">
      <formula>0</formula>
    </cfRule>
    <cfRule type="cellIs" dxfId="5426" priority="3511" operator="notEqual">
      <formula>0</formula>
    </cfRule>
  </conditionalFormatting>
  <conditionalFormatting sqref="P22">
    <cfRule type="cellIs" dxfId="5425" priority="3509" operator="equal">
      <formula>0</formula>
    </cfRule>
  </conditionalFormatting>
  <conditionalFormatting sqref="Q19">
    <cfRule type="cellIs" dxfId="5424" priority="3507" operator="equal">
      <formula>0</formula>
    </cfRule>
    <cfRule type="cellIs" dxfId="5423" priority="3508" operator="notEqual">
      <formula>0</formula>
    </cfRule>
  </conditionalFormatting>
  <conditionalFormatting sqref="Q22">
    <cfRule type="cellIs" dxfId="5422" priority="3506" operator="equal">
      <formula>0</formula>
    </cfRule>
  </conditionalFormatting>
  <conditionalFormatting sqref="R19">
    <cfRule type="cellIs" dxfId="5421" priority="3504" operator="equal">
      <formula>0</formula>
    </cfRule>
    <cfRule type="cellIs" dxfId="5420" priority="3505" operator="notEqual">
      <formula>0</formula>
    </cfRule>
  </conditionalFormatting>
  <conditionalFormatting sqref="R22">
    <cfRule type="cellIs" dxfId="5419" priority="3503" operator="equal">
      <formula>0</formula>
    </cfRule>
  </conditionalFormatting>
  <conditionalFormatting sqref="S19">
    <cfRule type="cellIs" dxfId="5418" priority="3501" operator="equal">
      <formula>0</formula>
    </cfRule>
    <cfRule type="cellIs" dxfId="5417" priority="3502" operator="notEqual">
      <formula>0</formula>
    </cfRule>
  </conditionalFormatting>
  <conditionalFormatting sqref="S22">
    <cfRule type="cellIs" dxfId="5416" priority="3500" operator="equal">
      <formula>0</formula>
    </cfRule>
  </conditionalFormatting>
  <conditionalFormatting sqref="D24:D25">
    <cfRule type="cellIs" dxfId="5415" priority="3498" operator="equal">
      <formula>0</formula>
    </cfRule>
    <cfRule type="cellIs" dxfId="5414" priority="3499" operator="notEqual">
      <formula>0</formula>
    </cfRule>
  </conditionalFormatting>
  <conditionalFormatting sqref="D26">
    <cfRule type="cellIs" dxfId="5413" priority="3497" operator="equal">
      <formula>0</formula>
    </cfRule>
  </conditionalFormatting>
  <conditionalFormatting sqref="E24:E25">
    <cfRule type="cellIs" dxfId="5412" priority="3495" operator="equal">
      <formula>0</formula>
    </cfRule>
    <cfRule type="cellIs" dxfId="5411" priority="3496" operator="notEqual">
      <formula>0</formula>
    </cfRule>
  </conditionalFormatting>
  <conditionalFormatting sqref="E26">
    <cfRule type="cellIs" dxfId="5410" priority="3494" operator="equal">
      <formula>0</formula>
    </cfRule>
  </conditionalFormatting>
  <conditionalFormatting sqref="F24:F25">
    <cfRule type="cellIs" dxfId="5409" priority="3492" operator="equal">
      <formula>0</formula>
    </cfRule>
    <cfRule type="cellIs" dxfId="5408" priority="3493" operator="notEqual">
      <formula>0</formula>
    </cfRule>
  </conditionalFormatting>
  <conditionalFormatting sqref="F26">
    <cfRule type="cellIs" dxfId="5407" priority="3491" operator="equal">
      <formula>0</formula>
    </cfRule>
  </conditionalFormatting>
  <conditionalFormatting sqref="G24:G25">
    <cfRule type="cellIs" dxfId="5406" priority="3489" operator="equal">
      <formula>0</formula>
    </cfRule>
    <cfRule type="cellIs" dxfId="5405" priority="3490" operator="notEqual">
      <formula>0</formula>
    </cfRule>
  </conditionalFormatting>
  <conditionalFormatting sqref="G26">
    <cfRule type="cellIs" dxfId="5404" priority="3488" operator="equal">
      <formula>0</formula>
    </cfRule>
  </conditionalFormatting>
  <conditionalFormatting sqref="H24:H25">
    <cfRule type="cellIs" dxfId="5403" priority="3486" operator="equal">
      <formula>0</formula>
    </cfRule>
    <cfRule type="cellIs" dxfId="5402" priority="3487" operator="notEqual">
      <formula>0</formula>
    </cfRule>
  </conditionalFormatting>
  <conditionalFormatting sqref="H26">
    <cfRule type="cellIs" dxfId="5401" priority="3485" operator="equal">
      <formula>0</formula>
    </cfRule>
  </conditionalFormatting>
  <conditionalFormatting sqref="I24:I25">
    <cfRule type="cellIs" dxfId="5400" priority="3483" operator="equal">
      <formula>0</formula>
    </cfRule>
    <cfRule type="cellIs" dxfId="5399" priority="3484" operator="notEqual">
      <formula>0</formula>
    </cfRule>
  </conditionalFormatting>
  <conditionalFormatting sqref="I26">
    <cfRule type="cellIs" dxfId="5398" priority="3482" operator="equal">
      <formula>0</formula>
    </cfRule>
  </conditionalFormatting>
  <conditionalFormatting sqref="J24:J25">
    <cfRule type="cellIs" dxfId="5397" priority="3480" operator="equal">
      <formula>0</formula>
    </cfRule>
    <cfRule type="cellIs" dxfId="5396" priority="3481" operator="notEqual">
      <formula>0</formula>
    </cfRule>
  </conditionalFormatting>
  <conditionalFormatting sqref="J26">
    <cfRule type="cellIs" dxfId="5395" priority="3479" operator="equal">
      <formula>0</formula>
    </cfRule>
  </conditionalFormatting>
  <conditionalFormatting sqref="K24:K25">
    <cfRule type="cellIs" dxfId="5394" priority="3477" operator="equal">
      <formula>0</formula>
    </cfRule>
    <cfRule type="cellIs" dxfId="5393" priority="3478" operator="notEqual">
      <formula>0</formula>
    </cfRule>
  </conditionalFormatting>
  <conditionalFormatting sqref="K26">
    <cfRule type="cellIs" dxfId="5392" priority="3476" operator="equal">
      <formula>0</formula>
    </cfRule>
  </conditionalFormatting>
  <conditionalFormatting sqref="L26">
    <cfRule type="cellIs" dxfId="5391" priority="3475" operator="equal">
      <formula>0</formula>
    </cfRule>
  </conditionalFormatting>
  <conditionalFormatting sqref="M26">
    <cfRule type="cellIs" dxfId="5390" priority="3474" operator="equal">
      <formula>0</formula>
    </cfRule>
  </conditionalFormatting>
  <conditionalFormatting sqref="N26">
    <cfRule type="cellIs" dxfId="5389" priority="3473" operator="equal">
      <formula>0</formula>
    </cfRule>
  </conditionalFormatting>
  <conditionalFormatting sqref="O26">
    <cfRule type="cellIs" dxfId="5388" priority="3472" operator="equal">
      <formula>0</formula>
    </cfRule>
  </conditionalFormatting>
  <conditionalFormatting sqref="P23">
    <cfRule type="cellIs" dxfId="5387" priority="3470" operator="equal">
      <formula>0</formula>
    </cfRule>
    <cfRule type="cellIs" dxfId="5386" priority="3471" operator="notEqual">
      <formula>0</formula>
    </cfRule>
  </conditionalFormatting>
  <conditionalFormatting sqref="P26">
    <cfRule type="cellIs" dxfId="5385" priority="3469" operator="equal">
      <formula>0</formula>
    </cfRule>
  </conditionalFormatting>
  <conditionalFormatting sqref="Q23">
    <cfRule type="cellIs" dxfId="5384" priority="3467" operator="equal">
      <formula>0</formula>
    </cfRule>
    <cfRule type="cellIs" dxfId="5383" priority="3468" operator="notEqual">
      <formula>0</formula>
    </cfRule>
  </conditionalFormatting>
  <conditionalFormatting sqref="Q26">
    <cfRule type="cellIs" dxfId="5382" priority="3466" operator="equal">
      <formula>0</formula>
    </cfRule>
  </conditionalFormatting>
  <conditionalFormatting sqref="R23">
    <cfRule type="cellIs" dxfId="5381" priority="3464" operator="equal">
      <formula>0</formula>
    </cfRule>
    <cfRule type="cellIs" dxfId="5380" priority="3465" operator="notEqual">
      <formula>0</formula>
    </cfRule>
  </conditionalFormatting>
  <conditionalFormatting sqref="R26">
    <cfRule type="cellIs" dxfId="5379" priority="3463" operator="equal">
      <formula>0</formula>
    </cfRule>
  </conditionalFormatting>
  <conditionalFormatting sqref="S23">
    <cfRule type="cellIs" dxfId="5378" priority="3461" operator="equal">
      <formula>0</formula>
    </cfRule>
    <cfRule type="cellIs" dxfId="5377" priority="3462" operator="notEqual">
      <formula>0</formula>
    </cfRule>
  </conditionalFormatting>
  <conditionalFormatting sqref="S26">
    <cfRule type="cellIs" dxfId="5376" priority="3460" operator="equal">
      <formula>0</formula>
    </cfRule>
  </conditionalFormatting>
  <conditionalFormatting sqref="D28:D29">
    <cfRule type="cellIs" dxfId="5375" priority="3458" operator="equal">
      <formula>0</formula>
    </cfRule>
    <cfRule type="cellIs" dxfId="5374" priority="3459" operator="notEqual">
      <formula>0</formula>
    </cfRule>
  </conditionalFormatting>
  <conditionalFormatting sqref="D30">
    <cfRule type="cellIs" dxfId="5373" priority="3457" operator="equal">
      <formula>0</formula>
    </cfRule>
  </conditionalFormatting>
  <conditionalFormatting sqref="E28:E29">
    <cfRule type="cellIs" dxfId="5372" priority="3455" operator="equal">
      <formula>0</formula>
    </cfRule>
    <cfRule type="cellIs" dxfId="5371" priority="3456" operator="notEqual">
      <formula>0</formula>
    </cfRule>
  </conditionalFormatting>
  <conditionalFormatting sqref="E30">
    <cfRule type="cellIs" dxfId="5370" priority="3454" operator="equal">
      <formula>0</formula>
    </cfRule>
  </conditionalFormatting>
  <conditionalFormatting sqref="F28:F29">
    <cfRule type="cellIs" dxfId="5369" priority="3452" operator="equal">
      <formula>0</formula>
    </cfRule>
    <cfRule type="cellIs" dxfId="5368" priority="3453" operator="notEqual">
      <formula>0</formula>
    </cfRule>
  </conditionalFormatting>
  <conditionalFormatting sqref="F30">
    <cfRule type="cellIs" dxfId="5367" priority="3451" operator="equal">
      <formula>0</formula>
    </cfRule>
  </conditionalFormatting>
  <conditionalFormatting sqref="G28:G29">
    <cfRule type="cellIs" dxfId="5366" priority="3449" operator="equal">
      <formula>0</formula>
    </cfRule>
    <cfRule type="cellIs" dxfId="5365" priority="3450" operator="notEqual">
      <formula>0</formula>
    </cfRule>
  </conditionalFormatting>
  <conditionalFormatting sqref="G30">
    <cfRule type="cellIs" dxfId="5364" priority="3448" operator="equal">
      <formula>0</formula>
    </cfRule>
  </conditionalFormatting>
  <conditionalFormatting sqref="H28:H29">
    <cfRule type="cellIs" dxfId="5363" priority="3446" operator="equal">
      <formula>0</formula>
    </cfRule>
    <cfRule type="cellIs" dxfId="5362" priority="3447" operator="notEqual">
      <formula>0</formula>
    </cfRule>
  </conditionalFormatting>
  <conditionalFormatting sqref="H30">
    <cfRule type="cellIs" dxfId="5361" priority="3445" operator="equal">
      <formula>0</formula>
    </cfRule>
  </conditionalFormatting>
  <conditionalFormatting sqref="I28:I29">
    <cfRule type="cellIs" dxfId="5360" priority="3443" operator="equal">
      <formula>0</formula>
    </cfRule>
    <cfRule type="cellIs" dxfId="5359" priority="3444" operator="notEqual">
      <formula>0</formula>
    </cfRule>
  </conditionalFormatting>
  <conditionalFormatting sqref="I30">
    <cfRule type="cellIs" dxfId="5358" priority="3442" operator="equal">
      <formula>0</formula>
    </cfRule>
  </conditionalFormatting>
  <conditionalFormatting sqref="J28:J29">
    <cfRule type="cellIs" dxfId="5357" priority="3440" operator="equal">
      <formula>0</formula>
    </cfRule>
    <cfRule type="cellIs" dxfId="5356" priority="3441" operator="notEqual">
      <formula>0</formula>
    </cfRule>
  </conditionalFormatting>
  <conditionalFormatting sqref="J30">
    <cfRule type="cellIs" dxfId="5355" priority="3439" operator="equal">
      <formula>0</formula>
    </cfRule>
  </conditionalFormatting>
  <conditionalFormatting sqref="K28:K29">
    <cfRule type="cellIs" dxfId="5354" priority="3437" operator="equal">
      <formula>0</formula>
    </cfRule>
    <cfRule type="cellIs" dxfId="5353" priority="3438" operator="notEqual">
      <formula>0</formula>
    </cfRule>
  </conditionalFormatting>
  <conditionalFormatting sqref="K30">
    <cfRule type="cellIs" dxfId="5352" priority="3436" operator="equal">
      <formula>0</formula>
    </cfRule>
  </conditionalFormatting>
  <conditionalFormatting sqref="L30">
    <cfRule type="cellIs" dxfId="5351" priority="3435" operator="equal">
      <formula>0</formula>
    </cfRule>
  </conditionalFormatting>
  <conditionalFormatting sqref="M30">
    <cfRule type="cellIs" dxfId="5350" priority="3434" operator="equal">
      <formula>0</formula>
    </cfRule>
  </conditionalFormatting>
  <conditionalFormatting sqref="N30">
    <cfRule type="cellIs" dxfId="5349" priority="3433" operator="equal">
      <formula>0</formula>
    </cfRule>
  </conditionalFormatting>
  <conditionalFormatting sqref="O30">
    <cfRule type="cellIs" dxfId="5348" priority="3432" operator="equal">
      <formula>0</formula>
    </cfRule>
  </conditionalFormatting>
  <conditionalFormatting sqref="P27">
    <cfRule type="cellIs" dxfId="5347" priority="3430" operator="equal">
      <formula>0</formula>
    </cfRule>
    <cfRule type="cellIs" dxfId="5346" priority="3431" operator="notEqual">
      <formula>0</formula>
    </cfRule>
  </conditionalFormatting>
  <conditionalFormatting sqref="P30">
    <cfRule type="cellIs" dxfId="5345" priority="3429" operator="equal">
      <formula>0</formula>
    </cfRule>
  </conditionalFormatting>
  <conditionalFormatting sqref="Q27">
    <cfRule type="cellIs" dxfId="5344" priority="3427" operator="equal">
      <formula>0</formula>
    </cfRule>
    <cfRule type="cellIs" dxfId="5343" priority="3428" operator="notEqual">
      <formula>0</formula>
    </cfRule>
  </conditionalFormatting>
  <conditionalFormatting sqref="Q30">
    <cfRule type="cellIs" dxfId="5342" priority="3426" operator="equal">
      <formula>0</formula>
    </cfRule>
  </conditionalFormatting>
  <conditionalFormatting sqref="R27">
    <cfRule type="cellIs" dxfId="5341" priority="3424" operator="equal">
      <formula>0</formula>
    </cfRule>
    <cfRule type="cellIs" dxfId="5340" priority="3425" operator="notEqual">
      <formula>0</formula>
    </cfRule>
  </conditionalFormatting>
  <conditionalFormatting sqref="R30">
    <cfRule type="cellIs" dxfId="5339" priority="3423" operator="equal">
      <formula>0</formula>
    </cfRule>
  </conditionalFormatting>
  <conditionalFormatting sqref="S27">
    <cfRule type="cellIs" dxfId="5338" priority="3421" operator="equal">
      <formula>0</formula>
    </cfRule>
    <cfRule type="cellIs" dxfId="5337" priority="3422" operator="notEqual">
      <formula>0</formula>
    </cfRule>
  </conditionalFormatting>
  <conditionalFormatting sqref="S30">
    <cfRule type="cellIs" dxfId="5336" priority="3420" operator="equal">
      <formula>0</formula>
    </cfRule>
  </conditionalFormatting>
  <conditionalFormatting sqref="D32:D33">
    <cfRule type="cellIs" dxfId="5335" priority="3418" operator="equal">
      <formula>0</formula>
    </cfRule>
    <cfRule type="cellIs" dxfId="5334" priority="3419" operator="notEqual">
      <formula>0</formula>
    </cfRule>
  </conditionalFormatting>
  <conditionalFormatting sqref="D34">
    <cfRule type="cellIs" dxfId="5333" priority="3417" operator="equal">
      <formula>0</formula>
    </cfRule>
  </conditionalFormatting>
  <conditionalFormatting sqref="E32:E33">
    <cfRule type="cellIs" dxfId="5332" priority="3415" operator="equal">
      <formula>0</formula>
    </cfRule>
    <cfRule type="cellIs" dxfId="5331" priority="3416" operator="notEqual">
      <formula>0</formula>
    </cfRule>
  </conditionalFormatting>
  <conditionalFormatting sqref="E34">
    <cfRule type="cellIs" dxfId="5330" priority="3414" operator="equal">
      <formula>0</formula>
    </cfRule>
  </conditionalFormatting>
  <conditionalFormatting sqref="F32:F33">
    <cfRule type="cellIs" dxfId="5329" priority="3412" operator="equal">
      <formula>0</formula>
    </cfRule>
    <cfRule type="cellIs" dxfId="5328" priority="3413" operator="notEqual">
      <formula>0</formula>
    </cfRule>
  </conditionalFormatting>
  <conditionalFormatting sqref="F34">
    <cfRule type="cellIs" dxfId="5327" priority="3411" operator="equal">
      <formula>0</formula>
    </cfRule>
  </conditionalFormatting>
  <conditionalFormatting sqref="G32:G33">
    <cfRule type="cellIs" dxfId="5326" priority="3409" operator="equal">
      <formula>0</formula>
    </cfRule>
    <cfRule type="cellIs" dxfId="5325" priority="3410" operator="notEqual">
      <formula>0</formula>
    </cfRule>
  </conditionalFormatting>
  <conditionalFormatting sqref="G34">
    <cfRule type="cellIs" dxfId="5324" priority="3408" operator="equal">
      <formula>0</formula>
    </cfRule>
  </conditionalFormatting>
  <conditionalFormatting sqref="H32:H33">
    <cfRule type="cellIs" dxfId="5323" priority="3406" operator="equal">
      <formula>0</formula>
    </cfRule>
    <cfRule type="cellIs" dxfId="5322" priority="3407" operator="notEqual">
      <formula>0</formula>
    </cfRule>
  </conditionalFormatting>
  <conditionalFormatting sqref="H34">
    <cfRule type="cellIs" dxfId="5321" priority="3405" operator="equal">
      <formula>0</formula>
    </cfRule>
  </conditionalFormatting>
  <conditionalFormatting sqref="I32:I33">
    <cfRule type="cellIs" dxfId="5320" priority="3403" operator="equal">
      <formula>0</formula>
    </cfRule>
    <cfRule type="cellIs" dxfId="5319" priority="3404" operator="notEqual">
      <formula>0</formula>
    </cfRule>
  </conditionalFormatting>
  <conditionalFormatting sqref="I34">
    <cfRule type="cellIs" dxfId="5318" priority="3402" operator="equal">
      <formula>0</formula>
    </cfRule>
  </conditionalFormatting>
  <conditionalFormatting sqref="J32:J33">
    <cfRule type="cellIs" dxfId="5317" priority="3400" operator="equal">
      <formula>0</formula>
    </cfRule>
    <cfRule type="cellIs" dxfId="5316" priority="3401" operator="notEqual">
      <formula>0</formula>
    </cfRule>
  </conditionalFormatting>
  <conditionalFormatting sqref="J34">
    <cfRule type="cellIs" dxfId="5315" priority="3399" operator="equal">
      <formula>0</formula>
    </cfRule>
  </conditionalFormatting>
  <conditionalFormatting sqref="K32:K33">
    <cfRule type="cellIs" dxfId="5314" priority="3397" operator="equal">
      <formula>0</formula>
    </cfRule>
    <cfRule type="cellIs" dxfId="5313" priority="3398" operator="notEqual">
      <formula>0</formula>
    </cfRule>
  </conditionalFormatting>
  <conditionalFormatting sqref="K34">
    <cfRule type="cellIs" dxfId="5312" priority="3396" operator="equal">
      <formula>0</formula>
    </cfRule>
  </conditionalFormatting>
  <conditionalFormatting sqref="L34">
    <cfRule type="cellIs" dxfId="5311" priority="3395" operator="equal">
      <formula>0</formula>
    </cfRule>
  </conditionalFormatting>
  <conditionalFormatting sqref="M34">
    <cfRule type="cellIs" dxfId="5310" priority="3394" operator="equal">
      <formula>0</formula>
    </cfRule>
  </conditionalFormatting>
  <conditionalFormatting sqref="N34">
    <cfRule type="cellIs" dxfId="5309" priority="3393" operator="equal">
      <formula>0</formula>
    </cfRule>
  </conditionalFormatting>
  <conditionalFormatting sqref="O34">
    <cfRule type="cellIs" dxfId="5308" priority="3392" operator="equal">
      <formula>0</formula>
    </cfRule>
  </conditionalFormatting>
  <conditionalFormatting sqref="P31">
    <cfRule type="cellIs" dxfId="5307" priority="3390" operator="equal">
      <formula>0</formula>
    </cfRule>
    <cfRule type="cellIs" dxfId="5306" priority="3391" operator="notEqual">
      <formula>0</formula>
    </cfRule>
  </conditionalFormatting>
  <conditionalFormatting sqref="P34">
    <cfRule type="cellIs" dxfId="5305" priority="3389" operator="equal">
      <formula>0</formula>
    </cfRule>
  </conditionalFormatting>
  <conditionalFormatting sqref="Q31">
    <cfRule type="cellIs" dxfId="5304" priority="3387" operator="equal">
      <formula>0</formula>
    </cfRule>
    <cfRule type="cellIs" dxfId="5303" priority="3388" operator="notEqual">
      <formula>0</formula>
    </cfRule>
  </conditionalFormatting>
  <conditionalFormatting sqref="Q34">
    <cfRule type="cellIs" dxfId="5302" priority="3386" operator="equal">
      <formula>0</formula>
    </cfRule>
  </conditionalFormatting>
  <conditionalFormatting sqref="R31">
    <cfRule type="cellIs" dxfId="5301" priority="3384" operator="equal">
      <formula>0</formula>
    </cfRule>
    <cfRule type="cellIs" dxfId="5300" priority="3385" operator="notEqual">
      <formula>0</formula>
    </cfRule>
  </conditionalFormatting>
  <conditionalFormatting sqref="R34">
    <cfRule type="cellIs" dxfId="5299" priority="3383" operator="equal">
      <formula>0</formula>
    </cfRule>
  </conditionalFormatting>
  <conditionalFormatting sqref="S31">
    <cfRule type="cellIs" dxfId="5298" priority="3381" operator="equal">
      <formula>0</formula>
    </cfRule>
    <cfRule type="cellIs" dxfId="5297" priority="3382" operator="notEqual">
      <formula>0</formula>
    </cfRule>
  </conditionalFormatting>
  <conditionalFormatting sqref="S34">
    <cfRule type="cellIs" dxfId="5296" priority="3380" operator="equal">
      <formula>0</formula>
    </cfRule>
  </conditionalFormatting>
  <conditionalFormatting sqref="D36:D37">
    <cfRule type="cellIs" dxfId="5295" priority="3378" operator="equal">
      <formula>0</formula>
    </cfRule>
    <cfRule type="cellIs" dxfId="5294" priority="3379" operator="notEqual">
      <formula>0</formula>
    </cfRule>
  </conditionalFormatting>
  <conditionalFormatting sqref="D38">
    <cfRule type="cellIs" dxfId="5293" priority="3377" operator="equal">
      <formula>0</formula>
    </cfRule>
  </conditionalFormatting>
  <conditionalFormatting sqref="E36:E37">
    <cfRule type="cellIs" dxfId="5292" priority="3375" operator="equal">
      <formula>0</formula>
    </cfRule>
    <cfRule type="cellIs" dxfId="5291" priority="3376" operator="notEqual">
      <formula>0</formula>
    </cfRule>
  </conditionalFormatting>
  <conditionalFormatting sqref="E38">
    <cfRule type="cellIs" dxfId="5290" priority="3374" operator="equal">
      <formula>0</formula>
    </cfRule>
  </conditionalFormatting>
  <conditionalFormatting sqref="F36:F37">
    <cfRule type="cellIs" dxfId="5289" priority="3372" operator="equal">
      <formula>0</formula>
    </cfRule>
    <cfRule type="cellIs" dxfId="5288" priority="3373" operator="notEqual">
      <formula>0</formula>
    </cfRule>
  </conditionalFormatting>
  <conditionalFormatting sqref="F38">
    <cfRule type="cellIs" dxfId="5287" priority="3371" operator="equal">
      <formula>0</formula>
    </cfRule>
  </conditionalFormatting>
  <conditionalFormatting sqref="G36:G37">
    <cfRule type="cellIs" dxfId="5286" priority="3369" operator="equal">
      <formula>0</formula>
    </cfRule>
    <cfRule type="cellIs" dxfId="5285" priority="3370" operator="notEqual">
      <formula>0</formula>
    </cfRule>
  </conditionalFormatting>
  <conditionalFormatting sqref="G38">
    <cfRule type="cellIs" dxfId="5284" priority="3368" operator="equal">
      <formula>0</formula>
    </cfRule>
  </conditionalFormatting>
  <conditionalFormatting sqref="H36:H37">
    <cfRule type="cellIs" dxfId="5283" priority="3366" operator="equal">
      <formula>0</formula>
    </cfRule>
    <cfRule type="cellIs" dxfId="5282" priority="3367" operator="notEqual">
      <formula>0</formula>
    </cfRule>
  </conditionalFormatting>
  <conditionalFormatting sqref="H38">
    <cfRule type="cellIs" dxfId="5281" priority="3365" operator="equal">
      <formula>0</formula>
    </cfRule>
  </conditionalFormatting>
  <conditionalFormatting sqref="I36:I37">
    <cfRule type="cellIs" dxfId="5280" priority="3363" operator="equal">
      <formula>0</formula>
    </cfRule>
    <cfRule type="cellIs" dxfId="5279" priority="3364" operator="notEqual">
      <formula>0</formula>
    </cfRule>
  </conditionalFormatting>
  <conditionalFormatting sqref="I38">
    <cfRule type="cellIs" dxfId="5278" priority="3362" operator="equal">
      <formula>0</formula>
    </cfRule>
  </conditionalFormatting>
  <conditionalFormatting sqref="J36:J37">
    <cfRule type="cellIs" dxfId="5277" priority="3360" operator="equal">
      <formula>0</formula>
    </cfRule>
    <cfRule type="cellIs" dxfId="5276" priority="3361" operator="notEqual">
      <formula>0</formula>
    </cfRule>
  </conditionalFormatting>
  <conditionalFormatting sqref="J38">
    <cfRule type="cellIs" dxfId="5275" priority="3359" operator="equal">
      <formula>0</formula>
    </cfRule>
  </conditionalFormatting>
  <conditionalFormatting sqref="K36:K37">
    <cfRule type="cellIs" dxfId="5274" priority="3357" operator="equal">
      <formula>0</formula>
    </cfRule>
    <cfRule type="cellIs" dxfId="5273" priority="3358" operator="notEqual">
      <formula>0</formula>
    </cfRule>
  </conditionalFormatting>
  <conditionalFormatting sqref="K38">
    <cfRule type="cellIs" dxfId="5272" priority="3356" operator="equal">
      <formula>0</formula>
    </cfRule>
  </conditionalFormatting>
  <conditionalFormatting sqref="L38">
    <cfRule type="cellIs" dxfId="5271" priority="3355" operator="equal">
      <formula>0</formula>
    </cfRule>
  </conditionalFormatting>
  <conditionalFormatting sqref="M38">
    <cfRule type="cellIs" dxfId="5270" priority="3354" operator="equal">
      <formula>0</formula>
    </cfRule>
  </conditionalFormatting>
  <conditionalFormatting sqref="N38">
    <cfRule type="cellIs" dxfId="5269" priority="3353" operator="equal">
      <formula>0</formula>
    </cfRule>
  </conditionalFormatting>
  <conditionalFormatting sqref="O38">
    <cfRule type="cellIs" dxfId="5268" priority="3352" operator="equal">
      <formula>0</formula>
    </cfRule>
  </conditionalFormatting>
  <conditionalFormatting sqref="P35">
    <cfRule type="cellIs" dxfId="5267" priority="3350" operator="equal">
      <formula>0</formula>
    </cfRule>
    <cfRule type="cellIs" dxfId="5266" priority="3351" operator="notEqual">
      <formula>0</formula>
    </cfRule>
  </conditionalFormatting>
  <conditionalFormatting sqref="P38">
    <cfRule type="cellIs" dxfId="5265" priority="3349" operator="equal">
      <formula>0</formula>
    </cfRule>
  </conditionalFormatting>
  <conditionalFormatting sqref="Q35">
    <cfRule type="cellIs" dxfId="5264" priority="3347" operator="equal">
      <formula>0</formula>
    </cfRule>
    <cfRule type="cellIs" dxfId="5263" priority="3348" operator="notEqual">
      <formula>0</formula>
    </cfRule>
  </conditionalFormatting>
  <conditionalFormatting sqref="Q38">
    <cfRule type="cellIs" dxfId="5262" priority="3346" operator="equal">
      <formula>0</formula>
    </cfRule>
  </conditionalFormatting>
  <conditionalFormatting sqref="R35">
    <cfRule type="cellIs" dxfId="5261" priority="3344" operator="equal">
      <formula>0</formula>
    </cfRule>
    <cfRule type="cellIs" dxfId="5260" priority="3345" operator="notEqual">
      <formula>0</formula>
    </cfRule>
  </conditionalFormatting>
  <conditionalFormatting sqref="R38">
    <cfRule type="cellIs" dxfId="5259" priority="3343" operator="equal">
      <formula>0</formula>
    </cfRule>
  </conditionalFormatting>
  <conditionalFormatting sqref="S35">
    <cfRule type="cellIs" dxfId="5258" priority="3341" operator="equal">
      <formula>0</formula>
    </cfRule>
    <cfRule type="cellIs" dxfId="5257" priority="3342" operator="notEqual">
      <formula>0</formula>
    </cfRule>
  </conditionalFormatting>
  <conditionalFormatting sqref="S38">
    <cfRule type="cellIs" dxfId="5256" priority="3340" operator="equal">
      <formula>0</formula>
    </cfRule>
  </conditionalFormatting>
  <conditionalFormatting sqref="D40:D41">
    <cfRule type="cellIs" dxfId="5255" priority="3338" operator="equal">
      <formula>0</formula>
    </cfRule>
    <cfRule type="cellIs" dxfId="5254" priority="3339" operator="notEqual">
      <formula>0</formula>
    </cfRule>
  </conditionalFormatting>
  <conditionalFormatting sqref="D42">
    <cfRule type="cellIs" dxfId="5253" priority="3337" operator="equal">
      <formula>0</formula>
    </cfRule>
  </conditionalFormatting>
  <conditionalFormatting sqref="E40:E41">
    <cfRule type="cellIs" dxfId="5252" priority="3335" operator="equal">
      <formula>0</formula>
    </cfRule>
    <cfRule type="cellIs" dxfId="5251" priority="3336" operator="notEqual">
      <formula>0</formula>
    </cfRule>
  </conditionalFormatting>
  <conditionalFormatting sqref="E42">
    <cfRule type="cellIs" dxfId="5250" priority="3334" operator="equal">
      <formula>0</formula>
    </cfRule>
  </conditionalFormatting>
  <conditionalFormatting sqref="F40:F41">
    <cfRule type="cellIs" dxfId="5249" priority="3332" operator="equal">
      <formula>0</formula>
    </cfRule>
    <cfRule type="cellIs" dxfId="5248" priority="3333" operator="notEqual">
      <formula>0</formula>
    </cfRule>
  </conditionalFormatting>
  <conditionalFormatting sqref="F42">
    <cfRule type="cellIs" dxfId="5247" priority="3331" operator="equal">
      <formula>0</formula>
    </cfRule>
  </conditionalFormatting>
  <conditionalFormatting sqref="G40:G41">
    <cfRule type="cellIs" dxfId="5246" priority="3329" operator="equal">
      <formula>0</formula>
    </cfRule>
    <cfRule type="cellIs" dxfId="5245" priority="3330" operator="notEqual">
      <formula>0</formula>
    </cfRule>
  </conditionalFormatting>
  <conditionalFormatting sqref="G42">
    <cfRule type="cellIs" dxfId="5244" priority="3328" operator="equal">
      <formula>0</formula>
    </cfRule>
  </conditionalFormatting>
  <conditionalFormatting sqref="H40:H41">
    <cfRule type="cellIs" dxfId="5243" priority="3326" operator="equal">
      <formula>0</formula>
    </cfRule>
    <cfRule type="cellIs" dxfId="5242" priority="3327" operator="notEqual">
      <formula>0</formula>
    </cfRule>
  </conditionalFormatting>
  <conditionalFormatting sqref="H42">
    <cfRule type="cellIs" dxfId="5241" priority="3325" operator="equal">
      <formula>0</formula>
    </cfRule>
  </conditionalFormatting>
  <conditionalFormatting sqref="I40:I41">
    <cfRule type="cellIs" dxfId="5240" priority="3323" operator="equal">
      <formula>0</formula>
    </cfRule>
    <cfRule type="cellIs" dxfId="5239" priority="3324" operator="notEqual">
      <formula>0</formula>
    </cfRule>
  </conditionalFormatting>
  <conditionalFormatting sqref="I42">
    <cfRule type="cellIs" dxfId="5238" priority="3322" operator="equal">
      <formula>0</formula>
    </cfRule>
  </conditionalFormatting>
  <conditionalFormatting sqref="J40:J41">
    <cfRule type="cellIs" dxfId="5237" priority="3320" operator="equal">
      <formula>0</formula>
    </cfRule>
    <cfRule type="cellIs" dxfId="5236" priority="3321" operator="notEqual">
      <formula>0</formula>
    </cfRule>
  </conditionalFormatting>
  <conditionalFormatting sqref="J42">
    <cfRule type="cellIs" dxfId="5235" priority="3319" operator="equal">
      <formula>0</formula>
    </cfRule>
  </conditionalFormatting>
  <conditionalFormatting sqref="K40:K41">
    <cfRule type="cellIs" dxfId="5234" priority="3317" operator="equal">
      <formula>0</formula>
    </cfRule>
    <cfRule type="cellIs" dxfId="5233" priority="3318" operator="notEqual">
      <formula>0</formula>
    </cfRule>
  </conditionalFormatting>
  <conditionalFormatting sqref="K42">
    <cfRule type="cellIs" dxfId="5232" priority="3316" operator="equal">
      <formula>0</formula>
    </cfRule>
  </conditionalFormatting>
  <conditionalFormatting sqref="L42">
    <cfRule type="cellIs" dxfId="5231" priority="3315" operator="equal">
      <formula>0</formula>
    </cfRule>
  </conditionalFormatting>
  <conditionalFormatting sqref="M42">
    <cfRule type="cellIs" dxfId="5230" priority="3314" operator="equal">
      <formula>0</formula>
    </cfRule>
  </conditionalFormatting>
  <conditionalFormatting sqref="N42">
    <cfRule type="cellIs" dxfId="5229" priority="3313" operator="equal">
      <formula>0</formula>
    </cfRule>
  </conditionalFormatting>
  <conditionalFormatting sqref="O42">
    <cfRule type="cellIs" dxfId="5228" priority="3312" operator="equal">
      <formula>0</formula>
    </cfRule>
  </conditionalFormatting>
  <conditionalFormatting sqref="P39">
    <cfRule type="cellIs" dxfId="5227" priority="3310" operator="equal">
      <formula>0</formula>
    </cfRule>
    <cfRule type="cellIs" dxfId="5226" priority="3311" operator="notEqual">
      <formula>0</formula>
    </cfRule>
  </conditionalFormatting>
  <conditionalFormatting sqref="P42">
    <cfRule type="cellIs" dxfId="5225" priority="3309" operator="equal">
      <formula>0</formula>
    </cfRule>
  </conditionalFormatting>
  <conditionalFormatting sqref="Q39">
    <cfRule type="cellIs" dxfId="5224" priority="3307" operator="equal">
      <formula>0</formula>
    </cfRule>
    <cfRule type="cellIs" dxfId="5223" priority="3308" operator="notEqual">
      <formula>0</formula>
    </cfRule>
  </conditionalFormatting>
  <conditionalFormatting sqref="Q42">
    <cfRule type="cellIs" dxfId="5222" priority="3306" operator="equal">
      <formula>0</formula>
    </cfRule>
  </conditionalFormatting>
  <conditionalFormatting sqref="R39">
    <cfRule type="cellIs" dxfId="5221" priority="3304" operator="equal">
      <formula>0</formula>
    </cfRule>
    <cfRule type="cellIs" dxfId="5220" priority="3305" operator="notEqual">
      <formula>0</formula>
    </cfRule>
  </conditionalFormatting>
  <conditionalFormatting sqref="R42">
    <cfRule type="cellIs" dxfId="5219" priority="3303" operator="equal">
      <formula>0</formula>
    </cfRule>
  </conditionalFormatting>
  <conditionalFormatting sqref="S39">
    <cfRule type="cellIs" dxfId="5218" priority="3301" operator="equal">
      <formula>0</formula>
    </cfRule>
    <cfRule type="cellIs" dxfId="5217" priority="3302" operator="notEqual">
      <formula>0</formula>
    </cfRule>
  </conditionalFormatting>
  <conditionalFormatting sqref="S42">
    <cfRule type="cellIs" dxfId="5216" priority="3300" operator="equal">
      <formula>0</formula>
    </cfRule>
  </conditionalFormatting>
  <conditionalFormatting sqref="D44:D45">
    <cfRule type="cellIs" dxfId="5215" priority="3298" operator="equal">
      <formula>0</formula>
    </cfRule>
    <cfRule type="cellIs" dxfId="5214" priority="3299" operator="notEqual">
      <formula>0</formula>
    </cfRule>
  </conditionalFormatting>
  <conditionalFormatting sqref="D46">
    <cfRule type="cellIs" dxfId="5213" priority="3297" operator="equal">
      <formula>0</formula>
    </cfRule>
  </conditionalFormatting>
  <conditionalFormatting sqref="E44:E45">
    <cfRule type="cellIs" dxfId="5212" priority="3295" operator="equal">
      <formula>0</formula>
    </cfRule>
    <cfRule type="cellIs" dxfId="5211" priority="3296" operator="notEqual">
      <formula>0</formula>
    </cfRule>
  </conditionalFormatting>
  <conditionalFormatting sqref="E46">
    <cfRule type="cellIs" dxfId="5210" priority="3294" operator="equal">
      <formula>0</formula>
    </cfRule>
  </conditionalFormatting>
  <conditionalFormatting sqref="F44:F45">
    <cfRule type="cellIs" dxfId="5209" priority="3292" operator="equal">
      <formula>0</formula>
    </cfRule>
    <cfRule type="cellIs" dxfId="5208" priority="3293" operator="notEqual">
      <formula>0</formula>
    </cfRule>
  </conditionalFormatting>
  <conditionalFormatting sqref="F46">
    <cfRule type="cellIs" dxfId="5207" priority="3291" operator="equal">
      <formula>0</formula>
    </cfRule>
  </conditionalFormatting>
  <conditionalFormatting sqref="G44:G45">
    <cfRule type="cellIs" dxfId="5206" priority="3289" operator="equal">
      <formula>0</formula>
    </cfRule>
    <cfRule type="cellIs" dxfId="5205" priority="3290" operator="notEqual">
      <formula>0</formula>
    </cfRule>
  </conditionalFormatting>
  <conditionalFormatting sqref="G46">
    <cfRule type="cellIs" dxfId="5204" priority="3288" operator="equal">
      <formula>0</formula>
    </cfRule>
  </conditionalFormatting>
  <conditionalFormatting sqref="H44:H45">
    <cfRule type="cellIs" dxfId="5203" priority="3286" operator="equal">
      <formula>0</formula>
    </cfRule>
    <cfRule type="cellIs" dxfId="5202" priority="3287" operator="notEqual">
      <formula>0</formula>
    </cfRule>
  </conditionalFormatting>
  <conditionalFormatting sqref="H46">
    <cfRule type="cellIs" dxfId="5201" priority="3285" operator="equal">
      <formula>0</formula>
    </cfRule>
  </conditionalFormatting>
  <conditionalFormatting sqref="I44:I45">
    <cfRule type="cellIs" dxfId="5200" priority="3283" operator="equal">
      <formula>0</formula>
    </cfRule>
    <cfRule type="cellIs" dxfId="5199" priority="3284" operator="notEqual">
      <formula>0</formula>
    </cfRule>
  </conditionalFormatting>
  <conditionalFormatting sqref="I46">
    <cfRule type="cellIs" dxfId="5198" priority="3282" operator="equal">
      <formula>0</formula>
    </cfRule>
  </conditionalFormatting>
  <conditionalFormatting sqref="J44:J45">
    <cfRule type="cellIs" dxfId="5197" priority="3280" operator="equal">
      <formula>0</formula>
    </cfRule>
    <cfRule type="cellIs" dxfId="5196" priority="3281" operator="notEqual">
      <formula>0</formula>
    </cfRule>
  </conditionalFormatting>
  <conditionalFormatting sqref="J46">
    <cfRule type="cellIs" dxfId="5195" priority="3279" operator="equal">
      <formula>0</formula>
    </cfRule>
  </conditionalFormatting>
  <conditionalFormatting sqref="K44:K45">
    <cfRule type="cellIs" dxfId="5194" priority="3277" operator="equal">
      <formula>0</formula>
    </cfRule>
    <cfRule type="cellIs" dxfId="5193" priority="3278" operator="notEqual">
      <formula>0</formula>
    </cfRule>
  </conditionalFormatting>
  <conditionalFormatting sqref="K46">
    <cfRule type="cellIs" dxfId="5192" priority="3276" operator="equal">
      <formula>0</formula>
    </cfRule>
  </conditionalFormatting>
  <conditionalFormatting sqref="L46">
    <cfRule type="cellIs" dxfId="5191" priority="3275" operator="equal">
      <formula>0</formula>
    </cfRule>
  </conditionalFormatting>
  <conditionalFormatting sqref="M46">
    <cfRule type="cellIs" dxfId="5190" priority="3274" operator="equal">
      <formula>0</formula>
    </cfRule>
  </conditionalFormatting>
  <conditionalFormatting sqref="N46">
    <cfRule type="cellIs" dxfId="5189" priority="3273" operator="equal">
      <formula>0</formula>
    </cfRule>
  </conditionalFormatting>
  <conditionalFormatting sqref="O46">
    <cfRule type="cellIs" dxfId="5188" priority="3272" operator="equal">
      <formula>0</formula>
    </cfRule>
  </conditionalFormatting>
  <conditionalFormatting sqref="P43">
    <cfRule type="cellIs" dxfId="5187" priority="3270" operator="equal">
      <formula>0</formula>
    </cfRule>
    <cfRule type="cellIs" dxfId="5186" priority="3271" operator="notEqual">
      <formula>0</formula>
    </cfRule>
  </conditionalFormatting>
  <conditionalFormatting sqref="P46">
    <cfRule type="cellIs" dxfId="5185" priority="3269" operator="equal">
      <formula>0</formula>
    </cfRule>
  </conditionalFormatting>
  <conditionalFormatting sqref="Q43">
    <cfRule type="cellIs" dxfId="5184" priority="3267" operator="equal">
      <formula>0</formula>
    </cfRule>
    <cfRule type="cellIs" dxfId="5183" priority="3268" operator="notEqual">
      <formula>0</formula>
    </cfRule>
  </conditionalFormatting>
  <conditionalFormatting sqref="Q46">
    <cfRule type="cellIs" dxfId="5182" priority="3266" operator="equal">
      <formula>0</formula>
    </cfRule>
  </conditionalFormatting>
  <conditionalFormatting sqref="R43">
    <cfRule type="cellIs" dxfId="5181" priority="3264" operator="equal">
      <formula>0</formula>
    </cfRule>
    <cfRule type="cellIs" dxfId="5180" priority="3265" operator="notEqual">
      <formula>0</formula>
    </cfRule>
  </conditionalFormatting>
  <conditionalFormatting sqref="R46">
    <cfRule type="cellIs" dxfId="5179" priority="3263" operator="equal">
      <formula>0</formula>
    </cfRule>
  </conditionalFormatting>
  <conditionalFormatting sqref="S43">
    <cfRule type="cellIs" dxfId="5178" priority="3261" operator="equal">
      <formula>0</formula>
    </cfRule>
    <cfRule type="cellIs" dxfId="5177" priority="3262" operator="notEqual">
      <formula>0</formula>
    </cfRule>
  </conditionalFormatting>
  <conditionalFormatting sqref="S46">
    <cfRule type="cellIs" dxfId="5176" priority="3260" operator="equal">
      <formula>0</formula>
    </cfRule>
  </conditionalFormatting>
  <conditionalFormatting sqref="D48:D49">
    <cfRule type="cellIs" dxfId="5175" priority="3258" operator="equal">
      <formula>0</formula>
    </cfRule>
    <cfRule type="cellIs" dxfId="5174" priority="3259" operator="notEqual">
      <formula>0</formula>
    </cfRule>
  </conditionalFormatting>
  <conditionalFormatting sqref="D50">
    <cfRule type="cellIs" dxfId="5173" priority="3257" operator="equal">
      <formula>0</formula>
    </cfRule>
  </conditionalFormatting>
  <conditionalFormatting sqref="E48:E49">
    <cfRule type="cellIs" dxfId="5172" priority="3255" operator="equal">
      <formula>0</formula>
    </cfRule>
    <cfRule type="cellIs" dxfId="5171" priority="3256" operator="notEqual">
      <formula>0</formula>
    </cfRule>
  </conditionalFormatting>
  <conditionalFormatting sqref="E50">
    <cfRule type="cellIs" dxfId="5170" priority="3254" operator="equal">
      <formula>0</formula>
    </cfRule>
  </conditionalFormatting>
  <conditionalFormatting sqref="F48:F49">
    <cfRule type="cellIs" dxfId="5169" priority="3252" operator="equal">
      <formula>0</formula>
    </cfRule>
    <cfRule type="cellIs" dxfId="5168" priority="3253" operator="notEqual">
      <formula>0</formula>
    </cfRule>
  </conditionalFormatting>
  <conditionalFormatting sqref="F50">
    <cfRule type="cellIs" dxfId="5167" priority="3251" operator="equal">
      <formula>0</formula>
    </cfRule>
  </conditionalFormatting>
  <conditionalFormatting sqref="G48:G49">
    <cfRule type="cellIs" dxfId="5166" priority="3249" operator="equal">
      <formula>0</formula>
    </cfRule>
    <cfRule type="cellIs" dxfId="5165" priority="3250" operator="notEqual">
      <formula>0</formula>
    </cfRule>
  </conditionalFormatting>
  <conditionalFormatting sqref="G50">
    <cfRule type="cellIs" dxfId="5164" priority="3248" operator="equal">
      <formula>0</formula>
    </cfRule>
  </conditionalFormatting>
  <conditionalFormatting sqref="H48:H49">
    <cfRule type="cellIs" dxfId="5163" priority="3246" operator="equal">
      <formula>0</formula>
    </cfRule>
    <cfRule type="cellIs" dxfId="5162" priority="3247" operator="notEqual">
      <formula>0</formula>
    </cfRule>
  </conditionalFormatting>
  <conditionalFormatting sqref="H50">
    <cfRule type="cellIs" dxfId="5161" priority="3245" operator="equal">
      <formula>0</formula>
    </cfRule>
  </conditionalFormatting>
  <conditionalFormatting sqref="I48:I49">
    <cfRule type="cellIs" dxfId="5160" priority="3243" operator="equal">
      <formula>0</formula>
    </cfRule>
    <cfRule type="cellIs" dxfId="5159" priority="3244" operator="notEqual">
      <formula>0</formula>
    </cfRule>
  </conditionalFormatting>
  <conditionalFormatting sqref="I50">
    <cfRule type="cellIs" dxfId="5158" priority="3242" operator="equal">
      <formula>0</formula>
    </cfRule>
  </conditionalFormatting>
  <conditionalFormatting sqref="J48:J49">
    <cfRule type="cellIs" dxfId="5157" priority="3240" operator="equal">
      <formula>0</formula>
    </cfRule>
    <cfRule type="cellIs" dxfId="5156" priority="3241" operator="notEqual">
      <formula>0</formula>
    </cfRule>
  </conditionalFormatting>
  <conditionalFormatting sqref="J50">
    <cfRule type="cellIs" dxfId="5155" priority="3239" operator="equal">
      <formula>0</formula>
    </cfRule>
  </conditionalFormatting>
  <conditionalFormatting sqref="K48:K49">
    <cfRule type="cellIs" dxfId="5154" priority="3237" operator="equal">
      <formula>0</formula>
    </cfRule>
    <cfRule type="cellIs" dxfId="5153" priority="3238" operator="notEqual">
      <formula>0</formula>
    </cfRule>
  </conditionalFormatting>
  <conditionalFormatting sqref="K50">
    <cfRule type="cellIs" dxfId="5152" priority="3236" operator="equal">
      <formula>0</formula>
    </cfRule>
  </conditionalFormatting>
  <conditionalFormatting sqref="L50">
    <cfRule type="cellIs" dxfId="5151" priority="3235" operator="equal">
      <formula>0</formula>
    </cfRule>
  </conditionalFormatting>
  <conditionalFormatting sqref="M50">
    <cfRule type="cellIs" dxfId="5150" priority="3234" operator="equal">
      <formula>0</formula>
    </cfRule>
  </conditionalFormatting>
  <conditionalFormatting sqref="N50">
    <cfRule type="cellIs" dxfId="5149" priority="3233" operator="equal">
      <formula>0</formula>
    </cfRule>
  </conditionalFormatting>
  <conditionalFormatting sqref="O50">
    <cfRule type="cellIs" dxfId="5148" priority="3232" operator="equal">
      <formula>0</formula>
    </cfRule>
  </conditionalFormatting>
  <conditionalFormatting sqref="P47">
    <cfRule type="cellIs" dxfId="5147" priority="3230" operator="equal">
      <formula>0</formula>
    </cfRule>
    <cfRule type="cellIs" dxfId="5146" priority="3231" operator="notEqual">
      <formula>0</formula>
    </cfRule>
  </conditionalFormatting>
  <conditionalFormatting sqref="P50">
    <cfRule type="cellIs" dxfId="5145" priority="3229" operator="equal">
      <formula>0</formula>
    </cfRule>
  </conditionalFormatting>
  <conditionalFormatting sqref="Q47">
    <cfRule type="cellIs" dxfId="5144" priority="3227" operator="equal">
      <formula>0</formula>
    </cfRule>
    <cfRule type="cellIs" dxfId="5143" priority="3228" operator="notEqual">
      <formula>0</formula>
    </cfRule>
  </conditionalFormatting>
  <conditionalFormatting sqref="Q50">
    <cfRule type="cellIs" dxfId="5142" priority="3226" operator="equal">
      <formula>0</formula>
    </cfRule>
  </conditionalFormatting>
  <conditionalFormatting sqref="R47">
    <cfRule type="cellIs" dxfId="5141" priority="3224" operator="equal">
      <formula>0</formula>
    </cfRule>
    <cfRule type="cellIs" dxfId="5140" priority="3225" operator="notEqual">
      <formula>0</formula>
    </cfRule>
  </conditionalFormatting>
  <conditionalFormatting sqref="R50">
    <cfRule type="cellIs" dxfId="5139" priority="3223" operator="equal">
      <formula>0</formula>
    </cfRule>
  </conditionalFormatting>
  <conditionalFormatting sqref="S47">
    <cfRule type="cellIs" dxfId="5138" priority="3221" operator="equal">
      <formula>0</formula>
    </cfRule>
    <cfRule type="cellIs" dxfId="5137" priority="3222" operator="notEqual">
      <formula>0</formula>
    </cfRule>
  </conditionalFormatting>
  <conditionalFormatting sqref="S50">
    <cfRule type="cellIs" dxfId="5136" priority="3220" operator="equal">
      <formula>0</formula>
    </cfRule>
  </conditionalFormatting>
  <conditionalFormatting sqref="D52:D53">
    <cfRule type="cellIs" dxfId="5135" priority="3218" operator="equal">
      <formula>0</formula>
    </cfRule>
    <cfRule type="cellIs" dxfId="5134" priority="3219" operator="notEqual">
      <formula>0</formula>
    </cfRule>
  </conditionalFormatting>
  <conditionalFormatting sqref="D54">
    <cfRule type="cellIs" dxfId="5133" priority="3217" operator="equal">
      <formula>0</formula>
    </cfRule>
  </conditionalFormatting>
  <conditionalFormatting sqref="E52:E53">
    <cfRule type="cellIs" dxfId="5132" priority="3215" operator="equal">
      <formula>0</formula>
    </cfRule>
    <cfRule type="cellIs" dxfId="5131" priority="3216" operator="notEqual">
      <formula>0</formula>
    </cfRule>
  </conditionalFormatting>
  <conditionalFormatting sqref="E54">
    <cfRule type="cellIs" dxfId="5130" priority="3214" operator="equal">
      <formula>0</formula>
    </cfRule>
  </conditionalFormatting>
  <conditionalFormatting sqref="F52:F53">
    <cfRule type="cellIs" dxfId="5129" priority="3212" operator="equal">
      <formula>0</formula>
    </cfRule>
    <cfRule type="cellIs" dxfId="5128" priority="3213" operator="notEqual">
      <formula>0</formula>
    </cfRule>
  </conditionalFormatting>
  <conditionalFormatting sqref="F54">
    <cfRule type="cellIs" dxfId="5127" priority="3211" operator="equal">
      <formula>0</formula>
    </cfRule>
  </conditionalFormatting>
  <conditionalFormatting sqref="G52:G53">
    <cfRule type="cellIs" dxfId="5126" priority="3209" operator="equal">
      <formula>0</formula>
    </cfRule>
    <cfRule type="cellIs" dxfId="5125" priority="3210" operator="notEqual">
      <formula>0</formula>
    </cfRule>
  </conditionalFormatting>
  <conditionalFormatting sqref="G54">
    <cfRule type="cellIs" dxfId="5124" priority="3208" operator="equal">
      <formula>0</formula>
    </cfRule>
  </conditionalFormatting>
  <conditionalFormatting sqref="H52:H53">
    <cfRule type="cellIs" dxfId="5123" priority="3206" operator="equal">
      <formula>0</formula>
    </cfRule>
    <cfRule type="cellIs" dxfId="5122" priority="3207" operator="notEqual">
      <formula>0</formula>
    </cfRule>
  </conditionalFormatting>
  <conditionalFormatting sqref="H54">
    <cfRule type="cellIs" dxfId="5121" priority="3205" operator="equal">
      <formula>0</formula>
    </cfRule>
  </conditionalFormatting>
  <conditionalFormatting sqref="I52:I53">
    <cfRule type="cellIs" dxfId="5120" priority="3203" operator="equal">
      <formula>0</formula>
    </cfRule>
    <cfRule type="cellIs" dxfId="5119" priority="3204" operator="notEqual">
      <formula>0</formula>
    </cfRule>
  </conditionalFormatting>
  <conditionalFormatting sqref="I54">
    <cfRule type="cellIs" dxfId="5118" priority="3202" operator="equal">
      <formula>0</formula>
    </cfRule>
  </conditionalFormatting>
  <conditionalFormatting sqref="J52:J53">
    <cfRule type="cellIs" dxfId="5117" priority="3200" operator="equal">
      <formula>0</formula>
    </cfRule>
    <cfRule type="cellIs" dxfId="5116" priority="3201" operator="notEqual">
      <formula>0</formula>
    </cfRule>
  </conditionalFormatting>
  <conditionalFormatting sqref="J54">
    <cfRule type="cellIs" dxfId="5115" priority="3199" operator="equal">
      <formula>0</formula>
    </cfRule>
  </conditionalFormatting>
  <conditionalFormatting sqref="K52:K53">
    <cfRule type="cellIs" dxfId="5114" priority="3197" operator="equal">
      <formula>0</formula>
    </cfRule>
    <cfRule type="cellIs" dxfId="5113" priority="3198" operator="notEqual">
      <formula>0</formula>
    </cfRule>
  </conditionalFormatting>
  <conditionalFormatting sqref="K54">
    <cfRule type="cellIs" dxfId="5112" priority="3196" operator="equal">
      <formula>0</formula>
    </cfRule>
  </conditionalFormatting>
  <conditionalFormatting sqref="L54">
    <cfRule type="cellIs" dxfId="5111" priority="3195" operator="equal">
      <formula>0</formula>
    </cfRule>
  </conditionalFormatting>
  <conditionalFormatting sqref="M54">
    <cfRule type="cellIs" dxfId="5110" priority="3194" operator="equal">
      <formula>0</formula>
    </cfRule>
  </conditionalFormatting>
  <conditionalFormatting sqref="N54">
    <cfRule type="cellIs" dxfId="5109" priority="3193" operator="equal">
      <formula>0</formula>
    </cfRule>
  </conditionalFormatting>
  <conditionalFormatting sqref="O54">
    <cfRule type="cellIs" dxfId="5108" priority="3192" operator="equal">
      <formula>0</formula>
    </cfRule>
  </conditionalFormatting>
  <conditionalFormatting sqref="P51">
    <cfRule type="cellIs" dxfId="5107" priority="3190" operator="equal">
      <formula>0</formula>
    </cfRule>
    <cfRule type="cellIs" dxfId="5106" priority="3191" operator="notEqual">
      <formula>0</formula>
    </cfRule>
  </conditionalFormatting>
  <conditionalFormatting sqref="P54">
    <cfRule type="cellIs" dxfId="5105" priority="3189" operator="equal">
      <formula>0</formula>
    </cfRule>
  </conditionalFormatting>
  <conditionalFormatting sqref="Q51">
    <cfRule type="cellIs" dxfId="5104" priority="3187" operator="equal">
      <formula>0</formula>
    </cfRule>
    <cfRule type="cellIs" dxfId="5103" priority="3188" operator="notEqual">
      <formula>0</formula>
    </cfRule>
  </conditionalFormatting>
  <conditionalFormatting sqref="Q54">
    <cfRule type="cellIs" dxfId="5102" priority="3186" operator="equal">
      <formula>0</formula>
    </cfRule>
  </conditionalFormatting>
  <conditionalFormatting sqref="R51">
    <cfRule type="cellIs" dxfId="5101" priority="3184" operator="equal">
      <formula>0</formula>
    </cfRule>
    <cfRule type="cellIs" dxfId="5100" priority="3185" operator="notEqual">
      <formula>0</formula>
    </cfRule>
  </conditionalFormatting>
  <conditionalFormatting sqref="R54">
    <cfRule type="cellIs" dxfId="5099" priority="3183" operator="equal">
      <formula>0</formula>
    </cfRule>
  </conditionalFormatting>
  <conditionalFormatting sqref="S51">
    <cfRule type="cellIs" dxfId="5098" priority="3181" operator="equal">
      <formula>0</formula>
    </cfRule>
    <cfRule type="cellIs" dxfId="5097" priority="3182" operator="notEqual">
      <formula>0</formula>
    </cfRule>
  </conditionalFormatting>
  <conditionalFormatting sqref="S54">
    <cfRule type="cellIs" dxfId="5096" priority="3180" operator="equal">
      <formula>0</formula>
    </cfRule>
  </conditionalFormatting>
  <conditionalFormatting sqref="D56:D57">
    <cfRule type="cellIs" dxfId="5095" priority="3178" operator="equal">
      <formula>0</formula>
    </cfRule>
    <cfRule type="cellIs" dxfId="5094" priority="3179" operator="notEqual">
      <formula>0</formula>
    </cfRule>
  </conditionalFormatting>
  <conditionalFormatting sqref="D58">
    <cfRule type="cellIs" dxfId="5093" priority="3177" operator="equal">
      <formula>0</formula>
    </cfRule>
  </conditionalFormatting>
  <conditionalFormatting sqref="E56:E57">
    <cfRule type="cellIs" dxfId="5092" priority="3175" operator="equal">
      <formula>0</formula>
    </cfRule>
    <cfRule type="cellIs" dxfId="5091" priority="3176" operator="notEqual">
      <formula>0</formula>
    </cfRule>
  </conditionalFormatting>
  <conditionalFormatting sqref="E58">
    <cfRule type="cellIs" dxfId="5090" priority="3174" operator="equal">
      <formula>0</formula>
    </cfRule>
  </conditionalFormatting>
  <conditionalFormatting sqref="F56:F57">
    <cfRule type="cellIs" dxfId="5089" priority="3172" operator="equal">
      <formula>0</formula>
    </cfRule>
    <cfRule type="cellIs" dxfId="5088" priority="3173" operator="notEqual">
      <formula>0</formula>
    </cfRule>
  </conditionalFormatting>
  <conditionalFormatting sqref="F58">
    <cfRule type="cellIs" dxfId="5087" priority="3171" operator="equal">
      <formula>0</formula>
    </cfRule>
  </conditionalFormatting>
  <conditionalFormatting sqref="G56:G57">
    <cfRule type="cellIs" dxfId="5086" priority="3169" operator="equal">
      <formula>0</formula>
    </cfRule>
    <cfRule type="cellIs" dxfId="5085" priority="3170" operator="notEqual">
      <formula>0</formula>
    </cfRule>
  </conditionalFormatting>
  <conditionalFormatting sqref="G58">
    <cfRule type="cellIs" dxfId="5084" priority="3168" operator="equal">
      <formula>0</formula>
    </cfRule>
  </conditionalFormatting>
  <conditionalFormatting sqref="H56:H57">
    <cfRule type="cellIs" dxfId="5083" priority="3166" operator="equal">
      <formula>0</formula>
    </cfRule>
    <cfRule type="cellIs" dxfId="5082" priority="3167" operator="notEqual">
      <formula>0</formula>
    </cfRule>
  </conditionalFormatting>
  <conditionalFormatting sqref="H58">
    <cfRule type="cellIs" dxfId="5081" priority="3165" operator="equal">
      <formula>0</formula>
    </cfRule>
  </conditionalFormatting>
  <conditionalFormatting sqref="I56:I57">
    <cfRule type="cellIs" dxfId="5080" priority="3163" operator="equal">
      <formula>0</formula>
    </cfRule>
    <cfRule type="cellIs" dxfId="5079" priority="3164" operator="notEqual">
      <formula>0</formula>
    </cfRule>
  </conditionalFormatting>
  <conditionalFormatting sqref="I58">
    <cfRule type="cellIs" dxfId="5078" priority="3162" operator="equal">
      <formula>0</formula>
    </cfRule>
  </conditionalFormatting>
  <conditionalFormatting sqref="J56:J57">
    <cfRule type="cellIs" dxfId="5077" priority="3160" operator="equal">
      <formula>0</formula>
    </cfRule>
    <cfRule type="cellIs" dxfId="5076" priority="3161" operator="notEqual">
      <formula>0</formula>
    </cfRule>
  </conditionalFormatting>
  <conditionalFormatting sqref="J58">
    <cfRule type="cellIs" dxfId="5075" priority="3159" operator="equal">
      <formula>0</formula>
    </cfRule>
  </conditionalFormatting>
  <conditionalFormatting sqref="K56:K57">
    <cfRule type="cellIs" dxfId="5074" priority="3157" operator="equal">
      <formula>0</formula>
    </cfRule>
    <cfRule type="cellIs" dxfId="5073" priority="3158" operator="notEqual">
      <formula>0</formula>
    </cfRule>
  </conditionalFormatting>
  <conditionalFormatting sqref="K58">
    <cfRule type="cellIs" dxfId="5072" priority="3156" operator="equal">
      <formula>0</formula>
    </cfRule>
  </conditionalFormatting>
  <conditionalFormatting sqref="L58">
    <cfRule type="cellIs" dxfId="5071" priority="3155" operator="equal">
      <formula>0</formula>
    </cfRule>
  </conditionalFormatting>
  <conditionalFormatting sqref="M58">
    <cfRule type="cellIs" dxfId="5070" priority="3154" operator="equal">
      <formula>0</formula>
    </cfRule>
  </conditionalFormatting>
  <conditionalFormatting sqref="N58">
    <cfRule type="cellIs" dxfId="5069" priority="3153" operator="equal">
      <formula>0</formula>
    </cfRule>
  </conditionalFormatting>
  <conditionalFormatting sqref="O58">
    <cfRule type="cellIs" dxfId="5068" priority="3152" operator="equal">
      <formula>0</formula>
    </cfRule>
  </conditionalFormatting>
  <conditionalFormatting sqref="P55">
    <cfRule type="cellIs" dxfId="5067" priority="3150" operator="equal">
      <formula>0</formula>
    </cfRule>
    <cfRule type="cellIs" dxfId="5066" priority="3151" operator="notEqual">
      <formula>0</formula>
    </cfRule>
  </conditionalFormatting>
  <conditionalFormatting sqref="P58">
    <cfRule type="cellIs" dxfId="5065" priority="3149" operator="equal">
      <formula>0</formula>
    </cfRule>
  </conditionalFormatting>
  <conditionalFormatting sqref="Q55">
    <cfRule type="cellIs" dxfId="5064" priority="3147" operator="equal">
      <formula>0</formula>
    </cfRule>
    <cfRule type="cellIs" dxfId="5063" priority="3148" operator="notEqual">
      <formula>0</formula>
    </cfRule>
  </conditionalFormatting>
  <conditionalFormatting sqref="Q58">
    <cfRule type="cellIs" dxfId="5062" priority="3146" operator="equal">
      <formula>0</formula>
    </cfRule>
  </conditionalFormatting>
  <conditionalFormatting sqref="R55">
    <cfRule type="cellIs" dxfId="5061" priority="3144" operator="equal">
      <formula>0</formula>
    </cfRule>
    <cfRule type="cellIs" dxfId="5060" priority="3145" operator="notEqual">
      <formula>0</formula>
    </cfRule>
  </conditionalFormatting>
  <conditionalFormatting sqref="R58">
    <cfRule type="cellIs" dxfId="5059" priority="3143" operator="equal">
      <formula>0</formula>
    </cfRule>
  </conditionalFormatting>
  <conditionalFormatting sqref="S55">
    <cfRule type="cellIs" dxfId="5058" priority="3141" operator="equal">
      <formula>0</formula>
    </cfRule>
    <cfRule type="cellIs" dxfId="5057" priority="3142" operator="notEqual">
      <formula>0</formula>
    </cfRule>
  </conditionalFormatting>
  <conditionalFormatting sqref="S58">
    <cfRule type="cellIs" dxfId="5056" priority="3140" operator="equal">
      <formula>0</formula>
    </cfRule>
  </conditionalFormatting>
  <conditionalFormatting sqref="D102">
    <cfRule type="cellIs" dxfId="5055" priority="3139" operator="equal">
      <formula>0</formula>
    </cfRule>
  </conditionalFormatting>
  <conditionalFormatting sqref="E102">
    <cfRule type="cellIs" dxfId="5054" priority="3138" operator="equal">
      <formula>0</formula>
    </cfRule>
  </conditionalFormatting>
  <conditionalFormatting sqref="F102">
    <cfRule type="cellIs" dxfId="5053" priority="3137" operator="equal">
      <formula>0</formula>
    </cfRule>
  </conditionalFormatting>
  <conditionalFormatting sqref="G102">
    <cfRule type="cellIs" dxfId="5052" priority="3136" operator="equal">
      <formula>0</formula>
    </cfRule>
  </conditionalFormatting>
  <conditionalFormatting sqref="H102">
    <cfRule type="cellIs" dxfId="5051" priority="3135" operator="equal">
      <formula>0</formula>
    </cfRule>
  </conditionalFormatting>
  <conditionalFormatting sqref="I102">
    <cfRule type="cellIs" dxfId="5050" priority="3134" operator="equal">
      <formula>0</formula>
    </cfRule>
  </conditionalFormatting>
  <conditionalFormatting sqref="J102">
    <cfRule type="cellIs" dxfId="5049" priority="3133" operator="equal">
      <formula>0</formula>
    </cfRule>
  </conditionalFormatting>
  <conditionalFormatting sqref="K102">
    <cfRule type="cellIs" dxfId="5048" priority="3132" operator="equal">
      <formula>0</formula>
    </cfRule>
  </conditionalFormatting>
  <conditionalFormatting sqref="L102">
    <cfRule type="cellIs" dxfId="5047" priority="3131" operator="equal">
      <formula>0</formula>
    </cfRule>
  </conditionalFormatting>
  <conditionalFormatting sqref="M102">
    <cfRule type="cellIs" dxfId="5046" priority="3130" operator="equal">
      <formula>0</formula>
    </cfRule>
  </conditionalFormatting>
  <conditionalFormatting sqref="N102">
    <cfRule type="cellIs" dxfId="5045" priority="3129" operator="equal">
      <formula>0</formula>
    </cfRule>
  </conditionalFormatting>
  <conditionalFormatting sqref="O102">
    <cfRule type="cellIs" dxfId="5044" priority="3128" operator="equal">
      <formula>0</formula>
    </cfRule>
  </conditionalFormatting>
  <conditionalFormatting sqref="P102">
    <cfRule type="cellIs" dxfId="5043" priority="3127" operator="equal">
      <formula>0</formula>
    </cfRule>
  </conditionalFormatting>
  <conditionalFormatting sqref="Q102">
    <cfRule type="cellIs" dxfId="5042" priority="3126" operator="equal">
      <formula>0</formula>
    </cfRule>
  </conditionalFormatting>
  <conditionalFormatting sqref="R102">
    <cfRule type="cellIs" dxfId="5041" priority="3125" operator="equal">
      <formula>0</formula>
    </cfRule>
  </conditionalFormatting>
  <conditionalFormatting sqref="S102">
    <cfRule type="cellIs" dxfId="5040" priority="3124" operator="equal">
      <formula>0</formula>
    </cfRule>
  </conditionalFormatting>
  <conditionalFormatting sqref="P205">
    <cfRule type="cellIs" dxfId="5039" priority="2858" operator="equal">
      <formula>0</formula>
    </cfRule>
    <cfRule type="cellIs" dxfId="5038" priority="2859" operator="notEqual">
      <formula>0</formula>
    </cfRule>
  </conditionalFormatting>
  <conditionalFormatting sqref="P225 P229 P237 P241">
    <cfRule type="cellIs" dxfId="5037" priority="2856" operator="equal">
      <formula>0</formula>
    </cfRule>
    <cfRule type="cellIs" dxfId="5036" priority="2857" operator="notEqual">
      <formula>0</formula>
    </cfRule>
  </conditionalFormatting>
  <conditionalFormatting sqref="P208 P228 P232 P240 P244 P296">
    <cfRule type="cellIs" dxfId="5035" priority="2855" operator="equal">
      <formula>0</formula>
    </cfRule>
  </conditionalFormatting>
  <conditionalFormatting sqref="P209">
    <cfRule type="cellIs" dxfId="5034" priority="2853" operator="equal">
      <formula>0</formula>
    </cfRule>
    <cfRule type="cellIs" dxfId="5033" priority="2854" operator="notEqual">
      <formula>0</formula>
    </cfRule>
  </conditionalFormatting>
  <conditionalFormatting sqref="P212">
    <cfRule type="cellIs" dxfId="5032" priority="2852" operator="equal">
      <formula>0</formula>
    </cfRule>
  </conditionalFormatting>
  <conditionalFormatting sqref="P213">
    <cfRule type="cellIs" dxfId="5031" priority="2850" operator="equal">
      <formula>0</formula>
    </cfRule>
    <cfRule type="cellIs" dxfId="5030" priority="2851" operator="notEqual">
      <formula>0</formula>
    </cfRule>
  </conditionalFormatting>
  <conditionalFormatting sqref="P216">
    <cfRule type="cellIs" dxfId="5029" priority="2849" operator="equal">
      <formula>0</formula>
    </cfRule>
  </conditionalFormatting>
  <conditionalFormatting sqref="P217">
    <cfRule type="cellIs" dxfId="5028" priority="2847" operator="equal">
      <formula>0</formula>
    </cfRule>
    <cfRule type="cellIs" dxfId="5027" priority="2848" operator="notEqual">
      <formula>0</formula>
    </cfRule>
  </conditionalFormatting>
  <conditionalFormatting sqref="P220">
    <cfRule type="cellIs" dxfId="5026" priority="2846" operator="equal">
      <formula>0</formula>
    </cfRule>
  </conditionalFormatting>
  <conditionalFormatting sqref="P221">
    <cfRule type="cellIs" dxfId="5025" priority="2844" operator="equal">
      <formula>0</formula>
    </cfRule>
    <cfRule type="cellIs" dxfId="5024" priority="2845" operator="notEqual">
      <formula>0</formula>
    </cfRule>
  </conditionalFormatting>
  <conditionalFormatting sqref="P224">
    <cfRule type="cellIs" dxfId="5023" priority="2843" operator="equal">
      <formula>0</formula>
    </cfRule>
  </conditionalFormatting>
  <conditionalFormatting sqref="P248">
    <cfRule type="cellIs" dxfId="5022" priority="2840" operator="equal">
      <formula>0</formula>
    </cfRule>
  </conditionalFormatting>
  <conditionalFormatting sqref="P252">
    <cfRule type="cellIs" dxfId="5021" priority="2837" operator="equal">
      <formula>0</formula>
    </cfRule>
  </conditionalFormatting>
  <conditionalFormatting sqref="P245">
    <cfRule type="cellIs" dxfId="5020" priority="2841" operator="equal">
      <formula>0</formula>
    </cfRule>
    <cfRule type="cellIs" dxfId="5019" priority="2842" operator="notEqual">
      <formula>0</formula>
    </cfRule>
  </conditionalFormatting>
  <conditionalFormatting sqref="P249">
    <cfRule type="cellIs" dxfId="5018" priority="2838" operator="equal">
      <formula>0</formula>
    </cfRule>
    <cfRule type="cellIs" dxfId="5017" priority="2839" operator="notEqual">
      <formula>0</formula>
    </cfRule>
  </conditionalFormatting>
  <conditionalFormatting sqref="P233">
    <cfRule type="cellIs" dxfId="5016" priority="2835" operator="equal">
      <formula>0</formula>
    </cfRule>
    <cfRule type="cellIs" dxfId="5015" priority="2836" operator="notEqual">
      <formula>0</formula>
    </cfRule>
  </conditionalFormatting>
  <conditionalFormatting sqref="P236">
    <cfRule type="cellIs" dxfId="5014" priority="2834" operator="equal">
      <formula>0</formula>
    </cfRule>
  </conditionalFormatting>
  <conditionalFormatting sqref="Q205">
    <cfRule type="cellIs" dxfId="5013" priority="2832" operator="equal">
      <formula>0</formula>
    </cfRule>
    <cfRule type="cellIs" dxfId="5012" priority="2833" operator="notEqual">
      <formula>0</formula>
    </cfRule>
  </conditionalFormatting>
  <conditionalFormatting sqref="Q225 Q229 Q237 Q241">
    <cfRule type="cellIs" dxfId="5011" priority="2830" operator="equal">
      <formula>0</formula>
    </cfRule>
    <cfRule type="cellIs" dxfId="5010" priority="2831" operator="notEqual">
      <formula>0</formula>
    </cfRule>
  </conditionalFormatting>
  <conditionalFormatting sqref="Q208 Q228 Q232 Q240 Q244 Q296">
    <cfRule type="cellIs" dxfId="5009" priority="2829" operator="equal">
      <formula>0</formula>
    </cfRule>
  </conditionalFormatting>
  <conditionalFormatting sqref="Q209">
    <cfRule type="cellIs" dxfId="5008" priority="2827" operator="equal">
      <formula>0</formula>
    </cfRule>
    <cfRule type="cellIs" dxfId="5007" priority="2828" operator="notEqual">
      <formula>0</formula>
    </cfRule>
  </conditionalFormatting>
  <conditionalFormatting sqref="Q212">
    <cfRule type="cellIs" dxfId="5006" priority="2826" operator="equal">
      <formula>0</formula>
    </cfRule>
  </conditionalFormatting>
  <conditionalFormatting sqref="Q213">
    <cfRule type="cellIs" dxfId="5005" priority="2824" operator="equal">
      <formula>0</formula>
    </cfRule>
    <cfRule type="cellIs" dxfId="5004" priority="2825" operator="notEqual">
      <formula>0</formula>
    </cfRule>
  </conditionalFormatting>
  <conditionalFormatting sqref="Q216">
    <cfRule type="cellIs" dxfId="5003" priority="2823" operator="equal">
      <formula>0</formula>
    </cfRule>
  </conditionalFormatting>
  <conditionalFormatting sqref="Q217">
    <cfRule type="cellIs" dxfId="5002" priority="2821" operator="equal">
      <formula>0</formula>
    </cfRule>
    <cfRule type="cellIs" dxfId="5001" priority="2822" operator="notEqual">
      <formula>0</formula>
    </cfRule>
  </conditionalFormatting>
  <conditionalFormatting sqref="Q220">
    <cfRule type="cellIs" dxfId="5000" priority="2820" operator="equal">
      <formula>0</formula>
    </cfRule>
  </conditionalFormatting>
  <conditionalFormatting sqref="Q221">
    <cfRule type="cellIs" dxfId="4999" priority="2818" operator="equal">
      <formula>0</formula>
    </cfRule>
    <cfRule type="cellIs" dxfId="4998" priority="2819" operator="notEqual">
      <formula>0</formula>
    </cfRule>
  </conditionalFormatting>
  <conditionalFormatting sqref="Q224">
    <cfRule type="cellIs" dxfId="4997" priority="2817" operator="equal">
      <formula>0</formula>
    </cfRule>
  </conditionalFormatting>
  <conditionalFormatting sqref="Q248">
    <cfRule type="cellIs" dxfId="4996" priority="2814" operator="equal">
      <formula>0</formula>
    </cfRule>
  </conditionalFormatting>
  <conditionalFormatting sqref="Q252">
    <cfRule type="cellIs" dxfId="4995" priority="2811" operator="equal">
      <formula>0</formula>
    </cfRule>
  </conditionalFormatting>
  <conditionalFormatting sqref="Q245">
    <cfRule type="cellIs" dxfId="4994" priority="2815" operator="equal">
      <formula>0</formula>
    </cfRule>
    <cfRule type="cellIs" dxfId="4993" priority="2816" operator="notEqual">
      <formula>0</formula>
    </cfRule>
  </conditionalFormatting>
  <conditionalFormatting sqref="Q249">
    <cfRule type="cellIs" dxfId="4992" priority="2812" operator="equal">
      <formula>0</formula>
    </cfRule>
    <cfRule type="cellIs" dxfId="4991" priority="2813" operator="notEqual">
      <formula>0</formula>
    </cfRule>
  </conditionalFormatting>
  <conditionalFormatting sqref="Q233">
    <cfRule type="cellIs" dxfId="4990" priority="2809" operator="equal">
      <formula>0</formula>
    </cfRule>
    <cfRule type="cellIs" dxfId="4989" priority="2810" operator="notEqual">
      <formula>0</formula>
    </cfRule>
  </conditionalFormatting>
  <conditionalFormatting sqref="Q236">
    <cfRule type="cellIs" dxfId="4988" priority="2808" operator="equal">
      <formula>0</formula>
    </cfRule>
  </conditionalFormatting>
  <conditionalFormatting sqref="R205">
    <cfRule type="cellIs" dxfId="4987" priority="2806" operator="equal">
      <formula>0</formula>
    </cfRule>
    <cfRule type="cellIs" dxfId="4986" priority="2807" operator="notEqual">
      <formula>0</formula>
    </cfRule>
  </conditionalFormatting>
  <conditionalFormatting sqref="R225 R229 R237 R241">
    <cfRule type="cellIs" dxfId="4985" priority="2804" operator="equal">
      <formula>0</formula>
    </cfRule>
    <cfRule type="cellIs" dxfId="4984" priority="2805" operator="notEqual">
      <formula>0</formula>
    </cfRule>
  </conditionalFormatting>
  <conditionalFormatting sqref="R208 R228 R232 R240 R244 R296">
    <cfRule type="cellIs" dxfId="4983" priority="2803" operator="equal">
      <formula>0</formula>
    </cfRule>
  </conditionalFormatting>
  <conditionalFormatting sqref="R209">
    <cfRule type="cellIs" dxfId="4982" priority="2801" operator="equal">
      <formula>0</formula>
    </cfRule>
    <cfRule type="cellIs" dxfId="4981" priority="2802" operator="notEqual">
      <formula>0</formula>
    </cfRule>
  </conditionalFormatting>
  <conditionalFormatting sqref="R212">
    <cfRule type="cellIs" dxfId="4980" priority="2800" operator="equal">
      <formula>0</formula>
    </cfRule>
  </conditionalFormatting>
  <conditionalFormatting sqref="R213">
    <cfRule type="cellIs" dxfId="4979" priority="2798" operator="equal">
      <formula>0</formula>
    </cfRule>
    <cfRule type="cellIs" dxfId="4978" priority="2799" operator="notEqual">
      <formula>0</formula>
    </cfRule>
  </conditionalFormatting>
  <conditionalFormatting sqref="R216">
    <cfRule type="cellIs" dxfId="4977" priority="2797" operator="equal">
      <formula>0</formula>
    </cfRule>
  </conditionalFormatting>
  <conditionalFormatting sqref="R217">
    <cfRule type="cellIs" dxfId="4976" priority="2795" operator="equal">
      <formula>0</formula>
    </cfRule>
    <cfRule type="cellIs" dxfId="4975" priority="2796" operator="notEqual">
      <formula>0</formula>
    </cfRule>
  </conditionalFormatting>
  <conditionalFormatting sqref="R220">
    <cfRule type="cellIs" dxfId="4974" priority="2794" operator="equal">
      <formula>0</formula>
    </cfRule>
  </conditionalFormatting>
  <conditionalFormatting sqref="R221">
    <cfRule type="cellIs" dxfId="4973" priority="2792" operator="equal">
      <formula>0</formula>
    </cfRule>
    <cfRule type="cellIs" dxfId="4972" priority="2793" operator="notEqual">
      <formula>0</formula>
    </cfRule>
  </conditionalFormatting>
  <conditionalFormatting sqref="R224">
    <cfRule type="cellIs" dxfId="4971" priority="2791" operator="equal">
      <formula>0</formula>
    </cfRule>
  </conditionalFormatting>
  <conditionalFormatting sqref="R248">
    <cfRule type="cellIs" dxfId="4970" priority="2788" operator="equal">
      <formula>0</formula>
    </cfRule>
  </conditionalFormatting>
  <conditionalFormatting sqref="R252">
    <cfRule type="cellIs" dxfId="4969" priority="2785" operator="equal">
      <formula>0</formula>
    </cfRule>
  </conditionalFormatting>
  <conditionalFormatting sqref="R245">
    <cfRule type="cellIs" dxfId="4968" priority="2789" operator="equal">
      <formula>0</formula>
    </cfRule>
    <cfRule type="cellIs" dxfId="4967" priority="2790" operator="notEqual">
      <formula>0</formula>
    </cfRule>
  </conditionalFormatting>
  <conditionalFormatting sqref="R249">
    <cfRule type="cellIs" dxfId="4966" priority="2786" operator="equal">
      <formula>0</formula>
    </cfRule>
    <cfRule type="cellIs" dxfId="4965" priority="2787" operator="notEqual">
      <formula>0</formula>
    </cfRule>
  </conditionalFormatting>
  <conditionalFormatting sqref="R233">
    <cfRule type="cellIs" dxfId="4964" priority="2783" operator="equal">
      <formula>0</formula>
    </cfRule>
    <cfRule type="cellIs" dxfId="4963" priority="2784" operator="notEqual">
      <formula>0</formula>
    </cfRule>
  </conditionalFormatting>
  <conditionalFormatting sqref="R236">
    <cfRule type="cellIs" dxfId="4962" priority="2782" operator="equal">
      <formula>0</formula>
    </cfRule>
  </conditionalFormatting>
  <conditionalFormatting sqref="S205">
    <cfRule type="cellIs" dxfId="4961" priority="2780" operator="equal">
      <formula>0</formula>
    </cfRule>
    <cfRule type="cellIs" dxfId="4960" priority="2781" operator="notEqual">
      <formula>0</formula>
    </cfRule>
  </conditionalFormatting>
  <conditionalFormatting sqref="S225 S229 S237 S241">
    <cfRule type="cellIs" dxfId="4959" priority="2778" operator="equal">
      <formula>0</formula>
    </cfRule>
    <cfRule type="cellIs" dxfId="4958" priority="2779" operator="notEqual">
      <formula>0</formula>
    </cfRule>
  </conditionalFormatting>
  <conditionalFormatting sqref="S208 S228 S232 S240 S244 S296">
    <cfRule type="cellIs" dxfId="4957" priority="2777" operator="equal">
      <formula>0</formula>
    </cfRule>
  </conditionalFormatting>
  <conditionalFormatting sqref="S209">
    <cfRule type="cellIs" dxfId="4956" priority="2775" operator="equal">
      <formula>0</formula>
    </cfRule>
    <cfRule type="cellIs" dxfId="4955" priority="2776" operator="notEqual">
      <formula>0</formula>
    </cfRule>
  </conditionalFormatting>
  <conditionalFormatting sqref="S212">
    <cfRule type="cellIs" dxfId="4954" priority="2774" operator="equal">
      <formula>0</formula>
    </cfRule>
  </conditionalFormatting>
  <conditionalFormatting sqref="S213">
    <cfRule type="cellIs" dxfId="4953" priority="2772" operator="equal">
      <formula>0</formula>
    </cfRule>
    <cfRule type="cellIs" dxfId="4952" priority="2773" operator="notEqual">
      <formula>0</formula>
    </cfRule>
  </conditionalFormatting>
  <conditionalFormatting sqref="S216">
    <cfRule type="cellIs" dxfId="4951" priority="2771" operator="equal">
      <formula>0</formula>
    </cfRule>
  </conditionalFormatting>
  <conditionalFormatting sqref="S217">
    <cfRule type="cellIs" dxfId="4950" priority="2769" operator="equal">
      <formula>0</formula>
    </cfRule>
    <cfRule type="cellIs" dxfId="4949" priority="2770" operator="notEqual">
      <formula>0</formula>
    </cfRule>
  </conditionalFormatting>
  <conditionalFormatting sqref="S220">
    <cfRule type="cellIs" dxfId="4948" priority="2768" operator="equal">
      <formula>0</formula>
    </cfRule>
  </conditionalFormatting>
  <conditionalFormatting sqref="S221">
    <cfRule type="cellIs" dxfId="4947" priority="2766" operator="equal">
      <formula>0</formula>
    </cfRule>
    <cfRule type="cellIs" dxfId="4946" priority="2767" operator="notEqual">
      <formula>0</formula>
    </cfRule>
  </conditionalFormatting>
  <conditionalFormatting sqref="S224">
    <cfRule type="cellIs" dxfId="4945" priority="2765" operator="equal">
      <formula>0</formula>
    </cfRule>
  </conditionalFormatting>
  <conditionalFormatting sqref="S248">
    <cfRule type="cellIs" dxfId="4944" priority="2762" operator="equal">
      <formula>0</formula>
    </cfRule>
  </conditionalFormatting>
  <conditionalFormatting sqref="S252">
    <cfRule type="cellIs" dxfId="4943" priority="2759" operator="equal">
      <formula>0</formula>
    </cfRule>
  </conditionalFormatting>
  <conditionalFormatting sqref="S245">
    <cfRule type="cellIs" dxfId="4942" priority="2763" operator="equal">
      <formula>0</formula>
    </cfRule>
    <cfRule type="cellIs" dxfId="4941" priority="2764" operator="notEqual">
      <formula>0</formula>
    </cfRule>
  </conditionalFormatting>
  <conditionalFormatting sqref="S249">
    <cfRule type="cellIs" dxfId="4940" priority="2760" operator="equal">
      <formula>0</formula>
    </cfRule>
    <cfRule type="cellIs" dxfId="4939" priority="2761" operator="notEqual">
      <formula>0</formula>
    </cfRule>
  </conditionalFormatting>
  <conditionalFormatting sqref="S233">
    <cfRule type="cellIs" dxfId="4938" priority="2757" operator="equal">
      <formula>0</formula>
    </cfRule>
    <cfRule type="cellIs" dxfId="4937" priority="2758" operator="notEqual">
      <formula>0</formula>
    </cfRule>
  </conditionalFormatting>
  <conditionalFormatting sqref="S236">
    <cfRule type="cellIs" dxfId="4936" priority="2756" operator="equal">
      <formula>0</formula>
    </cfRule>
  </conditionalFormatting>
  <conditionalFormatting sqref="D206:D207">
    <cfRule type="cellIs" dxfId="4935" priority="2754" operator="equal">
      <formula>0</formula>
    </cfRule>
    <cfRule type="cellIs" dxfId="4934" priority="2755" operator="notEqual">
      <formula>0</formula>
    </cfRule>
  </conditionalFormatting>
  <conditionalFormatting sqref="D210:D211 D214:D215 D222:D223 D242:D243 D246:D247 D250:D251">
    <cfRule type="cellIs" dxfId="4933" priority="2752" operator="equal">
      <formula>0</formula>
    </cfRule>
    <cfRule type="cellIs" dxfId="4932" priority="2753" operator="notEqual">
      <formula>0</formula>
    </cfRule>
  </conditionalFormatting>
  <conditionalFormatting sqref="D208 D212 D216 D224 D244 D248 D252 D296">
    <cfRule type="cellIs" dxfId="4931" priority="2751" operator="equal">
      <formula>0</formula>
    </cfRule>
  </conditionalFormatting>
  <conditionalFormatting sqref="D228">
    <cfRule type="cellIs" dxfId="4930" priority="2748" operator="equal">
      <formula>0</formula>
    </cfRule>
  </conditionalFormatting>
  <conditionalFormatting sqref="D220">
    <cfRule type="cellIs" dxfId="4929" priority="2745" operator="equal">
      <formula>0</formula>
    </cfRule>
  </conditionalFormatting>
  <conditionalFormatting sqref="D226:D227">
    <cfRule type="cellIs" dxfId="4928" priority="2749" operator="equal">
      <formula>0</formula>
    </cfRule>
    <cfRule type="cellIs" dxfId="4927" priority="2750" operator="notEqual">
      <formula>0</formula>
    </cfRule>
  </conditionalFormatting>
  <conditionalFormatting sqref="D240">
    <cfRule type="cellIs" dxfId="4926" priority="2742" operator="equal">
      <formula>0</formula>
    </cfRule>
  </conditionalFormatting>
  <conditionalFormatting sqref="D218:D219">
    <cfRule type="cellIs" dxfId="4925" priority="2746" operator="equal">
      <formula>0</formula>
    </cfRule>
    <cfRule type="cellIs" dxfId="4924" priority="2747" operator="notEqual">
      <formula>0</formula>
    </cfRule>
  </conditionalFormatting>
  <conditionalFormatting sqref="D232">
    <cfRule type="cellIs" dxfId="4923" priority="2739" operator="equal">
      <formula>0</formula>
    </cfRule>
  </conditionalFormatting>
  <conditionalFormatting sqref="D238:D239">
    <cfRule type="cellIs" dxfId="4922" priority="2743" operator="equal">
      <formula>0</formula>
    </cfRule>
    <cfRule type="cellIs" dxfId="4921" priority="2744" operator="notEqual">
      <formula>0</formula>
    </cfRule>
  </conditionalFormatting>
  <conditionalFormatting sqref="D230:D231">
    <cfRule type="cellIs" dxfId="4920" priority="2740" operator="equal">
      <formula>0</formula>
    </cfRule>
    <cfRule type="cellIs" dxfId="4919" priority="2741" operator="notEqual">
      <formula>0</formula>
    </cfRule>
  </conditionalFormatting>
  <conditionalFormatting sqref="D236">
    <cfRule type="cellIs" dxfId="4918" priority="2736" operator="equal">
      <formula>0</formula>
    </cfRule>
  </conditionalFormatting>
  <conditionalFormatting sqref="D234:D235">
    <cfRule type="cellIs" dxfId="4917" priority="2737" operator="equal">
      <formula>0</formula>
    </cfRule>
    <cfRule type="cellIs" dxfId="4916" priority="2738" operator="notEqual">
      <formula>0</formula>
    </cfRule>
  </conditionalFormatting>
  <conditionalFormatting sqref="E206:E207">
    <cfRule type="cellIs" dxfId="4915" priority="2734" operator="equal">
      <formula>0</formula>
    </cfRule>
    <cfRule type="cellIs" dxfId="4914" priority="2735" operator="notEqual">
      <formula>0</formula>
    </cfRule>
  </conditionalFormatting>
  <conditionalFormatting sqref="E210:E211 E214:E215 E222:E223 E242:E243 E246:E247 E250:E251">
    <cfRule type="cellIs" dxfId="4913" priority="2732" operator="equal">
      <formula>0</formula>
    </cfRule>
    <cfRule type="cellIs" dxfId="4912" priority="2733" operator="notEqual">
      <formula>0</formula>
    </cfRule>
  </conditionalFormatting>
  <conditionalFormatting sqref="E208 E212 E216 E224 E244 E248 E252 E296">
    <cfRule type="cellIs" dxfId="4911" priority="2731" operator="equal">
      <formula>0</formula>
    </cfRule>
  </conditionalFormatting>
  <conditionalFormatting sqref="E228">
    <cfRule type="cellIs" dxfId="4910" priority="2728" operator="equal">
      <formula>0</formula>
    </cfRule>
  </conditionalFormatting>
  <conditionalFormatting sqref="E220">
    <cfRule type="cellIs" dxfId="4909" priority="2725" operator="equal">
      <formula>0</formula>
    </cfRule>
  </conditionalFormatting>
  <conditionalFormatting sqref="E226:E227">
    <cfRule type="cellIs" dxfId="4908" priority="2729" operator="equal">
      <formula>0</formula>
    </cfRule>
    <cfRule type="cellIs" dxfId="4907" priority="2730" operator="notEqual">
      <formula>0</formula>
    </cfRule>
  </conditionalFormatting>
  <conditionalFormatting sqref="E240">
    <cfRule type="cellIs" dxfId="4906" priority="2722" operator="equal">
      <formula>0</formula>
    </cfRule>
  </conditionalFormatting>
  <conditionalFormatting sqref="E218:E219">
    <cfRule type="cellIs" dxfId="4905" priority="2726" operator="equal">
      <formula>0</formula>
    </cfRule>
    <cfRule type="cellIs" dxfId="4904" priority="2727" operator="notEqual">
      <formula>0</formula>
    </cfRule>
  </conditionalFormatting>
  <conditionalFormatting sqref="E232">
    <cfRule type="cellIs" dxfId="4903" priority="2719" operator="equal">
      <formula>0</formula>
    </cfRule>
  </conditionalFormatting>
  <conditionalFormatting sqref="E238:E239">
    <cfRule type="cellIs" dxfId="4902" priority="2723" operator="equal">
      <formula>0</formula>
    </cfRule>
    <cfRule type="cellIs" dxfId="4901" priority="2724" operator="notEqual">
      <formula>0</formula>
    </cfRule>
  </conditionalFormatting>
  <conditionalFormatting sqref="E230:E231">
    <cfRule type="cellIs" dxfId="4900" priority="2720" operator="equal">
      <formula>0</formula>
    </cfRule>
    <cfRule type="cellIs" dxfId="4899" priority="2721" operator="notEqual">
      <formula>0</formula>
    </cfRule>
  </conditionalFormatting>
  <conditionalFormatting sqref="E236">
    <cfRule type="cellIs" dxfId="4898" priority="2716" operator="equal">
      <formula>0</formula>
    </cfRule>
  </conditionalFormatting>
  <conditionalFormatting sqref="E234:E235">
    <cfRule type="cellIs" dxfId="4897" priority="2717" operator="equal">
      <formula>0</formula>
    </cfRule>
    <cfRule type="cellIs" dxfId="4896" priority="2718" operator="notEqual">
      <formula>0</formula>
    </cfRule>
  </conditionalFormatting>
  <conditionalFormatting sqref="F206:F207">
    <cfRule type="cellIs" dxfId="4895" priority="2714" operator="equal">
      <formula>0</formula>
    </cfRule>
    <cfRule type="cellIs" dxfId="4894" priority="2715" operator="notEqual">
      <formula>0</formula>
    </cfRule>
  </conditionalFormatting>
  <conditionalFormatting sqref="F210:F211 F214:F215 F222:F223 F242:F243 F246:F247 F250:F251">
    <cfRule type="cellIs" dxfId="4893" priority="2712" operator="equal">
      <formula>0</formula>
    </cfRule>
    <cfRule type="cellIs" dxfId="4892" priority="2713" operator="notEqual">
      <formula>0</formula>
    </cfRule>
  </conditionalFormatting>
  <conditionalFormatting sqref="F208 F212 F216 F224 F244 F248 F252 F296">
    <cfRule type="cellIs" dxfId="4891" priority="2711" operator="equal">
      <formula>0</formula>
    </cfRule>
  </conditionalFormatting>
  <conditionalFormatting sqref="F228">
    <cfRule type="cellIs" dxfId="4890" priority="2708" operator="equal">
      <formula>0</formula>
    </cfRule>
  </conditionalFormatting>
  <conditionalFormatting sqref="F220">
    <cfRule type="cellIs" dxfId="4889" priority="2705" operator="equal">
      <formula>0</formula>
    </cfRule>
  </conditionalFormatting>
  <conditionalFormatting sqref="F226:F227">
    <cfRule type="cellIs" dxfId="4888" priority="2709" operator="equal">
      <formula>0</formula>
    </cfRule>
    <cfRule type="cellIs" dxfId="4887" priority="2710" operator="notEqual">
      <formula>0</formula>
    </cfRule>
  </conditionalFormatting>
  <conditionalFormatting sqref="F240">
    <cfRule type="cellIs" dxfId="4886" priority="2702" operator="equal">
      <formula>0</formula>
    </cfRule>
  </conditionalFormatting>
  <conditionalFormatting sqref="F218:F219">
    <cfRule type="cellIs" dxfId="4885" priority="2706" operator="equal">
      <formula>0</formula>
    </cfRule>
    <cfRule type="cellIs" dxfId="4884" priority="2707" operator="notEqual">
      <formula>0</formula>
    </cfRule>
  </conditionalFormatting>
  <conditionalFormatting sqref="F232">
    <cfRule type="cellIs" dxfId="4883" priority="2699" operator="equal">
      <formula>0</formula>
    </cfRule>
  </conditionalFormatting>
  <conditionalFormatting sqref="F238:F239">
    <cfRule type="cellIs" dxfId="4882" priority="2703" operator="equal">
      <formula>0</formula>
    </cfRule>
    <cfRule type="cellIs" dxfId="4881" priority="2704" operator="notEqual">
      <formula>0</formula>
    </cfRule>
  </conditionalFormatting>
  <conditionalFormatting sqref="F230:F231">
    <cfRule type="cellIs" dxfId="4880" priority="2700" operator="equal">
      <formula>0</formula>
    </cfRule>
    <cfRule type="cellIs" dxfId="4879" priority="2701" operator="notEqual">
      <formula>0</formula>
    </cfRule>
  </conditionalFormatting>
  <conditionalFormatting sqref="F236">
    <cfRule type="cellIs" dxfId="4878" priority="2696" operator="equal">
      <formula>0</formula>
    </cfRule>
  </conditionalFormatting>
  <conditionalFormatting sqref="F234:F235">
    <cfRule type="cellIs" dxfId="4877" priority="2697" operator="equal">
      <formula>0</formula>
    </cfRule>
    <cfRule type="cellIs" dxfId="4876" priority="2698" operator="notEqual">
      <formula>0</formula>
    </cfRule>
  </conditionalFormatting>
  <conditionalFormatting sqref="G206:G207">
    <cfRule type="cellIs" dxfId="4875" priority="2694" operator="equal">
      <formula>0</formula>
    </cfRule>
    <cfRule type="cellIs" dxfId="4874" priority="2695" operator="notEqual">
      <formula>0</formula>
    </cfRule>
  </conditionalFormatting>
  <conditionalFormatting sqref="G210:G211 G214:G215 G222:G223 G242:G243 G246:G247 G250:G251">
    <cfRule type="cellIs" dxfId="4873" priority="2692" operator="equal">
      <formula>0</formula>
    </cfRule>
    <cfRule type="cellIs" dxfId="4872" priority="2693" operator="notEqual">
      <formula>0</formula>
    </cfRule>
  </conditionalFormatting>
  <conditionalFormatting sqref="G208 G212 G216 G224 G244 G248 G252 G296">
    <cfRule type="cellIs" dxfId="4871" priority="2691" operator="equal">
      <formula>0</formula>
    </cfRule>
  </conditionalFormatting>
  <conditionalFormatting sqref="G228">
    <cfRule type="cellIs" dxfId="4870" priority="2688" operator="equal">
      <formula>0</formula>
    </cfRule>
  </conditionalFormatting>
  <conditionalFormatting sqref="G220">
    <cfRule type="cellIs" dxfId="4869" priority="2685" operator="equal">
      <formula>0</formula>
    </cfRule>
  </conditionalFormatting>
  <conditionalFormatting sqref="G226:G227">
    <cfRule type="cellIs" dxfId="4868" priority="2689" operator="equal">
      <formula>0</formula>
    </cfRule>
    <cfRule type="cellIs" dxfId="4867" priority="2690" operator="notEqual">
      <formula>0</formula>
    </cfRule>
  </conditionalFormatting>
  <conditionalFormatting sqref="G240">
    <cfRule type="cellIs" dxfId="4866" priority="2682" operator="equal">
      <formula>0</formula>
    </cfRule>
  </conditionalFormatting>
  <conditionalFormatting sqref="G218:G219">
    <cfRule type="cellIs" dxfId="4865" priority="2686" operator="equal">
      <formula>0</formula>
    </cfRule>
    <cfRule type="cellIs" dxfId="4864" priority="2687" operator="notEqual">
      <formula>0</formula>
    </cfRule>
  </conditionalFormatting>
  <conditionalFormatting sqref="G232">
    <cfRule type="cellIs" dxfId="4863" priority="2679" operator="equal">
      <formula>0</formula>
    </cfRule>
  </conditionalFormatting>
  <conditionalFormatting sqref="G238:G239">
    <cfRule type="cellIs" dxfId="4862" priority="2683" operator="equal">
      <formula>0</formula>
    </cfRule>
    <cfRule type="cellIs" dxfId="4861" priority="2684" operator="notEqual">
      <formula>0</formula>
    </cfRule>
  </conditionalFormatting>
  <conditionalFormatting sqref="G230:G231">
    <cfRule type="cellIs" dxfId="4860" priority="2680" operator="equal">
      <formula>0</formula>
    </cfRule>
    <cfRule type="cellIs" dxfId="4859" priority="2681" operator="notEqual">
      <formula>0</formula>
    </cfRule>
  </conditionalFormatting>
  <conditionalFormatting sqref="G236">
    <cfRule type="cellIs" dxfId="4858" priority="2676" operator="equal">
      <formula>0</formula>
    </cfRule>
  </conditionalFormatting>
  <conditionalFormatting sqref="G234:G235">
    <cfRule type="cellIs" dxfId="4857" priority="2677" operator="equal">
      <formula>0</formula>
    </cfRule>
    <cfRule type="cellIs" dxfId="4856" priority="2678" operator="notEqual">
      <formula>0</formula>
    </cfRule>
  </conditionalFormatting>
  <conditionalFormatting sqref="H206:H207">
    <cfRule type="cellIs" dxfId="4855" priority="2674" operator="equal">
      <formula>0</formula>
    </cfRule>
    <cfRule type="cellIs" dxfId="4854" priority="2675" operator="notEqual">
      <formula>0</formula>
    </cfRule>
  </conditionalFormatting>
  <conditionalFormatting sqref="H210:H211 H214:H215 H222:H223 H242:H243 H246:H247 H250:H251">
    <cfRule type="cellIs" dxfId="4853" priority="2672" operator="equal">
      <formula>0</formula>
    </cfRule>
    <cfRule type="cellIs" dxfId="4852" priority="2673" operator="notEqual">
      <formula>0</formula>
    </cfRule>
  </conditionalFormatting>
  <conditionalFormatting sqref="H208 H212 H216 H224 H244 H248 H252 H296">
    <cfRule type="cellIs" dxfId="4851" priority="2671" operator="equal">
      <formula>0</formula>
    </cfRule>
  </conditionalFormatting>
  <conditionalFormatting sqref="H228">
    <cfRule type="cellIs" dxfId="4850" priority="2668" operator="equal">
      <formula>0</formula>
    </cfRule>
  </conditionalFormatting>
  <conditionalFormatting sqref="H220">
    <cfRule type="cellIs" dxfId="4849" priority="2665" operator="equal">
      <formula>0</formula>
    </cfRule>
  </conditionalFormatting>
  <conditionalFormatting sqref="H226:H227">
    <cfRule type="cellIs" dxfId="4848" priority="2669" operator="equal">
      <formula>0</formula>
    </cfRule>
    <cfRule type="cellIs" dxfId="4847" priority="2670" operator="notEqual">
      <formula>0</formula>
    </cfRule>
  </conditionalFormatting>
  <conditionalFormatting sqref="H240">
    <cfRule type="cellIs" dxfId="4846" priority="2662" operator="equal">
      <formula>0</formula>
    </cfRule>
  </conditionalFormatting>
  <conditionalFormatting sqref="H218:H219">
    <cfRule type="cellIs" dxfId="4845" priority="2666" operator="equal">
      <formula>0</formula>
    </cfRule>
    <cfRule type="cellIs" dxfId="4844" priority="2667" operator="notEqual">
      <formula>0</formula>
    </cfRule>
  </conditionalFormatting>
  <conditionalFormatting sqref="H232">
    <cfRule type="cellIs" dxfId="4843" priority="2659" operator="equal">
      <formula>0</formula>
    </cfRule>
  </conditionalFormatting>
  <conditionalFormatting sqref="H238:H239">
    <cfRule type="cellIs" dxfId="4842" priority="2663" operator="equal">
      <formula>0</formula>
    </cfRule>
    <cfRule type="cellIs" dxfId="4841" priority="2664" operator="notEqual">
      <formula>0</formula>
    </cfRule>
  </conditionalFormatting>
  <conditionalFormatting sqref="H230:H231">
    <cfRule type="cellIs" dxfId="4840" priority="2660" operator="equal">
      <formula>0</formula>
    </cfRule>
    <cfRule type="cellIs" dxfId="4839" priority="2661" operator="notEqual">
      <formula>0</formula>
    </cfRule>
  </conditionalFormatting>
  <conditionalFormatting sqref="H236">
    <cfRule type="cellIs" dxfId="4838" priority="2656" operator="equal">
      <formula>0</formula>
    </cfRule>
  </conditionalFormatting>
  <conditionalFormatting sqref="H234:H235">
    <cfRule type="cellIs" dxfId="4837" priority="2657" operator="equal">
      <formula>0</formula>
    </cfRule>
    <cfRule type="cellIs" dxfId="4836" priority="2658" operator="notEqual">
      <formula>0</formula>
    </cfRule>
  </conditionalFormatting>
  <conditionalFormatting sqref="I206:I207">
    <cfRule type="cellIs" dxfId="4835" priority="2654" operator="equal">
      <formula>0</formula>
    </cfRule>
    <cfRule type="cellIs" dxfId="4834" priority="2655" operator="notEqual">
      <formula>0</formula>
    </cfRule>
  </conditionalFormatting>
  <conditionalFormatting sqref="I210:I211 I214:I215 I222:I223 I242:I243 I246:I247 I250:I251">
    <cfRule type="cellIs" dxfId="4833" priority="2652" operator="equal">
      <formula>0</formula>
    </cfRule>
    <cfRule type="cellIs" dxfId="4832" priority="2653" operator="notEqual">
      <formula>0</formula>
    </cfRule>
  </conditionalFormatting>
  <conditionalFormatting sqref="I208 I212 I216 I224 I244 I248 I252 I296">
    <cfRule type="cellIs" dxfId="4831" priority="2651" operator="equal">
      <formula>0</formula>
    </cfRule>
  </conditionalFormatting>
  <conditionalFormatting sqref="I228">
    <cfRule type="cellIs" dxfId="4830" priority="2648" operator="equal">
      <formula>0</formula>
    </cfRule>
  </conditionalFormatting>
  <conditionalFormatting sqref="I220">
    <cfRule type="cellIs" dxfId="4829" priority="2645" operator="equal">
      <formula>0</formula>
    </cfRule>
  </conditionalFormatting>
  <conditionalFormatting sqref="I226:I227">
    <cfRule type="cellIs" dxfId="4828" priority="2649" operator="equal">
      <formula>0</formula>
    </cfRule>
    <cfRule type="cellIs" dxfId="4827" priority="2650" operator="notEqual">
      <formula>0</formula>
    </cfRule>
  </conditionalFormatting>
  <conditionalFormatting sqref="I240">
    <cfRule type="cellIs" dxfId="4826" priority="2642" operator="equal">
      <formula>0</formula>
    </cfRule>
  </conditionalFormatting>
  <conditionalFormatting sqref="I218:I219">
    <cfRule type="cellIs" dxfId="4825" priority="2646" operator="equal">
      <formula>0</formula>
    </cfRule>
    <cfRule type="cellIs" dxfId="4824" priority="2647" operator="notEqual">
      <formula>0</formula>
    </cfRule>
  </conditionalFormatting>
  <conditionalFormatting sqref="I232">
    <cfRule type="cellIs" dxfId="4823" priority="2639" operator="equal">
      <formula>0</formula>
    </cfRule>
  </conditionalFormatting>
  <conditionalFormatting sqref="I238:I239">
    <cfRule type="cellIs" dxfId="4822" priority="2643" operator="equal">
      <formula>0</formula>
    </cfRule>
    <cfRule type="cellIs" dxfId="4821" priority="2644" operator="notEqual">
      <formula>0</formula>
    </cfRule>
  </conditionalFormatting>
  <conditionalFormatting sqref="I230:I231">
    <cfRule type="cellIs" dxfId="4820" priority="2640" operator="equal">
      <formula>0</formula>
    </cfRule>
    <cfRule type="cellIs" dxfId="4819" priority="2641" operator="notEqual">
      <formula>0</formula>
    </cfRule>
  </conditionalFormatting>
  <conditionalFormatting sqref="I236">
    <cfRule type="cellIs" dxfId="4818" priority="2636" operator="equal">
      <formula>0</formula>
    </cfRule>
  </conditionalFormatting>
  <conditionalFormatting sqref="I234:I235">
    <cfRule type="cellIs" dxfId="4817" priority="2637" operator="equal">
      <formula>0</formula>
    </cfRule>
    <cfRule type="cellIs" dxfId="4816" priority="2638" operator="notEqual">
      <formula>0</formula>
    </cfRule>
  </conditionalFormatting>
  <conditionalFormatting sqref="J206:J207">
    <cfRule type="cellIs" dxfId="4815" priority="2634" operator="equal">
      <formula>0</formula>
    </cfRule>
    <cfRule type="cellIs" dxfId="4814" priority="2635" operator="notEqual">
      <formula>0</formula>
    </cfRule>
  </conditionalFormatting>
  <conditionalFormatting sqref="J210:J211 J214:J215 J222:J223 J242:J243 J246:J247 J250:J251">
    <cfRule type="cellIs" dxfId="4813" priority="2632" operator="equal">
      <formula>0</formula>
    </cfRule>
    <cfRule type="cellIs" dxfId="4812" priority="2633" operator="notEqual">
      <formula>0</formula>
    </cfRule>
  </conditionalFormatting>
  <conditionalFormatting sqref="J208 J212 J216 J224 J244 J248 J252 J296">
    <cfRule type="cellIs" dxfId="4811" priority="2631" operator="equal">
      <formula>0</formula>
    </cfRule>
  </conditionalFormatting>
  <conditionalFormatting sqref="J228">
    <cfRule type="cellIs" dxfId="4810" priority="2628" operator="equal">
      <formula>0</formula>
    </cfRule>
  </conditionalFormatting>
  <conditionalFormatting sqref="J220">
    <cfRule type="cellIs" dxfId="4809" priority="2625" operator="equal">
      <formula>0</formula>
    </cfRule>
  </conditionalFormatting>
  <conditionalFormatting sqref="J226:J227">
    <cfRule type="cellIs" dxfId="4808" priority="2629" operator="equal">
      <formula>0</formula>
    </cfRule>
    <cfRule type="cellIs" dxfId="4807" priority="2630" operator="notEqual">
      <formula>0</formula>
    </cfRule>
  </conditionalFormatting>
  <conditionalFormatting sqref="J240">
    <cfRule type="cellIs" dxfId="4806" priority="2622" operator="equal">
      <formula>0</formula>
    </cfRule>
  </conditionalFormatting>
  <conditionalFormatting sqref="J218:J219">
    <cfRule type="cellIs" dxfId="4805" priority="2626" operator="equal">
      <formula>0</formula>
    </cfRule>
    <cfRule type="cellIs" dxfId="4804" priority="2627" operator="notEqual">
      <formula>0</formula>
    </cfRule>
  </conditionalFormatting>
  <conditionalFormatting sqref="J232">
    <cfRule type="cellIs" dxfId="4803" priority="2619" operator="equal">
      <formula>0</formula>
    </cfRule>
  </conditionalFormatting>
  <conditionalFormatting sqref="J238:J239">
    <cfRule type="cellIs" dxfId="4802" priority="2623" operator="equal">
      <formula>0</formula>
    </cfRule>
    <cfRule type="cellIs" dxfId="4801" priority="2624" operator="notEqual">
      <formula>0</formula>
    </cfRule>
  </conditionalFormatting>
  <conditionalFormatting sqref="J230:J231">
    <cfRule type="cellIs" dxfId="4800" priority="2620" operator="equal">
      <formula>0</formula>
    </cfRule>
    <cfRule type="cellIs" dxfId="4799" priority="2621" operator="notEqual">
      <formula>0</formula>
    </cfRule>
  </conditionalFormatting>
  <conditionalFormatting sqref="J236">
    <cfRule type="cellIs" dxfId="4798" priority="2616" operator="equal">
      <formula>0</formula>
    </cfRule>
  </conditionalFormatting>
  <conditionalFormatting sqref="J234:J235">
    <cfRule type="cellIs" dxfId="4797" priority="2617" operator="equal">
      <formula>0</formula>
    </cfRule>
    <cfRule type="cellIs" dxfId="4796" priority="2618" operator="notEqual">
      <formula>0</formula>
    </cfRule>
  </conditionalFormatting>
  <conditionalFormatting sqref="K206:K207">
    <cfRule type="cellIs" dxfId="4795" priority="2614" operator="equal">
      <formula>0</formula>
    </cfRule>
    <cfRule type="cellIs" dxfId="4794" priority="2615" operator="notEqual">
      <formula>0</formula>
    </cfRule>
  </conditionalFormatting>
  <conditionalFormatting sqref="K210:K211 K214:K215 K222:K223 K242:K243 K246:K247 K250:K251">
    <cfRule type="cellIs" dxfId="4793" priority="2612" operator="equal">
      <formula>0</formula>
    </cfRule>
    <cfRule type="cellIs" dxfId="4792" priority="2613" operator="notEqual">
      <formula>0</formula>
    </cfRule>
  </conditionalFormatting>
  <conditionalFormatting sqref="K208 K212 K216 K224 K244 K248 K252 K296">
    <cfRule type="cellIs" dxfId="4791" priority="2611" operator="equal">
      <formula>0</formula>
    </cfRule>
  </conditionalFormatting>
  <conditionalFormatting sqref="K228">
    <cfRule type="cellIs" dxfId="4790" priority="2608" operator="equal">
      <formula>0</formula>
    </cfRule>
  </conditionalFormatting>
  <conditionalFormatting sqref="K220">
    <cfRule type="cellIs" dxfId="4789" priority="2605" operator="equal">
      <formula>0</formula>
    </cfRule>
  </conditionalFormatting>
  <conditionalFormatting sqref="K226:K227">
    <cfRule type="cellIs" dxfId="4788" priority="2609" operator="equal">
      <formula>0</formula>
    </cfRule>
    <cfRule type="cellIs" dxfId="4787" priority="2610" operator="notEqual">
      <formula>0</formula>
    </cfRule>
  </conditionalFormatting>
  <conditionalFormatting sqref="K240">
    <cfRule type="cellIs" dxfId="4786" priority="2602" operator="equal">
      <formula>0</formula>
    </cfRule>
  </conditionalFormatting>
  <conditionalFormatting sqref="K218:K219">
    <cfRule type="cellIs" dxfId="4785" priority="2606" operator="equal">
      <formula>0</formula>
    </cfRule>
    <cfRule type="cellIs" dxfId="4784" priority="2607" operator="notEqual">
      <formula>0</formula>
    </cfRule>
  </conditionalFormatting>
  <conditionalFormatting sqref="K232">
    <cfRule type="cellIs" dxfId="4783" priority="2599" operator="equal">
      <formula>0</formula>
    </cfRule>
  </conditionalFormatting>
  <conditionalFormatting sqref="K238:K239">
    <cfRule type="cellIs" dxfId="4782" priority="2603" operator="equal">
      <formula>0</formula>
    </cfRule>
    <cfRule type="cellIs" dxfId="4781" priority="2604" operator="notEqual">
      <formula>0</formula>
    </cfRule>
  </conditionalFormatting>
  <conditionalFormatting sqref="K230:K231">
    <cfRule type="cellIs" dxfId="4780" priority="2600" operator="equal">
      <formula>0</formula>
    </cfRule>
    <cfRule type="cellIs" dxfId="4779" priority="2601" operator="notEqual">
      <formula>0</formula>
    </cfRule>
  </conditionalFormatting>
  <conditionalFormatting sqref="K236">
    <cfRule type="cellIs" dxfId="4778" priority="2596" operator="equal">
      <formula>0</formula>
    </cfRule>
  </conditionalFormatting>
  <conditionalFormatting sqref="K234:K235">
    <cfRule type="cellIs" dxfId="4777" priority="2597" operator="equal">
      <formula>0</formula>
    </cfRule>
    <cfRule type="cellIs" dxfId="4776" priority="2598" operator="notEqual">
      <formula>0</formula>
    </cfRule>
  </conditionalFormatting>
  <conditionalFormatting sqref="L208 L212 L216 L224 L244 L248 L252 L296">
    <cfRule type="cellIs" dxfId="4775" priority="2595" operator="equal">
      <formula>0</formula>
    </cfRule>
  </conditionalFormatting>
  <conditionalFormatting sqref="L228">
    <cfRule type="cellIs" dxfId="4774" priority="2594" operator="equal">
      <formula>0</formula>
    </cfRule>
  </conditionalFormatting>
  <conditionalFormatting sqref="L220">
    <cfRule type="cellIs" dxfId="4773" priority="2593" operator="equal">
      <formula>0</formula>
    </cfRule>
  </conditionalFormatting>
  <conditionalFormatting sqref="L240">
    <cfRule type="cellIs" dxfId="4772" priority="2592" operator="equal">
      <formula>0</formula>
    </cfRule>
  </conditionalFormatting>
  <conditionalFormatting sqref="L232">
    <cfRule type="cellIs" dxfId="4771" priority="2591" operator="equal">
      <formula>0</formula>
    </cfRule>
  </conditionalFormatting>
  <conditionalFormatting sqref="L236">
    <cfRule type="cellIs" dxfId="4770" priority="2590" operator="equal">
      <formula>0</formula>
    </cfRule>
  </conditionalFormatting>
  <conditionalFormatting sqref="M208 M212 M216 M224 M244 M248 M252 M296">
    <cfRule type="cellIs" dxfId="4769" priority="2589" operator="equal">
      <formula>0</formula>
    </cfRule>
  </conditionalFormatting>
  <conditionalFormatting sqref="M228">
    <cfRule type="cellIs" dxfId="4768" priority="2588" operator="equal">
      <formula>0</formula>
    </cfRule>
  </conditionalFormatting>
  <conditionalFormatting sqref="M220">
    <cfRule type="cellIs" dxfId="4767" priority="2587" operator="equal">
      <formula>0</formula>
    </cfRule>
  </conditionalFormatting>
  <conditionalFormatting sqref="M240">
    <cfRule type="cellIs" dxfId="4766" priority="2586" operator="equal">
      <formula>0</formula>
    </cfRule>
  </conditionalFormatting>
  <conditionalFormatting sqref="M232">
    <cfRule type="cellIs" dxfId="4765" priority="2585" operator="equal">
      <formula>0</formula>
    </cfRule>
  </conditionalFormatting>
  <conditionalFormatting sqref="M236">
    <cfRule type="cellIs" dxfId="4764" priority="2584" operator="equal">
      <formula>0</formula>
    </cfRule>
  </conditionalFormatting>
  <conditionalFormatting sqref="N208 N212 N216 N224 N244 N248 N252 N296">
    <cfRule type="cellIs" dxfId="4763" priority="2583" operator="equal">
      <formula>0</formula>
    </cfRule>
  </conditionalFormatting>
  <conditionalFormatting sqref="N228">
    <cfRule type="cellIs" dxfId="4762" priority="2582" operator="equal">
      <formula>0</formula>
    </cfRule>
  </conditionalFormatting>
  <conditionalFormatting sqref="N220">
    <cfRule type="cellIs" dxfId="4761" priority="2581" operator="equal">
      <formula>0</formula>
    </cfRule>
  </conditionalFormatting>
  <conditionalFormatting sqref="N240">
    <cfRule type="cellIs" dxfId="4760" priority="2580" operator="equal">
      <formula>0</formula>
    </cfRule>
  </conditionalFormatting>
  <conditionalFormatting sqref="N232">
    <cfRule type="cellIs" dxfId="4759" priority="2579" operator="equal">
      <formula>0</formula>
    </cfRule>
  </conditionalFormatting>
  <conditionalFormatting sqref="N236">
    <cfRule type="cellIs" dxfId="4758" priority="2578" operator="equal">
      <formula>0</formula>
    </cfRule>
  </conditionalFormatting>
  <conditionalFormatting sqref="O208 O212 O216 O224 O244 O248 O252 O296">
    <cfRule type="cellIs" dxfId="4757" priority="2577" operator="equal">
      <formula>0</formula>
    </cfRule>
  </conditionalFormatting>
  <conditionalFormatting sqref="O228">
    <cfRule type="cellIs" dxfId="4756" priority="2576" operator="equal">
      <formula>0</formula>
    </cfRule>
  </conditionalFormatting>
  <conditionalFormatting sqref="O220">
    <cfRule type="cellIs" dxfId="4755" priority="2575" operator="equal">
      <formula>0</formula>
    </cfRule>
  </conditionalFormatting>
  <conditionalFormatting sqref="O240">
    <cfRule type="cellIs" dxfId="4754" priority="2574" operator="equal">
      <formula>0</formula>
    </cfRule>
  </conditionalFormatting>
  <conditionalFormatting sqref="O232">
    <cfRule type="cellIs" dxfId="4753" priority="2573" operator="equal">
      <formula>0</formula>
    </cfRule>
  </conditionalFormatting>
  <conditionalFormatting sqref="O236">
    <cfRule type="cellIs" dxfId="4752" priority="2572" operator="equal">
      <formula>0</formula>
    </cfRule>
  </conditionalFormatting>
  <conditionalFormatting sqref="P108">
    <cfRule type="cellIs" dxfId="4751" priority="2570" operator="equal">
      <formula>0</formula>
    </cfRule>
    <cfRule type="cellIs" dxfId="4750" priority="2571" operator="notEqual">
      <formula>0</formula>
    </cfRule>
  </conditionalFormatting>
  <conditionalFormatting sqref="P128 P132 P140 P144">
    <cfRule type="cellIs" dxfId="4749" priority="2568" operator="equal">
      <formula>0</formula>
    </cfRule>
    <cfRule type="cellIs" dxfId="4748" priority="2569" operator="notEqual">
      <formula>0</formula>
    </cfRule>
  </conditionalFormatting>
  <conditionalFormatting sqref="P111 P131 P135 P143 P147">
    <cfRule type="cellIs" dxfId="4747" priority="2567" operator="equal">
      <formula>0</formula>
    </cfRule>
  </conditionalFormatting>
  <conditionalFormatting sqref="P112">
    <cfRule type="cellIs" dxfId="4746" priority="2565" operator="equal">
      <formula>0</formula>
    </cfRule>
    <cfRule type="cellIs" dxfId="4745" priority="2566" operator="notEqual">
      <formula>0</formula>
    </cfRule>
  </conditionalFormatting>
  <conditionalFormatting sqref="P115">
    <cfRule type="cellIs" dxfId="4744" priority="2564" operator="equal">
      <formula>0</formula>
    </cfRule>
  </conditionalFormatting>
  <conditionalFormatting sqref="P116">
    <cfRule type="cellIs" dxfId="4743" priority="2562" operator="equal">
      <formula>0</formula>
    </cfRule>
    <cfRule type="cellIs" dxfId="4742" priority="2563" operator="notEqual">
      <formula>0</formula>
    </cfRule>
  </conditionalFormatting>
  <conditionalFormatting sqref="P119">
    <cfRule type="cellIs" dxfId="4741" priority="2561" operator="equal">
      <formula>0</formula>
    </cfRule>
  </conditionalFormatting>
  <conditionalFormatting sqref="P120">
    <cfRule type="cellIs" dxfId="4740" priority="2559" operator="equal">
      <formula>0</formula>
    </cfRule>
    <cfRule type="cellIs" dxfId="4739" priority="2560" operator="notEqual">
      <formula>0</formula>
    </cfRule>
  </conditionalFormatting>
  <conditionalFormatting sqref="P123">
    <cfRule type="cellIs" dxfId="4738" priority="2558" operator="equal">
      <formula>0</formula>
    </cfRule>
  </conditionalFormatting>
  <conditionalFormatting sqref="P124">
    <cfRule type="cellIs" dxfId="4737" priority="2556" operator="equal">
      <formula>0</formula>
    </cfRule>
    <cfRule type="cellIs" dxfId="4736" priority="2557" operator="notEqual">
      <formula>0</formula>
    </cfRule>
  </conditionalFormatting>
  <conditionalFormatting sqref="P127">
    <cfRule type="cellIs" dxfId="4735" priority="2555" operator="equal">
      <formula>0</formula>
    </cfRule>
  </conditionalFormatting>
  <conditionalFormatting sqref="P151">
    <cfRule type="cellIs" dxfId="4734" priority="2552" operator="equal">
      <formula>0</formula>
    </cfRule>
  </conditionalFormatting>
  <conditionalFormatting sqref="P155">
    <cfRule type="cellIs" dxfId="4733" priority="2549" operator="equal">
      <formula>0</formula>
    </cfRule>
  </conditionalFormatting>
  <conditionalFormatting sqref="P148">
    <cfRule type="cellIs" dxfId="4732" priority="2553" operator="equal">
      <formula>0</formula>
    </cfRule>
    <cfRule type="cellIs" dxfId="4731" priority="2554" operator="notEqual">
      <formula>0</formula>
    </cfRule>
  </conditionalFormatting>
  <conditionalFormatting sqref="P152">
    <cfRule type="cellIs" dxfId="4730" priority="2550" operator="equal">
      <formula>0</formula>
    </cfRule>
    <cfRule type="cellIs" dxfId="4729" priority="2551" operator="notEqual">
      <formula>0</formula>
    </cfRule>
  </conditionalFormatting>
  <conditionalFormatting sqref="P136">
    <cfRule type="cellIs" dxfId="4728" priority="2547" operator="equal">
      <formula>0</formula>
    </cfRule>
    <cfRule type="cellIs" dxfId="4727" priority="2548" operator="notEqual">
      <formula>0</formula>
    </cfRule>
  </conditionalFormatting>
  <conditionalFormatting sqref="P139">
    <cfRule type="cellIs" dxfId="4726" priority="2546" operator="equal">
      <formula>0</formula>
    </cfRule>
  </conditionalFormatting>
  <conditionalFormatting sqref="Q108">
    <cfRule type="cellIs" dxfId="4725" priority="2544" operator="equal">
      <formula>0</formula>
    </cfRule>
    <cfRule type="cellIs" dxfId="4724" priority="2545" operator="notEqual">
      <formula>0</formula>
    </cfRule>
  </conditionalFormatting>
  <conditionalFormatting sqref="Q128 Q132 Q140 Q144">
    <cfRule type="cellIs" dxfId="4723" priority="2542" operator="equal">
      <formula>0</formula>
    </cfRule>
    <cfRule type="cellIs" dxfId="4722" priority="2543" operator="notEqual">
      <formula>0</formula>
    </cfRule>
  </conditionalFormatting>
  <conditionalFormatting sqref="Q111 Q131 Q135 Q143 Q147">
    <cfRule type="cellIs" dxfId="4721" priority="2541" operator="equal">
      <formula>0</formula>
    </cfRule>
  </conditionalFormatting>
  <conditionalFormatting sqref="Q112">
    <cfRule type="cellIs" dxfId="4720" priority="2539" operator="equal">
      <formula>0</formula>
    </cfRule>
    <cfRule type="cellIs" dxfId="4719" priority="2540" operator="notEqual">
      <formula>0</formula>
    </cfRule>
  </conditionalFormatting>
  <conditionalFormatting sqref="Q115">
    <cfRule type="cellIs" dxfId="4718" priority="2538" operator="equal">
      <formula>0</formula>
    </cfRule>
  </conditionalFormatting>
  <conditionalFormatting sqref="Q116">
    <cfRule type="cellIs" dxfId="4717" priority="2536" operator="equal">
      <formula>0</formula>
    </cfRule>
    <cfRule type="cellIs" dxfId="4716" priority="2537" operator="notEqual">
      <formula>0</formula>
    </cfRule>
  </conditionalFormatting>
  <conditionalFormatting sqref="Q119">
    <cfRule type="cellIs" dxfId="4715" priority="2535" operator="equal">
      <formula>0</formula>
    </cfRule>
  </conditionalFormatting>
  <conditionalFormatting sqref="Q120">
    <cfRule type="cellIs" dxfId="4714" priority="2533" operator="equal">
      <formula>0</formula>
    </cfRule>
    <cfRule type="cellIs" dxfId="4713" priority="2534" operator="notEqual">
      <formula>0</formula>
    </cfRule>
  </conditionalFormatting>
  <conditionalFormatting sqref="Q123">
    <cfRule type="cellIs" dxfId="4712" priority="2532" operator="equal">
      <formula>0</formula>
    </cfRule>
  </conditionalFormatting>
  <conditionalFormatting sqref="Q124">
    <cfRule type="cellIs" dxfId="4711" priority="2530" operator="equal">
      <formula>0</formula>
    </cfRule>
    <cfRule type="cellIs" dxfId="4710" priority="2531" operator="notEqual">
      <formula>0</formula>
    </cfRule>
  </conditionalFormatting>
  <conditionalFormatting sqref="Q127">
    <cfRule type="cellIs" dxfId="4709" priority="2529" operator="equal">
      <formula>0</formula>
    </cfRule>
  </conditionalFormatting>
  <conditionalFormatting sqref="Q151">
    <cfRule type="cellIs" dxfId="4708" priority="2526" operator="equal">
      <formula>0</formula>
    </cfRule>
  </conditionalFormatting>
  <conditionalFormatting sqref="Q155">
    <cfRule type="cellIs" dxfId="4707" priority="2523" operator="equal">
      <formula>0</formula>
    </cfRule>
  </conditionalFormatting>
  <conditionalFormatting sqref="Q148">
    <cfRule type="cellIs" dxfId="4706" priority="2527" operator="equal">
      <formula>0</formula>
    </cfRule>
    <cfRule type="cellIs" dxfId="4705" priority="2528" operator="notEqual">
      <formula>0</formula>
    </cfRule>
  </conditionalFormatting>
  <conditionalFormatting sqref="Q152">
    <cfRule type="cellIs" dxfId="4704" priority="2524" operator="equal">
      <formula>0</formula>
    </cfRule>
    <cfRule type="cellIs" dxfId="4703" priority="2525" operator="notEqual">
      <formula>0</formula>
    </cfRule>
  </conditionalFormatting>
  <conditionalFormatting sqref="Q136">
    <cfRule type="cellIs" dxfId="4702" priority="2521" operator="equal">
      <formula>0</formula>
    </cfRule>
    <cfRule type="cellIs" dxfId="4701" priority="2522" operator="notEqual">
      <formula>0</formula>
    </cfRule>
  </conditionalFormatting>
  <conditionalFormatting sqref="Q139">
    <cfRule type="cellIs" dxfId="4700" priority="2520" operator="equal">
      <formula>0</formula>
    </cfRule>
  </conditionalFormatting>
  <conditionalFormatting sqref="R108">
    <cfRule type="cellIs" dxfId="4699" priority="2518" operator="equal">
      <formula>0</formula>
    </cfRule>
    <cfRule type="cellIs" dxfId="4698" priority="2519" operator="notEqual">
      <formula>0</formula>
    </cfRule>
  </conditionalFormatting>
  <conditionalFormatting sqref="R128 R132 R140 R144">
    <cfRule type="cellIs" dxfId="4697" priority="2516" operator="equal">
      <formula>0</formula>
    </cfRule>
    <cfRule type="cellIs" dxfId="4696" priority="2517" operator="notEqual">
      <formula>0</formula>
    </cfRule>
  </conditionalFormatting>
  <conditionalFormatting sqref="R111 R131 R135 R143 R147">
    <cfRule type="cellIs" dxfId="4695" priority="2515" operator="equal">
      <formula>0</formula>
    </cfRule>
  </conditionalFormatting>
  <conditionalFormatting sqref="R112">
    <cfRule type="cellIs" dxfId="4694" priority="2513" operator="equal">
      <formula>0</formula>
    </cfRule>
    <cfRule type="cellIs" dxfId="4693" priority="2514" operator="notEqual">
      <formula>0</formula>
    </cfRule>
  </conditionalFormatting>
  <conditionalFormatting sqref="R115">
    <cfRule type="cellIs" dxfId="4692" priority="2512" operator="equal">
      <formula>0</formula>
    </cfRule>
  </conditionalFormatting>
  <conditionalFormatting sqref="R116">
    <cfRule type="cellIs" dxfId="4691" priority="2510" operator="equal">
      <formula>0</formula>
    </cfRule>
    <cfRule type="cellIs" dxfId="4690" priority="2511" operator="notEqual">
      <formula>0</formula>
    </cfRule>
  </conditionalFormatting>
  <conditionalFormatting sqref="R119">
    <cfRule type="cellIs" dxfId="4689" priority="2509" operator="equal">
      <formula>0</formula>
    </cfRule>
  </conditionalFormatting>
  <conditionalFormatting sqref="R120">
    <cfRule type="cellIs" dxfId="4688" priority="2507" operator="equal">
      <formula>0</formula>
    </cfRule>
    <cfRule type="cellIs" dxfId="4687" priority="2508" operator="notEqual">
      <formula>0</formula>
    </cfRule>
  </conditionalFormatting>
  <conditionalFormatting sqref="R123">
    <cfRule type="cellIs" dxfId="4686" priority="2506" operator="equal">
      <formula>0</formula>
    </cfRule>
  </conditionalFormatting>
  <conditionalFormatting sqref="R124">
    <cfRule type="cellIs" dxfId="4685" priority="2504" operator="equal">
      <formula>0</formula>
    </cfRule>
    <cfRule type="cellIs" dxfId="4684" priority="2505" operator="notEqual">
      <formula>0</formula>
    </cfRule>
  </conditionalFormatting>
  <conditionalFormatting sqref="R127">
    <cfRule type="cellIs" dxfId="4683" priority="2503" operator="equal">
      <formula>0</formula>
    </cfRule>
  </conditionalFormatting>
  <conditionalFormatting sqref="R151">
    <cfRule type="cellIs" dxfId="4682" priority="2500" operator="equal">
      <formula>0</formula>
    </cfRule>
  </conditionalFormatting>
  <conditionalFormatting sqref="R155">
    <cfRule type="cellIs" dxfId="4681" priority="2497" operator="equal">
      <formula>0</formula>
    </cfRule>
  </conditionalFormatting>
  <conditionalFormatting sqref="R148">
    <cfRule type="cellIs" dxfId="4680" priority="2501" operator="equal">
      <formula>0</formula>
    </cfRule>
    <cfRule type="cellIs" dxfId="4679" priority="2502" operator="notEqual">
      <formula>0</formula>
    </cfRule>
  </conditionalFormatting>
  <conditionalFormatting sqref="R152">
    <cfRule type="cellIs" dxfId="4678" priority="2498" operator="equal">
      <formula>0</formula>
    </cfRule>
    <cfRule type="cellIs" dxfId="4677" priority="2499" operator="notEqual">
      <formula>0</formula>
    </cfRule>
  </conditionalFormatting>
  <conditionalFormatting sqref="R136">
    <cfRule type="cellIs" dxfId="4676" priority="2495" operator="equal">
      <formula>0</formula>
    </cfRule>
    <cfRule type="cellIs" dxfId="4675" priority="2496" operator="notEqual">
      <formula>0</formula>
    </cfRule>
  </conditionalFormatting>
  <conditionalFormatting sqref="R139">
    <cfRule type="cellIs" dxfId="4674" priority="2494" operator="equal">
      <formula>0</formula>
    </cfRule>
  </conditionalFormatting>
  <conditionalFormatting sqref="S108">
    <cfRule type="cellIs" dxfId="4673" priority="2492" operator="equal">
      <formula>0</formula>
    </cfRule>
    <cfRule type="cellIs" dxfId="4672" priority="2493" operator="notEqual">
      <formula>0</formula>
    </cfRule>
  </conditionalFormatting>
  <conditionalFormatting sqref="S128 S132 S140 S144">
    <cfRule type="cellIs" dxfId="4671" priority="2490" operator="equal">
      <formula>0</formula>
    </cfRule>
    <cfRule type="cellIs" dxfId="4670" priority="2491" operator="notEqual">
      <formula>0</formula>
    </cfRule>
  </conditionalFormatting>
  <conditionalFormatting sqref="S111 S131 S135 S143 S147">
    <cfRule type="cellIs" dxfId="4669" priority="2489" operator="equal">
      <formula>0</formula>
    </cfRule>
  </conditionalFormatting>
  <conditionalFormatting sqref="S112">
    <cfRule type="cellIs" dxfId="4668" priority="2487" operator="equal">
      <formula>0</formula>
    </cfRule>
    <cfRule type="cellIs" dxfId="4667" priority="2488" operator="notEqual">
      <formula>0</formula>
    </cfRule>
  </conditionalFormatting>
  <conditionalFormatting sqref="S115">
    <cfRule type="cellIs" dxfId="4666" priority="2486" operator="equal">
      <formula>0</formula>
    </cfRule>
  </conditionalFormatting>
  <conditionalFormatting sqref="S116">
    <cfRule type="cellIs" dxfId="4665" priority="2484" operator="equal">
      <formula>0</formula>
    </cfRule>
    <cfRule type="cellIs" dxfId="4664" priority="2485" operator="notEqual">
      <formula>0</formula>
    </cfRule>
  </conditionalFormatting>
  <conditionalFormatting sqref="S119">
    <cfRule type="cellIs" dxfId="4663" priority="2483" operator="equal">
      <formula>0</formula>
    </cfRule>
  </conditionalFormatting>
  <conditionalFormatting sqref="S120">
    <cfRule type="cellIs" dxfId="4662" priority="2481" operator="equal">
      <formula>0</formula>
    </cfRule>
    <cfRule type="cellIs" dxfId="4661" priority="2482" operator="notEqual">
      <formula>0</formula>
    </cfRule>
  </conditionalFormatting>
  <conditionalFormatting sqref="S123">
    <cfRule type="cellIs" dxfId="4660" priority="2480" operator="equal">
      <formula>0</formula>
    </cfRule>
  </conditionalFormatting>
  <conditionalFormatting sqref="S124">
    <cfRule type="cellIs" dxfId="4659" priority="2478" operator="equal">
      <formula>0</formula>
    </cfRule>
    <cfRule type="cellIs" dxfId="4658" priority="2479" operator="notEqual">
      <formula>0</formula>
    </cfRule>
  </conditionalFormatting>
  <conditionalFormatting sqref="S127">
    <cfRule type="cellIs" dxfId="4657" priority="2477" operator="equal">
      <formula>0</formula>
    </cfRule>
  </conditionalFormatting>
  <conditionalFormatting sqref="S151">
    <cfRule type="cellIs" dxfId="4656" priority="2474" operator="equal">
      <formula>0</formula>
    </cfRule>
  </conditionalFormatting>
  <conditionalFormatting sqref="S155">
    <cfRule type="cellIs" dxfId="4655" priority="2471" operator="equal">
      <formula>0</formula>
    </cfRule>
  </conditionalFormatting>
  <conditionalFormatting sqref="S148">
    <cfRule type="cellIs" dxfId="4654" priority="2475" operator="equal">
      <formula>0</formula>
    </cfRule>
    <cfRule type="cellIs" dxfId="4653" priority="2476" operator="notEqual">
      <formula>0</formula>
    </cfRule>
  </conditionalFormatting>
  <conditionalFormatting sqref="S152">
    <cfRule type="cellIs" dxfId="4652" priority="2472" operator="equal">
      <formula>0</formula>
    </cfRule>
    <cfRule type="cellIs" dxfId="4651" priority="2473" operator="notEqual">
      <formula>0</formula>
    </cfRule>
  </conditionalFormatting>
  <conditionalFormatting sqref="S136">
    <cfRule type="cellIs" dxfId="4650" priority="2469" operator="equal">
      <formula>0</formula>
    </cfRule>
    <cfRule type="cellIs" dxfId="4649" priority="2470" operator="notEqual">
      <formula>0</formula>
    </cfRule>
  </conditionalFormatting>
  <conditionalFormatting sqref="S139">
    <cfRule type="cellIs" dxfId="4648" priority="2468" operator="equal">
      <formula>0</formula>
    </cfRule>
  </conditionalFormatting>
  <conditionalFormatting sqref="D109:D110">
    <cfRule type="cellIs" dxfId="4647" priority="2466" operator="equal">
      <formula>0</formula>
    </cfRule>
    <cfRule type="cellIs" dxfId="4646" priority="2467" operator="notEqual">
      <formula>0</formula>
    </cfRule>
  </conditionalFormatting>
  <conditionalFormatting sqref="D113:D114 D117:D118 D125:D126 D145:D146 D149:D150 D153:D154">
    <cfRule type="cellIs" dxfId="4645" priority="2464" operator="equal">
      <formula>0</formula>
    </cfRule>
    <cfRule type="cellIs" dxfId="4644" priority="2465" operator="notEqual">
      <formula>0</formula>
    </cfRule>
  </conditionalFormatting>
  <conditionalFormatting sqref="D111 D115 D119 D127 D147 D151 D155">
    <cfRule type="cellIs" dxfId="4643" priority="2463" operator="equal">
      <formula>0</formula>
    </cfRule>
  </conditionalFormatting>
  <conditionalFormatting sqref="D131">
    <cfRule type="cellIs" dxfId="4642" priority="2460" operator="equal">
      <formula>0</formula>
    </cfRule>
  </conditionalFormatting>
  <conditionalFormatting sqref="D123">
    <cfRule type="cellIs" dxfId="4641" priority="2457" operator="equal">
      <formula>0</formula>
    </cfRule>
  </conditionalFormatting>
  <conditionalFormatting sqref="D129:D130">
    <cfRule type="cellIs" dxfId="4640" priority="2461" operator="equal">
      <formula>0</formula>
    </cfRule>
    <cfRule type="cellIs" dxfId="4639" priority="2462" operator="notEqual">
      <formula>0</formula>
    </cfRule>
  </conditionalFormatting>
  <conditionalFormatting sqref="D143">
    <cfRule type="cellIs" dxfId="4638" priority="2454" operator="equal">
      <formula>0</formula>
    </cfRule>
  </conditionalFormatting>
  <conditionalFormatting sqref="D121:D122">
    <cfRule type="cellIs" dxfId="4637" priority="2458" operator="equal">
      <formula>0</formula>
    </cfRule>
    <cfRule type="cellIs" dxfId="4636" priority="2459" operator="notEqual">
      <formula>0</formula>
    </cfRule>
  </conditionalFormatting>
  <conditionalFormatting sqref="D135">
    <cfRule type="cellIs" dxfId="4635" priority="2451" operator="equal">
      <formula>0</formula>
    </cfRule>
  </conditionalFormatting>
  <conditionalFormatting sqref="D141:D142">
    <cfRule type="cellIs" dxfId="4634" priority="2455" operator="equal">
      <formula>0</formula>
    </cfRule>
    <cfRule type="cellIs" dxfId="4633" priority="2456" operator="notEqual">
      <formula>0</formula>
    </cfRule>
  </conditionalFormatting>
  <conditionalFormatting sqref="D133:D134">
    <cfRule type="cellIs" dxfId="4632" priority="2452" operator="equal">
      <formula>0</formula>
    </cfRule>
    <cfRule type="cellIs" dxfId="4631" priority="2453" operator="notEqual">
      <formula>0</formula>
    </cfRule>
  </conditionalFormatting>
  <conditionalFormatting sqref="D139">
    <cfRule type="cellIs" dxfId="4630" priority="2448" operator="equal">
      <formula>0</formula>
    </cfRule>
  </conditionalFormatting>
  <conditionalFormatting sqref="D137:D138">
    <cfRule type="cellIs" dxfId="4629" priority="2449" operator="equal">
      <formula>0</formula>
    </cfRule>
    <cfRule type="cellIs" dxfId="4628" priority="2450" operator="notEqual">
      <formula>0</formula>
    </cfRule>
  </conditionalFormatting>
  <conditionalFormatting sqref="E109:E110">
    <cfRule type="cellIs" dxfId="4627" priority="2446" operator="equal">
      <formula>0</formula>
    </cfRule>
    <cfRule type="cellIs" dxfId="4626" priority="2447" operator="notEqual">
      <formula>0</formula>
    </cfRule>
  </conditionalFormatting>
  <conditionalFormatting sqref="E113:E114 E117:E118 E125:E126 E145:E146 E149:E150 E153:E154">
    <cfRule type="cellIs" dxfId="4625" priority="2444" operator="equal">
      <formula>0</formula>
    </cfRule>
    <cfRule type="cellIs" dxfId="4624" priority="2445" operator="notEqual">
      <formula>0</formula>
    </cfRule>
  </conditionalFormatting>
  <conditionalFormatting sqref="E111 E115 E119 E127 E147 E151 E155">
    <cfRule type="cellIs" dxfId="4623" priority="2443" operator="equal">
      <formula>0</formula>
    </cfRule>
  </conditionalFormatting>
  <conditionalFormatting sqref="E131">
    <cfRule type="cellIs" dxfId="4622" priority="2440" operator="equal">
      <formula>0</formula>
    </cfRule>
  </conditionalFormatting>
  <conditionalFormatting sqref="E123">
    <cfRule type="cellIs" dxfId="4621" priority="2437" operator="equal">
      <formula>0</formula>
    </cfRule>
  </conditionalFormatting>
  <conditionalFormatting sqref="E129:E130">
    <cfRule type="cellIs" dxfId="4620" priority="2441" operator="equal">
      <formula>0</formula>
    </cfRule>
    <cfRule type="cellIs" dxfId="4619" priority="2442" operator="notEqual">
      <formula>0</formula>
    </cfRule>
  </conditionalFormatting>
  <conditionalFormatting sqref="E143">
    <cfRule type="cellIs" dxfId="4618" priority="2434" operator="equal">
      <formula>0</formula>
    </cfRule>
  </conditionalFormatting>
  <conditionalFormatting sqref="E121:E122">
    <cfRule type="cellIs" dxfId="4617" priority="2438" operator="equal">
      <formula>0</formula>
    </cfRule>
    <cfRule type="cellIs" dxfId="4616" priority="2439" operator="notEqual">
      <formula>0</formula>
    </cfRule>
  </conditionalFormatting>
  <conditionalFormatting sqref="E135">
    <cfRule type="cellIs" dxfId="4615" priority="2431" operator="equal">
      <formula>0</formula>
    </cfRule>
  </conditionalFormatting>
  <conditionalFormatting sqref="E141:E142">
    <cfRule type="cellIs" dxfId="4614" priority="2435" operator="equal">
      <formula>0</formula>
    </cfRule>
    <cfRule type="cellIs" dxfId="4613" priority="2436" operator="notEqual">
      <formula>0</formula>
    </cfRule>
  </conditionalFormatting>
  <conditionalFormatting sqref="E133:E134">
    <cfRule type="cellIs" dxfId="4612" priority="2432" operator="equal">
      <formula>0</formula>
    </cfRule>
    <cfRule type="cellIs" dxfId="4611" priority="2433" operator="notEqual">
      <formula>0</formula>
    </cfRule>
  </conditionalFormatting>
  <conditionalFormatting sqref="E139">
    <cfRule type="cellIs" dxfId="4610" priority="2428" operator="equal">
      <formula>0</formula>
    </cfRule>
  </conditionalFormatting>
  <conditionalFormatting sqref="E137:E138">
    <cfRule type="cellIs" dxfId="4609" priority="2429" operator="equal">
      <formula>0</formula>
    </cfRule>
    <cfRule type="cellIs" dxfId="4608" priority="2430" operator="notEqual">
      <formula>0</formula>
    </cfRule>
  </conditionalFormatting>
  <conditionalFormatting sqref="F109:F110">
    <cfRule type="cellIs" dxfId="4607" priority="2426" operator="equal">
      <formula>0</formula>
    </cfRule>
    <cfRule type="cellIs" dxfId="4606" priority="2427" operator="notEqual">
      <formula>0</formula>
    </cfRule>
  </conditionalFormatting>
  <conditionalFormatting sqref="F113:F114 F117:F118 F125:F126 F145:F146 F149:F150 F153:F154">
    <cfRule type="cellIs" dxfId="4605" priority="2424" operator="equal">
      <formula>0</formula>
    </cfRule>
    <cfRule type="cellIs" dxfId="4604" priority="2425" operator="notEqual">
      <formula>0</formula>
    </cfRule>
  </conditionalFormatting>
  <conditionalFormatting sqref="F111 F115 F119 F127 F147 F151 F155">
    <cfRule type="cellIs" dxfId="4603" priority="2423" operator="equal">
      <formula>0</formula>
    </cfRule>
  </conditionalFormatting>
  <conditionalFormatting sqref="F131">
    <cfRule type="cellIs" dxfId="4602" priority="2420" operator="equal">
      <formula>0</formula>
    </cfRule>
  </conditionalFormatting>
  <conditionalFormatting sqref="F123">
    <cfRule type="cellIs" dxfId="4601" priority="2417" operator="equal">
      <formula>0</formula>
    </cfRule>
  </conditionalFormatting>
  <conditionalFormatting sqref="F129:F130">
    <cfRule type="cellIs" dxfId="4600" priority="2421" operator="equal">
      <formula>0</formula>
    </cfRule>
    <cfRule type="cellIs" dxfId="4599" priority="2422" operator="notEqual">
      <formula>0</formula>
    </cfRule>
  </conditionalFormatting>
  <conditionalFormatting sqref="F143">
    <cfRule type="cellIs" dxfId="4598" priority="2414" operator="equal">
      <formula>0</formula>
    </cfRule>
  </conditionalFormatting>
  <conditionalFormatting sqref="F121:F122">
    <cfRule type="cellIs" dxfId="4597" priority="2418" operator="equal">
      <formula>0</formula>
    </cfRule>
    <cfRule type="cellIs" dxfId="4596" priority="2419" operator="notEqual">
      <formula>0</formula>
    </cfRule>
  </conditionalFormatting>
  <conditionalFormatting sqref="F135">
    <cfRule type="cellIs" dxfId="4595" priority="2411" operator="equal">
      <formula>0</formula>
    </cfRule>
  </conditionalFormatting>
  <conditionalFormatting sqref="F141:F142">
    <cfRule type="cellIs" dxfId="4594" priority="2415" operator="equal">
      <formula>0</formula>
    </cfRule>
    <cfRule type="cellIs" dxfId="4593" priority="2416" operator="notEqual">
      <formula>0</formula>
    </cfRule>
  </conditionalFormatting>
  <conditionalFormatting sqref="F133:F134">
    <cfRule type="cellIs" dxfId="4592" priority="2412" operator="equal">
      <formula>0</formula>
    </cfRule>
    <cfRule type="cellIs" dxfId="4591" priority="2413" operator="notEqual">
      <formula>0</formula>
    </cfRule>
  </conditionalFormatting>
  <conditionalFormatting sqref="F139">
    <cfRule type="cellIs" dxfId="4590" priority="2408" operator="equal">
      <formula>0</formula>
    </cfRule>
  </conditionalFormatting>
  <conditionalFormatting sqref="F137:F138">
    <cfRule type="cellIs" dxfId="4589" priority="2409" operator="equal">
      <formula>0</formula>
    </cfRule>
    <cfRule type="cellIs" dxfId="4588" priority="2410" operator="notEqual">
      <formula>0</formula>
    </cfRule>
  </conditionalFormatting>
  <conditionalFormatting sqref="G109:G110">
    <cfRule type="cellIs" dxfId="4587" priority="2406" operator="equal">
      <formula>0</formula>
    </cfRule>
    <cfRule type="cellIs" dxfId="4586" priority="2407" operator="notEqual">
      <formula>0</formula>
    </cfRule>
  </conditionalFormatting>
  <conditionalFormatting sqref="G113:G114 G117:G118 G125:G126 G145:G146 G149:G150 G153:G154">
    <cfRule type="cellIs" dxfId="4585" priority="2404" operator="equal">
      <formula>0</formula>
    </cfRule>
    <cfRule type="cellIs" dxfId="4584" priority="2405" operator="notEqual">
      <formula>0</formula>
    </cfRule>
  </conditionalFormatting>
  <conditionalFormatting sqref="G111 G115 G119 G127 G147 G151 G155">
    <cfRule type="cellIs" dxfId="4583" priority="2403" operator="equal">
      <formula>0</formula>
    </cfRule>
  </conditionalFormatting>
  <conditionalFormatting sqref="G131">
    <cfRule type="cellIs" dxfId="4582" priority="2400" operator="equal">
      <formula>0</formula>
    </cfRule>
  </conditionalFormatting>
  <conditionalFormatting sqref="G123">
    <cfRule type="cellIs" dxfId="4581" priority="2397" operator="equal">
      <formula>0</formula>
    </cfRule>
  </conditionalFormatting>
  <conditionalFormatting sqref="G129:G130">
    <cfRule type="cellIs" dxfId="4580" priority="2401" operator="equal">
      <formula>0</formula>
    </cfRule>
    <cfRule type="cellIs" dxfId="4579" priority="2402" operator="notEqual">
      <formula>0</formula>
    </cfRule>
  </conditionalFormatting>
  <conditionalFormatting sqref="G143">
    <cfRule type="cellIs" dxfId="4578" priority="2394" operator="equal">
      <formula>0</formula>
    </cfRule>
  </conditionalFormatting>
  <conditionalFormatting sqref="G121:G122">
    <cfRule type="cellIs" dxfId="4577" priority="2398" operator="equal">
      <formula>0</formula>
    </cfRule>
    <cfRule type="cellIs" dxfId="4576" priority="2399" operator="notEqual">
      <formula>0</formula>
    </cfRule>
  </conditionalFormatting>
  <conditionalFormatting sqref="G135">
    <cfRule type="cellIs" dxfId="4575" priority="2391" operator="equal">
      <formula>0</formula>
    </cfRule>
  </conditionalFormatting>
  <conditionalFormatting sqref="G141:G142">
    <cfRule type="cellIs" dxfId="4574" priority="2395" operator="equal">
      <formula>0</formula>
    </cfRule>
    <cfRule type="cellIs" dxfId="4573" priority="2396" operator="notEqual">
      <formula>0</formula>
    </cfRule>
  </conditionalFormatting>
  <conditionalFormatting sqref="G133:G134">
    <cfRule type="cellIs" dxfId="4572" priority="2392" operator="equal">
      <formula>0</formula>
    </cfRule>
    <cfRule type="cellIs" dxfId="4571" priority="2393" operator="notEqual">
      <formula>0</formula>
    </cfRule>
  </conditionalFormatting>
  <conditionalFormatting sqref="G139">
    <cfRule type="cellIs" dxfId="4570" priority="2388" operator="equal">
      <formula>0</formula>
    </cfRule>
  </conditionalFormatting>
  <conditionalFormatting sqref="G137:G138">
    <cfRule type="cellIs" dxfId="4569" priority="2389" operator="equal">
      <formula>0</formula>
    </cfRule>
    <cfRule type="cellIs" dxfId="4568" priority="2390" operator="notEqual">
      <formula>0</formula>
    </cfRule>
  </conditionalFormatting>
  <conditionalFormatting sqref="H109:H110">
    <cfRule type="cellIs" dxfId="4567" priority="2386" operator="equal">
      <formula>0</formula>
    </cfRule>
    <cfRule type="cellIs" dxfId="4566" priority="2387" operator="notEqual">
      <formula>0</formula>
    </cfRule>
  </conditionalFormatting>
  <conditionalFormatting sqref="H113:H114 H117:H118 H125:H126 H145:H146 H149:H150 H153:H154">
    <cfRule type="cellIs" dxfId="4565" priority="2384" operator="equal">
      <formula>0</formula>
    </cfRule>
    <cfRule type="cellIs" dxfId="4564" priority="2385" operator="notEqual">
      <formula>0</formula>
    </cfRule>
  </conditionalFormatting>
  <conditionalFormatting sqref="H111 H115 H119 H127 H147 H151 H155">
    <cfRule type="cellIs" dxfId="4563" priority="2383" operator="equal">
      <formula>0</formula>
    </cfRule>
  </conditionalFormatting>
  <conditionalFormatting sqref="H131">
    <cfRule type="cellIs" dxfId="4562" priority="2380" operator="equal">
      <formula>0</formula>
    </cfRule>
  </conditionalFormatting>
  <conditionalFormatting sqref="H123">
    <cfRule type="cellIs" dxfId="4561" priority="2377" operator="equal">
      <formula>0</formula>
    </cfRule>
  </conditionalFormatting>
  <conditionalFormatting sqref="H129:H130">
    <cfRule type="cellIs" dxfId="4560" priority="2381" operator="equal">
      <formula>0</formula>
    </cfRule>
    <cfRule type="cellIs" dxfId="4559" priority="2382" operator="notEqual">
      <formula>0</formula>
    </cfRule>
  </conditionalFormatting>
  <conditionalFormatting sqref="H143">
    <cfRule type="cellIs" dxfId="4558" priority="2374" operator="equal">
      <formula>0</formula>
    </cfRule>
  </conditionalFormatting>
  <conditionalFormatting sqref="H121:H122">
    <cfRule type="cellIs" dxfId="4557" priority="2378" operator="equal">
      <formula>0</formula>
    </cfRule>
    <cfRule type="cellIs" dxfId="4556" priority="2379" operator="notEqual">
      <formula>0</formula>
    </cfRule>
  </conditionalFormatting>
  <conditionalFormatting sqref="H135">
    <cfRule type="cellIs" dxfId="4555" priority="2371" operator="equal">
      <formula>0</formula>
    </cfRule>
  </conditionalFormatting>
  <conditionalFormatting sqref="H141:H142">
    <cfRule type="cellIs" dxfId="4554" priority="2375" operator="equal">
      <formula>0</formula>
    </cfRule>
    <cfRule type="cellIs" dxfId="4553" priority="2376" operator="notEqual">
      <formula>0</formula>
    </cfRule>
  </conditionalFormatting>
  <conditionalFormatting sqref="H133:H134">
    <cfRule type="cellIs" dxfId="4552" priority="2372" operator="equal">
      <formula>0</formula>
    </cfRule>
    <cfRule type="cellIs" dxfId="4551" priority="2373" operator="notEqual">
      <formula>0</formula>
    </cfRule>
  </conditionalFormatting>
  <conditionalFormatting sqref="H139">
    <cfRule type="cellIs" dxfId="4550" priority="2368" operator="equal">
      <formula>0</formula>
    </cfRule>
  </conditionalFormatting>
  <conditionalFormatting sqref="H137:H138">
    <cfRule type="cellIs" dxfId="4549" priority="2369" operator="equal">
      <formula>0</formula>
    </cfRule>
    <cfRule type="cellIs" dxfId="4548" priority="2370" operator="notEqual">
      <formula>0</formula>
    </cfRule>
  </conditionalFormatting>
  <conditionalFormatting sqref="I109:I110">
    <cfRule type="cellIs" dxfId="4547" priority="2366" operator="equal">
      <formula>0</formula>
    </cfRule>
    <cfRule type="cellIs" dxfId="4546" priority="2367" operator="notEqual">
      <formula>0</formula>
    </cfRule>
  </conditionalFormatting>
  <conditionalFormatting sqref="I113:I114 I117:I118 I125:I126 I145:I146 I149:I150 I153:I154">
    <cfRule type="cellIs" dxfId="4545" priority="2364" operator="equal">
      <formula>0</formula>
    </cfRule>
    <cfRule type="cellIs" dxfId="4544" priority="2365" operator="notEqual">
      <formula>0</formula>
    </cfRule>
  </conditionalFormatting>
  <conditionalFormatting sqref="I111 I115 I119 I127 I147 I151 I155">
    <cfRule type="cellIs" dxfId="4543" priority="2363" operator="equal">
      <formula>0</formula>
    </cfRule>
  </conditionalFormatting>
  <conditionalFormatting sqref="I131">
    <cfRule type="cellIs" dxfId="4542" priority="2360" operator="equal">
      <formula>0</formula>
    </cfRule>
  </conditionalFormatting>
  <conditionalFormatting sqref="I123">
    <cfRule type="cellIs" dxfId="4541" priority="2357" operator="equal">
      <formula>0</formula>
    </cfRule>
  </conditionalFormatting>
  <conditionalFormatting sqref="I129:I130">
    <cfRule type="cellIs" dxfId="4540" priority="2361" operator="equal">
      <formula>0</formula>
    </cfRule>
    <cfRule type="cellIs" dxfId="4539" priority="2362" operator="notEqual">
      <formula>0</formula>
    </cfRule>
  </conditionalFormatting>
  <conditionalFormatting sqref="I143">
    <cfRule type="cellIs" dxfId="4538" priority="2354" operator="equal">
      <formula>0</formula>
    </cfRule>
  </conditionalFormatting>
  <conditionalFormatting sqref="I121:I122">
    <cfRule type="cellIs" dxfId="4537" priority="2358" operator="equal">
      <formula>0</formula>
    </cfRule>
    <cfRule type="cellIs" dxfId="4536" priority="2359" operator="notEqual">
      <formula>0</formula>
    </cfRule>
  </conditionalFormatting>
  <conditionalFormatting sqref="I135">
    <cfRule type="cellIs" dxfId="4535" priority="2351" operator="equal">
      <formula>0</formula>
    </cfRule>
  </conditionalFormatting>
  <conditionalFormatting sqref="I141:I142">
    <cfRule type="cellIs" dxfId="4534" priority="2355" operator="equal">
      <formula>0</formula>
    </cfRule>
    <cfRule type="cellIs" dxfId="4533" priority="2356" operator="notEqual">
      <formula>0</formula>
    </cfRule>
  </conditionalFormatting>
  <conditionalFormatting sqref="I133:I134">
    <cfRule type="cellIs" dxfId="4532" priority="2352" operator="equal">
      <formula>0</formula>
    </cfRule>
    <cfRule type="cellIs" dxfId="4531" priority="2353" operator="notEqual">
      <formula>0</formula>
    </cfRule>
  </conditionalFormatting>
  <conditionalFormatting sqref="I139">
    <cfRule type="cellIs" dxfId="4530" priority="2348" operator="equal">
      <formula>0</formula>
    </cfRule>
  </conditionalFormatting>
  <conditionalFormatting sqref="I137:I138">
    <cfRule type="cellIs" dxfId="4529" priority="2349" operator="equal">
      <formula>0</formula>
    </cfRule>
    <cfRule type="cellIs" dxfId="4528" priority="2350" operator="notEqual">
      <formula>0</formula>
    </cfRule>
  </conditionalFormatting>
  <conditionalFormatting sqref="J109:J110">
    <cfRule type="cellIs" dxfId="4527" priority="2346" operator="equal">
      <formula>0</formula>
    </cfRule>
    <cfRule type="cellIs" dxfId="4526" priority="2347" operator="notEqual">
      <formula>0</formula>
    </cfRule>
  </conditionalFormatting>
  <conditionalFormatting sqref="J113:J114 J117:J118 J125:J126 J145:J146 J149:J150 J153:J154">
    <cfRule type="cellIs" dxfId="4525" priority="2344" operator="equal">
      <formula>0</formula>
    </cfRule>
    <cfRule type="cellIs" dxfId="4524" priority="2345" operator="notEqual">
      <formula>0</formula>
    </cfRule>
  </conditionalFormatting>
  <conditionalFormatting sqref="J111 J115 J119 J127 J147 J151 J155">
    <cfRule type="cellIs" dxfId="4523" priority="2343" operator="equal">
      <formula>0</formula>
    </cfRule>
  </conditionalFormatting>
  <conditionalFormatting sqref="J131">
    <cfRule type="cellIs" dxfId="4522" priority="2340" operator="equal">
      <formula>0</formula>
    </cfRule>
  </conditionalFormatting>
  <conditionalFormatting sqref="J123">
    <cfRule type="cellIs" dxfId="4521" priority="2337" operator="equal">
      <formula>0</formula>
    </cfRule>
  </conditionalFormatting>
  <conditionalFormatting sqref="J129:J130">
    <cfRule type="cellIs" dxfId="4520" priority="2341" operator="equal">
      <formula>0</formula>
    </cfRule>
    <cfRule type="cellIs" dxfId="4519" priority="2342" operator="notEqual">
      <formula>0</formula>
    </cfRule>
  </conditionalFormatting>
  <conditionalFormatting sqref="J143">
    <cfRule type="cellIs" dxfId="4518" priority="2334" operator="equal">
      <formula>0</formula>
    </cfRule>
  </conditionalFormatting>
  <conditionalFormatting sqref="J121:J122">
    <cfRule type="cellIs" dxfId="4517" priority="2338" operator="equal">
      <formula>0</formula>
    </cfRule>
    <cfRule type="cellIs" dxfId="4516" priority="2339" operator="notEqual">
      <formula>0</formula>
    </cfRule>
  </conditionalFormatting>
  <conditionalFormatting sqref="J135">
    <cfRule type="cellIs" dxfId="4515" priority="2331" operator="equal">
      <formula>0</formula>
    </cfRule>
  </conditionalFormatting>
  <conditionalFormatting sqref="J141:J142">
    <cfRule type="cellIs" dxfId="4514" priority="2335" operator="equal">
      <formula>0</formula>
    </cfRule>
    <cfRule type="cellIs" dxfId="4513" priority="2336" operator="notEqual">
      <formula>0</formula>
    </cfRule>
  </conditionalFormatting>
  <conditionalFormatting sqref="J133:J134">
    <cfRule type="cellIs" dxfId="4512" priority="2332" operator="equal">
      <formula>0</formula>
    </cfRule>
    <cfRule type="cellIs" dxfId="4511" priority="2333" operator="notEqual">
      <formula>0</formula>
    </cfRule>
  </conditionalFormatting>
  <conditionalFormatting sqref="J139">
    <cfRule type="cellIs" dxfId="4510" priority="2328" operator="equal">
      <formula>0</formula>
    </cfRule>
  </conditionalFormatting>
  <conditionalFormatting sqref="J137:J138">
    <cfRule type="cellIs" dxfId="4509" priority="2329" operator="equal">
      <formula>0</formula>
    </cfRule>
    <cfRule type="cellIs" dxfId="4508" priority="2330" operator="notEqual">
      <formula>0</formula>
    </cfRule>
  </conditionalFormatting>
  <conditionalFormatting sqref="K109:K110">
    <cfRule type="cellIs" dxfId="4507" priority="2326" operator="equal">
      <formula>0</formula>
    </cfRule>
    <cfRule type="cellIs" dxfId="4506" priority="2327" operator="notEqual">
      <formula>0</formula>
    </cfRule>
  </conditionalFormatting>
  <conditionalFormatting sqref="K113:K114 K117:K118 K125:K126 K145:K146 K149:K150 K153:K154">
    <cfRule type="cellIs" dxfId="4505" priority="2324" operator="equal">
      <formula>0</formula>
    </cfRule>
    <cfRule type="cellIs" dxfId="4504" priority="2325" operator="notEqual">
      <formula>0</formula>
    </cfRule>
  </conditionalFormatting>
  <conditionalFormatting sqref="K111 K115 K119 K127 K147 K151 K155">
    <cfRule type="cellIs" dxfId="4503" priority="2323" operator="equal">
      <formula>0</formula>
    </cfRule>
  </conditionalFormatting>
  <conditionalFormatting sqref="K131">
    <cfRule type="cellIs" dxfId="4502" priority="2320" operator="equal">
      <formula>0</formula>
    </cfRule>
  </conditionalFormatting>
  <conditionalFormatting sqref="K123">
    <cfRule type="cellIs" dxfId="4501" priority="2317" operator="equal">
      <formula>0</formula>
    </cfRule>
  </conditionalFormatting>
  <conditionalFormatting sqref="K129:K130">
    <cfRule type="cellIs" dxfId="4500" priority="2321" operator="equal">
      <formula>0</formula>
    </cfRule>
    <cfRule type="cellIs" dxfId="4499" priority="2322" operator="notEqual">
      <formula>0</formula>
    </cfRule>
  </conditionalFormatting>
  <conditionalFormatting sqref="K143">
    <cfRule type="cellIs" dxfId="4498" priority="2314" operator="equal">
      <formula>0</formula>
    </cfRule>
  </conditionalFormatting>
  <conditionalFormatting sqref="K121:K122">
    <cfRule type="cellIs" dxfId="4497" priority="2318" operator="equal">
      <formula>0</formula>
    </cfRule>
    <cfRule type="cellIs" dxfId="4496" priority="2319" operator="notEqual">
      <formula>0</formula>
    </cfRule>
  </conditionalFormatting>
  <conditionalFormatting sqref="K135">
    <cfRule type="cellIs" dxfId="4495" priority="2311" operator="equal">
      <formula>0</formula>
    </cfRule>
  </conditionalFormatting>
  <conditionalFormatting sqref="K141:K142">
    <cfRule type="cellIs" dxfId="4494" priority="2315" operator="equal">
      <formula>0</formula>
    </cfRule>
    <cfRule type="cellIs" dxfId="4493" priority="2316" operator="notEqual">
      <formula>0</formula>
    </cfRule>
  </conditionalFormatting>
  <conditionalFormatting sqref="K133:K134">
    <cfRule type="cellIs" dxfId="4492" priority="2312" operator="equal">
      <formula>0</formula>
    </cfRule>
    <cfRule type="cellIs" dxfId="4491" priority="2313" operator="notEqual">
      <formula>0</formula>
    </cfRule>
  </conditionalFormatting>
  <conditionalFormatting sqref="K139">
    <cfRule type="cellIs" dxfId="4490" priority="2308" operator="equal">
      <formula>0</formula>
    </cfRule>
  </conditionalFormatting>
  <conditionalFormatting sqref="K137:K138">
    <cfRule type="cellIs" dxfId="4489" priority="2309" operator="equal">
      <formula>0</formula>
    </cfRule>
    <cfRule type="cellIs" dxfId="4488" priority="2310" operator="notEqual">
      <formula>0</formula>
    </cfRule>
  </conditionalFormatting>
  <conditionalFormatting sqref="L111 L115 L119 L127 L147 L151 L155">
    <cfRule type="cellIs" dxfId="4487" priority="2307" operator="equal">
      <formula>0</formula>
    </cfRule>
  </conditionalFormatting>
  <conditionalFormatting sqref="L131">
    <cfRule type="cellIs" dxfId="4486" priority="2306" operator="equal">
      <formula>0</formula>
    </cfRule>
  </conditionalFormatting>
  <conditionalFormatting sqref="L123">
    <cfRule type="cellIs" dxfId="4485" priority="2305" operator="equal">
      <formula>0</formula>
    </cfRule>
  </conditionalFormatting>
  <conditionalFormatting sqref="L143">
    <cfRule type="cellIs" dxfId="4484" priority="2304" operator="equal">
      <formula>0</formula>
    </cfRule>
  </conditionalFormatting>
  <conditionalFormatting sqref="L135">
    <cfRule type="cellIs" dxfId="4483" priority="2303" operator="equal">
      <formula>0</formula>
    </cfRule>
  </conditionalFormatting>
  <conditionalFormatting sqref="L139">
    <cfRule type="cellIs" dxfId="4482" priority="2302" operator="equal">
      <formula>0</formula>
    </cfRule>
  </conditionalFormatting>
  <conditionalFormatting sqref="M111 M115 M119 M127 M147 M151 M155">
    <cfRule type="cellIs" dxfId="4481" priority="2301" operator="equal">
      <formula>0</formula>
    </cfRule>
  </conditionalFormatting>
  <conditionalFormatting sqref="M131">
    <cfRule type="cellIs" dxfId="4480" priority="2300" operator="equal">
      <formula>0</formula>
    </cfRule>
  </conditionalFormatting>
  <conditionalFormatting sqref="M123">
    <cfRule type="cellIs" dxfId="4479" priority="2299" operator="equal">
      <formula>0</formula>
    </cfRule>
  </conditionalFormatting>
  <conditionalFormatting sqref="M143">
    <cfRule type="cellIs" dxfId="4478" priority="2298" operator="equal">
      <formula>0</formula>
    </cfRule>
  </conditionalFormatting>
  <conditionalFormatting sqref="M135">
    <cfRule type="cellIs" dxfId="4477" priority="2297" operator="equal">
      <formula>0</formula>
    </cfRule>
  </conditionalFormatting>
  <conditionalFormatting sqref="M139">
    <cfRule type="cellIs" dxfId="4476" priority="2296" operator="equal">
      <formula>0</formula>
    </cfRule>
  </conditionalFormatting>
  <conditionalFormatting sqref="N111 N115 N119 N127 N147 N151 N155">
    <cfRule type="cellIs" dxfId="4475" priority="2295" operator="equal">
      <formula>0</formula>
    </cfRule>
  </conditionalFormatting>
  <conditionalFormatting sqref="N131">
    <cfRule type="cellIs" dxfId="4474" priority="2294" operator="equal">
      <formula>0</formula>
    </cfRule>
  </conditionalFormatting>
  <conditionalFormatting sqref="N123">
    <cfRule type="cellIs" dxfId="4473" priority="2293" operator="equal">
      <formula>0</formula>
    </cfRule>
  </conditionalFormatting>
  <conditionalFormatting sqref="N143">
    <cfRule type="cellIs" dxfId="4472" priority="2292" operator="equal">
      <formula>0</formula>
    </cfRule>
  </conditionalFormatting>
  <conditionalFormatting sqref="N135">
    <cfRule type="cellIs" dxfId="4471" priority="2291" operator="equal">
      <formula>0</formula>
    </cfRule>
  </conditionalFormatting>
  <conditionalFormatting sqref="N139">
    <cfRule type="cellIs" dxfId="4470" priority="2290" operator="equal">
      <formula>0</formula>
    </cfRule>
  </conditionalFormatting>
  <conditionalFormatting sqref="O111 O115 O119 O127 O147 O151 O155">
    <cfRule type="cellIs" dxfId="4469" priority="2289" operator="equal">
      <formula>0</formula>
    </cfRule>
  </conditionalFormatting>
  <conditionalFormatting sqref="O131">
    <cfRule type="cellIs" dxfId="4468" priority="2288" operator="equal">
      <formula>0</formula>
    </cfRule>
  </conditionalFormatting>
  <conditionalFormatting sqref="O123">
    <cfRule type="cellIs" dxfId="4467" priority="2287" operator="equal">
      <formula>0</formula>
    </cfRule>
  </conditionalFormatting>
  <conditionalFormatting sqref="O143">
    <cfRule type="cellIs" dxfId="4466" priority="2286" operator="equal">
      <formula>0</formula>
    </cfRule>
  </conditionalFormatting>
  <conditionalFormatting sqref="O135">
    <cfRule type="cellIs" dxfId="4465" priority="2285" operator="equal">
      <formula>0</formula>
    </cfRule>
  </conditionalFormatting>
  <conditionalFormatting sqref="O139">
    <cfRule type="cellIs" dxfId="4464" priority="2284" operator="equal">
      <formula>0</formula>
    </cfRule>
  </conditionalFormatting>
  <conditionalFormatting sqref="Y16:Y17 Y32:Y33 Y36:Y37 Y44:Y45 Y48:Y49 Y52:Y53 Y56:Y57 Y100:Y101">
    <cfRule type="cellIs" dxfId="4463" priority="2283" operator="greaterThan">
      <formula>0</formula>
    </cfRule>
  </conditionalFormatting>
  <conditionalFormatting sqref="Y16:Y17 Y32:Y33 Y36:Y37 Y44:Y45 Y48:Y49 Y52:Y53 Y56:Y57 Y100:Y101">
    <cfRule type="cellIs" dxfId="4462" priority="2282" operator="equal">
      <formula>0</formula>
    </cfRule>
  </conditionalFormatting>
  <conditionalFormatting sqref="Y18 Y34 Y46 Y50 Y54 Y102 Y38:Y42">
    <cfRule type="cellIs" dxfId="4461" priority="2281" operator="equal">
      <formula>0</formula>
    </cfRule>
  </conditionalFormatting>
  <conditionalFormatting sqref="Y12:Y13">
    <cfRule type="cellIs" dxfId="4460" priority="2280" operator="greaterThan">
      <formula>0</formula>
    </cfRule>
  </conditionalFormatting>
  <conditionalFormatting sqref="Y12:Y13">
    <cfRule type="cellIs" dxfId="4459" priority="2279" operator="equal">
      <formula>0</formula>
    </cfRule>
  </conditionalFormatting>
  <conditionalFormatting sqref="Y14">
    <cfRule type="cellIs" dxfId="4458" priority="2278" operator="equal">
      <formula>0</formula>
    </cfRule>
  </conditionalFormatting>
  <conditionalFormatting sqref="Y20:Y21">
    <cfRule type="cellIs" dxfId="4457" priority="2277" operator="greaterThan">
      <formula>0</formula>
    </cfRule>
  </conditionalFormatting>
  <conditionalFormatting sqref="Y20:Y21">
    <cfRule type="cellIs" dxfId="4456" priority="2276" operator="equal">
      <formula>0</formula>
    </cfRule>
  </conditionalFormatting>
  <conditionalFormatting sqref="Y22">
    <cfRule type="cellIs" dxfId="4455" priority="2275" operator="equal">
      <formula>0</formula>
    </cfRule>
  </conditionalFormatting>
  <conditionalFormatting sqref="Y24:Y25">
    <cfRule type="cellIs" dxfId="4454" priority="2274" operator="greaterThan">
      <formula>0</formula>
    </cfRule>
  </conditionalFormatting>
  <conditionalFormatting sqref="Y24:Y25">
    <cfRule type="cellIs" dxfId="4453" priority="2273" operator="equal">
      <formula>0</formula>
    </cfRule>
  </conditionalFormatting>
  <conditionalFormatting sqref="Y26">
    <cfRule type="cellIs" dxfId="4452" priority="2272" operator="equal">
      <formula>0</formula>
    </cfRule>
  </conditionalFormatting>
  <conditionalFormatting sqref="Y28:Y29">
    <cfRule type="cellIs" dxfId="4451" priority="2271" operator="greaterThan">
      <formula>0</formula>
    </cfRule>
  </conditionalFormatting>
  <conditionalFormatting sqref="Y28:Y29">
    <cfRule type="cellIs" dxfId="4450" priority="2270" operator="equal">
      <formula>0</formula>
    </cfRule>
  </conditionalFormatting>
  <conditionalFormatting sqref="Y30">
    <cfRule type="cellIs" dxfId="4449" priority="2269" operator="equal">
      <formula>0</formula>
    </cfRule>
  </conditionalFormatting>
  <conditionalFormatting sqref="Z16:Z17 Z32:Z33 Z36:Z37 Z44:Z45 Z48:Z49 Z52:Z53 Z56:Z57 Z100:Z101">
    <cfRule type="cellIs" dxfId="4448" priority="2268" operator="greaterThan">
      <formula>0</formula>
    </cfRule>
  </conditionalFormatting>
  <conditionalFormatting sqref="Z16:Z17 Z32:Z33 Z36:Z37 Z44:Z45 Z48:Z49 Z52:Z53 Z56:Z57 Z100:Z101">
    <cfRule type="cellIs" dxfId="4447" priority="2267" operator="equal">
      <formula>0</formula>
    </cfRule>
  </conditionalFormatting>
  <conditionalFormatting sqref="Z18 Z34 Z46 Z50 Z54 Z58 Z102 Z38:Z42">
    <cfRule type="cellIs" dxfId="4446" priority="2266" operator="equal">
      <formula>0</formula>
    </cfRule>
  </conditionalFormatting>
  <conditionalFormatting sqref="Z12:Z13">
    <cfRule type="cellIs" dxfId="4445" priority="2265" operator="greaterThan">
      <formula>0</formula>
    </cfRule>
  </conditionalFormatting>
  <conditionalFormatting sqref="Z12:Z13">
    <cfRule type="cellIs" dxfId="4444" priority="2264" operator="equal">
      <formula>0</formula>
    </cfRule>
  </conditionalFormatting>
  <conditionalFormatting sqref="Z14">
    <cfRule type="cellIs" dxfId="4443" priority="2263" operator="equal">
      <formula>0</formula>
    </cfRule>
  </conditionalFormatting>
  <conditionalFormatting sqref="Z20:Z21">
    <cfRule type="cellIs" dxfId="4442" priority="2262" operator="greaterThan">
      <formula>0</formula>
    </cfRule>
  </conditionalFormatting>
  <conditionalFormatting sqref="Z20:Z21">
    <cfRule type="cellIs" dxfId="4441" priority="2261" operator="equal">
      <formula>0</formula>
    </cfRule>
  </conditionalFormatting>
  <conditionalFormatting sqref="Z22">
    <cfRule type="cellIs" dxfId="4440" priority="2260" operator="equal">
      <formula>0</formula>
    </cfRule>
  </conditionalFormatting>
  <conditionalFormatting sqref="Z24:Z25">
    <cfRule type="cellIs" dxfId="4439" priority="2259" operator="greaterThan">
      <formula>0</formula>
    </cfRule>
  </conditionalFormatting>
  <conditionalFormatting sqref="Z24:Z25">
    <cfRule type="cellIs" dxfId="4438" priority="2258" operator="equal">
      <formula>0</formula>
    </cfRule>
  </conditionalFormatting>
  <conditionalFormatting sqref="Z26">
    <cfRule type="cellIs" dxfId="4437" priority="2257" operator="equal">
      <formula>0</formula>
    </cfRule>
  </conditionalFormatting>
  <conditionalFormatting sqref="Z28:Z29">
    <cfRule type="cellIs" dxfId="4436" priority="2256" operator="greaterThan">
      <formula>0</formula>
    </cfRule>
  </conditionalFormatting>
  <conditionalFormatting sqref="Z28:Z29">
    <cfRule type="cellIs" dxfId="4435" priority="2255" operator="equal">
      <formula>0</formula>
    </cfRule>
  </conditionalFormatting>
  <conditionalFormatting sqref="Z30">
    <cfRule type="cellIs" dxfId="4434" priority="2254" operator="equal">
      <formula>0</formula>
    </cfRule>
  </conditionalFormatting>
  <conditionalFormatting sqref="AA16:AA17 AA32:AA33 AA36:AA37 AA44:AA45 AA48:AA49 AA52:AA53 AA56:AA57 AA100:AA101">
    <cfRule type="cellIs" dxfId="4433" priority="2253" operator="greaterThan">
      <formula>0</formula>
    </cfRule>
  </conditionalFormatting>
  <conditionalFormatting sqref="AA16:AA17 AA32:AA33 AA36:AA37 AA44:AA45 AA48:AA49 AA52:AA53 AA56:AA57 AA100:AA101">
    <cfRule type="cellIs" dxfId="4432" priority="2252" operator="equal">
      <formula>0</formula>
    </cfRule>
  </conditionalFormatting>
  <conditionalFormatting sqref="AA18 AA34 AA46 AA50 AA54 AA58 AA102 AA38:AA42">
    <cfRule type="cellIs" dxfId="4431" priority="2251" operator="equal">
      <formula>0</formula>
    </cfRule>
  </conditionalFormatting>
  <conditionalFormatting sqref="AA12:AA13">
    <cfRule type="cellIs" dxfId="4430" priority="2250" operator="greaterThan">
      <formula>0</formula>
    </cfRule>
  </conditionalFormatting>
  <conditionalFormatting sqref="AA12:AA13">
    <cfRule type="cellIs" dxfId="4429" priority="2249" operator="equal">
      <formula>0</formula>
    </cfRule>
  </conditionalFormatting>
  <conditionalFormatting sqref="AA14">
    <cfRule type="cellIs" dxfId="4428" priority="2248" operator="equal">
      <formula>0</formula>
    </cfRule>
  </conditionalFormatting>
  <conditionalFormatting sqref="AA20:AA21">
    <cfRule type="cellIs" dxfId="4427" priority="2247" operator="greaterThan">
      <formula>0</formula>
    </cfRule>
  </conditionalFormatting>
  <conditionalFormatting sqref="AA20:AA21">
    <cfRule type="cellIs" dxfId="4426" priority="2246" operator="equal">
      <formula>0</formula>
    </cfRule>
  </conditionalFormatting>
  <conditionalFormatting sqref="AA22">
    <cfRule type="cellIs" dxfId="4425" priority="2245" operator="equal">
      <formula>0</formula>
    </cfRule>
  </conditionalFormatting>
  <conditionalFormatting sqref="AA24:AA25">
    <cfRule type="cellIs" dxfId="4424" priority="2244" operator="greaterThan">
      <formula>0</formula>
    </cfRule>
  </conditionalFormatting>
  <conditionalFormatting sqref="AA24:AA25">
    <cfRule type="cellIs" dxfId="4423" priority="2243" operator="equal">
      <formula>0</formula>
    </cfRule>
  </conditionalFormatting>
  <conditionalFormatting sqref="AA26">
    <cfRule type="cellIs" dxfId="4422" priority="2242" operator="equal">
      <formula>0</formula>
    </cfRule>
  </conditionalFormatting>
  <conditionalFormatting sqref="AA28:AA29">
    <cfRule type="cellIs" dxfId="4421" priority="2241" operator="greaterThan">
      <formula>0</formula>
    </cfRule>
  </conditionalFormatting>
  <conditionalFormatting sqref="AA28:AA29">
    <cfRule type="cellIs" dxfId="4420" priority="2240" operator="equal">
      <formula>0</formula>
    </cfRule>
  </conditionalFormatting>
  <conditionalFormatting sqref="AA30">
    <cfRule type="cellIs" dxfId="4419" priority="2239" operator="equal">
      <formula>0</formula>
    </cfRule>
  </conditionalFormatting>
  <conditionalFormatting sqref="AB16:AB17 AB32:AB33 AB36:AB37 AB44:AB45 AB48:AB49 AB52:AB53 AB56:AB57 AB100:AB101">
    <cfRule type="cellIs" dxfId="4418" priority="2238" operator="greaterThan">
      <formula>0</formula>
    </cfRule>
  </conditionalFormatting>
  <conditionalFormatting sqref="AB16:AB17 AB32:AB33 AB36:AB37 AB44:AB45 AB48:AB49 AB52:AB53 AB56:AB57 AB100:AB101">
    <cfRule type="cellIs" dxfId="4417" priority="2237" operator="equal">
      <formula>0</formula>
    </cfRule>
  </conditionalFormatting>
  <conditionalFormatting sqref="AB18 AB34 AB46 AB50 AB54 AB58 AB102 AB38:AB42">
    <cfRule type="cellIs" dxfId="4416" priority="2236" operator="equal">
      <formula>0</formula>
    </cfRule>
  </conditionalFormatting>
  <conditionalFormatting sqref="AB12:AB13">
    <cfRule type="cellIs" dxfId="4415" priority="2235" operator="greaterThan">
      <formula>0</formula>
    </cfRule>
  </conditionalFormatting>
  <conditionalFormatting sqref="AB12:AB13">
    <cfRule type="cellIs" dxfId="4414" priority="2234" operator="equal">
      <formula>0</formula>
    </cfRule>
  </conditionalFormatting>
  <conditionalFormatting sqref="AB14">
    <cfRule type="cellIs" dxfId="4413" priority="2233" operator="equal">
      <formula>0</formula>
    </cfRule>
  </conditionalFormatting>
  <conditionalFormatting sqref="AB20:AB21">
    <cfRule type="cellIs" dxfId="4412" priority="2232" operator="greaterThan">
      <formula>0</formula>
    </cfRule>
  </conditionalFormatting>
  <conditionalFormatting sqref="AB20:AB21">
    <cfRule type="cellIs" dxfId="4411" priority="2231" operator="equal">
      <formula>0</formula>
    </cfRule>
  </conditionalFormatting>
  <conditionalFormatting sqref="AB22">
    <cfRule type="cellIs" dxfId="4410" priority="2230" operator="equal">
      <formula>0</formula>
    </cfRule>
  </conditionalFormatting>
  <conditionalFormatting sqref="AB24:AB25">
    <cfRule type="cellIs" dxfId="4409" priority="2229" operator="greaterThan">
      <formula>0</formula>
    </cfRule>
  </conditionalFormatting>
  <conditionalFormatting sqref="AB24:AB25">
    <cfRule type="cellIs" dxfId="4408" priority="2228" operator="equal">
      <formula>0</formula>
    </cfRule>
  </conditionalFormatting>
  <conditionalFormatting sqref="AB26">
    <cfRule type="cellIs" dxfId="4407" priority="2227" operator="equal">
      <formula>0</formula>
    </cfRule>
  </conditionalFormatting>
  <conditionalFormatting sqref="AB28:AB29">
    <cfRule type="cellIs" dxfId="4406" priority="2226" operator="greaterThan">
      <formula>0</formula>
    </cfRule>
  </conditionalFormatting>
  <conditionalFormatting sqref="AB28:AB29">
    <cfRule type="cellIs" dxfId="4405" priority="2225" operator="equal">
      <formula>0</formula>
    </cfRule>
  </conditionalFormatting>
  <conditionalFormatting sqref="AB30">
    <cfRule type="cellIs" dxfId="4404" priority="2224" operator="equal">
      <formula>0</formula>
    </cfRule>
  </conditionalFormatting>
  <conditionalFormatting sqref="AC16:AC17 AC32:AC33 AC36:AC37 AC44:AC45 AC48:AC49 AC52:AC53 AC56:AC57 AC100:AC101">
    <cfRule type="cellIs" dxfId="4403" priority="2223" operator="greaterThan">
      <formula>0</formula>
    </cfRule>
  </conditionalFormatting>
  <conditionalFormatting sqref="AC16:AC17 AC32:AC33 AC36:AC37 AC44:AC45 AC48:AC49 AC52:AC53 AC56:AC57 AC100:AC101">
    <cfRule type="cellIs" dxfId="4402" priority="2222" operator="equal">
      <formula>0</formula>
    </cfRule>
  </conditionalFormatting>
  <conditionalFormatting sqref="AC18 AC34 AC46 AC50 AC54 AC58 AC102 AC38:AC42">
    <cfRule type="cellIs" dxfId="4401" priority="2221" operator="equal">
      <formula>0</formula>
    </cfRule>
  </conditionalFormatting>
  <conditionalFormatting sqref="AC12:AC13">
    <cfRule type="cellIs" dxfId="4400" priority="2220" operator="greaterThan">
      <formula>0</formula>
    </cfRule>
  </conditionalFormatting>
  <conditionalFormatting sqref="AC12:AC13">
    <cfRule type="cellIs" dxfId="4399" priority="2219" operator="equal">
      <formula>0</formula>
    </cfRule>
  </conditionalFormatting>
  <conditionalFormatting sqref="AC14">
    <cfRule type="cellIs" dxfId="4398" priority="2218" operator="equal">
      <formula>0</formula>
    </cfRule>
  </conditionalFormatting>
  <conditionalFormatting sqref="AC20:AC21">
    <cfRule type="cellIs" dxfId="4397" priority="2217" operator="greaterThan">
      <formula>0</formula>
    </cfRule>
  </conditionalFormatting>
  <conditionalFormatting sqref="AC20:AC21">
    <cfRule type="cellIs" dxfId="4396" priority="2216" operator="equal">
      <formula>0</formula>
    </cfRule>
  </conditionalFormatting>
  <conditionalFormatting sqref="AC22">
    <cfRule type="cellIs" dxfId="4395" priority="2215" operator="equal">
      <formula>0</formula>
    </cfRule>
  </conditionalFormatting>
  <conditionalFormatting sqref="AC24:AC25">
    <cfRule type="cellIs" dxfId="4394" priority="2214" operator="greaterThan">
      <formula>0</formula>
    </cfRule>
  </conditionalFormatting>
  <conditionalFormatting sqref="AC24:AC25">
    <cfRule type="cellIs" dxfId="4393" priority="2213" operator="equal">
      <formula>0</formula>
    </cfRule>
  </conditionalFormatting>
  <conditionalFormatting sqref="AC26">
    <cfRule type="cellIs" dxfId="4392" priority="2212" operator="equal">
      <formula>0</formula>
    </cfRule>
  </conditionalFormatting>
  <conditionalFormatting sqref="AC28:AC29">
    <cfRule type="cellIs" dxfId="4391" priority="2211" operator="greaterThan">
      <formula>0</formula>
    </cfRule>
  </conditionalFormatting>
  <conditionalFormatting sqref="AC28:AC29">
    <cfRule type="cellIs" dxfId="4390" priority="2210" operator="equal">
      <formula>0</formula>
    </cfRule>
  </conditionalFormatting>
  <conditionalFormatting sqref="AC30">
    <cfRule type="cellIs" dxfId="4389" priority="2209" operator="equal">
      <formula>0</formula>
    </cfRule>
  </conditionalFormatting>
  <conditionalFormatting sqref="AD16:AD17 AD32:AD33 AD36:AD37 AD44:AD45 AD48:AD49 AD52:AD53 AD56:AD57 AD100:AD101">
    <cfRule type="cellIs" dxfId="4388" priority="2208" operator="greaterThan">
      <formula>0</formula>
    </cfRule>
  </conditionalFormatting>
  <conditionalFormatting sqref="AD16:AD17 AD32:AD33 AD36:AD37 AD44:AD45 AD48:AD49 AD52:AD53 AD56:AD57 AD100:AD101">
    <cfRule type="cellIs" dxfId="4387" priority="2207" operator="equal">
      <formula>0</formula>
    </cfRule>
  </conditionalFormatting>
  <conditionalFormatting sqref="AD18 AD34 AD46 AD50 AD54 AD58 AD102 AD38:AD42">
    <cfRule type="cellIs" dxfId="4386" priority="2206" operator="equal">
      <formula>0</formula>
    </cfRule>
  </conditionalFormatting>
  <conditionalFormatting sqref="AD12:AD13">
    <cfRule type="cellIs" dxfId="4385" priority="2205" operator="greaterThan">
      <formula>0</formula>
    </cfRule>
  </conditionalFormatting>
  <conditionalFormatting sqref="AD12:AD13">
    <cfRule type="cellIs" dxfId="4384" priority="2204" operator="equal">
      <formula>0</formula>
    </cfRule>
  </conditionalFormatting>
  <conditionalFormatting sqref="AD14">
    <cfRule type="cellIs" dxfId="4383" priority="2203" operator="equal">
      <formula>0</formula>
    </cfRule>
  </conditionalFormatting>
  <conditionalFormatting sqref="AD20:AD21">
    <cfRule type="cellIs" dxfId="4382" priority="2202" operator="greaterThan">
      <formula>0</formula>
    </cfRule>
  </conditionalFormatting>
  <conditionalFormatting sqref="AD20:AD21">
    <cfRule type="cellIs" dxfId="4381" priority="2201" operator="equal">
      <formula>0</formula>
    </cfRule>
  </conditionalFormatting>
  <conditionalFormatting sqref="AD22">
    <cfRule type="cellIs" dxfId="4380" priority="2200" operator="equal">
      <formula>0</formula>
    </cfRule>
  </conditionalFormatting>
  <conditionalFormatting sqref="AD24:AD25">
    <cfRule type="cellIs" dxfId="4379" priority="2199" operator="greaterThan">
      <formula>0</formula>
    </cfRule>
  </conditionalFormatting>
  <conditionalFormatting sqref="AD24:AD25">
    <cfRule type="cellIs" dxfId="4378" priority="2198" operator="equal">
      <formula>0</formula>
    </cfRule>
  </conditionalFormatting>
  <conditionalFormatting sqref="AD26">
    <cfRule type="cellIs" dxfId="4377" priority="2197" operator="equal">
      <formula>0</formula>
    </cfRule>
  </conditionalFormatting>
  <conditionalFormatting sqref="AD28:AD29">
    <cfRule type="cellIs" dxfId="4376" priority="2196" operator="greaterThan">
      <formula>0</formula>
    </cfRule>
  </conditionalFormatting>
  <conditionalFormatting sqref="AD28:AD29">
    <cfRule type="cellIs" dxfId="4375" priority="2195" operator="equal">
      <formula>0</formula>
    </cfRule>
  </conditionalFormatting>
  <conditionalFormatting sqref="AD30">
    <cfRule type="cellIs" dxfId="4374" priority="2194" operator="equal">
      <formula>0</formula>
    </cfRule>
  </conditionalFormatting>
  <conditionalFormatting sqref="AE16:AE17 AE32:AE33 AE36:AE37 AE44:AE45 AE48:AE49 AE52:AE53 AE56:AE57 AE100:AE101">
    <cfRule type="cellIs" dxfId="4373" priority="2193" operator="greaterThan">
      <formula>0</formula>
    </cfRule>
  </conditionalFormatting>
  <conditionalFormatting sqref="AE16:AE17 AE32:AE33 AE36:AE37 AE44:AE45 AE48:AE49 AE52:AE53 AE56:AE57 AE100:AE101">
    <cfRule type="cellIs" dxfId="4372" priority="2192" operator="equal">
      <formula>0</formula>
    </cfRule>
  </conditionalFormatting>
  <conditionalFormatting sqref="AE18 AE34 AE46 AE50 AE54 AE58 AE102 AE38:AE42">
    <cfRule type="cellIs" dxfId="4371" priority="2191" operator="equal">
      <formula>0</formula>
    </cfRule>
  </conditionalFormatting>
  <conditionalFormatting sqref="AE12:AE13">
    <cfRule type="cellIs" dxfId="4370" priority="2190" operator="greaterThan">
      <formula>0</formula>
    </cfRule>
  </conditionalFormatting>
  <conditionalFormatting sqref="AE12:AE13">
    <cfRule type="cellIs" dxfId="4369" priority="2189" operator="equal">
      <formula>0</formula>
    </cfRule>
  </conditionalFormatting>
  <conditionalFormatting sqref="AE14">
    <cfRule type="cellIs" dxfId="4368" priority="2188" operator="equal">
      <formula>0</formula>
    </cfRule>
  </conditionalFormatting>
  <conditionalFormatting sqref="AE20:AE21">
    <cfRule type="cellIs" dxfId="4367" priority="2187" operator="greaterThan">
      <formula>0</formula>
    </cfRule>
  </conditionalFormatting>
  <conditionalFormatting sqref="AE20:AE21">
    <cfRule type="cellIs" dxfId="4366" priority="2186" operator="equal">
      <formula>0</formula>
    </cfRule>
  </conditionalFormatting>
  <conditionalFormatting sqref="AE22">
    <cfRule type="cellIs" dxfId="4365" priority="2185" operator="equal">
      <formula>0</formula>
    </cfRule>
  </conditionalFormatting>
  <conditionalFormatting sqref="AE24:AE25">
    <cfRule type="cellIs" dxfId="4364" priority="2184" operator="greaterThan">
      <formula>0</formula>
    </cfRule>
  </conditionalFormatting>
  <conditionalFormatting sqref="AE24:AE25">
    <cfRule type="cellIs" dxfId="4363" priority="2183" operator="equal">
      <formula>0</formula>
    </cfRule>
  </conditionalFormatting>
  <conditionalFormatting sqref="AE26">
    <cfRule type="cellIs" dxfId="4362" priority="2182" operator="equal">
      <formula>0</formula>
    </cfRule>
  </conditionalFormatting>
  <conditionalFormatting sqref="AE28:AE29">
    <cfRule type="cellIs" dxfId="4361" priority="2181" operator="greaterThan">
      <formula>0</formula>
    </cfRule>
  </conditionalFormatting>
  <conditionalFormatting sqref="AE28:AE29">
    <cfRule type="cellIs" dxfId="4360" priority="2180" operator="equal">
      <formula>0</formula>
    </cfRule>
  </conditionalFormatting>
  <conditionalFormatting sqref="AE30">
    <cfRule type="cellIs" dxfId="4359" priority="2179" operator="equal">
      <formula>0</formula>
    </cfRule>
  </conditionalFormatting>
  <conditionalFormatting sqref="AF16:AF17 AF32:AF33 AF36:AF37 AF44:AF45 AF48:AF49 AF52:AF53 AF56:AF57 AF100:AF101">
    <cfRule type="cellIs" dxfId="4358" priority="2178" operator="greaterThan">
      <formula>0</formula>
    </cfRule>
  </conditionalFormatting>
  <conditionalFormatting sqref="AF16:AF17 AF32:AF33 AF36:AF37 AF44:AF45 AF48:AF49 AF52:AF53 AF56:AF57 AF100:AF101">
    <cfRule type="cellIs" dxfId="4357" priority="2177" operator="equal">
      <formula>0</formula>
    </cfRule>
  </conditionalFormatting>
  <conditionalFormatting sqref="AF18 AF34 AF46 AF50 AF54 AF58 AF102 AF38:AF42">
    <cfRule type="cellIs" dxfId="4356" priority="2176" operator="equal">
      <formula>0</formula>
    </cfRule>
  </conditionalFormatting>
  <conditionalFormatting sqref="AF12:AF13">
    <cfRule type="cellIs" dxfId="4355" priority="2175" operator="greaterThan">
      <formula>0</formula>
    </cfRule>
  </conditionalFormatting>
  <conditionalFormatting sqref="AF12:AF13">
    <cfRule type="cellIs" dxfId="4354" priority="2174" operator="equal">
      <formula>0</formula>
    </cfRule>
  </conditionalFormatting>
  <conditionalFormatting sqref="AF14">
    <cfRule type="cellIs" dxfId="4353" priority="2173" operator="equal">
      <formula>0</formula>
    </cfRule>
  </conditionalFormatting>
  <conditionalFormatting sqref="AF20:AF21">
    <cfRule type="cellIs" dxfId="4352" priority="2172" operator="greaterThan">
      <formula>0</formula>
    </cfRule>
  </conditionalFormatting>
  <conditionalFormatting sqref="AF20:AF21">
    <cfRule type="cellIs" dxfId="4351" priority="2171" operator="equal">
      <formula>0</formula>
    </cfRule>
  </conditionalFormatting>
  <conditionalFormatting sqref="AF22">
    <cfRule type="cellIs" dxfId="4350" priority="2170" operator="equal">
      <formula>0</formula>
    </cfRule>
  </conditionalFormatting>
  <conditionalFormatting sqref="AF24:AF25">
    <cfRule type="cellIs" dxfId="4349" priority="2169" operator="greaterThan">
      <formula>0</formula>
    </cfRule>
  </conditionalFormatting>
  <conditionalFormatting sqref="AF24:AF25">
    <cfRule type="cellIs" dxfId="4348" priority="2168" operator="equal">
      <formula>0</formula>
    </cfRule>
  </conditionalFormatting>
  <conditionalFormatting sqref="AF26">
    <cfRule type="cellIs" dxfId="4347" priority="2167" operator="equal">
      <formula>0</formula>
    </cfRule>
  </conditionalFormatting>
  <conditionalFormatting sqref="AF28:AF29">
    <cfRule type="cellIs" dxfId="4346" priority="2166" operator="greaterThan">
      <formula>0</formula>
    </cfRule>
  </conditionalFormatting>
  <conditionalFormatting sqref="AF28:AF29">
    <cfRule type="cellIs" dxfId="4345" priority="2165" operator="equal">
      <formula>0</formula>
    </cfRule>
  </conditionalFormatting>
  <conditionalFormatting sqref="AF30">
    <cfRule type="cellIs" dxfId="4344" priority="2164" operator="equal">
      <formula>0</formula>
    </cfRule>
  </conditionalFormatting>
  <conditionalFormatting sqref="AG18 AG34 AG46 AG50 AG54 AG58 AG102 AG38:AG42">
    <cfRule type="cellIs" dxfId="4343" priority="2163" operator="equal">
      <formula>0</formula>
    </cfRule>
  </conditionalFormatting>
  <conditionalFormatting sqref="AG14">
    <cfRule type="cellIs" dxfId="4342" priority="2162" operator="equal">
      <formula>0</formula>
    </cfRule>
  </conditionalFormatting>
  <conditionalFormatting sqref="AG22">
    <cfRule type="cellIs" dxfId="4341" priority="2161" operator="equal">
      <formula>0</formula>
    </cfRule>
  </conditionalFormatting>
  <conditionalFormatting sqref="AG26">
    <cfRule type="cellIs" dxfId="4340" priority="2160" operator="equal">
      <formula>0</formula>
    </cfRule>
  </conditionalFormatting>
  <conditionalFormatting sqref="AG30">
    <cfRule type="cellIs" dxfId="4339" priority="2159" operator="equal">
      <formula>0</formula>
    </cfRule>
  </conditionalFormatting>
  <conditionalFormatting sqref="AH18 AH34 AH46 AH50 AH54 AH58 AH102 AH38:AH42">
    <cfRule type="cellIs" dxfId="4338" priority="2158" operator="equal">
      <formula>0</formula>
    </cfRule>
  </conditionalFormatting>
  <conditionalFormatting sqref="AH14">
    <cfRule type="cellIs" dxfId="4337" priority="2157" operator="equal">
      <formula>0</formula>
    </cfRule>
  </conditionalFormatting>
  <conditionalFormatting sqref="AH22">
    <cfRule type="cellIs" dxfId="4336" priority="2156" operator="equal">
      <formula>0</formula>
    </cfRule>
  </conditionalFormatting>
  <conditionalFormatting sqref="AH26">
    <cfRule type="cellIs" dxfId="4335" priority="2155" operator="equal">
      <formula>0</formula>
    </cfRule>
  </conditionalFormatting>
  <conditionalFormatting sqref="AH30">
    <cfRule type="cellIs" dxfId="4334" priority="2154" operator="equal">
      <formula>0</formula>
    </cfRule>
  </conditionalFormatting>
  <conditionalFormatting sqref="AI18 AI34 AI46 AI50 AI54 AI58 AI102 AI38:AI42">
    <cfRule type="cellIs" dxfId="4333" priority="2153" operator="equal">
      <formula>0</formula>
    </cfRule>
  </conditionalFormatting>
  <conditionalFormatting sqref="AI14">
    <cfRule type="cellIs" dxfId="4332" priority="2152" operator="equal">
      <formula>0</formula>
    </cfRule>
  </conditionalFormatting>
  <conditionalFormatting sqref="AI22">
    <cfRule type="cellIs" dxfId="4331" priority="2151" operator="equal">
      <formula>0</formula>
    </cfRule>
  </conditionalFormatting>
  <conditionalFormatting sqref="AI26">
    <cfRule type="cellIs" dxfId="4330" priority="2150" operator="equal">
      <formula>0</formula>
    </cfRule>
  </conditionalFormatting>
  <conditionalFormatting sqref="AI30">
    <cfRule type="cellIs" dxfId="4329" priority="2149" operator="equal">
      <formula>0</formula>
    </cfRule>
  </conditionalFormatting>
  <conditionalFormatting sqref="AJ18 AJ34 AJ46 AJ50 AJ54 AJ58 AJ102 AJ38:AJ42">
    <cfRule type="cellIs" dxfId="4328" priority="2148" operator="equal">
      <formula>0</formula>
    </cfRule>
  </conditionalFormatting>
  <conditionalFormatting sqref="AJ14">
    <cfRule type="cellIs" dxfId="4327" priority="2147" operator="equal">
      <formula>0</formula>
    </cfRule>
  </conditionalFormatting>
  <conditionalFormatting sqref="AJ22">
    <cfRule type="cellIs" dxfId="4326" priority="2146" operator="equal">
      <formula>0</formula>
    </cfRule>
  </conditionalFormatting>
  <conditionalFormatting sqref="AJ26">
    <cfRule type="cellIs" dxfId="4325" priority="2145" operator="equal">
      <formula>0</formula>
    </cfRule>
  </conditionalFormatting>
  <conditionalFormatting sqref="AJ30">
    <cfRule type="cellIs" dxfId="4324" priority="2144" operator="equal">
      <formula>0</formula>
    </cfRule>
  </conditionalFormatting>
  <conditionalFormatting sqref="AK15">
    <cfRule type="cellIs" dxfId="4323" priority="2142" operator="equal">
      <formula>0</formula>
    </cfRule>
    <cfRule type="cellIs" dxfId="4322" priority="2143" operator="notEqual">
      <formula>0</formula>
    </cfRule>
  </conditionalFormatting>
  <conditionalFormatting sqref="AK31 AK35 AK43 AK47 AK51 AK55 AK99">
    <cfRule type="cellIs" dxfId="4321" priority="2141" operator="greaterThan">
      <formula>0</formula>
    </cfRule>
  </conditionalFormatting>
  <conditionalFormatting sqref="AK18 AK34 AK46 AK50 AK54 AK58 AK102 AK38:AK42">
    <cfRule type="cellIs" dxfId="4320" priority="2140" operator="equal">
      <formula>0</formula>
    </cfRule>
  </conditionalFormatting>
  <conditionalFormatting sqref="AK11">
    <cfRule type="cellIs" dxfId="4319" priority="2138" operator="equal">
      <formula>0</formula>
    </cfRule>
    <cfRule type="cellIs" dxfId="4318" priority="2139" operator="notEqual">
      <formula>0</formula>
    </cfRule>
  </conditionalFormatting>
  <conditionalFormatting sqref="AK14">
    <cfRule type="cellIs" dxfId="4317" priority="2137" operator="equal">
      <formula>0</formula>
    </cfRule>
  </conditionalFormatting>
  <conditionalFormatting sqref="AK19">
    <cfRule type="cellIs" dxfId="4316" priority="2135" operator="equal">
      <formula>0</formula>
    </cfRule>
    <cfRule type="cellIs" dxfId="4315" priority="2136" operator="notEqual">
      <formula>0</formula>
    </cfRule>
  </conditionalFormatting>
  <conditionalFormatting sqref="AK22">
    <cfRule type="cellIs" dxfId="4314" priority="2134" operator="equal">
      <formula>0</formula>
    </cfRule>
  </conditionalFormatting>
  <conditionalFormatting sqref="AK23">
    <cfRule type="cellIs" dxfId="4313" priority="2132" operator="equal">
      <formula>0</formula>
    </cfRule>
    <cfRule type="cellIs" dxfId="4312" priority="2133" operator="notEqual">
      <formula>0</formula>
    </cfRule>
  </conditionalFormatting>
  <conditionalFormatting sqref="AK26">
    <cfRule type="cellIs" dxfId="4311" priority="2131" operator="equal">
      <formula>0</formula>
    </cfRule>
  </conditionalFormatting>
  <conditionalFormatting sqref="AK27">
    <cfRule type="cellIs" dxfId="4310" priority="2129" operator="equal">
      <formula>0</formula>
    </cfRule>
    <cfRule type="cellIs" dxfId="4309" priority="2130" operator="notEqual">
      <formula>0</formula>
    </cfRule>
  </conditionalFormatting>
  <conditionalFormatting sqref="AK30">
    <cfRule type="cellIs" dxfId="4308" priority="2128" operator="equal">
      <formula>0</formula>
    </cfRule>
  </conditionalFormatting>
  <conditionalFormatting sqref="AL15">
    <cfRule type="cellIs" dxfId="4307" priority="2126" operator="equal">
      <formula>0</formula>
    </cfRule>
    <cfRule type="cellIs" dxfId="4306" priority="2127" operator="notEqual">
      <formula>0</formula>
    </cfRule>
  </conditionalFormatting>
  <conditionalFormatting sqref="AL31 AL35 AL43 AL47 AL51 AL55 AL99">
    <cfRule type="cellIs" dxfId="4305" priority="2125" operator="greaterThan">
      <formula>0</formula>
    </cfRule>
  </conditionalFormatting>
  <conditionalFormatting sqref="AL18 AL34 AL46 AL50 AL54 AL58 AL102 AL38:AL42">
    <cfRule type="cellIs" dxfId="4304" priority="2124" operator="equal">
      <formula>0</formula>
    </cfRule>
  </conditionalFormatting>
  <conditionalFormatting sqref="AL11">
    <cfRule type="cellIs" dxfId="4303" priority="2122" operator="equal">
      <formula>0</formula>
    </cfRule>
    <cfRule type="cellIs" dxfId="4302" priority="2123" operator="notEqual">
      <formula>0</formula>
    </cfRule>
  </conditionalFormatting>
  <conditionalFormatting sqref="AL14">
    <cfRule type="cellIs" dxfId="4301" priority="2121" operator="equal">
      <formula>0</formula>
    </cfRule>
  </conditionalFormatting>
  <conditionalFormatting sqref="AL19">
    <cfRule type="cellIs" dxfId="4300" priority="2119" operator="equal">
      <formula>0</formula>
    </cfRule>
    <cfRule type="cellIs" dxfId="4299" priority="2120" operator="notEqual">
      <formula>0</formula>
    </cfRule>
  </conditionalFormatting>
  <conditionalFormatting sqref="AL22">
    <cfRule type="cellIs" dxfId="4298" priority="2118" operator="equal">
      <formula>0</formula>
    </cfRule>
  </conditionalFormatting>
  <conditionalFormatting sqref="AL23">
    <cfRule type="cellIs" dxfId="4297" priority="2116" operator="equal">
      <formula>0</formula>
    </cfRule>
    <cfRule type="cellIs" dxfId="4296" priority="2117" operator="notEqual">
      <formula>0</formula>
    </cfRule>
  </conditionalFormatting>
  <conditionalFormatting sqref="AL26">
    <cfRule type="cellIs" dxfId="4295" priority="2115" operator="equal">
      <formula>0</formula>
    </cfRule>
  </conditionalFormatting>
  <conditionalFormatting sqref="AL27">
    <cfRule type="cellIs" dxfId="4294" priority="2113" operator="equal">
      <formula>0</formula>
    </cfRule>
    <cfRule type="cellIs" dxfId="4293" priority="2114" operator="notEqual">
      <formula>0</formula>
    </cfRule>
  </conditionalFormatting>
  <conditionalFormatting sqref="AL30">
    <cfRule type="cellIs" dxfId="4292" priority="2112" operator="equal">
      <formula>0</formula>
    </cfRule>
  </conditionalFormatting>
  <conditionalFormatting sqref="AM15">
    <cfRule type="cellIs" dxfId="4291" priority="2110" operator="equal">
      <formula>0</formula>
    </cfRule>
    <cfRule type="cellIs" dxfId="4290" priority="2111" operator="notEqual">
      <formula>0</formula>
    </cfRule>
  </conditionalFormatting>
  <conditionalFormatting sqref="AM31 AM35 AM43 AM47 AM51 AM55 AM99">
    <cfRule type="cellIs" dxfId="4289" priority="2109" operator="greaterThan">
      <formula>0</formula>
    </cfRule>
  </conditionalFormatting>
  <conditionalFormatting sqref="AM18 AM34 AM46 AM50 AM54 AM58 AM102 AM38:AM42">
    <cfRule type="cellIs" dxfId="4288" priority="2108" operator="equal">
      <formula>0</formula>
    </cfRule>
  </conditionalFormatting>
  <conditionalFormatting sqref="AM11">
    <cfRule type="cellIs" dxfId="4287" priority="2106" operator="equal">
      <formula>0</formula>
    </cfRule>
    <cfRule type="cellIs" dxfId="4286" priority="2107" operator="notEqual">
      <formula>0</formula>
    </cfRule>
  </conditionalFormatting>
  <conditionalFormatting sqref="AM14">
    <cfRule type="cellIs" dxfId="4285" priority="2105" operator="equal">
      <formula>0</formula>
    </cfRule>
  </conditionalFormatting>
  <conditionalFormatting sqref="AM19">
    <cfRule type="cellIs" dxfId="4284" priority="2103" operator="equal">
      <formula>0</formula>
    </cfRule>
    <cfRule type="cellIs" dxfId="4283" priority="2104" operator="notEqual">
      <formula>0</formula>
    </cfRule>
  </conditionalFormatting>
  <conditionalFormatting sqref="AM22">
    <cfRule type="cellIs" dxfId="4282" priority="2102" operator="equal">
      <formula>0</formula>
    </cfRule>
  </conditionalFormatting>
  <conditionalFormatting sqref="AM23">
    <cfRule type="cellIs" dxfId="4281" priority="2100" operator="equal">
      <formula>0</formula>
    </cfRule>
    <cfRule type="cellIs" dxfId="4280" priority="2101" operator="notEqual">
      <formula>0</formula>
    </cfRule>
  </conditionalFormatting>
  <conditionalFormatting sqref="AM26">
    <cfRule type="cellIs" dxfId="4279" priority="2099" operator="equal">
      <formula>0</formula>
    </cfRule>
  </conditionalFormatting>
  <conditionalFormatting sqref="AM27">
    <cfRule type="cellIs" dxfId="4278" priority="2097" operator="equal">
      <formula>0</formula>
    </cfRule>
    <cfRule type="cellIs" dxfId="4277" priority="2098" operator="notEqual">
      <formula>0</formula>
    </cfRule>
  </conditionalFormatting>
  <conditionalFormatting sqref="AM30">
    <cfRule type="cellIs" dxfId="4276" priority="2096" operator="equal">
      <formula>0</formula>
    </cfRule>
  </conditionalFormatting>
  <conditionalFormatting sqref="AN15">
    <cfRule type="cellIs" dxfId="4275" priority="2094" operator="equal">
      <formula>0</formula>
    </cfRule>
    <cfRule type="cellIs" dxfId="4274" priority="2095" operator="notEqual">
      <formula>0</formula>
    </cfRule>
  </conditionalFormatting>
  <conditionalFormatting sqref="AN31 AN35 AN43 AN47 AN51 AN55 AN99">
    <cfRule type="cellIs" dxfId="4273" priority="2093" operator="greaterThan">
      <formula>0</formula>
    </cfRule>
  </conditionalFormatting>
  <conditionalFormatting sqref="AN18 AN34 AN46 AN50 AN54 AN58 AN102 AN38:AN42">
    <cfRule type="cellIs" dxfId="4272" priority="2092" operator="equal">
      <formula>0</formula>
    </cfRule>
  </conditionalFormatting>
  <conditionalFormatting sqref="AN11">
    <cfRule type="cellIs" dxfId="4271" priority="2090" operator="equal">
      <formula>0</formula>
    </cfRule>
    <cfRule type="cellIs" dxfId="4270" priority="2091" operator="notEqual">
      <formula>0</formula>
    </cfRule>
  </conditionalFormatting>
  <conditionalFormatting sqref="AN14">
    <cfRule type="cellIs" dxfId="4269" priority="2089" operator="equal">
      <formula>0</formula>
    </cfRule>
  </conditionalFormatting>
  <conditionalFormatting sqref="AN19">
    <cfRule type="cellIs" dxfId="4268" priority="2087" operator="equal">
      <formula>0</formula>
    </cfRule>
    <cfRule type="cellIs" dxfId="4267" priority="2088" operator="notEqual">
      <formula>0</formula>
    </cfRule>
  </conditionalFormatting>
  <conditionalFormatting sqref="AN22">
    <cfRule type="cellIs" dxfId="4266" priority="2086" operator="equal">
      <formula>0</formula>
    </cfRule>
  </conditionalFormatting>
  <conditionalFormatting sqref="AN23">
    <cfRule type="cellIs" dxfId="4265" priority="2084" operator="equal">
      <formula>0</formula>
    </cfRule>
    <cfRule type="cellIs" dxfId="4264" priority="2085" operator="notEqual">
      <formula>0</formula>
    </cfRule>
  </conditionalFormatting>
  <conditionalFormatting sqref="AN26">
    <cfRule type="cellIs" dxfId="4263" priority="2083" operator="equal">
      <formula>0</formula>
    </cfRule>
  </conditionalFormatting>
  <conditionalFormatting sqref="AN27">
    <cfRule type="cellIs" dxfId="4262" priority="2081" operator="equal">
      <formula>0</formula>
    </cfRule>
    <cfRule type="cellIs" dxfId="4261" priority="2082" operator="notEqual">
      <formula>0</formula>
    </cfRule>
  </conditionalFormatting>
  <conditionalFormatting sqref="AN30">
    <cfRule type="cellIs" dxfId="4260" priority="2080" operator="equal">
      <formula>0</formula>
    </cfRule>
  </conditionalFormatting>
  <conditionalFormatting sqref="Y113:Y114 Y129:Y130 Y133:Y134 Y141:Y142 Y145:Y146 Y149:Y150 Y153:Y154 Y197:Y198">
    <cfRule type="cellIs" dxfId="4259" priority="2079" operator="greaterThan">
      <formula>0</formula>
    </cfRule>
  </conditionalFormatting>
  <conditionalFormatting sqref="Y113:Y114 Y129:Y130 Y133:Y134 Y141:Y142 Y145:Y146 Y149:Y150 Y153:Y154 Y197:Y198">
    <cfRule type="cellIs" dxfId="4258" priority="2078" operator="equal">
      <formula>0</formula>
    </cfRule>
  </conditionalFormatting>
  <conditionalFormatting sqref="Y115 Y131 Y143 Y147 Y151 Y199 Y135:Y139">
    <cfRule type="cellIs" dxfId="4257" priority="2077" operator="equal">
      <formula>0</formula>
    </cfRule>
  </conditionalFormatting>
  <conditionalFormatting sqref="Y109:Y110">
    <cfRule type="cellIs" dxfId="4256" priority="2076" operator="greaterThan">
      <formula>0</formula>
    </cfRule>
  </conditionalFormatting>
  <conditionalFormatting sqref="Y109:Y110">
    <cfRule type="cellIs" dxfId="4255" priority="2075" operator="equal">
      <formula>0</formula>
    </cfRule>
  </conditionalFormatting>
  <conditionalFormatting sqref="Y111">
    <cfRule type="cellIs" dxfId="4254" priority="2074" operator="equal">
      <formula>0</formula>
    </cfRule>
  </conditionalFormatting>
  <conditionalFormatting sqref="Y117:Y118">
    <cfRule type="cellIs" dxfId="4253" priority="2073" operator="greaterThan">
      <formula>0</formula>
    </cfRule>
  </conditionalFormatting>
  <conditionalFormatting sqref="Y117:Y118">
    <cfRule type="cellIs" dxfId="4252" priority="2072" operator="equal">
      <formula>0</formula>
    </cfRule>
  </conditionalFormatting>
  <conditionalFormatting sqref="Y119">
    <cfRule type="cellIs" dxfId="4251" priority="2071" operator="equal">
      <formula>0</formula>
    </cfRule>
  </conditionalFormatting>
  <conditionalFormatting sqref="Y121:Y122">
    <cfRule type="cellIs" dxfId="4250" priority="2070" operator="greaterThan">
      <formula>0</formula>
    </cfRule>
  </conditionalFormatting>
  <conditionalFormatting sqref="Y121:Y122">
    <cfRule type="cellIs" dxfId="4249" priority="2069" operator="equal">
      <formula>0</formula>
    </cfRule>
  </conditionalFormatting>
  <conditionalFormatting sqref="Y123">
    <cfRule type="cellIs" dxfId="4248" priority="2068" operator="equal">
      <formula>0</formula>
    </cfRule>
  </conditionalFormatting>
  <conditionalFormatting sqref="Y125:Y126">
    <cfRule type="cellIs" dxfId="4247" priority="2067" operator="greaterThan">
      <formula>0</formula>
    </cfRule>
  </conditionalFormatting>
  <conditionalFormatting sqref="Y125:Y126">
    <cfRule type="cellIs" dxfId="4246" priority="2066" operator="equal">
      <formula>0</formula>
    </cfRule>
  </conditionalFormatting>
  <conditionalFormatting sqref="Y127">
    <cfRule type="cellIs" dxfId="4245" priority="2065" operator="equal">
      <formula>0</formula>
    </cfRule>
  </conditionalFormatting>
  <conditionalFormatting sqref="Z113:Z114 Z129:Z130 Z133:Z134 Z141:Z142 Z145:Z146 Z149:Z150 Z153:Z154 Z197:Z198">
    <cfRule type="cellIs" dxfId="4244" priority="2064" operator="greaterThan">
      <formula>0</formula>
    </cfRule>
  </conditionalFormatting>
  <conditionalFormatting sqref="Z113:Z114 Z129:Z130 Z133:Z134 Z141:Z142 Z145:Z146 Z149:Z150 Z153:Z154 Z197:Z198">
    <cfRule type="cellIs" dxfId="4243" priority="2063" operator="equal">
      <formula>0</formula>
    </cfRule>
  </conditionalFormatting>
  <conditionalFormatting sqref="Z115 Z131 Z143 Z147 Z151 Z155 Z199 Z135:Z139">
    <cfRule type="cellIs" dxfId="4242" priority="2062" operator="equal">
      <formula>0</formula>
    </cfRule>
  </conditionalFormatting>
  <conditionalFormatting sqref="Z109:Z110">
    <cfRule type="cellIs" dxfId="4241" priority="2061" operator="greaterThan">
      <formula>0</formula>
    </cfRule>
  </conditionalFormatting>
  <conditionalFormatting sqref="Z109:Z110">
    <cfRule type="cellIs" dxfId="4240" priority="2060" operator="equal">
      <formula>0</formula>
    </cfRule>
  </conditionalFormatting>
  <conditionalFormatting sqref="Z111">
    <cfRule type="cellIs" dxfId="4239" priority="2059" operator="equal">
      <formula>0</formula>
    </cfRule>
  </conditionalFormatting>
  <conditionalFormatting sqref="Z117:Z118">
    <cfRule type="cellIs" dxfId="4238" priority="2058" operator="greaterThan">
      <formula>0</formula>
    </cfRule>
  </conditionalFormatting>
  <conditionalFormatting sqref="Z117:Z118">
    <cfRule type="cellIs" dxfId="4237" priority="2057" operator="equal">
      <formula>0</formula>
    </cfRule>
  </conditionalFormatting>
  <conditionalFormatting sqref="Z119">
    <cfRule type="cellIs" dxfId="4236" priority="2056" operator="equal">
      <formula>0</formula>
    </cfRule>
  </conditionalFormatting>
  <conditionalFormatting sqref="Z121:Z122">
    <cfRule type="cellIs" dxfId="4235" priority="2055" operator="greaterThan">
      <formula>0</formula>
    </cfRule>
  </conditionalFormatting>
  <conditionalFormatting sqref="Z121:Z122">
    <cfRule type="cellIs" dxfId="4234" priority="2054" operator="equal">
      <formula>0</formula>
    </cfRule>
  </conditionalFormatting>
  <conditionalFormatting sqref="Z123">
    <cfRule type="cellIs" dxfId="4233" priority="2053" operator="equal">
      <formula>0</formula>
    </cfRule>
  </conditionalFormatting>
  <conditionalFormatting sqref="Z125:Z126">
    <cfRule type="cellIs" dxfId="4232" priority="2052" operator="greaterThan">
      <formula>0</formula>
    </cfRule>
  </conditionalFormatting>
  <conditionalFormatting sqref="Z125:Z126">
    <cfRule type="cellIs" dxfId="4231" priority="2051" operator="equal">
      <formula>0</formula>
    </cfRule>
  </conditionalFormatting>
  <conditionalFormatting sqref="Z127">
    <cfRule type="cellIs" dxfId="4230" priority="2050" operator="equal">
      <formula>0</formula>
    </cfRule>
  </conditionalFormatting>
  <conditionalFormatting sqref="AA113:AA114 AA129:AA130 AA133:AA134 AA141:AA142 AA145:AA146 AA149:AA150 AA153:AA154 AA197:AA198">
    <cfRule type="cellIs" dxfId="4229" priority="2049" operator="greaterThan">
      <formula>0</formula>
    </cfRule>
  </conditionalFormatting>
  <conditionalFormatting sqref="AA113:AA114 AA129:AA130 AA133:AA134 AA141:AA142 AA145:AA146 AA149:AA150 AA153:AA154 AA197:AA198">
    <cfRule type="cellIs" dxfId="4228" priority="2048" operator="equal">
      <formula>0</formula>
    </cfRule>
  </conditionalFormatting>
  <conditionalFormatting sqref="AA115 AA131 AA143 AA147 AA151 AA155 AA199 AA135:AA139">
    <cfRule type="cellIs" dxfId="4227" priority="2047" operator="equal">
      <formula>0</formula>
    </cfRule>
  </conditionalFormatting>
  <conditionalFormatting sqref="AA109:AA110">
    <cfRule type="cellIs" dxfId="4226" priority="2046" operator="greaterThan">
      <formula>0</formula>
    </cfRule>
  </conditionalFormatting>
  <conditionalFormatting sqref="AA109:AA110">
    <cfRule type="cellIs" dxfId="4225" priority="2045" operator="equal">
      <formula>0</formula>
    </cfRule>
  </conditionalFormatting>
  <conditionalFormatting sqref="AA111">
    <cfRule type="cellIs" dxfId="4224" priority="2044" operator="equal">
      <formula>0</formula>
    </cfRule>
  </conditionalFormatting>
  <conditionalFormatting sqref="AA117:AA118">
    <cfRule type="cellIs" dxfId="4223" priority="2043" operator="greaterThan">
      <formula>0</formula>
    </cfRule>
  </conditionalFormatting>
  <conditionalFormatting sqref="AA117:AA118">
    <cfRule type="cellIs" dxfId="4222" priority="2042" operator="equal">
      <formula>0</formula>
    </cfRule>
  </conditionalFormatting>
  <conditionalFormatting sqref="AA119">
    <cfRule type="cellIs" dxfId="4221" priority="2041" operator="equal">
      <formula>0</formula>
    </cfRule>
  </conditionalFormatting>
  <conditionalFormatting sqref="AA121:AA122">
    <cfRule type="cellIs" dxfId="4220" priority="2040" operator="greaterThan">
      <formula>0</formula>
    </cfRule>
  </conditionalFormatting>
  <conditionalFormatting sqref="AA121:AA122">
    <cfRule type="cellIs" dxfId="4219" priority="2039" operator="equal">
      <formula>0</formula>
    </cfRule>
  </conditionalFormatting>
  <conditionalFormatting sqref="AA123">
    <cfRule type="cellIs" dxfId="4218" priority="2038" operator="equal">
      <formula>0</formula>
    </cfRule>
  </conditionalFormatting>
  <conditionalFormatting sqref="AA125:AA126">
    <cfRule type="cellIs" dxfId="4217" priority="2037" operator="greaterThan">
      <formula>0</formula>
    </cfRule>
  </conditionalFormatting>
  <conditionalFormatting sqref="AA125:AA126">
    <cfRule type="cellIs" dxfId="4216" priority="2036" operator="equal">
      <formula>0</formula>
    </cfRule>
  </conditionalFormatting>
  <conditionalFormatting sqref="AA127">
    <cfRule type="cellIs" dxfId="4215" priority="2035" operator="equal">
      <formula>0</formula>
    </cfRule>
  </conditionalFormatting>
  <conditionalFormatting sqref="AB113:AB114 AB129:AB130 AB133:AB134 AB141:AB142 AB145:AB146 AB149:AB150 AB153:AB154 AB197:AB198">
    <cfRule type="cellIs" dxfId="4214" priority="2034" operator="greaterThan">
      <formula>0</formula>
    </cfRule>
  </conditionalFormatting>
  <conditionalFormatting sqref="AB113:AB114 AB129:AB130 AB133:AB134 AB141:AB142 AB145:AB146 AB149:AB150 AB153:AB154 AB197:AB198">
    <cfRule type="cellIs" dxfId="4213" priority="2033" operator="equal">
      <formula>0</formula>
    </cfRule>
  </conditionalFormatting>
  <conditionalFormatting sqref="AB115 AB131 AB143 AB147 AB151 AB155 AB199 AB135:AB139">
    <cfRule type="cellIs" dxfId="4212" priority="2032" operator="equal">
      <formula>0</formula>
    </cfRule>
  </conditionalFormatting>
  <conditionalFormatting sqref="AB109:AB110">
    <cfRule type="cellIs" dxfId="4211" priority="2031" operator="greaterThan">
      <formula>0</formula>
    </cfRule>
  </conditionalFormatting>
  <conditionalFormatting sqref="AB109:AB110">
    <cfRule type="cellIs" dxfId="4210" priority="2030" operator="equal">
      <formula>0</formula>
    </cfRule>
  </conditionalFormatting>
  <conditionalFormatting sqref="AB111">
    <cfRule type="cellIs" dxfId="4209" priority="2029" operator="equal">
      <formula>0</formula>
    </cfRule>
  </conditionalFormatting>
  <conditionalFormatting sqref="AB117:AB118">
    <cfRule type="cellIs" dxfId="4208" priority="2028" operator="greaterThan">
      <formula>0</formula>
    </cfRule>
  </conditionalFormatting>
  <conditionalFormatting sqref="AB117:AB118">
    <cfRule type="cellIs" dxfId="4207" priority="2027" operator="equal">
      <formula>0</formula>
    </cfRule>
  </conditionalFormatting>
  <conditionalFormatting sqref="AB119">
    <cfRule type="cellIs" dxfId="4206" priority="2026" operator="equal">
      <formula>0</formula>
    </cfRule>
  </conditionalFormatting>
  <conditionalFormatting sqref="AB121:AB122">
    <cfRule type="cellIs" dxfId="4205" priority="2025" operator="greaterThan">
      <formula>0</formula>
    </cfRule>
  </conditionalFormatting>
  <conditionalFormatting sqref="AB121:AB122">
    <cfRule type="cellIs" dxfId="4204" priority="2024" operator="equal">
      <formula>0</formula>
    </cfRule>
  </conditionalFormatting>
  <conditionalFormatting sqref="AB123">
    <cfRule type="cellIs" dxfId="4203" priority="2023" operator="equal">
      <formula>0</formula>
    </cfRule>
  </conditionalFormatting>
  <conditionalFormatting sqref="AB125:AB126">
    <cfRule type="cellIs" dxfId="4202" priority="2022" operator="greaterThan">
      <formula>0</formula>
    </cfRule>
  </conditionalFormatting>
  <conditionalFormatting sqref="AB125:AB126">
    <cfRule type="cellIs" dxfId="4201" priority="2021" operator="equal">
      <formula>0</formula>
    </cfRule>
  </conditionalFormatting>
  <conditionalFormatting sqref="AB127">
    <cfRule type="cellIs" dxfId="4200" priority="2020" operator="equal">
      <formula>0</formula>
    </cfRule>
  </conditionalFormatting>
  <conditionalFormatting sqref="AC113:AC114 AC129:AC130 AC133:AC134 AC141:AC142 AC145:AC146 AC149:AC150 AC153:AC154 AC197:AC198">
    <cfRule type="cellIs" dxfId="4199" priority="2019" operator="greaterThan">
      <formula>0</formula>
    </cfRule>
  </conditionalFormatting>
  <conditionalFormatting sqref="AC113:AC114 AC129:AC130 AC133:AC134 AC141:AC142 AC145:AC146 AC149:AC150 AC153:AC154 AC197:AC198">
    <cfRule type="cellIs" dxfId="4198" priority="2018" operator="equal">
      <formula>0</formula>
    </cfRule>
  </conditionalFormatting>
  <conditionalFormatting sqref="AC115 AC131 AC143 AC147 AC151 AC155 AC199 AC135:AC139">
    <cfRule type="cellIs" dxfId="4197" priority="2017" operator="equal">
      <formula>0</formula>
    </cfRule>
  </conditionalFormatting>
  <conditionalFormatting sqref="AC109:AC110">
    <cfRule type="cellIs" dxfId="4196" priority="2016" operator="greaterThan">
      <formula>0</formula>
    </cfRule>
  </conditionalFormatting>
  <conditionalFormatting sqref="AC109:AC110">
    <cfRule type="cellIs" dxfId="4195" priority="2015" operator="equal">
      <formula>0</formula>
    </cfRule>
  </conditionalFormatting>
  <conditionalFormatting sqref="AC111">
    <cfRule type="cellIs" dxfId="4194" priority="2014" operator="equal">
      <formula>0</formula>
    </cfRule>
  </conditionalFormatting>
  <conditionalFormatting sqref="AC117:AC118">
    <cfRule type="cellIs" dxfId="4193" priority="2013" operator="greaterThan">
      <formula>0</formula>
    </cfRule>
  </conditionalFormatting>
  <conditionalFormatting sqref="AC117:AC118">
    <cfRule type="cellIs" dxfId="4192" priority="2012" operator="equal">
      <formula>0</formula>
    </cfRule>
  </conditionalFormatting>
  <conditionalFormatting sqref="AC119">
    <cfRule type="cellIs" dxfId="4191" priority="2011" operator="equal">
      <formula>0</formula>
    </cfRule>
  </conditionalFormatting>
  <conditionalFormatting sqref="AC121:AC122">
    <cfRule type="cellIs" dxfId="4190" priority="2010" operator="greaterThan">
      <formula>0</formula>
    </cfRule>
  </conditionalFormatting>
  <conditionalFormatting sqref="AC121:AC122">
    <cfRule type="cellIs" dxfId="4189" priority="2009" operator="equal">
      <formula>0</formula>
    </cfRule>
  </conditionalFormatting>
  <conditionalFormatting sqref="AC123">
    <cfRule type="cellIs" dxfId="4188" priority="2008" operator="equal">
      <formula>0</formula>
    </cfRule>
  </conditionalFormatting>
  <conditionalFormatting sqref="AC125:AC126">
    <cfRule type="cellIs" dxfId="4187" priority="2007" operator="greaterThan">
      <formula>0</formula>
    </cfRule>
  </conditionalFormatting>
  <conditionalFormatting sqref="AC125:AC126">
    <cfRule type="cellIs" dxfId="4186" priority="2006" operator="equal">
      <formula>0</formula>
    </cfRule>
  </conditionalFormatting>
  <conditionalFormatting sqref="AC127">
    <cfRule type="cellIs" dxfId="4185" priority="2005" operator="equal">
      <formula>0</formula>
    </cfRule>
  </conditionalFormatting>
  <conditionalFormatting sqref="AD113:AD114 AD129:AD130 AD133:AD134 AD141:AD142 AD145:AD146 AD149:AD150 AD153:AD154 AD197:AD198">
    <cfRule type="cellIs" dxfId="4184" priority="2004" operator="greaterThan">
      <formula>0</formula>
    </cfRule>
  </conditionalFormatting>
  <conditionalFormatting sqref="AD113:AD114 AD129:AD130 AD133:AD134 AD141:AD142 AD145:AD146 AD149:AD150 AD153:AD154 AD197:AD198">
    <cfRule type="cellIs" dxfId="4183" priority="2003" operator="equal">
      <formula>0</formula>
    </cfRule>
  </conditionalFormatting>
  <conditionalFormatting sqref="AD115 AD131 AD143 AD147 AD151 AD155 AD199 AD135:AD139">
    <cfRule type="cellIs" dxfId="4182" priority="2002" operator="equal">
      <formula>0</formula>
    </cfRule>
  </conditionalFormatting>
  <conditionalFormatting sqref="AD109:AD110">
    <cfRule type="cellIs" dxfId="4181" priority="2001" operator="greaterThan">
      <formula>0</formula>
    </cfRule>
  </conditionalFormatting>
  <conditionalFormatting sqref="AD109:AD110">
    <cfRule type="cellIs" dxfId="4180" priority="2000" operator="equal">
      <formula>0</formula>
    </cfRule>
  </conditionalFormatting>
  <conditionalFormatting sqref="AD111">
    <cfRule type="cellIs" dxfId="4179" priority="1999" operator="equal">
      <formula>0</formula>
    </cfRule>
  </conditionalFormatting>
  <conditionalFormatting sqref="AD117:AD118">
    <cfRule type="cellIs" dxfId="4178" priority="1998" operator="greaterThan">
      <formula>0</formula>
    </cfRule>
  </conditionalFormatting>
  <conditionalFormatting sqref="AD117:AD118">
    <cfRule type="cellIs" dxfId="4177" priority="1997" operator="equal">
      <formula>0</formula>
    </cfRule>
  </conditionalFormatting>
  <conditionalFormatting sqref="AD119">
    <cfRule type="cellIs" dxfId="4176" priority="1996" operator="equal">
      <formula>0</formula>
    </cfRule>
  </conditionalFormatting>
  <conditionalFormatting sqref="AD121:AD122">
    <cfRule type="cellIs" dxfId="4175" priority="1995" operator="greaterThan">
      <formula>0</formula>
    </cfRule>
  </conditionalFormatting>
  <conditionalFormatting sqref="AD121:AD122">
    <cfRule type="cellIs" dxfId="4174" priority="1994" operator="equal">
      <formula>0</formula>
    </cfRule>
  </conditionalFormatting>
  <conditionalFormatting sqref="AD123">
    <cfRule type="cellIs" dxfId="4173" priority="1993" operator="equal">
      <formula>0</formula>
    </cfRule>
  </conditionalFormatting>
  <conditionalFormatting sqref="AD125:AD126">
    <cfRule type="cellIs" dxfId="4172" priority="1992" operator="greaterThan">
      <formula>0</formula>
    </cfRule>
  </conditionalFormatting>
  <conditionalFormatting sqref="AD125:AD126">
    <cfRule type="cellIs" dxfId="4171" priority="1991" operator="equal">
      <formula>0</formula>
    </cfRule>
  </conditionalFormatting>
  <conditionalFormatting sqref="AD127">
    <cfRule type="cellIs" dxfId="4170" priority="1990" operator="equal">
      <formula>0</formula>
    </cfRule>
  </conditionalFormatting>
  <conditionalFormatting sqref="AE113:AE114 AE129:AE130 AE133:AE134 AE141:AE142 AE145:AE146 AE149:AE150 AE153:AE154 AE197:AE198">
    <cfRule type="cellIs" dxfId="4169" priority="1989" operator="greaterThan">
      <formula>0</formula>
    </cfRule>
  </conditionalFormatting>
  <conditionalFormatting sqref="AE113:AE114 AE129:AE130 AE133:AE134 AE141:AE142 AE145:AE146 AE149:AE150 AE153:AE154 AE197:AE198">
    <cfRule type="cellIs" dxfId="4168" priority="1988" operator="equal">
      <formula>0</formula>
    </cfRule>
  </conditionalFormatting>
  <conditionalFormatting sqref="AE115 AE131 AE143 AE147 AE151 AE155 AE199 AE135:AE139">
    <cfRule type="cellIs" dxfId="4167" priority="1987" operator="equal">
      <formula>0</formula>
    </cfRule>
  </conditionalFormatting>
  <conditionalFormatting sqref="AE109:AE110">
    <cfRule type="cellIs" dxfId="4166" priority="1986" operator="greaterThan">
      <formula>0</formula>
    </cfRule>
  </conditionalFormatting>
  <conditionalFormatting sqref="AE109:AE110">
    <cfRule type="cellIs" dxfId="4165" priority="1985" operator="equal">
      <formula>0</formula>
    </cfRule>
  </conditionalFormatting>
  <conditionalFormatting sqref="AE111">
    <cfRule type="cellIs" dxfId="4164" priority="1984" operator="equal">
      <formula>0</formula>
    </cfRule>
  </conditionalFormatting>
  <conditionalFormatting sqref="AE117:AE118">
    <cfRule type="cellIs" dxfId="4163" priority="1983" operator="greaterThan">
      <formula>0</formula>
    </cfRule>
  </conditionalFormatting>
  <conditionalFormatting sqref="AE117:AE118">
    <cfRule type="cellIs" dxfId="4162" priority="1982" operator="equal">
      <formula>0</formula>
    </cfRule>
  </conditionalFormatting>
  <conditionalFormatting sqref="AE119">
    <cfRule type="cellIs" dxfId="4161" priority="1981" operator="equal">
      <formula>0</formula>
    </cfRule>
  </conditionalFormatting>
  <conditionalFormatting sqref="AE121:AE122">
    <cfRule type="cellIs" dxfId="4160" priority="1980" operator="greaterThan">
      <formula>0</formula>
    </cfRule>
  </conditionalFormatting>
  <conditionalFormatting sqref="AE121:AE122">
    <cfRule type="cellIs" dxfId="4159" priority="1979" operator="equal">
      <formula>0</formula>
    </cfRule>
  </conditionalFormatting>
  <conditionalFormatting sqref="AE123">
    <cfRule type="cellIs" dxfId="4158" priority="1978" operator="equal">
      <formula>0</formula>
    </cfRule>
  </conditionalFormatting>
  <conditionalFormatting sqref="AE125:AE126">
    <cfRule type="cellIs" dxfId="4157" priority="1977" operator="greaterThan">
      <formula>0</formula>
    </cfRule>
  </conditionalFormatting>
  <conditionalFormatting sqref="AE125:AE126">
    <cfRule type="cellIs" dxfId="4156" priority="1976" operator="equal">
      <formula>0</formula>
    </cfRule>
  </conditionalFormatting>
  <conditionalFormatting sqref="AE127">
    <cfRule type="cellIs" dxfId="4155" priority="1975" operator="equal">
      <formula>0</formula>
    </cfRule>
  </conditionalFormatting>
  <conditionalFormatting sqref="AF113:AF114 AF129:AF130 AF133:AF134 AF141:AF142 AF145:AF146 AF149:AF150 AF153:AF154 AF197:AF198">
    <cfRule type="cellIs" dxfId="4154" priority="1974" operator="greaterThan">
      <formula>0</formula>
    </cfRule>
  </conditionalFormatting>
  <conditionalFormatting sqref="AF113:AF114 AF129:AF130 AF133:AF134 AF141:AF142 AF145:AF146 AF149:AF150 AF153:AF154 AF197:AF198">
    <cfRule type="cellIs" dxfId="4153" priority="1973" operator="equal">
      <formula>0</formula>
    </cfRule>
  </conditionalFormatting>
  <conditionalFormatting sqref="AF115 AF131 AF143 AF147 AF151 AF155 AF199 AF135:AF139">
    <cfRule type="cellIs" dxfId="4152" priority="1972" operator="equal">
      <formula>0</formula>
    </cfRule>
  </conditionalFormatting>
  <conditionalFormatting sqref="AF109:AF110">
    <cfRule type="cellIs" dxfId="4151" priority="1971" operator="greaterThan">
      <formula>0</formula>
    </cfRule>
  </conditionalFormatting>
  <conditionalFormatting sqref="AF109:AF110">
    <cfRule type="cellIs" dxfId="4150" priority="1970" operator="equal">
      <formula>0</formula>
    </cfRule>
  </conditionalFormatting>
  <conditionalFormatting sqref="AF111">
    <cfRule type="cellIs" dxfId="4149" priority="1969" operator="equal">
      <formula>0</formula>
    </cfRule>
  </conditionalFormatting>
  <conditionalFormatting sqref="AF117:AF118">
    <cfRule type="cellIs" dxfId="4148" priority="1968" operator="greaterThan">
      <formula>0</formula>
    </cfRule>
  </conditionalFormatting>
  <conditionalFormatting sqref="AF117:AF118">
    <cfRule type="cellIs" dxfId="4147" priority="1967" operator="equal">
      <formula>0</formula>
    </cfRule>
  </conditionalFormatting>
  <conditionalFormatting sqref="AF119">
    <cfRule type="cellIs" dxfId="4146" priority="1966" operator="equal">
      <formula>0</formula>
    </cfRule>
  </conditionalFormatting>
  <conditionalFormatting sqref="AF121:AF122">
    <cfRule type="cellIs" dxfId="4145" priority="1965" operator="greaterThan">
      <formula>0</formula>
    </cfRule>
  </conditionalFormatting>
  <conditionalFormatting sqref="AF121:AF122">
    <cfRule type="cellIs" dxfId="4144" priority="1964" operator="equal">
      <formula>0</formula>
    </cfRule>
  </conditionalFormatting>
  <conditionalFormatting sqref="AF123">
    <cfRule type="cellIs" dxfId="4143" priority="1963" operator="equal">
      <formula>0</formula>
    </cfRule>
  </conditionalFormatting>
  <conditionalFormatting sqref="AF125:AF126">
    <cfRule type="cellIs" dxfId="4142" priority="1962" operator="greaterThan">
      <formula>0</formula>
    </cfRule>
  </conditionalFormatting>
  <conditionalFormatting sqref="AF125:AF126">
    <cfRule type="cellIs" dxfId="4141" priority="1961" operator="equal">
      <formula>0</formula>
    </cfRule>
  </conditionalFormatting>
  <conditionalFormatting sqref="AF127">
    <cfRule type="cellIs" dxfId="4140" priority="1960" operator="equal">
      <formula>0</formula>
    </cfRule>
  </conditionalFormatting>
  <conditionalFormatting sqref="AG115 AG131 AG143 AG147 AG151 AG155 AG199 AG135:AG139">
    <cfRule type="cellIs" dxfId="4139" priority="1959" operator="equal">
      <formula>0</formula>
    </cfRule>
  </conditionalFormatting>
  <conditionalFormatting sqref="AG111">
    <cfRule type="cellIs" dxfId="4138" priority="1958" operator="equal">
      <formula>0</formula>
    </cfRule>
  </conditionalFormatting>
  <conditionalFormatting sqref="AG119">
    <cfRule type="cellIs" dxfId="4137" priority="1957" operator="equal">
      <formula>0</formula>
    </cfRule>
  </conditionalFormatting>
  <conditionalFormatting sqref="AG123">
    <cfRule type="cellIs" dxfId="4136" priority="1956" operator="equal">
      <formula>0</formula>
    </cfRule>
  </conditionalFormatting>
  <conditionalFormatting sqref="AG127">
    <cfRule type="cellIs" dxfId="4135" priority="1955" operator="equal">
      <formula>0</formula>
    </cfRule>
  </conditionalFormatting>
  <conditionalFormatting sqref="AH115 AH131 AH143 AH147 AH151 AH155 AH199 AH135:AH139">
    <cfRule type="cellIs" dxfId="4134" priority="1954" operator="equal">
      <formula>0</formula>
    </cfRule>
  </conditionalFormatting>
  <conditionalFormatting sqref="AH111">
    <cfRule type="cellIs" dxfId="4133" priority="1953" operator="equal">
      <formula>0</formula>
    </cfRule>
  </conditionalFormatting>
  <conditionalFormatting sqref="AH119">
    <cfRule type="cellIs" dxfId="4132" priority="1952" operator="equal">
      <formula>0</formula>
    </cfRule>
  </conditionalFormatting>
  <conditionalFormatting sqref="AH123">
    <cfRule type="cellIs" dxfId="4131" priority="1951" operator="equal">
      <formula>0</formula>
    </cfRule>
  </conditionalFormatting>
  <conditionalFormatting sqref="AH127">
    <cfRule type="cellIs" dxfId="4130" priority="1950" operator="equal">
      <formula>0</formula>
    </cfRule>
  </conditionalFormatting>
  <conditionalFormatting sqref="AI115 AI131 AI143 AI147 AI151 AI155 AI199 AI135:AI139">
    <cfRule type="cellIs" dxfId="4129" priority="1949" operator="equal">
      <formula>0</formula>
    </cfRule>
  </conditionalFormatting>
  <conditionalFormatting sqref="AI111">
    <cfRule type="cellIs" dxfId="4128" priority="1948" operator="equal">
      <formula>0</formula>
    </cfRule>
  </conditionalFormatting>
  <conditionalFormatting sqref="AI119">
    <cfRule type="cellIs" dxfId="4127" priority="1947" operator="equal">
      <formula>0</formula>
    </cfRule>
  </conditionalFormatting>
  <conditionalFormatting sqref="AI123">
    <cfRule type="cellIs" dxfId="4126" priority="1946" operator="equal">
      <formula>0</formula>
    </cfRule>
  </conditionalFormatting>
  <conditionalFormatting sqref="AI127">
    <cfRule type="cellIs" dxfId="4125" priority="1945" operator="equal">
      <formula>0</formula>
    </cfRule>
  </conditionalFormatting>
  <conditionalFormatting sqref="AJ115 AJ131 AJ143 AJ147 AJ151 AJ155 AJ199 AJ135:AJ139">
    <cfRule type="cellIs" dxfId="4124" priority="1944" operator="equal">
      <formula>0</formula>
    </cfRule>
  </conditionalFormatting>
  <conditionalFormatting sqref="AJ111">
    <cfRule type="cellIs" dxfId="4123" priority="1943" operator="equal">
      <formula>0</formula>
    </cfRule>
  </conditionalFormatting>
  <conditionalFormatting sqref="AJ119">
    <cfRule type="cellIs" dxfId="4122" priority="1942" operator="equal">
      <formula>0</formula>
    </cfRule>
  </conditionalFormatting>
  <conditionalFormatting sqref="AJ123">
    <cfRule type="cellIs" dxfId="4121" priority="1941" operator="equal">
      <formula>0</formula>
    </cfRule>
  </conditionalFormatting>
  <conditionalFormatting sqref="AJ127">
    <cfRule type="cellIs" dxfId="4120" priority="1940" operator="equal">
      <formula>0</formula>
    </cfRule>
  </conditionalFormatting>
  <conditionalFormatting sqref="AK112">
    <cfRule type="cellIs" dxfId="4119" priority="1938" operator="equal">
      <formula>0</formula>
    </cfRule>
    <cfRule type="cellIs" dxfId="4118" priority="1939" operator="notEqual">
      <formula>0</formula>
    </cfRule>
  </conditionalFormatting>
  <conditionalFormatting sqref="AK128 AK132 AK140 AK144 AK148 AK152 AK196">
    <cfRule type="cellIs" dxfId="4117" priority="1937" operator="greaterThan">
      <formula>0</formula>
    </cfRule>
  </conditionalFormatting>
  <conditionalFormatting sqref="AK115 AK131 AK143 AK147 AK151 AK155 AK199 AK135:AK139">
    <cfRule type="cellIs" dxfId="4116" priority="1936" operator="equal">
      <formula>0</formula>
    </cfRule>
  </conditionalFormatting>
  <conditionalFormatting sqref="AK108">
    <cfRule type="cellIs" dxfId="4115" priority="1934" operator="equal">
      <formula>0</formula>
    </cfRule>
    <cfRule type="cellIs" dxfId="4114" priority="1935" operator="notEqual">
      <formula>0</formula>
    </cfRule>
  </conditionalFormatting>
  <conditionalFormatting sqref="AK111">
    <cfRule type="cellIs" dxfId="4113" priority="1933" operator="equal">
      <formula>0</formula>
    </cfRule>
  </conditionalFormatting>
  <conditionalFormatting sqref="AK116">
    <cfRule type="cellIs" dxfId="4112" priority="1931" operator="equal">
      <formula>0</formula>
    </cfRule>
    <cfRule type="cellIs" dxfId="4111" priority="1932" operator="notEqual">
      <formula>0</formula>
    </cfRule>
  </conditionalFormatting>
  <conditionalFormatting sqref="AK119">
    <cfRule type="cellIs" dxfId="4110" priority="1930" operator="equal">
      <formula>0</formula>
    </cfRule>
  </conditionalFormatting>
  <conditionalFormatting sqref="AK120">
    <cfRule type="cellIs" dxfId="4109" priority="1928" operator="equal">
      <formula>0</formula>
    </cfRule>
    <cfRule type="cellIs" dxfId="4108" priority="1929" operator="notEqual">
      <formula>0</formula>
    </cfRule>
  </conditionalFormatting>
  <conditionalFormatting sqref="AK123">
    <cfRule type="cellIs" dxfId="4107" priority="1927" operator="equal">
      <formula>0</formula>
    </cfRule>
  </conditionalFormatting>
  <conditionalFormatting sqref="AK124">
    <cfRule type="cellIs" dxfId="4106" priority="1925" operator="equal">
      <formula>0</formula>
    </cfRule>
    <cfRule type="cellIs" dxfId="4105" priority="1926" operator="notEqual">
      <formula>0</formula>
    </cfRule>
  </conditionalFormatting>
  <conditionalFormatting sqref="AK127">
    <cfRule type="cellIs" dxfId="4104" priority="1924" operator="equal">
      <formula>0</formula>
    </cfRule>
  </conditionalFormatting>
  <conditionalFormatting sqref="AL112">
    <cfRule type="cellIs" dxfId="4103" priority="1922" operator="equal">
      <formula>0</formula>
    </cfRule>
    <cfRule type="cellIs" dxfId="4102" priority="1923" operator="notEqual">
      <formula>0</formula>
    </cfRule>
  </conditionalFormatting>
  <conditionalFormatting sqref="AL128 AL132 AL140 AL144 AL148 AL152 AL196">
    <cfRule type="cellIs" dxfId="4101" priority="1921" operator="greaterThan">
      <formula>0</formula>
    </cfRule>
  </conditionalFormatting>
  <conditionalFormatting sqref="AL115 AL131 AL143 AL147 AL151 AL155 AL199 AL135:AL139">
    <cfRule type="cellIs" dxfId="4100" priority="1920" operator="equal">
      <formula>0</formula>
    </cfRule>
  </conditionalFormatting>
  <conditionalFormatting sqref="AL108">
    <cfRule type="cellIs" dxfId="4099" priority="1918" operator="equal">
      <formula>0</formula>
    </cfRule>
    <cfRule type="cellIs" dxfId="4098" priority="1919" operator="notEqual">
      <formula>0</formula>
    </cfRule>
  </conditionalFormatting>
  <conditionalFormatting sqref="AL111">
    <cfRule type="cellIs" dxfId="4097" priority="1917" operator="equal">
      <formula>0</formula>
    </cfRule>
  </conditionalFormatting>
  <conditionalFormatting sqref="AL116">
    <cfRule type="cellIs" dxfId="4096" priority="1915" operator="equal">
      <formula>0</formula>
    </cfRule>
    <cfRule type="cellIs" dxfId="4095" priority="1916" operator="notEqual">
      <formula>0</formula>
    </cfRule>
  </conditionalFormatting>
  <conditionalFormatting sqref="AL119">
    <cfRule type="cellIs" dxfId="4094" priority="1914" operator="equal">
      <formula>0</formula>
    </cfRule>
  </conditionalFormatting>
  <conditionalFormatting sqref="AL120">
    <cfRule type="cellIs" dxfId="4093" priority="1912" operator="equal">
      <formula>0</formula>
    </cfRule>
    <cfRule type="cellIs" dxfId="4092" priority="1913" operator="notEqual">
      <formula>0</formula>
    </cfRule>
  </conditionalFormatting>
  <conditionalFormatting sqref="AL123">
    <cfRule type="cellIs" dxfId="4091" priority="1911" operator="equal">
      <formula>0</formula>
    </cfRule>
  </conditionalFormatting>
  <conditionalFormatting sqref="AL124">
    <cfRule type="cellIs" dxfId="4090" priority="1909" operator="equal">
      <formula>0</formula>
    </cfRule>
    <cfRule type="cellIs" dxfId="4089" priority="1910" operator="notEqual">
      <formula>0</formula>
    </cfRule>
  </conditionalFormatting>
  <conditionalFormatting sqref="AL127">
    <cfRule type="cellIs" dxfId="4088" priority="1908" operator="equal">
      <formula>0</formula>
    </cfRule>
  </conditionalFormatting>
  <conditionalFormatting sqref="AM112">
    <cfRule type="cellIs" dxfId="4087" priority="1906" operator="equal">
      <formula>0</formula>
    </cfRule>
    <cfRule type="cellIs" dxfId="4086" priority="1907" operator="notEqual">
      <formula>0</formula>
    </cfRule>
  </conditionalFormatting>
  <conditionalFormatting sqref="AM128 AM132 AM140 AM144 AM148 AM152 AM196">
    <cfRule type="cellIs" dxfId="4085" priority="1905" operator="greaterThan">
      <formula>0</formula>
    </cfRule>
  </conditionalFormatting>
  <conditionalFormatting sqref="AM115 AM131 AM143 AM147 AM151 AM155 AM199 AM135:AM139">
    <cfRule type="cellIs" dxfId="4084" priority="1904" operator="equal">
      <formula>0</formula>
    </cfRule>
  </conditionalFormatting>
  <conditionalFormatting sqref="AM108">
    <cfRule type="cellIs" dxfId="4083" priority="1902" operator="equal">
      <formula>0</formula>
    </cfRule>
    <cfRule type="cellIs" dxfId="4082" priority="1903" operator="notEqual">
      <formula>0</formula>
    </cfRule>
  </conditionalFormatting>
  <conditionalFormatting sqref="AM111">
    <cfRule type="cellIs" dxfId="4081" priority="1901" operator="equal">
      <formula>0</formula>
    </cfRule>
  </conditionalFormatting>
  <conditionalFormatting sqref="AM116">
    <cfRule type="cellIs" dxfId="4080" priority="1899" operator="equal">
      <formula>0</formula>
    </cfRule>
    <cfRule type="cellIs" dxfId="4079" priority="1900" operator="notEqual">
      <formula>0</formula>
    </cfRule>
  </conditionalFormatting>
  <conditionalFormatting sqref="AM119">
    <cfRule type="cellIs" dxfId="4078" priority="1898" operator="equal">
      <formula>0</formula>
    </cfRule>
  </conditionalFormatting>
  <conditionalFormatting sqref="AM120">
    <cfRule type="cellIs" dxfId="4077" priority="1896" operator="equal">
      <formula>0</formula>
    </cfRule>
    <cfRule type="cellIs" dxfId="4076" priority="1897" operator="notEqual">
      <formula>0</formula>
    </cfRule>
  </conditionalFormatting>
  <conditionalFormatting sqref="AM123">
    <cfRule type="cellIs" dxfId="4075" priority="1895" operator="equal">
      <formula>0</formula>
    </cfRule>
  </conditionalFormatting>
  <conditionalFormatting sqref="AM124">
    <cfRule type="cellIs" dxfId="4074" priority="1893" operator="equal">
      <formula>0</formula>
    </cfRule>
    <cfRule type="cellIs" dxfId="4073" priority="1894" operator="notEqual">
      <formula>0</formula>
    </cfRule>
  </conditionalFormatting>
  <conditionalFormatting sqref="AM127">
    <cfRule type="cellIs" dxfId="4072" priority="1892" operator="equal">
      <formula>0</formula>
    </cfRule>
  </conditionalFormatting>
  <conditionalFormatting sqref="AN112">
    <cfRule type="cellIs" dxfId="4071" priority="1890" operator="equal">
      <formula>0</formula>
    </cfRule>
    <cfRule type="cellIs" dxfId="4070" priority="1891" operator="notEqual">
      <formula>0</formula>
    </cfRule>
  </conditionalFormatting>
  <conditionalFormatting sqref="AN128 AN132 AN140 AN144 AN148 AN152 AN196">
    <cfRule type="cellIs" dxfId="4069" priority="1889" operator="greaterThan">
      <formula>0</formula>
    </cfRule>
  </conditionalFormatting>
  <conditionalFormatting sqref="AN115 AN131 AN143 AN147 AN151 AN155 AN199 AN135:AN139">
    <cfRule type="cellIs" dxfId="4068" priority="1888" operator="equal">
      <formula>0</formula>
    </cfRule>
  </conditionalFormatting>
  <conditionalFormatting sqref="AN108">
    <cfRule type="cellIs" dxfId="4067" priority="1886" operator="equal">
      <formula>0</formula>
    </cfRule>
    <cfRule type="cellIs" dxfId="4066" priority="1887" operator="notEqual">
      <formula>0</formula>
    </cfRule>
  </conditionalFormatting>
  <conditionalFormatting sqref="AN111">
    <cfRule type="cellIs" dxfId="4065" priority="1885" operator="equal">
      <formula>0</formula>
    </cfRule>
  </conditionalFormatting>
  <conditionalFormatting sqref="AN116">
    <cfRule type="cellIs" dxfId="4064" priority="1883" operator="equal">
      <formula>0</formula>
    </cfRule>
    <cfRule type="cellIs" dxfId="4063" priority="1884" operator="notEqual">
      <formula>0</formula>
    </cfRule>
  </conditionalFormatting>
  <conditionalFormatting sqref="AN119">
    <cfRule type="cellIs" dxfId="4062" priority="1882" operator="equal">
      <formula>0</formula>
    </cfRule>
  </conditionalFormatting>
  <conditionalFormatting sqref="AN120">
    <cfRule type="cellIs" dxfId="4061" priority="1880" operator="equal">
      <formula>0</formula>
    </cfRule>
    <cfRule type="cellIs" dxfId="4060" priority="1881" operator="notEqual">
      <formula>0</formula>
    </cfRule>
  </conditionalFormatting>
  <conditionalFormatting sqref="AN123">
    <cfRule type="cellIs" dxfId="4059" priority="1879" operator="equal">
      <formula>0</formula>
    </cfRule>
  </conditionalFormatting>
  <conditionalFormatting sqref="AN124">
    <cfRule type="cellIs" dxfId="4058" priority="1877" operator="equal">
      <formula>0</formula>
    </cfRule>
    <cfRule type="cellIs" dxfId="4057" priority="1878" operator="notEqual">
      <formula>0</formula>
    </cfRule>
  </conditionalFormatting>
  <conditionalFormatting sqref="AN127">
    <cfRule type="cellIs" dxfId="4056" priority="1876" operator="equal">
      <formula>0</formula>
    </cfRule>
  </conditionalFormatting>
  <conditionalFormatting sqref="Y210:Y211 Y226:Y227 Y230:Y231 Y238:Y239 Y242:Y243 Y246:Y247 Y250:Y251 Y294:Y295">
    <cfRule type="cellIs" dxfId="4055" priority="1875" operator="greaterThan">
      <formula>0</formula>
    </cfRule>
  </conditionalFormatting>
  <conditionalFormatting sqref="Y210:Y211 Y226:Y227 Y230:Y231 Y238:Y239 Y242:Y243 Y246:Y247 Y250:Y251 Y294:Y295">
    <cfRule type="cellIs" dxfId="4054" priority="1874" operator="equal">
      <formula>0</formula>
    </cfRule>
  </conditionalFormatting>
  <conditionalFormatting sqref="Y212 Y228 Y240 Y244 Y248 Y296 Y232:Y236 Y252 Y290:AN292">
    <cfRule type="cellIs" dxfId="4053" priority="1873" operator="equal">
      <formula>0</formula>
    </cfRule>
  </conditionalFormatting>
  <conditionalFormatting sqref="Y206:Y207">
    <cfRule type="cellIs" dxfId="4052" priority="1872" operator="greaterThan">
      <formula>0</formula>
    </cfRule>
  </conditionalFormatting>
  <conditionalFormatting sqref="Y206:Y207">
    <cfRule type="cellIs" dxfId="4051" priority="1871" operator="equal">
      <formula>0</formula>
    </cfRule>
  </conditionalFormatting>
  <conditionalFormatting sqref="Y208">
    <cfRule type="cellIs" dxfId="4050" priority="1870" operator="equal">
      <formula>0</formula>
    </cfRule>
  </conditionalFormatting>
  <conditionalFormatting sqref="Y214:Y215">
    <cfRule type="cellIs" dxfId="4049" priority="1869" operator="greaterThan">
      <formula>0</formula>
    </cfRule>
  </conditionalFormatting>
  <conditionalFormatting sqref="Y214:Y215">
    <cfRule type="cellIs" dxfId="4048" priority="1868" operator="equal">
      <formula>0</formula>
    </cfRule>
  </conditionalFormatting>
  <conditionalFormatting sqref="Y216">
    <cfRule type="cellIs" dxfId="4047" priority="1867" operator="equal">
      <formula>0</formula>
    </cfRule>
  </conditionalFormatting>
  <conditionalFormatting sqref="Y218:Y219">
    <cfRule type="cellIs" dxfId="4046" priority="1866" operator="greaterThan">
      <formula>0</formula>
    </cfRule>
  </conditionalFormatting>
  <conditionalFormatting sqref="Y218:Y219">
    <cfRule type="cellIs" dxfId="4045" priority="1865" operator="equal">
      <formula>0</formula>
    </cfRule>
  </conditionalFormatting>
  <conditionalFormatting sqref="Y220">
    <cfRule type="cellIs" dxfId="4044" priority="1864" operator="equal">
      <formula>0</formula>
    </cfRule>
  </conditionalFormatting>
  <conditionalFormatting sqref="Y222:Y223">
    <cfRule type="cellIs" dxfId="4043" priority="1863" operator="greaterThan">
      <formula>0</formula>
    </cfRule>
  </conditionalFormatting>
  <conditionalFormatting sqref="Y222:Y223">
    <cfRule type="cellIs" dxfId="4042" priority="1862" operator="equal">
      <formula>0</formula>
    </cfRule>
  </conditionalFormatting>
  <conditionalFormatting sqref="Y224">
    <cfRule type="cellIs" dxfId="4041" priority="1861" operator="equal">
      <formula>0</formula>
    </cfRule>
  </conditionalFormatting>
  <conditionalFormatting sqref="Z210:Z211 Z226:Z227 Z230:Z231 Z238:Z239 Z242:Z243 Z246:Z247 Z250:Z251 Z294:Z295">
    <cfRule type="cellIs" dxfId="4040" priority="1860" operator="greaterThan">
      <formula>0</formula>
    </cfRule>
  </conditionalFormatting>
  <conditionalFormatting sqref="Z210:Z211 Z226:Z227 Z230:Z231 Z238:Z239 Z242:Z243 Z246:Z247 Z250:Z251 Z294:Z295">
    <cfRule type="cellIs" dxfId="4039" priority="1859" operator="equal">
      <formula>0</formula>
    </cfRule>
  </conditionalFormatting>
  <conditionalFormatting sqref="Z212 Z228 Z240 Z244 Z248 Z252 Z296 Z232:Z236">
    <cfRule type="cellIs" dxfId="4038" priority="1858" operator="equal">
      <formula>0</formula>
    </cfRule>
  </conditionalFormatting>
  <conditionalFormatting sqref="Z206:Z207">
    <cfRule type="cellIs" dxfId="4037" priority="1857" operator="greaterThan">
      <formula>0</formula>
    </cfRule>
  </conditionalFormatting>
  <conditionalFormatting sqref="Z206:Z207">
    <cfRule type="cellIs" dxfId="4036" priority="1856" operator="equal">
      <formula>0</formula>
    </cfRule>
  </conditionalFormatting>
  <conditionalFormatting sqref="Z208">
    <cfRule type="cellIs" dxfId="4035" priority="1855" operator="equal">
      <formula>0</formula>
    </cfRule>
  </conditionalFormatting>
  <conditionalFormatting sqref="Z214:Z215">
    <cfRule type="cellIs" dxfId="4034" priority="1854" operator="greaterThan">
      <formula>0</formula>
    </cfRule>
  </conditionalFormatting>
  <conditionalFormatting sqref="Z214:Z215">
    <cfRule type="cellIs" dxfId="4033" priority="1853" operator="equal">
      <formula>0</formula>
    </cfRule>
  </conditionalFormatting>
  <conditionalFormatting sqref="Z216">
    <cfRule type="cellIs" dxfId="4032" priority="1852" operator="equal">
      <formula>0</formula>
    </cfRule>
  </conditionalFormatting>
  <conditionalFormatting sqref="Z218:Z219">
    <cfRule type="cellIs" dxfId="4031" priority="1851" operator="greaterThan">
      <formula>0</formula>
    </cfRule>
  </conditionalFormatting>
  <conditionalFormatting sqref="Z218:Z219">
    <cfRule type="cellIs" dxfId="4030" priority="1850" operator="equal">
      <formula>0</formula>
    </cfRule>
  </conditionalFormatting>
  <conditionalFormatting sqref="Z220">
    <cfRule type="cellIs" dxfId="4029" priority="1849" operator="equal">
      <formula>0</formula>
    </cfRule>
  </conditionalFormatting>
  <conditionalFormatting sqref="Z222:Z223">
    <cfRule type="cellIs" dxfId="4028" priority="1848" operator="greaterThan">
      <formula>0</formula>
    </cfRule>
  </conditionalFormatting>
  <conditionalFormatting sqref="Z222:Z223">
    <cfRule type="cellIs" dxfId="4027" priority="1847" operator="equal">
      <formula>0</formula>
    </cfRule>
  </conditionalFormatting>
  <conditionalFormatting sqref="Z224">
    <cfRule type="cellIs" dxfId="4026" priority="1846" operator="equal">
      <formula>0</formula>
    </cfRule>
  </conditionalFormatting>
  <conditionalFormatting sqref="AA210:AA211 AA226:AA227 AA230:AA231 AA238:AA239 AA242:AA243 AA246:AA247 AA250:AA251 AA294:AA295">
    <cfRule type="cellIs" dxfId="4025" priority="1845" operator="greaterThan">
      <formula>0</formula>
    </cfRule>
  </conditionalFormatting>
  <conditionalFormatting sqref="AA210:AA211 AA226:AA227 AA230:AA231 AA238:AA239 AA242:AA243 AA246:AA247 AA250:AA251 AA294:AA295">
    <cfRule type="cellIs" dxfId="4024" priority="1844" operator="equal">
      <formula>0</formula>
    </cfRule>
  </conditionalFormatting>
  <conditionalFormatting sqref="AA212 AA228 AA240 AA244 AA248 AA252 AA296 AA232:AA236">
    <cfRule type="cellIs" dxfId="4023" priority="1843" operator="equal">
      <formula>0</formula>
    </cfRule>
  </conditionalFormatting>
  <conditionalFormatting sqref="AA206:AA207">
    <cfRule type="cellIs" dxfId="4022" priority="1842" operator="greaterThan">
      <formula>0</formula>
    </cfRule>
  </conditionalFormatting>
  <conditionalFormatting sqref="AA206:AA207">
    <cfRule type="cellIs" dxfId="4021" priority="1841" operator="equal">
      <formula>0</formula>
    </cfRule>
  </conditionalFormatting>
  <conditionalFormatting sqref="AA208">
    <cfRule type="cellIs" dxfId="4020" priority="1840" operator="equal">
      <formula>0</formula>
    </cfRule>
  </conditionalFormatting>
  <conditionalFormatting sqref="AA214:AA215">
    <cfRule type="cellIs" dxfId="4019" priority="1839" operator="greaterThan">
      <formula>0</formula>
    </cfRule>
  </conditionalFormatting>
  <conditionalFormatting sqref="AA214:AA215">
    <cfRule type="cellIs" dxfId="4018" priority="1838" operator="equal">
      <formula>0</formula>
    </cfRule>
  </conditionalFormatting>
  <conditionalFormatting sqref="AA216">
    <cfRule type="cellIs" dxfId="4017" priority="1837" operator="equal">
      <formula>0</formula>
    </cfRule>
  </conditionalFormatting>
  <conditionalFormatting sqref="AA218:AA219">
    <cfRule type="cellIs" dxfId="4016" priority="1836" operator="greaterThan">
      <formula>0</formula>
    </cfRule>
  </conditionalFormatting>
  <conditionalFormatting sqref="AA218:AA219">
    <cfRule type="cellIs" dxfId="4015" priority="1835" operator="equal">
      <formula>0</formula>
    </cfRule>
  </conditionalFormatting>
  <conditionalFormatting sqref="AA220">
    <cfRule type="cellIs" dxfId="4014" priority="1834" operator="equal">
      <formula>0</formula>
    </cfRule>
  </conditionalFormatting>
  <conditionalFormatting sqref="AA222:AA223">
    <cfRule type="cellIs" dxfId="4013" priority="1833" operator="greaterThan">
      <formula>0</formula>
    </cfRule>
  </conditionalFormatting>
  <conditionalFormatting sqref="AA222:AA223">
    <cfRule type="cellIs" dxfId="4012" priority="1832" operator="equal">
      <formula>0</formula>
    </cfRule>
  </conditionalFormatting>
  <conditionalFormatting sqref="AA224">
    <cfRule type="cellIs" dxfId="4011" priority="1831" operator="equal">
      <formula>0</formula>
    </cfRule>
  </conditionalFormatting>
  <conditionalFormatting sqref="AB210:AB211 AB226:AB227 AB230:AB231 AB238:AB239 AB242:AB243 AB246:AB247 AB250:AB251 AB294:AB295">
    <cfRule type="cellIs" dxfId="4010" priority="1830" operator="greaterThan">
      <formula>0</formula>
    </cfRule>
  </conditionalFormatting>
  <conditionalFormatting sqref="AB210:AB211 AB226:AB227 AB230:AB231 AB238:AB239 AB242:AB243 AB246:AB247 AB250:AB251 AB294:AB295">
    <cfRule type="cellIs" dxfId="4009" priority="1829" operator="equal">
      <formula>0</formula>
    </cfRule>
  </conditionalFormatting>
  <conditionalFormatting sqref="AB212 AB228 AB240 AB244 AB248 AB252 AB296 AB232:AB236">
    <cfRule type="cellIs" dxfId="4008" priority="1828" operator="equal">
      <formula>0</formula>
    </cfRule>
  </conditionalFormatting>
  <conditionalFormatting sqref="AB206:AB207">
    <cfRule type="cellIs" dxfId="4007" priority="1827" operator="greaterThan">
      <formula>0</formula>
    </cfRule>
  </conditionalFormatting>
  <conditionalFormatting sqref="AB206:AB207">
    <cfRule type="cellIs" dxfId="4006" priority="1826" operator="equal">
      <formula>0</formula>
    </cfRule>
  </conditionalFormatting>
  <conditionalFormatting sqref="AB208">
    <cfRule type="cellIs" dxfId="4005" priority="1825" operator="equal">
      <formula>0</formula>
    </cfRule>
  </conditionalFormatting>
  <conditionalFormatting sqref="AB214:AB215">
    <cfRule type="cellIs" dxfId="4004" priority="1824" operator="greaterThan">
      <formula>0</formula>
    </cfRule>
  </conditionalFormatting>
  <conditionalFormatting sqref="AB214:AB215">
    <cfRule type="cellIs" dxfId="4003" priority="1823" operator="equal">
      <formula>0</formula>
    </cfRule>
  </conditionalFormatting>
  <conditionalFormatting sqref="AB216">
    <cfRule type="cellIs" dxfId="4002" priority="1822" operator="equal">
      <formula>0</formula>
    </cfRule>
  </conditionalFormatting>
  <conditionalFormatting sqref="AB218:AB219">
    <cfRule type="cellIs" dxfId="4001" priority="1821" operator="greaterThan">
      <formula>0</formula>
    </cfRule>
  </conditionalFormatting>
  <conditionalFormatting sqref="AB218:AB219">
    <cfRule type="cellIs" dxfId="4000" priority="1820" operator="equal">
      <formula>0</formula>
    </cfRule>
  </conditionalFormatting>
  <conditionalFormatting sqref="AB220">
    <cfRule type="cellIs" dxfId="3999" priority="1819" operator="equal">
      <formula>0</formula>
    </cfRule>
  </conditionalFormatting>
  <conditionalFormatting sqref="AB222:AB223">
    <cfRule type="cellIs" dxfId="3998" priority="1818" operator="greaterThan">
      <formula>0</formula>
    </cfRule>
  </conditionalFormatting>
  <conditionalFormatting sqref="AB222:AB223">
    <cfRule type="cellIs" dxfId="3997" priority="1817" operator="equal">
      <formula>0</formula>
    </cfRule>
  </conditionalFormatting>
  <conditionalFormatting sqref="AB224">
    <cfRule type="cellIs" dxfId="3996" priority="1816" operator="equal">
      <formula>0</formula>
    </cfRule>
  </conditionalFormatting>
  <conditionalFormatting sqref="AC210:AC211 AC226:AC227 AC230:AC231 AC238:AC239 AC242:AC243 AC246:AC247 AC250:AC251 AC294:AC295">
    <cfRule type="cellIs" dxfId="3995" priority="1815" operator="greaterThan">
      <formula>0</formula>
    </cfRule>
  </conditionalFormatting>
  <conditionalFormatting sqref="AC210:AC211 AC226:AC227 AC230:AC231 AC238:AC239 AC242:AC243 AC246:AC247 AC250:AC251 AC294:AC295">
    <cfRule type="cellIs" dxfId="3994" priority="1814" operator="equal">
      <formula>0</formula>
    </cfRule>
  </conditionalFormatting>
  <conditionalFormatting sqref="AC212 AC228 AC240 AC244 AC248 AC252 AC296 AC232:AC236">
    <cfRule type="cellIs" dxfId="3993" priority="1813" operator="equal">
      <formula>0</formula>
    </cfRule>
  </conditionalFormatting>
  <conditionalFormatting sqref="AC206:AC207">
    <cfRule type="cellIs" dxfId="3992" priority="1812" operator="greaterThan">
      <formula>0</formula>
    </cfRule>
  </conditionalFormatting>
  <conditionalFormatting sqref="AC206:AC207">
    <cfRule type="cellIs" dxfId="3991" priority="1811" operator="equal">
      <formula>0</formula>
    </cfRule>
  </conditionalFormatting>
  <conditionalFormatting sqref="AC208">
    <cfRule type="cellIs" dxfId="3990" priority="1810" operator="equal">
      <formula>0</formula>
    </cfRule>
  </conditionalFormatting>
  <conditionalFormatting sqref="AC214:AC215">
    <cfRule type="cellIs" dxfId="3989" priority="1809" operator="greaterThan">
      <formula>0</formula>
    </cfRule>
  </conditionalFormatting>
  <conditionalFormatting sqref="AC214:AC215">
    <cfRule type="cellIs" dxfId="3988" priority="1808" operator="equal">
      <formula>0</formula>
    </cfRule>
  </conditionalFormatting>
  <conditionalFormatting sqref="AC216">
    <cfRule type="cellIs" dxfId="3987" priority="1807" operator="equal">
      <formula>0</formula>
    </cfRule>
  </conditionalFormatting>
  <conditionalFormatting sqref="AC218:AC219">
    <cfRule type="cellIs" dxfId="3986" priority="1806" operator="greaterThan">
      <formula>0</formula>
    </cfRule>
  </conditionalFormatting>
  <conditionalFormatting sqref="AC218:AC219">
    <cfRule type="cellIs" dxfId="3985" priority="1805" operator="equal">
      <formula>0</formula>
    </cfRule>
  </conditionalFormatting>
  <conditionalFormatting sqref="AC220">
    <cfRule type="cellIs" dxfId="3984" priority="1804" operator="equal">
      <formula>0</formula>
    </cfRule>
  </conditionalFormatting>
  <conditionalFormatting sqref="AC222:AC223">
    <cfRule type="cellIs" dxfId="3983" priority="1803" operator="greaterThan">
      <formula>0</formula>
    </cfRule>
  </conditionalFormatting>
  <conditionalFormatting sqref="AC222:AC223">
    <cfRule type="cellIs" dxfId="3982" priority="1802" operator="equal">
      <formula>0</formula>
    </cfRule>
  </conditionalFormatting>
  <conditionalFormatting sqref="AC224">
    <cfRule type="cellIs" dxfId="3981" priority="1801" operator="equal">
      <formula>0</formula>
    </cfRule>
  </conditionalFormatting>
  <conditionalFormatting sqref="AD210:AD211 AD226:AD227 AD230:AD231 AD238:AD239 AD242:AD243 AD246:AD247 AD250:AD251 AD294:AD295">
    <cfRule type="cellIs" dxfId="3980" priority="1800" operator="greaterThan">
      <formula>0</formula>
    </cfRule>
  </conditionalFormatting>
  <conditionalFormatting sqref="AD210:AD211 AD226:AD227 AD230:AD231 AD238:AD239 AD242:AD243 AD246:AD247 AD250:AD251 AD294:AD295">
    <cfRule type="cellIs" dxfId="3979" priority="1799" operator="equal">
      <formula>0</formula>
    </cfRule>
  </conditionalFormatting>
  <conditionalFormatting sqref="AD212 AD228 AD240 AD244 AD248 AD252 AD296 AD232:AD236">
    <cfRule type="cellIs" dxfId="3978" priority="1798" operator="equal">
      <formula>0</formula>
    </cfRule>
  </conditionalFormatting>
  <conditionalFormatting sqref="AD206:AD207">
    <cfRule type="cellIs" dxfId="3977" priority="1797" operator="greaterThan">
      <formula>0</formula>
    </cfRule>
  </conditionalFormatting>
  <conditionalFormatting sqref="AD206:AD207">
    <cfRule type="cellIs" dxfId="3976" priority="1796" operator="equal">
      <formula>0</formula>
    </cfRule>
  </conditionalFormatting>
  <conditionalFormatting sqref="AD208">
    <cfRule type="cellIs" dxfId="3975" priority="1795" operator="equal">
      <formula>0</formula>
    </cfRule>
  </conditionalFormatting>
  <conditionalFormatting sqref="AD214:AD215">
    <cfRule type="cellIs" dxfId="3974" priority="1794" operator="greaterThan">
      <formula>0</formula>
    </cfRule>
  </conditionalFormatting>
  <conditionalFormatting sqref="AD214:AD215">
    <cfRule type="cellIs" dxfId="3973" priority="1793" operator="equal">
      <formula>0</formula>
    </cfRule>
  </conditionalFormatting>
  <conditionalFormatting sqref="AD216">
    <cfRule type="cellIs" dxfId="3972" priority="1792" operator="equal">
      <formula>0</formula>
    </cfRule>
  </conditionalFormatting>
  <conditionalFormatting sqref="AD218:AD219">
    <cfRule type="cellIs" dxfId="3971" priority="1791" operator="greaterThan">
      <formula>0</formula>
    </cfRule>
  </conditionalFormatting>
  <conditionalFormatting sqref="AD218:AD219">
    <cfRule type="cellIs" dxfId="3970" priority="1790" operator="equal">
      <formula>0</formula>
    </cfRule>
  </conditionalFormatting>
  <conditionalFormatting sqref="AD220">
    <cfRule type="cellIs" dxfId="3969" priority="1789" operator="equal">
      <formula>0</formula>
    </cfRule>
  </conditionalFormatting>
  <conditionalFormatting sqref="AD222:AD223">
    <cfRule type="cellIs" dxfId="3968" priority="1788" operator="greaterThan">
      <formula>0</formula>
    </cfRule>
  </conditionalFormatting>
  <conditionalFormatting sqref="AD222:AD223">
    <cfRule type="cellIs" dxfId="3967" priority="1787" operator="equal">
      <formula>0</formula>
    </cfRule>
  </conditionalFormatting>
  <conditionalFormatting sqref="AD224">
    <cfRule type="cellIs" dxfId="3966" priority="1786" operator="equal">
      <formula>0</formula>
    </cfRule>
  </conditionalFormatting>
  <conditionalFormatting sqref="AE210:AE211 AE226:AE227 AE230:AE231 AE238:AE239 AE242:AE243 AE246:AE247 AE250:AE251 AE294:AE295">
    <cfRule type="cellIs" dxfId="3965" priority="1785" operator="greaterThan">
      <formula>0</formula>
    </cfRule>
  </conditionalFormatting>
  <conditionalFormatting sqref="AE210:AE211 AE226:AE227 AE230:AE231 AE238:AE239 AE242:AE243 AE246:AE247 AE250:AE251 AE294:AE295">
    <cfRule type="cellIs" dxfId="3964" priority="1784" operator="equal">
      <formula>0</formula>
    </cfRule>
  </conditionalFormatting>
  <conditionalFormatting sqref="AE212 AE228 AE240 AE244 AE248 AE252 AE296 AE232:AE236">
    <cfRule type="cellIs" dxfId="3963" priority="1783" operator="equal">
      <formula>0</formula>
    </cfRule>
  </conditionalFormatting>
  <conditionalFormatting sqref="AE206:AE207">
    <cfRule type="cellIs" dxfId="3962" priority="1782" operator="greaterThan">
      <formula>0</formula>
    </cfRule>
  </conditionalFormatting>
  <conditionalFormatting sqref="AE206:AE207">
    <cfRule type="cellIs" dxfId="3961" priority="1781" operator="equal">
      <formula>0</formula>
    </cfRule>
  </conditionalFormatting>
  <conditionalFormatting sqref="AE208">
    <cfRule type="cellIs" dxfId="3960" priority="1780" operator="equal">
      <formula>0</formula>
    </cfRule>
  </conditionalFormatting>
  <conditionalFormatting sqref="AE214:AE215">
    <cfRule type="cellIs" dxfId="3959" priority="1779" operator="greaterThan">
      <formula>0</formula>
    </cfRule>
  </conditionalFormatting>
  <conditionalFormatting sqref="AE214:AE215">
    <cfRule type="cellIs" dxfId="3958" priority="1778" operator="equal">
      <formula>0</formula>
    </cfRule>
  </conditionalFormatting>
  <conditionalFormatting sqref="AE216">
    <cfRule type="cellIs" dxfId="3957" priority="1777" operator="equal">
      <formula>0</formula>
    </cfRule>
  </conditionalFormatting>
  <conditionalFormatting sqref="AE218:AE219">
    <cfRule type="cellIs" dxfId="3956" priority="1776" operator="greaterThan">
      <formula>0</formula>
    </cfRule>
  </conditionalFormatting>
  <conditionalFormatting sqref="AE218:AE219">
    <cfRule type="cellIs" dxfId="3955" priority="1775" operator="equal">
      <formula>0</formula>
    </cfRule>
  </conditionalFormatting>
  <conditionalFormatting sqref="AE220">
    <cfRule type="cellIs" dxfId="3954" priority="1774" operator="equal">
      <formula>0</formula>
    </cfRule>
  </conditionalFormatting>
  <conditionalFormatting sqref="AE222:AE223">
    <cfRule type="cellIs" dxfId="3953" priority="1773" operator="greaterThan">
      <formula>0</formula>
    </cfRule>
  </conditionalFormatting>
  <conditionalFormatting sqref="AE222:AE223">
    <cfRule type="cellIs" dxfId="3952" priority="1772" operator="equal">
      <formula>0</formula>
    </cfRule>
  </conditionalFormatting>
  <conditionalFormatting sqref="AE224">
    <cfRule type="cellIs" dxfId="3951" priority="1771" operator="equal">
      <formula>0</formula>
    </cfRule>
  </conditionalFormatting>
  <conditionalFormatting sqref="AF210:AF211 AF226:AF227 AF230:AF231 AF238:AF239 AF242:AF243 AF246:AF247 AF250:AF251 AF294:AF295">
    <cfRule type="cellIs" dxfId="3950" priority="1770" operator="greaterThan">
      <formula>0</formula>
    </cfRule>
  </conditionalFormatting>
  <conditionalFormatting sqref="AF210:AF211 AF226:AF227 AF230:AF231 AF238:AF239 AF242:AF243 AF246:AF247 AF250:AF251 AF294:AF295">
    <cfRule type="cellIs" dxfId="3949" priority="1769" operator="equal">
      <formula>0</formula>
    </cfRule>
  </conditionalFormatting>
  <conditionalFormatting sqref="AF212 AF228 AF240 AF244 AF248 AF252 AF296 AF232:AF236">
    <cfRule type="cellIs" dxfId="3948" priority="1768" operator="equal">
      <formula>0</formula>
    </cfRule>
  </conditionalFormatting>
  <conditionalFormatting sqref="AF206:AF207">
    <cfRule type="cellIs" dxfId="3947" priority="1767" operator="greaterThan">
      <formula>0</formula>
    </cfRule>
  </conditionalFormatting>
  <conditionalFormatting sqref="AF206:AF207">
    <cfRule type="cellIs" dxfId="3946" priority="1766" operator="equal">
      <formula>0</formula>
    </cfRule>
  </conditionalFormatting>
  <conditionalFormatting sqref="AF208">
    <cfRule type="cellIs" dxfId="3945" priority="1765" operator="equal">
      <formula>0</formula>
    </cfRule>
  </conditionalFormatting>
  <conditionalFormatting sqref="AF214:AF215">
    <cfRule type="cellIs" dxfId="3944" priority="1764" operator="greaterThan">
      <formula>0</formula>
    </cfRule>
  </conditionalFormatting>
  <conditionalFormatting sqref="AF214:AF215">
    <cfRule type="cellIs" dxfId="3943" priority="1763" operator="equal">
      <formula>0</formula>
    </cfRule>
  </conditionalFormatting>
  <conditionalFormatting sqref="AF216">
    <cfRule type="cellIs" dxfId="3942" priority="1762" operator="equal">
      <formula>0</formula>
    </cfRule>
  </conditionalFormatting>
  <conditionalFormatting sqref="AF218:AF219">
    <cfRule type="cellIs" dxfId="3941" priority="1761" operator="greaterThan">
      <formula>0</formula>
    </cfRule>
  </conditionalFormatting>
  <conditionalFormatting sqref="AF218:AF219">
    <cfRule type="cellIs" dxfId="3940" priority="1760" operator="equal">
      <formula>0</formula>
    </cfRule>
  </conditionalFormatting>
  <conditionalFormatting sqref="AF220">
    <cfRule type="cellIs" dxfId="3939" priority="1759" operator="equal">
      <formula>0</formula>
    </cfRule>
  </conditionalFormatting>
  <conditionalFormatting sqref="AF222:AF223">
    <cfRule type="cellIs" dxfId="3938" priority="1758" operator="greaterThan">
      <formula>0</formula>
    </cfRule>
  </conditionalFormatting>
  <conditionalFormatting sqref="AF222:AF223">
    <cfRule type="cellIs" dxfId="3937" priority="1757" operator="equal">
      <formula>0</formula>
    </cfRule>
  </conditionalFormatting>
  <conditionalFormatting sqref="AF224">
    <cfRule type="cellIs" dxfId="3936" priority="1756" operator="equal">
      <formula>0</formula>
    </cfRule>
  </conditionalFormatting>
  <conditionalFormatting sqref="AG212 AG228 AG240 AG244 AG248 AG252 AG296 AG232:AG236">
    <cfRule type="cellIs" dxfId="3935" priority="1755" operator="equal">
      <formula>0</formula>
    </cfRule>
  </conditionalFormatting>
  <conditionalFormatting sqref="AG208">
    <cfRule type="cellIs" dxfId="3934" priority="1754" operator="equal">
      <formula>0</formula>
    </cfRule>
  </conditionalFormatting>
  <conditionalFormatting sqref="AG216">
    <cfRule type="cellIs" dxfId="3933" priority="1753" operator="equal">
      <formula>0</formula>
    </cfRule>
  </conditionalFormatting>
  <conditionalFormatting sqref="AG220">
    <cfRule type="cellIs" dxfId="3932" priority="1752" operator="equal">
      <formula>0</formula>
    </cfRule>
  </conditionalFormatting>
  <conditionalFormatting sqref="AG224">
    <cfRule type="cellIs" dxfId="3931" priority="1751" operator="equal">
      <formula>0</formula>
    </cfRule>
  </conditionalFormatting>
  <conditionalFormatting sqref="AH212 AH228 AH240 AH244 AH248 AH252 AH296 AH232:AH236">
    <cfRule type="cellIs" dxfId="3930" priority="1750" operator="equal">
      <formula>0</formula>
    </cfRule>
  </conditionalFormatting>
  <conditionalFormatting sqref="AH208">
    <cfRule type="cellIs" dxfId="3929" priority="1749" operator="equal">
      <formula>0</formula>
    </cfRule>
  </conditionalFormatting>
  <conditionalFormatting sqref="AH216">
    <cfRule type="cellIs" dxfId="3928" priority="1748" operator="equal">
      <formula>0</formula>
    </cfRule>
  </conditionalFormatting>
  <conditionalFormatting sqref="AH220">
    <cfRule type="cellIs" dxfId="3927" priority="1747" operator="equal">
      <formula>0</formula>
    </cfRule>
  </conditionalFormatting>
  <conditionalFormatting sqref="AH224">
    <cfRule type="cellIs" dxfId="3926" priority="1746" operator="equal">
      <formula>0</formula>
    </cfRule>
  </conditionalFormatting>
  <conditionalFormatting sqref="AI212 AI228 AI240 AI244 AI248 AI252 AI296 AI232:AI236">
    <cfRule type="cellIs" dxfId="3925" priority="1745" operator="equal">
      <formula>0</formula>
    </cfRule>
  </conditionalFormatting>
  <conditionalFormatting sqref="AI208">
    <cfRule type="cellIs" dxfId="3924" priority="1744" operator="equal">
      <formula>0</formula>
    </cfRule>
  </conditionalFormatting>
  <conditionalFormatting sqref="AI216">
    <cfRule type="cellIs" dxfId="3923" priority="1743" operator="equal">
      <formula>0</formula>
    </cfRule>
  </conditionalFormatting>
  <conditionalFormatting sqref="AI220">
    <cfRule type="cellIs" dxfId="3922" priority="1742" operator="equal">
      <formula>0</formula>
    </cfRule>
  </conditionalFormatting>
  <conditionalFormatting sqref="AI224">
    <cfRule type="cellIs" dxfId="3921" priority="1741" operator="equal">
      <formula>0</formula>
    </cfRule>
  </conditionalFormatting>
  <conditionalFormatting sqref="AJ212 AJ228 AJ240 AJ244 AJ248 AJ252 AJ296 AJ232:AJ236">
    <cfRule type="cellIs" dxfId="3920" priority="1740" operator="equal">
      <formula>0</formula>
    </cfRule>
  </conditionalFormatting>
  <conditionalFormatting sqref="AJ208">
    <cfRule type="cellIs" dxfId="3919" priority="1739" operator="equal">
      <formula>0</formula>
    </cfRule>
  </conditionalFormatting>
  <conditionalFormatting sqref="AJ216">
    <cfRule type="cellIs" dxfId="3918" priority="1738" operator="equal">
      <formula>0</formula>
    </cfRule>
  </conditionalFormatting>
  <conditionalFormatting sqref="AJ220">
    <cfRule type="cellIs" dxfId="3917" priority="1737" operator="equal">
      <formula>0</formula>
    </cfRule>
  </conditionalFormatting>
  <conditionalFormatting sqref="AJ224">
    <cfRule type="cellIs" dxfId="3916" priority="1736" operator="equal">
      <formula>0</formula>
    </cfRule>
  </conditionalFormatting>
  <conditionalFormatting sqref="AK209">
    <cfRule type="cellIs" dxfId="3915" priority="1734" operator="equal">
      <formula>0</formula>
    </cfRule>
    <cfRule type="cellIs" dxfId="3914" priority="1735" operator="notEqual">
      <formula>0</formula>
    </cfRule>
  </conditionalFormatting>
  <conditionalFormatting sqref="AK225 AK229 AK237 AK241 AK245 AK249 AK293">
    <cfRule type="cellIs" dxfId="3913" priority="1733" operator="greaterThan">
      <formula>0</formula>
    </cfRule>
  </conditionalFormatting>
  <conditionalFormatting sqref="AK212 AK228 AK240 AK244 AK248 AK252 AK296 AK232:AK236">
    <cfRule type="cellIs" dxfId="3912" priority="1732" operator="equal">
      <formula>0</formula>
    </cfRule>
  </conditionalFormatting>
  <conditionalFormatting sqref="AK205">
    <cfRule type="cellIs" dxfId="3911" priority="1730" operator="equal">
      <formula>0</formula>
    </cfRule>
    <cfRule type="cellIs" dxfId="3910" priority="1731" operator="notEqual">
      <formula>0</formula>
    </cfRule>
  </conditionalFormatting>
  <conditionalFormatting sqref="AK208">
    <cfRule type="cellIs" dxfId="3909" priority="1729" operator="equal">
      <formula>0</formula>
    </cfRule>
  </conditionalFormatting>
  <conditionalFormatting sqref="AK213">
    <cfRule type="cellIs" dxfId="3908" priority="1727" operator="equal">
      <formula>0</formula>
    </cfRule>
    <cfRule type="cellIs" dxfId="3907" priority="1728" operator="notEqual">
      <formula>0</formula>
    </cfRule>
  </conditionalFormatting>
  <conditionalFormatting sqref="AK216">
    <cfRule type="cellIs" dxfId="3906" priority="1726" operator="equal">
      <formula>0</formula>
    </cfRule>
  </conditionalFormatting>
  <conditionalFormatting sqref="AK217">
    <cfRule type="cellIs" dxfId="3905" priority="1724" operator="equal">
      <formula>0</formula>
    </cfRule>
    <cfRule type="cellIs" dxfId="3904" priority="1725" operator="notEqual">
      <formula>0</formula>
    </cfRule>
  </conditionalFormatting>
  <conditionalFormatting sqref="AK220">
    <cfRule type="cellIs" dxfId="3903" priority="1723" operator="equal">
      <formula>0</formula>
    </cfRule>
  </conditionalFormatting>
  <conditionalFormatting sqref="AK221">
    <cfRule type="cellIs" dxfId="3902" priority="1721" operator="equal">
      <formula>0</formula>
    </cfRule>
    <cfRule type="cellIs" dxfId="3901" priority="1722" operator="notEqual">
      <formula>0</formula>
    </cfRule>
  </conditionalFormatting>
  <conditionalFormatting sqref="AK224">
    <cfRule type="cellIs" dxfId="3900" priority="1720" operator="equal">
      <formula>0</formula>
    </cfRule>
  </conditionalFormatting>
  <conditionalFormatting sqref="AL209">
    <cfRule type="cellIs" dxfId="3899" priority="1718" operator="equal">
      <formula>0</formula>
    </cfRule>
    <cfRule type="cellIs" dxfId="3898" priority="1719" operator="notEqual">
      <formula>0</formula>
    </cfRule>
  </conditionalFormatting>
  <conditionalFormatting sqref="AL225 AL229 AL237 AL241 AL245 AL249 AL293">
    <cfRule type="cellIs" dxfId="3897" priority="1717" operator="greaterThan">
      <formula>0</formula>
    </cfRule>
  </conditionalFormatting>
  <conditionalFormatting sqref="AL212 AL228 AL240 AL244 AL248 AL252 AL296 AL232:AL236">
    <cfRule type="cellIs" dxfId="3896" priority="1716" operator="equal">
      <formula>0</formula>
    </cfRule>
  </conditionalFormatting>
  <conditionalFormatting sqref="AL205">
    <cfRule type="cellIs" dxfId="3895" priority="1714" operator="equal">
      <formula>0</formula>
    </cfRule>
    <cfRule type="cellIs" dxfId="3894" priority="1715" operator="notEqual">
      <formula>0</formula>
    </cfRule>
  </conditionalFormatting>
  <conditionalFormatting sqref="AL208">
    <cfRule type="cellIs" dxfId="3893" priority="1713" operator="equal">
      <formula>0</formula>
    </cfRule>
  </conditionalFormatting>
  <conditionalFormatting sqref="AL213">
    <cfRule type="cellIs" dxfId="3892" priority="1711" operator="equal">
      <formula>0</formula>
    </cfRule>
    <cfRule type="cellIs" dxfId="3891" priority="1712" operator="notEqual">
      <formula>0</formula>
    </cfRule>
  </conditionalFormatting>
  <conditionalFormatting sqref="AL216">
    <cfRule type="cellIs" dxfId="3890" priority="1710" operator="equal">
      <formula>0</formula>
    </cfRule>
  </conditionalFormatting>
  <conditionalFormatting sqref="AL217">
    <cfRule type="cellIs" dxfId="3889" priority="1708" operator="equal">
      <formula>0</formula>
    </cfRule>
    <cfRule type="cellIs" dxfId="3888" priority="1709" operator="notEqual">
      <formula>0</formula>
    </cfRule>
  </conditionalFormatting>
  <conditionalFormatting sqref="AL220">
    <cfRule type="cellIs" dxfId="3887" priority="1707" operator="equal">
      <formula>0</formula>
    </cfRule>
  </conditionalFormatting>
  <conditionalFormatting sqref="AL221">
    <cfRule type="cellIs" dxfId="3886" priority="1705" operator="equal">
      <formula>0</formula>
    </cfRule>
    <cfRule type="cellIs" dxfId="3885" priority="1706" operator="notEqual">
      <formula>0</formula>
    </cfRule>
  </conditionalFormatting>
  <conditionalFormatting sqref="AL224">
    <cfRule type="cellIs" dxfId="3884" priority="1704" operator="equal">
      <formula>0</formula>
    </cfRule>
  </conditionalFormatting>
  <conditionalFormatting sqref="AM209">
    <cfRule type="cellIs" dxfId="3883" priority="1702" operator="equal">
      <formula>0</formula>
    </cfRule>
    <cfRule type="cellIs" dxfId="3882" priority="1703" operator="notEqual">
      <formula>0</formula>
    </cfRule>
  </conditionalFormatting>
  <conditionalFormatting sqref="AM225 AM229 AM237 AM241 AM245 AM249 AM293">
    <cfRule type="cellIs" dxfId="3881" priority="1701" operator="greaterThan">
      <formula>0</formula>
    </cfRule>
  </conditionalFormatting>
  <conditionalFormatting sqref="AM212 AM228 AM240 AM244 AM248 AM252 AM296 AM232:AM236">
    <cfRule type="cellIs" dxfId="3880" priority="1700" operator="equal">
      <formula>0</formula>
    </cfRule>
  </conditionalFormatting>
  <conditionalFormatting sqref="AM205">
    <cfRule type="cellIs" dxfId="3879" priority="1698" operator="equal">
      <formula>0</formula>
    </cfRule>
    <cfRule type="cellIs" dxfId="3878" priority="1699" operator="notEqual">
      <formula>0</formula>
    </cfRule>
  </conditionalFormatting>
  <conditionalFormatting sqref="AM208">
    <cfRule type="cellIs" dxfId="3877" priority="1697" operator="equal">
      <formula>0</formula>
    </cfRule>
  </conditionalFormatting>
  <conditionalFormatting sqref="AM213">
    <cfRule type="cellIs" dxfId="3876" priority="1695" operator="equal">
      <formula>0</formula>
    </cfRule>
    <cfRule type="cellIs" dxfId="3875" priority="1696" operator="notEqual">
      <formula>0</formula>
    </cfRule>
  </conditionalFormatting>
  <conditionalFormatting sqref="AM216">
    <cfRule type="cellIs" dxfId="3874" priority="1694" operator="equal">
      <formula>0</formula>
    </cfRule>
  </conditionalFormatting>
  <conditionalFormatting sqref="AM217">
    <cfRule type="cellIs" dxfId="3873" priority="1692" operator="equal">
      <formula>0</formula>
    </cfRule>
    <cfRule type="cellIs" dxfId="3872" priority="1693" operator="notEqual">
      <formula>0</formula>
    </cfRule>
  </conditionalFormatting>
  <conditionalFormatting sqref="AM220">
    <cfRule type="cellIs" dxfId="3871" priority="1691" operator="equal">
      <formula>0</formula>
    </cfRule>
  </conditionalFormatting>
  <conditionalFormatting sqref="AM221">
    <cfRule type="cellIs" dxfId="3870" priority="1689" operator="equal">
      <formula>0</formula>
    </cfRule>
    <cfRule type="cellIs" dxfId="3869" priority="1690" operator="notEqual">
      <formula>0</formula>
    </cfRule>
  </conditionalFormatting>
  <conditionalFormatting sqref="AM224">
    <cfRule type="cellIs" dxfId="3868" priority="1688" operator="equal">
      <formula>0</formula>
    </cfRule>
  </conditionalFormatting>
  <conditionalFormatting sqref="AN209">
    <cfRule type="cellIs" dxfId="3867" priority="1686" operator="equal">
      <formula>0</formula>
    </cfRule>
    <cfRule type="cellIs" dxfId="3866" priority="1687" operator="notEqual">
      <formula>0</formula>
    </cfRule>
  </conditionalFormatting>
  <conditionalFormatting sqref="AN225 AN229 AN237 AN241 AN245 AN249 AN293">
    <cfRule type="cellIs" dxfId="3865" priority="1685" operator="greaterThan">
      <formula>0</formula>
    </cfRule>
  </conditionalFormatting>
  <conditionalFormatting sqref="AN212 AN228 AN240 AN244 AN248 AN252 AN296 AN232:AN236">
    <cfRule type="cellIs" dxfId="3864" priority="1684" operator="equal">
      <formula>0</formula>
    </cfRule>
  </conditionalFormatting>
  <conditionalFormatting sqref="AN205">
    <cfRule type="cellIs" dxfId="3863" priority="1682" operator="equal">
      <formula>0</formula>
    </cfRule>
    <cfRule type="cellIs" dxfId="3862" priority="1683" operator="notEqual">
      <formula>0</formula>
    </cfRule>
  </conditionalFormatting>
  <conditionalFormatting sqref="AN208">
    <cfRule type="cellIs" dxfId="3861" priority="1681" operator="equal">
      <formula>0</formula>
    </cfRule>
  </conditionalFormatting>
  <conditionalFormatting sqref="AN213">
    <cfRule type="cellIs" dxfId="3860" priority="1679" operator="equal">
      <formula>0</formula>
    </cfRule>
    <cfRule type="cellIs" dxfId="3859" priority="1680" operator="notEqual">
      <formula>0</formula>
    </cfRule>
  </conditionalFormatting>
  <conditionalFormatting sqref="AN216">
    <cfRule type="cellIs" dxfId="3858" priority="1678" operator="equal">
      <formula>0</formula>
    </cfRule>
  </conditionalFormatting>
  <conditionalFormatting sqref="AN217">
    <cfRule type="cellIs" dxfId="3857" priority="1676" operator="equal">
      <formula>0</formula>
    </cfRule>
    <cfRule type="cellIs" dxfId="3856" priority="1677" operator="notEqual">
      <formula>0</formula>
    </cfRule>
  </conditionalFormatting>
  <conditionalFormatting sqref="AN220">
    <cfRule type="cellIs" dxfId="3855" priority="1675" operator="equal">
      <formula>0</formula>
    </cfRule>
  </conditionalFormatting>
  <conditionalFormatting sqref="AN221">
    <cfRule type="cellIs" dxfId="3854" priority="1673" operator="equal">
      <formula>0</formula>
    </cfRule>
    <cfRule type="cellIs" dxfId="3853" priority="1674" operator="notEqual">
      <formula>0</formula>
    </cfRule>
  </conditionalFormatting>
  <conditionalFormatting sqref="AN224">
    <cfRule type="cellIs" dxfId="3852" priority="1672" operator="equal">
      <formula>0</formula>
    </cfRule>
  </conditionalFormatting>
  <conditionalFormatting sqref="T62">
    <cfRule type="cellIs" dxfId="3851" priority="769" operator="equal">
      <formula>0</formula>
    </cfRule>
  </conditionalFormatting>
  <conditionalFormatting sqref="E60:E61">
    <cfRule type="cellIs" dxfId="3850" priority="764" operator="equal">
      <formula>0</formula>
    </cfRule>
    <cfRule type="cellIs" dxfId="3849" priority="765" operator="notEqual">
      <formula>0</formula>
    </cfRule>
  </conditionalFormatting>
  <conditionalFormatting sqref="E62">
    <cfRule type="cellIs" dxfId="3848" priority="763" operator="equal">
      <formula>0</formula>
    </cfRule>
  </conditionalFormatting>
  <conditionalFormatting sqref="F60:F61">
    <cfRule type="cellIs" dxfId="3847" priority="761" operator="equal">
      <formula>0</formula>
    </cfRule>
    <cfRule type="cellIs" dxfId="3846" priority="762" operator="notEqual">
      <formula>0</formula>
    </cfRule>
  </conditionalFormatting>
  <conditionalFormatting sqref="F62">
    <cfRule type="cellIs" dxfId="3845" priority="760" operator="equal">
      <formula>0</formula>
    </cfRule>
  </conditionalFormatting>
  <conditionalFormatting sqref="G60:G61">
    <cfRule type="cellIs" dxfId="3844" priority="758" operator="equal">
      <formula>0</formula>
    </cfRule>
    <cfRule type="cellIs" dxfId="3843" priority="759" operator="notEqual">
      <formula>0</formula>
    </cfRule>
  </conditionalFormatting>
  <conditionalFormatting sqref="G62">
    <cfRule type="cellIs" dxfId="3842" priority="757" operator="equal">
      <formula>0</formula>
    </cfRule>
  </conditionalFormatting>
  <conditionalFormatting sqref="H60:H61">
    <cfRule type="cellIs" dxfId="3841" priority="755" operator="equal">
      <formula>0</formula>
    </cfRule>
    <cfRule type="cellIs" dxfId="3840" priority="756" operator="notEqual">
      <formula>0</formula>
    </cfRule>
  </conditionalFormatting>
  <conditionalFormatting sqref="H62">
    <cfRule type="cellIs" dxfId="3839" priority="754" operator="equal">
      <formula>0</formula>
    </cfRule>
  </conditionalFormatting>
  <conditionalFormatting sqref="I60:I61">
    <cfRule type="cellIs" dxfId="3838" priority="752" operator="equal">
      <formula>0</formula>
    </cfRule>
    <cfRule type="cellIs" dxfId="3837" priority="753" operator="notEqual">
      <formula>0</formula>
    </cfRule>
  </conditionalFormatting>
  <conditionalFormatting sqref="I62">
    <cfRule type="cellIs" dxfId="3836" priority="751" operator="equal">
      <formula>0</formula>
    </cfRule>
  </conditionalFormatting>
  <conditionalFormatting sqref="J60:J61">
    <cfRule type="cellIs" dxfId="3835" priority="749" operator="equal">
      <formula>0</formula>
    </cfRule>
    <cfRule type="cellIs" dxfId="3834" priority="750" operator="notEqual">
      <formula>0</formula>
    </cfRule>
  </conditionalFormatting>
  <conditionalFormatting sqref="J62">
    <cfRule type="cellIs" dxfId="3833" priority="748" operator="equal">
      <formula>0</formula>
    </cfRule>
  </conditionalFormatting>
  <conditionalFormatting sqref="K60:K61">
    <cfRule type="cellIs" dxfId="3832" priority="746" operator="equal">
      <formula>0</formula>
    </cfRule>
    <cfRule type="cellIs" dxfId="3831" priority="747" operator="notEqual">
      <formula>0</formula>
    </cfRule>
  </conditionalFormatting>
  <conditionalFormatting sqref="K62">
    <cfRule type="cellIs" dxfId="3830" priority="745" operator="equal">
      <formula>0</formula>
    </cfRule>
  </conditionalFormatting>
  <conditionalFormatting sqref="L62">
    <cfRule type="cellIs" dxfId="3829" priority="744" operator="equal">
      <formula>0</formula>
    </cfRule>
  </conditionalFormatting>
  <conditionalFormatting sqref="M62">
    <cfRule type="cellIs" dxfId="3828" priority="743" operator="equal">
      <formula>0</formula>
    </cfRule>
  </conditionalFormatting>
  <conditionalFormatting sqref="N62">
    <cfRule type="cellIs" dxfId="3827" priority="742" operator="equal">
      <formula>0</formula>
    </cfRule>
  </conditionalFormatting>
  <conditionalFormatting sqref="O62">
    <cfRule type="cellIs" dxfId="3826" priority="741" operator="equal">
      <formula>0</formula>
    </cfRule>
  </conditionalFormatting>
  <conditionalFormatting sqref="P59">
    <cfRule type="cellIs" dxfId="3825" priority="739" operator="equal">
      <formula>0</formula>
    </cfRule>
    <cfRule type="cellIs" dxfId="3824" priority="740" operator="notEqual">
      <formula>0</formula>
    </cfRule>
  </conditionalFormatting>
  <conditionalFormatting sqref="P62">
    <cfRule type="cellIs" dxfId="3823" priority="738" operator="equal">
      <formula>0</formula>
    </cfRule>
  </conditionalFormatting>
  <conditionalFormatting sqref="Q59">
    <cfRule type="cellIs" dxfId="3822" priority="736" operator="equal">
      <formula>0</formula>
    </cfRule>
    <cfRule type="cellIs" dxfId="3821" priority="737" operator="notEqual">
      <formula>0</formula>
    </cfRule>
  </conditionalFormatting>
  <conditionalFormatting sqref="Q62">
    <cfRule type="cellIs" dxfId="3820" priority="735" operator="equal">
      <formula>0</formula>
    </cfRule>
  </conditionalFormatting>
  <conditionalFormatting sqref="R59">
    <cfRule type="cellIs" dxfId="3819" priority="733" operator="equal">
      <formula>0</formula>
    </cfRule>
    <cfRule type="cellIs" dxfId="3818" priority="734" operator="notEqual">
      <formula>0</formula>
    </cfRule>
  </conditionalFormatting>
  <conditionalFormatting sqref="R62">
    <cfRule type="cellIs" dxfId="3817" priority="732" operator="equal">
      <formula>0</formula>
    </cfRule>
  </conditionalFormatting>
  <conditionalFormatting sqref="S59">
    <cfRule type="cellIs" dxfId="3816" priority="730" operator="equal">
      <formula>0</formula>
    </cfRule>
    <cfRule type="cellIs" dxfId="3815" priority="731" operator="notEqual">
      <formula>0</formula>
    </cfRule>
  </conditionalFormatting>
  <conditionalFormatting sqref="S62">
    <cfRule type="cellIs" dxfId="3814" priority="729" operator="equal">
      <formula>0</formula>
    </cfRule>
  </conditionalFormatting>
  <conditionalFormatting sqref="T66">
    <cfRule type="cellIs" dxfId="3813" priority="728" operator="equal">
      <formula>0</formula>
    </cfRule>
  </conditionalFormatting>
  <conditionalFormatting sqref="E64:E65">
    <cfRule type="cellIs" dxfId="3812" priority="723" operator="equal">
      <formula>0</formula>
    </cfRule>
    <cfRule type="cellIs" dxfId="3811" priority="724" operator="notEqual">
      <formula>0</formula>
    </cfRule>
  </conditionalFormatting>
  <conditionalFormatting sqref="E66">
    <cfRule type="cellIs" dxfId="3810" priority="722" operator="equal">
      <formula>0</formula>
    </cfRule>
  </conditionalFormatting>
  <conditionalFormatting sqref="F64:F65">
    <cfRule type="cellIs" dxfId="3809" priority="720" operator="equal">
      <formula>0</formula>
    </cfRule>
    <cfRule type="cellIs" dxfId="3808" priority="721" operator="notEqual">
      <formula>0</formula>
    </cfRule>
  </conditionalFormatting>
  <conditionalFormatting sqref="F66">
    <cfRule type="cellIs" dxfId="3807" priority="719" operator="equal">
      <formula>0</formula>
    </cfRule>
  </conditionalFormatting>
  <conditionalFormatting sqref="G64:G65">
    <cfRule type="cellIs" dxfId="3806" priority="717" operator="equal">
      <formula>0</formula>
    </cfRule>
    <cfRule type="cellIs" dxfId="3805" priority="718" operator="notEqual">
      <formula>0</formula>
    </cfRule>
  </conditionalFormatting>
  <conditionalFormatting sqref="G66">
    <cfRule type="cellIs" dxfId="3804" priority="716" operator="equal">
      <formula>0</formula>
    </cfRule>
  </conditionalFormatting>
  <conditionalFormatting sqref="H64:H65">
    <cfRule type="cellIs" dxfId="3803" priority="714" operator="equal">
      <formula>0</formula>
    </cfRule>
    <cfRule type="cellIs" dxfId="3802" priority="715" operator="notEqual">
      <formula>0</formula>
    </cfRule>
  </conditionalFormatting>
  <conditionalFormatting sqref="H66">
    <cfRule type="cellIs" dxfId="3801" priority="713" operator="equal">
      <formula>0</formula>
    </cfRule>
  </conditionalFormatting>
  <conditionalFormatting sqref="I64:I65">
    <cfRule type="cellIs" dxfId="3800" priority="711" operator="equal">
      <formula>0</formula>
    </cfRule>
    <cfRule type="cellIs" dxfId="3799" priority="712" operator="notEqual">
      <formula>0</formula>
    </cfRule>
  </conditionalFormatting>
  <conditionalFormatting sqref="I66">
    <cfRule type="cellIs" dxfId="3798" priority="710" operator="equal">
      <formula>0</formula>
    </cfRule>
  </conditionalFormatting>
  <conditionalFormatting sqref="J64:J65">
    <cfRule type="cellIs" dxfId="3797" priority="708" operator="equal">
      <formula>0</formula>
    </cfRule>
    <cfRule type="cellIs" dxfId="3796" priority="709" operator="notEqual">
      <formula>0</formula>
    </cfRule>
  </conditionalFormatting>
  <conditionalFormatting sqref="J66">
    <cfRule type="cellIs" dxfId="3795" priority="707" operator="equal">
      <formula>0</formula>
    </cfRule>
  </conditionalFormatting>
  <conditionalFormatting sqref="K64:K65">
    <cfRule type="cellIs" dxfId="3794" priority="705" operator="equal">
      <formula>0</formula>
    </cfRule>
    <cfRule type="cellIs" dxfId="3793" priority="706" operator="notEqual">
      <formula>0</formula>
    </cfRule>
  </conditionalFormatting>
  <conditionalFormatting sqref="K66">
    <cfRule type="cellIs" dxfId="3792" priority="704" operator="equal">
      <formula>0</formula>
    </cfRule>
  </conditionalFormatting>
  <conditionalFormatting sqref="L66">
    <cfRule type="cellIs" dxfId="3791" priority="703" operator="equal">
      <formula>0</formula>
    </cfRule>
  </conditionalFormatting>
  <conditionalFormatting sqref="M66">
    <cfRule type="cellIs" dxfId="3790" priority="702" operator="equal">
      <formula>0</formula>
    </cfRule>
  </conditionalFormatting>
  <conditionalFormatting sqref="N66">
    <cfRule type="cellIs" dxfId="3789" priority="701" operator="equal">
      <formula>0</formula>
    </cfRule>
  </conditionalFormatting>
  <conditionalFormatting sqref="O66">
    <cfRule type="cellIs" dxfId="3788" priority="700" operator="equal">
      <formula>0</formula>
    </cfRule>
  </conditionalFormatting>
  <conditionalFormatting sqref="P63">
    <cfRule type="cellIs" dxfId="3787" priority="698" operator="equal">
      <formula>0</formula>
    </cfRule>
    <cfRule type="cellIs" dxfId="3786" priority="699" operator="notEqual">
      <formula>0</formula>
    </cfRule>
  </conditionalFormatting>
  <conditionalFormatting sqref="P66">
    <cfRule type="cellIs" dxfId="3785" priority="697" operator="equal">
      <formula>0</formula>
    </cfRule>
  </conditionalFormatting>
  <conditionalFormatting sqref="Q63">
    <cfRule type="cellIs" dxfId="3784" priority="695" operator="equal">
      <formula>0</formula>
    </cfRule>
    <cfRule type="cellIs" dxfId="3783" priority="696" operator="notEqual">
      <formula>0</formula>
    </cfRule>
  </conditionalFormatting>
  <conditionalFormatting sqref="Q66">
    <cfRule type="cellIs" dxfId="3782" priority="694" operator="equal">
      <formula>0</formula>
    </cfRule>
  </conditionalFormatting>
  <conditionalFormatting sqref="R63">
    <cfRule type="cellIs" dxfId="3781" priority="692" operator="equal">
      <formula>0</formula>
    </cfRule>
    <cfRule type="cellIs" dxfId="3780" priority="693" operator="notEqual">
      <formula>0</formula>
    </cfRule>
  </conditionalFormatting>
  <conditionalFormatting sqref="R66">
    <cfRule type="cellIs" dxfId="3779" priority="691" operator="equal">
      <formula>0</formula>
    </cfRule>
  </conditionalFormatting>
  <conditionalFormatting sqref="S63">
    <cfRule type="cellIs" dxfId="3778" priority="689" operator="equal">
      <formula>0</formula>
    </cfRule>
    <cfRule type="cellIs" dxfId="3777" priority="690" operator="notEqual">
      <formula>0</formula>
    </cfRule>
  </conditionalFormatting>
  <conditionalFormatting sqref="S66">
    <cfRule type="cellIs" dxfId="3776" priority="688" operator="equal">
      <formula>0</formula>
    </cfRule>
  </conditionalFormatting>
  <conditionalFormatting sqref="T70">
    <cfRule type="cellIs" dxfId="3775" priority="687" operator="equal">
      <formula>0</formula>
    </cfRule>
  </conditionalFormatting>
  <conditionalFormatting sqref="E68:E69">
    <cfRule type="cellIs" dxfId="3774" priority="682" operator="equal">
      <formula>0</formula>
    </cfRule>
    <cfRule type="cellIs" dxfId="3773" priority="683" operator="notEqual">
      <formula>0</formula>
    </cfRule>
  </conditionalFormatting>
  <conditionalFormatting sqref="E70">
    <cfRule type="cellIs" dxfId="3772" priority="681" operator="equal">
      <formula>0</formula>
    </cfRule>
  </conditionalFormatting>
  <conditionalFormatting sqref="F68:F69">
    <cfRule type="cellIs" dxfId="3771" priority="679" operator="equal">
      <formula>0</formula>
    </cfRule>
    <cfRule type="cellIs" dxfId="3770" priority="680" operator="notEqual">
      <formula>0</formula>
    </cfRule>
  </conditionalFormatting>
  <conditionalFormatting sqref="F70">
    <cfRule type="cellIs" dxfId="3769" priority="678" operator="equal">
      <formula>0</formula>
    </cfRule>
  </conditionalFormatting>
  <conditionalFormatting sqref="G68:G69">
    <cfRule type="cellIs" dxfId="3768" priority="676" operator="equal">
      <formula>0</formula>
    </cfRule>
    <cfRule type="cellIs" dxfId="3767" priority="677" operator="notEqual">
      <formula>0</formula>
    </cfRule>
  </conditionalFormatting>
  <conditionalFormatting sqref="G70">
    <cfRule type="cellIs" dxfId="3766" priority="675" operator="equal">
      <formula>0</formula>
    </cfRule>
  </conditionalFormatting>
  <conditionalFormatting sqref="H68:H69">
    <cfRule type="cellIs" dxfId="3765" priority="673" operator="equal">
      <formula>0</formula>
    </cfRule>
    <cfRule type="cellIs" dxfId="3764" priority="674" operator="notEqual">
      <formula>0</formula>
    </cfRule>
  </conditionalFormatting>
  <conditionalFormatting sqref="H70">
    <cfRule type="cellIs" dxfId="3763" priority="672" operator="equal">
      <formula>0</formula>
    </cfRule>
  </conditionalFormatting>
  <conditionalFormatting sqref="I68:I69">
    <cfRule type="cellIs" dxfId="3762" priority="670" operator="equal">
      <formula>0</formula>
    </cfRule>
    <cfRule type="cellIs" dxfId="3761" priority="671" operator="notEqual">
      <formula>0</formula>
    </cfRule>
  </conditionalFormatting>
  <conditionalFormatting sqref="I70">
    <cfRule type="cellIs" dxfId="3760" priority="669" operator="equal">
      <formula>0</formula>
    </cfRule>
  </conditionalFormatting>
  <conditionalFormatting sqref="J68:J69">
    <cfRule type="cellIs" dxfId="3759" priority="667" operator="equal">
      <formula>0</formula>
    </cfRule>
    <cfRule type="cellIs" dxfId="3758" priority="668" operator="notEqual">
      <formula>0</formula>
    </cfRule>
  </conditionalFormatting>
  <conditionalFormatting sqref="J70">
    <cfRule type="cellIs" dxfId="3757" priority="666" operator="equal">
      <formula>0</formula>
    </cfRule>
  </conditionalFormatting>
  <conditionalFormatting sqref="K68:K69">
    <cfRule type="cellIs" dxfId="3756" priority="664" operator="equal">
      <formula>0</formula>
    </cfRule>
    <cfRule type="cellIs" dxfId="3755" priority="665" operator="notEqual">
      <formula>0</formula>
    </cfRule>
  </conditionalFormatting>
  <conditionalFormatting sqref="K70">
    <cfRule type="cellIs" dxfId="3754" priority="663" operator="equal">
      <formula>0</formula>
    </cfRule>
  </conditionalFormatting>
  <conditionalFormatting sqref="L70">
    <cfRule type="cellIs" dxfId="3753" priority="662" operator="equal">
      <formula>0</formula>
    </cfRule>
  </conditionalFormatting>
  <conditionalFormatting sqref="M70">
    <cfRule type="cellIs" dxfId="3752" priority="661" operator="equal">
      <formula>0</formula>
    </cfRule>
  </conditionalFormatting>
  <conditionalFormatting sqref="N70">
    <cfRule type="cellIs" dxfId="3751" priority="660" operator="equal">
      <formula>0</formula>
    </cfRule>
  </conditionalFormatting>
  <conditionalFormatting sqref="O70">
    <cfRule type="cellIs" dxfId="3750" priority="659" operator="equal">
      <formula>0</formula>
    </cfRule>
  </conditionalFormatting>
  <conditionalFormatting sqref="P67">
    <cfRule type="cellIs" dxfId="3749" priority="657" operator="equal">
      <formula>0</formula>
    </cfRule>
    <cfRule type="cellIs" dxfId="3748" priority="658" operator="notEqual">
      <formula>0</formula>
    </cfRule>
  </conditionalFormatting>
  <conditionalFormatting sqref="P70">
    <cfRule type="cellIs" dxfId="3747" priority="656" operator="equal">
      <formula>0</formula>
    </cfRule>
  </conditionalFormatting>
  <conditionalFormatting sqref="Q67">
    <cfRule type="cellIs" dxfId="3746" priority="654" operator="equal">
      <formula>0</formula>
    </cfRule>
    <cfRule type="cellIs" dxfId="3745" priority="655" operator="notEqual">
      <formula>0</formula>
    </cfRule>
  </conditionalFormatting>
  <conditionalFormatting sqref="Q70">
    <cfRule type="cellIs" dxfId="3744" priority="653" operator="equal">
      <formula>0</formula>
    </cfRule>
  </conditionalFormatting>
  <conditionalFormatting sqref="R67">
    <cfRule type="cellIs" dxfId="3743" priority="651" operator="equal">
      <formula>0</formula>
    </cfRule>
    <cfRule type="cellIs" dxfId="3742" priority="652" operator="notEqual">
      <formula>0</formula>
    </cfRule>
  </conditionalFormatting>
  <conditionalFormatting sqref="R70">
    <cfRule type="cellIs" dxfId="3741" priority="650" operator="equal">
      <formula>0</formula>
    </cfRule>
  </conditionalFormatting>
  <conditionalFormatting sqref="S67">
    <cfRule type="cellIs" dxfId="3740" priority="648" operator="equal">
      <formula>0</formula>
    </cfRule>
    <cfRule type="cellIs" dxfId="3739" priority="649" operator="notEqual">
      <formula>0</formula>
    </cfRule>
  </conditionalFormatting>
  <conditionalFormatting sqref="S70">
    <cfRule type="cellIs" dxfId="3738" priority="647" operator="equal">
      <formula>0</formula>
    </cfRule>
  </conditionalFormatting>
  <conditionalFormatting sqref="T74">
    <cfRule type="cellIs" dxfId="3737" priority="482" operator="equal">
      <formula>0</formula>
    </cfRule>
  </conditionalFormatting>
  <conditionalFormatting sqref="E72:E73">
    <cfRule type="cellIs" dxfId="3736" priority="477" operator="equal">
      <formula>0</formula>
    </cfRule>
    <cfRule type="cellIs" dxfId="3735" priority="478" operator="notEqual">
      <formula>0</formula>
    </cfRule>
  </conditionalFormatting>
  <conditionalFormatting sqref="E74">
    <cfRule type="cellIs" dxfId="3734" priority="476" operator="equal">
      <formula>0</formula>
    </cfRule>
  </conditionalFormatting>
  <conditionalFormatting sqref="F72:F73">
    <cfRule type="cellIs" dxfId="3733" priority="474" operator="equal">
      <formula>0</formula>
    </cfRule>
    <cfRule type="cellIs" dxfId="3732" priority="475" operator="notEqual">
      <formula>0</formula>
    </cfRule>
  </conditionalFormatting>
  <conditionalFormatting sqref="F74">
    <cfRule type="cellIs" dxfId="3731" priority="473" operator="equal">
      <formula>0</formula>
    </cfRule>
  </conditionalFormatting>
  <conditionalFormatting sqref="G72:G73">
    <cfRule type="cellIs" dxfId="3730" priority="471" operator="equal">
      <formula>0</formula>
    </cfRule>
    <cfRule type="cellIs" dxfId="3729" priority="472" operator="notEqual">
      <formula>0</formula>
    </cfRule>
  </conditionalFormatting>
  <conditionalFormatting sqref="G74">
    <cfRule type="cellIs" dxfId="3728" priority="470" operator="equal">
      <formula>0</formula>
    </cfRule>
  </conditionalFormatting>
  <conditionalFormatting sqref="H72:H73">
    <cfRule type="cellIs" dxfId="3727" priority="468" operator="equal">
      <formula>0</formula>
    </cfRule>
    <cfRule type="cellIs" dxfId="3726" priority="469" operator="notEqual">
      <formula>0</formula>
    </cfRule>
  </conditionalFormatting>
  <conditionalFormatting sqref="H74">
    <cfRule type="cellIs" dxfId="3725" priority="467" operator="equal">
      <formula>0</formula>
    </cfRule>
  </conditionalFormatting>
  <conditionalFormatting sqref="I72:I73">
    <cfRule type="cellIs" dxfId="3724" priority="465" operator="equal">
      <formula>0</formula>
    </cfRule>
    <cfRule type="cellIs" dxfId="3723" priority="466" operator="notEqual">
      <formula>0</formula>
    </cfRule>
  </conditionalFormatting>
  <conditionalFormatting sqref="I74">
    <cfRule type="cellIs" dxfId="3722" priority="464" operator="equal">
      <formula>0</formula>
    </cfRule>
  </conditionalFormatting>
  <conditionalFormatting sqref="J72:J73">
    <cfRule type="cellIs" dxfId="3721" priority="462" operator="equal">
      <formula>0</formula>
    </cfRule>
    <cfRule type="cellIs" dxfId="3720" priority="463" operator="notEqual">
      <formula>0</formula>
    </cfRule>
  </conditionalFormatting>
  <conditionalFormatting sqref="J74">
    <cfRule type="cellIs" dxfId="3719" priority="461" operator="equal">
      <formula>0</formula>
    </cfRule>
  </conditionalFormatting>
  <conditionalFormatting sqref="K72:K73">
    <cfRule type="cellIs" dxfId="3718" priority="459" operator="equal">
      <formula>0</formula>
    </cfRule>
    <cfRule type="cellIs" dxfId="3717" priority="460" operator="notEqual">
      <formula>0</formula>
    </cfRule>
  </conditionalFormatting>
  <conditionalFormatting sqref="K74">
    <cfRule type="cellIs" dxfId="3716" priority="458" operator="equal">
      <formula>0</formula>
    </cfRule>
  </conditionalFormatting>
  <conditionalFormatting sqref="L74">
    <cfRule type="cellIs" dxfId="3715" priority="457" operator="equal">
      <formula>0</formula>
    </cfRule>
  </conditionalFormatting>
  <conditionalFormatting sqref="M74">
    <cfRule type="cellIs" dxfId="3714" priority="456" operator="equal">
      <formula>0</formula>
    </cfRule>
  </conditionalFormatting>
  <conditionalFormatting sqref="N74">
    <cfRule type="cellIs" dxfId="3713" priority="455" operator="equal">
      <formula>0</formula>
    </cfRule>
  </conditionalFormatting>
  <conditionalFormatting sqref="O74">
    <cfRule type="cellIs" dxfId="3712" priority="454" operator="equal">
      <formula>0</formula>
    </cfRule>
  </conditionalFormatting>
  <conditionalFormatting sqref="P71">
    <cfRule type="cellIs" dxfId="3711" priority="452" operator="equal">
      <formula>0</formula>
    </cfRule>
    <cfRule type="cellIs" dxfId="3710" priority="453" operator="notEqual">
      <formula>0</formula>
    </cfRule>
  </conditionalFormatting>
  <conditionalFormatting sqref="P74">
    <cfRule type="cellIs" dxfId="3709" priority="451" operator="equal">
      <formula>0</formula>
    </cfRule>
  </conditionalFormatting>
  <conditionalFormatting sqref="Q71">
    <cfRule type="cellIs" dxfId="3708" priority="449" operator="equal">
      <formula>0</formula>
    </cfRule>
    <cfRule type="cellIs" dxfId="3707" priority="450" operator="notEqual">
      <formula>0</formula>
    </cfRule>
  </conditionalFormatting>
  <conditionalFormatting sqref="Q74">
    <cfRule type="cellIs" dxfId="3706" priority="448" operator="equal">
      <formula>0</formula>
    </cfRule>
  </conditionalFormatting>
  <conditionalFormatting sqref="R71">
    <cfRule type="cellIs" dxfId="3705" priority="446" operator="equal">
      <formula>0</formula>
    </cfRule>
    <cfRule type="cellIs" dxfId="3704" priority="447" operator="notEqual">
      <formula>0</formula>
    </cfRule>
  </conditionalFormatting>
  <conditionalFormatting sqref="R74">
    <cfRule type="cellIs" dxfId="3703" priority="445" operator="equal">
      <formula>0</formula>
    </cfRule>
  </conditionalFormatting>
  <conditionalFormatting sqref="S71">
    <cfRule type="cellIs" dxfId="3702" priority="443" operator="equal">
      <formula>0</formula>
    </cfRule>
    <cfRule type="cellIs" dxfId="3701" priority="444" operator="notEqual">
      <formula>0</formula>
    </cfRule>
  </conditionalFormatting>
  <conditionalFormatting sqref="S74">
    <cfRule type="cellIs" dxfId="3700" priority="442" operator="equal">
      <formula>0</formula>
    </cfRule>
  </conditionalFormatting>
  <conditionalFormatting sqref="T78">
    <cfRule type="cellIs" dxfId="3699" priority="441" operator="equal">
      <formula>0</formula>
    </cfRule>
  </conditionalFormatting>
  <conditionalFormatting sqref="E76:E77">
    <cfRule type="cellIs" dxfId="3698" priority="436" operator="equal">
      <formula>0</formula>
    </cfRule>
    <cfRule type="cellIs" dxfId="3697" priority="437" operator="notEqual">
      <formula>0</formula>
    </cfRule>
  </conditionalFormatting>
  <conditionalFormatting sqref="E78">
    <cfRule type="cellIs" dxfId="3696" priority="435" operator="equal">
      <formula>0</formula>
    </cfRule>
  </conditionalFormatting>
  <conditionalFormatting sqref="F76:F77">
    <cfRule type="cellIs" dxfId="3695" priority="433" operator="equal">
      <formula>0</formula>
    </cfRule>
    <cfRule type="cellIs" dxfId="3694" priority="434" operator="notEqual">
      <formula>0</formula>
    </cfRule>
  </conditionalFormatting>
  <conditionalFormatting sqref="F78">
    <cfRule type="cellIs" dxfId="3693" priority="432" operator="equal">
      <formula>0</formula>
    </cfRule>
  </conditionalFormatting>
  <conditionalFormatting sqref="G76:G77">
    <cfRule type="cellIs" dxfId="3692" priority="430" operator="equal">
      <formula>0</formula>
    </cfRule>
    <cfRule type="cellIs" dxfId="3691" priority="431" operator="notEqual">
      <formula>0</formula>
    </cfRule>
  </conditionalFormatting>
  <conditionalFormatting sqref="G78">
    <cfRule type="cellIs" dxfId="3690" priority="429" operator="equal">
      <formula>0</formula>
    </cfRule>
  </conditionalFormatting>
  <conditionalFormatting sqref="H76:H77">
    <cfRule type="cellIs" dxfId="3689" priority="427" operator="equal">
      <formula>0</formula>
    </cfRule>
    <cfRule type="cellIs" dxfId="3688" priority="428" operator="notEqual">
      <formula>0</formula>
    </cfRule>
  </conditionalFormatting>
  <conditionalFormatting sqref="H78">
    <cfRule type="cellIs" dxfId="3687" priority="426" operator="equal">
      <formula>0</formula>
    </cfRule>
  </conditionalFormatting>
  <conditionalFormatting sqref="I76:I77">
    <cfRule type="cellIs" dxfId="3686" priority="424" operator="equal">
      <formula>0</formula>
    </cfRule>
    <cfRule type="cellIs" dxfId="3685" priority="425" operator="notEqual">
      <formula>0</formula>
    </cfRule>
  </conditionalFormatting>
  <conditionalFormatting sqref="I78">
    <cfRule type="cellIs" dxfId="3684" priority="423" operator="equal">
      <formula>0</formula>
    </cfRule>
  </conditionalFormatting>
  <conditionalFormatting sqref="J76:J77">
    <cfRule type="cellIs" dxfId="3683" priority="421" operator="equal">
      <formula>0</formula>
    </cfRule>
    <cfRule type="cellIs" dxfId="3682" priority="422" operator="notEqual">
      <formula>0</formula>
    </cfRule>
  </conditionalFormatting>
  <conditionalFormatting sqref="J78">
    <cfRule type="cellIs" dxfId="3681" priority="420" operator="equal">
      <formula>0</formula>
    </cfRule>
  </conditionalFormatting>
  <conditionalFormatting sqref="K76:K77">
    <cfRule type="cellIs" dxfId="3680" priority="418" operator="equal">
      <formula>0</formula>
    </cfRule>
    <cfRule type="cellIs" dxfId="3679" priority="419" operator="notEqual">
      <formula>0</formula>
    </cfRule>
  </conditionalFormatting>
  <conditionalFormatting sqref="K78">
    <cfRule type="cellIs" dxfId="3678" priority="417" operator="equal">
      <formula>0</formula>
    </cfRule>
  </conditionalFormatting>
  <conditionalFormatting sqref="L78">
    <cfRule type="cellIs" dxfId="3677" priority="416" operator="equal">
      <formula>0</formula>
    </cfRule>
  </conditionalFormatting>
  <conditionalFormatting sqref="M78">
    <cfRule type="cellIs" dxfId="3676" priority="415" operator="equal">
      <formula>0</formula>
    </cfRule>
  </conditionalFormatting>
  <conditionalFormatting sqref="N78">
    <cfRule type="cellIs" dxfId="3675" priority="414" operator="equal">
      <formula>0</formula>
    </cfRule>
  </conditionalFormatting>
  <conditionalFormatting sqref="O78">
    <cfRule type="cellIs" dxfId="3674" priority="413" operator="equal">
      <formula>0</formula>
    </cfRule>
  </conditionalFormatting>
  <conditionalFormatting sqref="P75">
    <cfRule type="cellIs" dxfId="3673" priority="411" operator="equal">
      <formula>0</formula>
    </cfRule>
    <cfRule type="cellIs" dxfId="3672" priority="412" operator="notEqual">
      <formula>0</formula>
    </cfRule>
  </conditionalFormatting>
  <conditionalFormatting sqref="P78">
    <cfRule type="cellIs" dxfId="3671" priority="410" operator="equal">
      <formula>0</formula>
    </cfRule>
  </conditionalFormatting>
  <conditionalFormatting sqref="Q75">
    <cfRule type="cellIs" dxfId="3670" priority="408" operator="equal">
      <formula>0</formula>
    </cfRule>
    <cfRule type="cellIs" dxfId="3669" priority="409" operator="notEqual">
      <formula>0</formula>
    </cfRule>
  </conditionalFormatting>
  <conditionalFormatting sqref="Q78">
    <cfRule type="cellIs" dxfId="3668" priority="407" operator="equal">
      <formula>0</formula>
    </cfRule>
  </conditionalFormatting>
  <conditionalFormatting sqref="R75">
    <cfRule type="cellIs" dxfId="3667" priority="405" operator="equal">
      <formula>0</formula>
    </cfRule>
    <cfRule type="cellIs" dxfId="3666" priority="406" operator="notEqual">
      <formula>0</formula>
    </cfRule>
  </conditionalFormatting>
  <conditionalFormatting sqref="R78">
    <cfRule type="cellIs" dxfId="3665" priority="404" operator="equal">
      <formula>0</formula>
    </cfRule>
  </conditionalFormatting>
  <conditionalFormatting sqref="S75">
    <cfRule type="cellIs" dxfId="3664" priority="402" operator="equal">
      <formula>0</formula>
    </cfRule>
    <cfRule type="cellIs" dxfId="3663" priority="403" operator="notEqual">
      <formula>0</formula>
    </cfRule>
  </conditionalFormatting>
  <conditionalFormatting sqref="S78">
    <cfRule type="cellIs" dxfId="3662" priority="401" operator="equal">
      <formula>0</formula>
    </cfRule>
  </conditionalFormatting>
  <conditionalFormatting sqref="T82">
    <cfRule type="cellIs" dxfId="3661" priority="359" operator="equal">
      <formula>0</formula>
    </cfRule>
  </conditionalFormatting>
  <conditionalFormatting sqref="E80:E81">
    <cfRule type="cellIs" dxfId="3660" priority="354" operator="equal">
      <formula>0</formula>
    </cfRule>
    <cfRule type="cellIs" dxfId="3659" priority="355" operator="notEqual">
      <formula>0</formula>
    </cfRule>
  </conditionalFormatting>
  <conditionalFormatting sqref="E82">
    <cfRule type="cellIs" dxfId="3658" priority="353" operator="equal">
      <formula>0</formula>
    </cfRule>
  </conditionalFormatting>
  <conditionalFormatting sqref="F80:F81">
    <cfRule type="cellIs" dxfId="3657" priority="351" operator="equal">
      <formula>0</formula>
    </cfRule>
    <cfRule type="cellIs" dxfId="3656" priority="352" operator="notEqual">
      <formula>0</formula>
    </cfRule>
  </conditionalFormatting>
  <conditionalFormatting sqref="F82">
    <cfRule type="cellIs" dxfId="3655" priority="350" operator="equal">
      <formula>0</formula>
    </cfRule>
  </conditionalFormatting>
  <conditionalFormatting sqref="G80:G81">
    <cfRule type="cellIs" dxfId="3654" priority="348" operator="equal">
      <formula>0</formula>
    </cfRule>
    <cfRule type="cellIs" dxfId="3653" priority="349" operator="notEqual">
      <formula>0</formula>
    </cfRule>
  </conditionalFormatting>
  <conditionalFormatting sqref="G82">
    <cfRule type="cellIs" dxfId="3652" priority="347" operator="equal">
      <formula>0</formula>
    </cfRule>
  </conditionalFormatting>
  <conditionalFormatting sqref="H80:H81">
    <cfRule type="cellIs" dxfId="3651" priority="345" operator="equal">
      <formula>0</formula>
    </cfRule>
    <cfRule type="cellIs" dxfId="3650" priority="346" operator="notEqual">
      <formula>0</formula>
    </cfRule>
  </conditionalFormatting>
  <conditionalFormatting sqref="H82">
    <cfRule type="cellIs" dxfId="3649" priority="344" operator="equal">
      <formula>0</formula>
    </cfRule>
  </conditionalFormatting>
  <conditionalFormatting sqref="I80:I81">
    <cfRule type="cellIs" dxfId="3648" priority="342" operator="equal">
      <formula>0</formula>
    </cfRule>
    <cfRule type="cellIs" dxfId="3647" priority="343" operator="notEqual">
      <formula>0</formula>
    </cfRule>
  </conditionalFormatting>
  <conditionalFormatting sqref="I82">
    <cfRule type="cellIs" dxfId="3646" priority="341" operator="equal">
      <formula>0</formula>
    </cfRule>
  </conditionalFormatting>
  <conditionalFormatting sqref="J80:J81">
    <cfRule type="cellIs" dxfId="3645" priority="339" operator="equal">
      <formula>0</formula>
    </cfRule>
    <cfRule type="cellIs" dxfId="3644" priority="340" operator="notEqual">
      <formula>0</formula>
    </cfRule>
  </conditionalFormatting>
  <conditionalFormatting sqref="J82">
    <cfRule type="cellIs" dxfId="3643" priority="338" operator="equal">
      <formula>0</formula>
    </cfRule>
  </conditionalFormatting>
  <conditionalFormatting sqref="K80:K81">
    <cfRule type="cellIs" dxfId="3642" priority="336" operator="equal">
      <formula>0</formula>
    </cfRule>
    <cfRule type="cellIs" dxfId="3641" priority="337" operator="notEqual">
      <formula>0</formula>
    </cfRule>
  </conditionalFormatting>
  <conditionalFormatting sqref="K82">
    <cfRule type="cellIs" dxfId="3640" priority="335" operator="equal">
      <formula>0</formula>
    </cfRule>
  </conditionalFormatting>
  <conditionalFormatting sqref="L82">
    <cfRule type="cellIs" dxfId="3639" priority="334" operator="equal">
      <formula>0</formula>
    </cfRule>
  </conditionalFormatting>
  <conditionalFormatting sqref="M82">
    <cfRule type="cellIs" dxfId="3638" priority="333" operator="equal">
      <formula>0</formula>
    </cfRule>
  </conditionalFormatting>
  <conditionalFormatting sqref="N82">
    <cfRule type="cellIs" dxfId="3637" priority="332" operator="equal">
      <formula>0</formula>
    </cfRule>
  </conditionalFormatting>
  <conditionalFormatting sqref="O82">
    <cfRule type="cellIs" dxfId="3636" priority="331" operator="equal">
      <formula>0</formula>
    </cfRule>
  </conditionalFormatting>
  <conditionalFormatting sqref="P79">
    <cfRule type="cellIs" dxfId="3635" priority="329" operator="equal">
      <formula>0</formula>
    </cfRule>
    <cfRule type="cellIs" dxfId="3634" priority="330" operator="notEqual">
      <formula>0</formula>
    </cfRule>
  </conditionalFormatting>
  <conditionalFormatting sqref="P82">
    <cfRule type="cellIs" dxfId="3633" priority="328" operator="equal">
      <formula>0</formula>
    </cfRule>
  </conditionalFormatting>
  <conditionalFormatting sqref="Q79">
    <cfRule type="cellIs" dxfId="3632" priority="326" operator="equal">
      <formula>0</formula>
    </cfRule>
    <cfRule type="cellIs" dxfId="3631" priority="327" operator="notEqual">
      <formula>0</formula>
    </cfRule>
  </conditionalFormatting>
  <conditionalFormatting sqref="Q82">
    <cfRule type="cellIs" dxfId="3630" priority="325" operator="equal">
      <formula>0</formula>
    </cfRule>
  </conditionalFormatting>
  <conditionalFormatting sqref="R79">
    <cfRule type="cellIs" dxfId="3629" priority="323" operator="equal">
      <formula>0</formula>
    </cfRule>
    <cfRule type="cellIs" dxfId="3628" priority="324" operator="notEqual">
      <formula>0</formula>
    </cfRule>
  </conditionalFormatting>
  <conditionalFormatting sqref="R82">
    <cfRule type="cellIs" dxfId="3627" priority="322" operator="equal">
      <formula>0</formula>
    </cfRule>
  </conditionalFormatting>
  <conditionalFormatting sqref="S79">
    <cfRule type="cellIs" dxfId="3626" priority="320" operator="equal">
      <formula>0</formula>
    </cfRule>
    <cfRule type="cellIs" dxfId="3625" priority="321" operator="notEqual">
      <formula>0</formula>
    </cfRule>
  </conditionalFormatting>
  <conditionalFormatting sqref="S82">
    <cfRule type="cellIs" dxfId="3624" priority="319" operator="equal">
      <formula>0</formula>
    </cfRule>
  </conditionalFormatting>
  <conditionalFormatting sqref="T86">
    <cfRule type="cellIs" dxfId="3623" priority="236" operator="equal">
      <formula>0</formula>
    </cfRule>
  </conditionalFormatting>
  <conditionalFormatting sqref="E84:E85">
    <cfRule type="cellIs" dxfId="3622" priority="231" operator="equal">
      <formula>0</formula>
    </cfRule>
    <cfRule type="cellIs" dxfId="3621" priority="232" operator="notEqual">
      <formula>0</formula>
    </cfRule>
  </conditionalFormatting>
  <conditionalFormatting sqref="E86">
    <cfRule type="cellIs" dxfId="3620" priority="230" operator="equal">
      <formula>0</formula>
    </cfRule>
  </conditionalFormatting>
  <conditionalFormatting sqref="F84:F85">
    <cfRule type="cellIs" dxfId="3619" priority="228" operator="equal">
      <formula>0</formula>
    </cfRule>
    <cfRule type="cellIs" dxfId="3618" priority="229" operator="notEqual">
      <formula>0</formula>
    </cfRule>
  </conditionalFormatting>
  <conditionalFormatting sqref="F86">
    <cfRule type="cellIs" dxfId="3617" priority="227" operator="equal">
      <formula>0</formula>
    </cfRule>
  </conditionalFormatting>
  <conditionalFormatting sqref="G84:G85">
    <cfRule type="cellIs" dxfId="3616" priority="225" operator="equal">
      <formula>0</formula>
    </cfRule>
    <cfRule type="cellIs" dxfId="3615" priority="226" operator="notEqual">
      <formula>0</formula>
    </cfRule>
  </conditionalFormatting>
  <conditionalFormatting sqref="G86">
    <cfRule type="cellIs" dxfId="3614" priority="224" operator="equal">
      <formula>0</formula>
    </cfRule>
  </conditionalFormatting>
  <conditionalFormatting sqref="H84:H85">
    <cfRule type="cellIs" dxfId="3613" priority="222" operator="equal">
      <formula>0</formula>
    </cfRule>
    <cfRule type="cellIs" dxfId="3612" priority="223" operator="notEqual">
      <formula>0</formula>
    </cfRule>
  </conditionalFormatting>
  <conditionalFormatting sqref="H86">
    <cfRule type="cellIs" dxfId="3611" priority="221" operator="equal">
      <formula>0</formula>
    </cfRule>
  </conditionalFormatting>
  <conditionalFormatting sqref="I84:I85">
    <cfRule type="cellIs" dxfId="3610" priority="219" operator="equal">
      <formula>0</formula>
    </cfRule>
    <cfRule type="cellIs" dxfId="3609" priority="220" operator="notEqual">
      <formula>0</formula>
    </cfRule>
  </conditionalFormatting>
  <conditionalFormatting sqref="I86">
    <cfRule type="cellIs" dxfId="3608" priority="218" operator="equal">
      <formula>0</formula>
    </cfRule>
  </conditionalFormatting>
  <conditionalFormatting sqref="J84:J85">
    <cfRule type="cellIs" dxfId="3607" priority="216" operator="equal">
      <formula>0</formula>
    </cfRule>
    <cfRule type="cellIs" dxfId="3606" priority="217" operator="notEqual">
      <formula>0</formula>
    </cfRule>
  </conditionalFormatting>
  <conditionalFormatting sqref="J86">
    <cfRule type="cellIs" dxfId="3605" priority="215" operator="equal">
      <formula>0</formula>
    </cfRule>
  </conditionalFormatting>
  <conditionalFormatting sqref="K84:K85">
    <cfRule type="cellIs" dxfId="3604" priority="213" operator="equal">
      <formula>0</formula>
    </cfRule>
    <cfRule type="cellIs" dxfId="3603" priority="214" operator="notEqual">
      <formula>0</formula>
    </cfRule>
  </conditionalFormatting>
  <conditionalFormatting sqref="K86">
    <cfRule type="cellIs" dxfId="3602" priority="212" operator="equal">
      <formula>0</formula>
    </cfRule>
  </conditionalFormatting>
  <conditionalFormatting sqref="L86">
    <cfRule type="cellIs" dxfId="3601" priority="211" operator="equal">
      <formula>0</formula>
    </cfRule>
  </conditionalFormatting>
  <conditionalFormatting sqref="M86">
    <cfRule type="cellIs" dxfId="3600" priority="210" operator="equal">
      <formula>0</formula>
    </cfRule>
  </conditionalFormatting>
  <conditionalFormatting sqref="N86">
    <cfRule type="cellIs" dxfId="3599" priority="209" operator="equal">
      <formula>0</formula>
    </cfRule>
  </conditionalFormatting>
  <conditionalFormatting sqref="O86">
    <cfRule type="cellIs" dxfId="3598" priority="208" operator="equal">
      <formula>0</formula>
    </cfRule>
  </conditionalFormatting>
  <conditionalFormatting sqref="P83">
    <cfRule type="cellIs" dxfId="3597" priority="206" operator="equal">
      <formula>0</formula>
    </cfRule>
    <cfRule type="cellIs" dxfId="3596" priority="207" operator="notEqual">
      <formula>0</formula>
    </cfRule>
  </conditionalFormatting>
  <conditionalFormatting sqref="P86">
    <cfRule type="cellIs" dxfId="3595" priority="205" operator="equal">
      <formula>0</formula>
    </cfRule>
  </conditionalFormatting>
  <conditionalFormatting sqref="Q83">
    <cfRule type="cellIs" dxfId="3594" priority="203" operator="equal">
      <formula>0</formula>
    </cfRule>
    <cfRule type="cellIs" dxfId="3593" priority="204" operator="notEqual">
      <formula>0</formula>
    </cfRule>
  </conditionalFormatting>
  <conditionalFormatting sqref="Q86">
    <cfRule type="cellIs" dxfId="3592" priority="202" operator="equal">
      <formula>0</formula>
    </cfRule>
  </conditionalFormatting>
  <conditionalFormatting sqref="R83">
    <cfRule type="cellIs" dxfId="3591" priority="200" operator="equal">
      <formula>0</formula>
    </cfRule>
    <cfRule type="cellIs" dxfId="3590" priority="201" operator="notEqual">
      <formula>0</formula>
    </cfRule>
  </conditionalFormatting>
  <conditionalFormatting sqref="R86">
    <cfRule type="cellIs" dxfId="3589" priority="199" operator="equal">
      <formula>0</formula>
    </cfRule>
  </conditionalFormatting>
  <conditionalFormatting sqref="S83">
    <cfRule type="cellIs" dxfId="3588" priority="197" operator="equal">
      <formula>0</formula>
    </cfRule>
    <cfRule type="cellIs" dxfId="3587" priority="198" operator="notEqual">
      <formula>0</formula>
    </cfRule>
  </conditionalFormatting>
  <conditionalFormatting sqref="S86">
    <cfRule type="cellIs" dxfId="3586" priority="196" operator="equal">
      <formula>0</formula>
    </cfRule>
  </conditionalFormatting>
  <conditionalFormatting sqref="T90">
    <cfRule type="cellIs" dxfId="3585" priority="195" operator="equal">
      <formula>0</formula>
    </cfRule>
  </conditionalFormatting>
  <conditionalFormatting sqref="E88:E89">
    <cfRule type="cellIs" dxfId="3584" priority="190" operator="equal">
      <formula>0</formula>
    </cfRule>
    <cfRule type="cellIs" dxfId="3583" priority="191" operator="notEqual">
      <formula>0</formula>
    </cfRule>
  </conditionalFormatting>
  <conditionalFormatting sqref="E90">
    <cfRule type="cellIs" dxfId="3582" priority="189" operator="equal">
      <formula>0</formula>
    </cfRule>
  </conditionalFormatting>
  <conditionalFormatting sqref="F88:F89">
    <cfRule type="cellIs" dxfId="3581" priority="187" operator="equal">
      <formula>0</formula>
    </cfRule>
    <cfRule type="cellIs" dxfId="3580" priority="188" operator="notEqual">
      <formula>0</formula>
    </cfRule>
  </conditionalFormatting>
  <conditionalFormatting sqref="F90">
    <cfRule type="cellIs" dxfId="3579" priority="186" operator="equal">
      <formula>0</formula>
    </cfRule>
  </conditionalFormatting>
  <conditionalFormatting sqref="G88:G89">
    <cfRule type="cellIs" dxfId="3578" priority="184" operator="equal">
      <formula>0</formula>
    </cfRule>
    <cfRule type="cellIs" dxfId="3577" priority="185" operator="notEqual">
      <formula>0</formula>
    </cfRule>
  </conditionalFormatting>
  <conditionalFormatting sqref="G90">
    <cfRule type="cellIs" dxfId="3576" priority="183" operator="equal">
      <formula>0</formula>
    </cfRule>
  </conditionalFormatting>
  <conditionalFormatting sqref="H88:H89">
    <cfRule type="cellIs" dxfId="3575" priority="181" operator="equal">
      <formula>0</formula>
    </cfRule>
    <cfRule type="cellIs" dxfId="3574" priority="182" operator="notEqual">
      <formula>0</formula>
    </cfRule>
  </conditionalFormatting>
  <conditionalFormatting sqref="H90">
    <cfRule type="cellIs" dxfId="3573" priority="180" operator="equal">
      <formula>0</formula>
    </cfRule>
  </conditionalFormatting>
  <conditionalFormatting sqref="I88:I89">
    <cfRule type="cellIs" dxfId="3572" priority="178" operator="equal">
      <formula>0</formula>
    </cfRule>
    <cfRule type="cellIs" dxfId="3571" priority="179" operator="notEqual">
      <formula>0</formula>
    </cfRule>
  </conditionalFormatting>
  <conditionalFormatting sqref="I90">
    <cfRule type="cellIs" dxfId="3570" priority="177" operator="equal">
      <formula>0</formula>
    </cfRule>
  </conditionalFormatting>
  <conditionalFormatting sqref="J88:J89">
    <cfRule type="cellIs" dxfId="3569" priority="175" operator="equal">
      <formula>0</formula>
    </cfRule>
    <cfRule type="cellIs" dxfId="3568" priority="176" operator="notEqual">
      <formula>0</formula>
    </cfRule>
  </conditionalFormatting>
  <conditionalFormatting sqref="J90">
    <cfRule type="cellIs" dxfId="3567" priority="174" operator="equal">
      <formula>0</formula>
    </cfRule>
  </conditionalFormatting>
  <conditionalFormatting sqref="K88:K89">
    <cfRule type="cellIs" dxfId="3566" priority="172" operator="equal">
      <formula>0</formula>
    </cfRule>
    <cfRule type="cellIs" dxfId="3565" priority="173" operator="notEqual">
      <formula>0</formula>
    </cfRule>
  </conditionalFormatting>
  <conditionalFormatting sqref="K90">
    <cfRule type="cellIs" dxfId="3564" priority="171" operator="equal">
      <formula>0</formula>
    </cfRule>
  </conditionalFormatting>
  <conditionalFormatting sqref="L90">
    <cfRule type="cellIs" dxfId="3563" priority="170" operator="equal">
      <formula>0</formula>
    </cfRule>
  </conditionalFormatting>
  <conditionalFormatting sqref="M90">
    <cfRule type="cellIs" dxfId="3562" priority="169" operator="equal">
      <formula>0</formula>
    </cfRule>
  </conditionalFormatting>
  <conditionalFormatting sqref="N90">
    <cfRule type="cellIs" dxfId="3561" priority="168" operator="equal">
      <formula>0</formula>
    </cfRule>
  </conditionalFormatting>
  <conditionalFormatting sqref="O90">
    <cfRule type="cellIs" dxfId="3560" priority="167" operator="equal">
      <formula>0</formula>
    </cfRule>
  </conditionalFormatting>
  <conditionalFormatting sqref="P87">
    <cfRule type="cellIs" dxfId="3559" priority="165" operator="equal">
      <formula>0</formula>
    </cfRule>
    <cfRule type="cellIs" dxfId="3558" priority="166" operator="notEqual">
      <formula>0</formula>
    </cfRule>
  </conditionalFormatting>
  <conditionalFormatting sqref="P90">
    <cfRule type="cellIs" dxfId="3557" priority="164" operator="equal">
      <formula>0</formula>
    </cfRule>
  </conditionalFormatting>
  <conditionalFormatting sqref="Q87">
    <cfRule type="cellIs" dxfId="3556" priority="162" operator="equal">
      <formula>0</formula>
    </cfRule>
    <cfRule type="cellIs" dxfId="3555" priority="163" operator="notEqual">
      <formula>0</formula>
    </cfRule>
  </conditionalFormatting>
  <conditionalFormatting sqref="Q90">
    <cfRule type="cellIs" dxfId="3554" priority="161" operator="equal">
      <formula>0</formula>
    </cfRule>
  </conditionalFormatting>
  <conditionalFormatting sqref="R87">
    <cfRule type="cellIs" dxfId="3553" priority="159" operator="equal">
      <formula>0</formula>
    </cfRule>
    <cfRule type="cellIs" dxfId="3552" priority="160" operator="notEqual">
      <formula>0</formula>
    </cfRule>
  </conditionalFormatting>
  <conditionalFormatting sqref="R90">
    <cfRule type="cellIs" dxfId="3551" priority="158" operator="equal">
      <formula>0</formula>
    </cfRule>
  </conditionalFormatting>
  <conditionalFormatting sqref="S87">
    <cfRule type="cellIs" dxfId="3550" priority="156" operator="equal">
      <formula>0</formula>
    </cfRule>
    <cfRule type="cellIs" dxfId="3549" priority="157" operator="notEqual">
      <formula>0</formula>
    </cfRule>
  </conditionalFormatting>
  <conditionalFormatting sqref="S90">
    <cfRule type="cellIs" dxfId="3548" priority="155" operator="equal">
      <formula>0</formula>
    </cfRule>
  </conditionalFormatting>
  <conditionalFormatting sqref="T94">
    <cfRule type="cellIs" dxfId="3547" priority="113" operator="equal">
      <formula>0</formula>
    </cfRule>
  </conditionalFormatting>
  <conditionalFormatting sqref="E92:E93">
    <cfRule type="cellIs" dxfId="3546" priority="108" operator="equal">
      <formula>0</formula>
    </cfRule>
    <cfRule type="cellIs" dxfId="3545" priority="109" operator="notEqual">
      <formula>0</formula>
    </cfRule>
  </conditionalFormatting>
  <conditionalFormatting sqref="E94">
    <cfRule type="cellIs" dxfId="3544" priority="107" operator="equal">
      <formula>0</formula>
    </cfRule>
  </conditionalFormatting>
  <conditionalFormatting sqref="F92:F93">
    <cfRule type="cellIs" dxfId="3543" priority="105" operator="equal">
      <formula>0</formula>
    </cfRule>
    <cfRule type="cellIs" dxfId="3542" priority="106" operator="notEqual">
      <formula>0</formula>
    </cfRule>
  </conditionalFormatting>
  <conditionalFormatting sqref="F94">
    <cfRule type="cellIs" dxfId="3541" priority="104" operator="equal">
      <formula>0</formula>
    </cfRule>
  </conditionalFormatting>
  <conditionalFormatting sqref="G92:G93">
    <cfRule type="cellIs" dxfId="3540" priority="102" operator="equal">
      <formula>0</formula>
    </cfRule>
    <cfRule type="cellIs" dxfId="3539" priority="103" operator="notEqual">
      <formula>0</formula>
    </cfRule>
  </conditionalFormatting>
  <conditionalFormatting sqref="G94">
    <cfRule type="cellIs" dxfId="3538" priority="101" operator="equal">
      <formula>0</formula>
    </cfRule>
  </conditionalFormatting>
  <conditionalFormatting sqref="H92:H93">
    <cfRule type="cellIs" dxfId="3537" priority="99" operator="equal">
      <formula>0</formula>
    </cfRule>
    <cfRule type="cellIs" dxfId="3536" priority="100" operator="notEqual">
      <formula>0</formula>
    </cfRule>
  </conditionalFormatting>
  <conditionalFormatting sqref="H94">
    <cfRule type="cellIs" dxfId="3535" priority="98" operator="equal">
      <formula>0</formula>
    </cfRule>
  </conditionalFormatting>
  <conditionalFormatting sqref="I92:I93">
    <cfRule type="cellIs" dxfId="3534" priority="96" operator="equal">
      <formula>0</formula>
    </cfRule>
    <cfRule type="cellIs" dxfId="3533" priority="97" operator="notEqual">
      <formula>0</formula>
    </cfRule>
  </conditionalFormatting>
  <conditionalFormatting sqref="I94">
    <cfRule type="cellIs" dxfId="3532" priority="95" operator="equal">
      <formula>0</formula>
    </cfRule>
  </conditionalFormatting>
  <conditionalFormatting sqref="J92:J93">
    <cfRule type="cellIs" dxfId="3531" priority="93" operator="equal">
      <formula>0</formula>
    </cfRule>
    <cfRule type="cellIs" dxfId="3530" priority="94" operator="notEqual">
      <formula>0</formula>
    </cfRule>
  </conditionalFormatting>
  <conditionalFormatting sqref="J94">
    <cfRule type="cellIs" dxfId="3529" priority="92" operator="equal">
      <formula>0</formula>
    </cfRule>
  </conditionalFormatting>
  <conditionalFormatting sqref="K92:K93">
    <cfRule type="cellIs" dxfId="3528" priority="90" operator="equal">
      <formula>0</formula>
    </cfRule>
    <cfRule type="cellIs" dxfId="3527" priority="91" operator="notEqual">
      <formula>0</formula>
    </cfRule>
  </conditionalFormatting>
  <conditionalFormatting sqref="K94">
    <cfRule type="cellIs" dxfId="3526" priority="89" operator="equal">
      <formula>0</formula>
    </cfRule>
  </conditionalFormatting>
  <conditionalFormatting sqref="L94">
    <cfRule type="cellIs" dxfId="3525" priority="88" operator="equal">
      <formula>0</formula>
    </cfRule>
  </conditionalFormatting>
  <conditionalFormatting sqref="M94">
    <cfRule type="cellIs" dxfId="3524" priority="87" operator="equal">
      <formula>0</formula>
    </cfRule>
  </conditionalFormatting>
  <conditionalFormatting sqref="N94">
    <cfRule type="cellIs" dxfId="3523" priority="86" operator="equal">
      <formula>0</formula>
    </cfRule>
  </conditionalFormatting>
  <conditionalFormatting sqref="O94">
    <cfRule type="cellIs" dxfId="3522" priority="85" operator="equal">
      <formula>0</formula>
    </cfRule>
  </conditionalFormatting>
  <conditionalFormatting sqref="P91">
    <cfRule type="cellIs" dxfId="3521" priority="83" operator="equal">
      <formula>0</formula>
    </cfRule>
    <cfRule type="cellIs" dxfId="3520" priority="84" operator="notEqual">
      <formula>0</formula>
    </cfRule>
  </conditionalFormatting>
  <conditionalFormatting sqref="P94">
    <cfRule type="cellIs" dxfId="3519" priority="82" operator="equal">
      <formula>0</formula>
    </cfRule>
  </conditionalFormatting>
  <conditionalFormatting sqref="Q91">
    <cfRule type="cellIs" dxfId="3518" priority="80" operator="equal">
      <formula>0</formula>
    </cfRule>
    <cfRule type="cellIs" dxfId="3517" priority="81" operator="notEqual">
      <formula>0</formula>
    </cfRule>
  </conditionalFormatting>
  <conditionalFormatting sqref="Q94">
    <cfRule type="cellIs" dxfId="3516" priority="79" operator="equal">
      <formula>0</formula>
    </cfRule>
  </conditionalFormatting>
  <conditionalFormatting sqref="R91">
    <cfRule type="cellIs" dxfId="3515" priority="77" operator="equal">
      <formula>0</formula>
    </cfRule>
    <cfRule type="cellIs" dxfId="3514" priority="78" operator="notEqual">
      <formula>0</formula>
    </cfRule>
  </conditionalFormatting>
  <conditionalFormatting sqref="R94">
    <cfRule type="cellIs" dxfId="3513" priority="76" operator="equal">
      <formula>0</formula>
    </cfRule>
  </conditionalFormatting>
  <conditionalFormatting sqref="S91">
    <cfRule type="cellIs" dxfId="3512" priority="74" operator="equal">
      <formula>0</formula>
    </cfRule>
    <cfRule type="cellIs" dxfId="3511" priority="75" operator="notEqual">
      <formula>0</formula>
    </cfRule>
  </conditionalFormatting>
  <conditionalFormatting sqref="S94">
    <cfRule type="cellIs" dxfId="3510" priority="73" operator="equal">
      <formula>0</formula>
    </cfRule>
  </conditionalFormatting>
  <conditionalFormatting sqref="T98">
    <cfRule type="cellIs" dxfId="3509" priority="72" operator="equal">
      <formula>0</formula>
    </cfRule>
  </conditionalFormatting>
  <conditionalFormatting sqref="E96:E97">
    <cfRule type="cellIs" dxfId="3508" priority="67" operator="equal">
      <formula>0</formula>
    </cfRule>
    <cfRule type="cellIs" dxfId="3507" priority="68" operator="notEqual">
      <formula>0</formula>
    </cfRule>
  </conditionalFormatting>
  <conditionalFormatting sqref="E98">
    <cfRule type="cellIs" dxfId="3506" priority="66" operator="equal">
      <formula>0</formula>
    </cfRule>
  </conditionalFormatting>
  <conditionalFormatting sqref="F96:F97">
    <cfRule type="cellIs" dxfId="3505" priority="64" operator="equal">
      <formula>0</formula>
    </cfRule>
    <cfRule type="cellIs" dxfId="3504" priority="65" operator="notEqual">
      <formula>0</formula>
    </cfRule>
  </conditionalFormatting>
  <conditionalFormatting sqref="F98">
    <cfRule type="cellIs" dxfId="3503" priority="63" operator="equal">
      <formula>0</formula>
    </cfRule>
  </conditionalFormatting>
  <conditionalFormatting sqref="G96:G97">
    <cfRule type="cellIs" dxfId="3502" priority="61" operator="equal">
      <formula>0</formula>
    </cfRule>
    <cfRule type="cellIs" dxfId="3501" priority="62" operator="notEqual">
      <formula>0</formula>
    </cfRule>
  </conditionalFormatting>
  <conditionalFormatting sqref="G98">
    <cfRule type="cellIs" dxfId="3500" priority="60" operator="equal">
      <formula>0</formula>
    </cfRule>
  </conditionalFormatting>
  <conditionalFormatting sqref="H96:H97">
    <cfRule type="cellIs" dxfId="3499" priority="58" operator="equal">
      <formula>0</formula>
    </cfRule>
    <cfRule type="cellIs" dxfId="3498" priority="59" operator="notEqual">
      <formula>0</formula>
    </cfRule>
  </conditionalFormatting>
  <conditionalFormatting sqref="H98">
    <cfRule type="cellIs" dxfId="3497" priority="57" operator="equal">
      <formula>0</formula>
    </cfRule>
  </conditionalFormatting>
  <conditionalFormatting sqref="I96:I97">
    <cfRule type="cellIs" dxfId="3496" priority="55" operator="equal">
      <formula>0</formula>
    </cfRule>
    <cfRule type="cellIs" dxfId="3495" priority="56" operator="notEqual">
      <formula>0</formula>
    </cfRule>
  </conditionalFormatting>
  <conditionalFormatting sqref="I98">
    <cfRule type="cellIs" dxfId="3494" priority="54" operator="equal">
      <formula>0</formula>
    </cfRule>
  </conditionalFormatting>
  <conditionalFormatting sqref="J96:J97">
    <cfRule type="cellIs" dxfId="3493" priority="52" operator="equal">
      <formula>0</formula>
    </cfRule>
    <cfRule type="cellIs" dxfId="3492" priority="53" operator="notEqual">
      <formula>0</formula>
    </cfRule>
  </conditionalFormatting>
  <conditionalFormatting sqref="J98">
    <cfRule type="cellIs" dxfId="3491" priority="51" operator="equal">
      <formula>0</formula>
    </cfRule>
  </conditionalFormatting>
  <conditionalFormatting sqref="K96:K97">
    <cfRule type="cellIs" dxfId="3490" priority="49" operator="equal">
      <formula>0</formula>
    </cfRule>
    <cfRule type="cellIs" dxfId="3489" priority="50" operator="notEqual">
      <formula>0</formula>
    </cfRule>
  </conditionalFormatting>
  <conditionalFormatting sqref="K98">
    <cfRule type="cellIs" dxfId="3488" priority="48" operator="equal">
      <formula>0</formula>
    </cfRule>
  </conditionalFormatting>
  <conditionalFormatting sqref="L98">
    <cfRule type="cellIs" dxfId="3487" priority="47" operator="equal">
      <formula>0</formula>
    </cfRule>
  </conditionalFormatting>
  <conditionalFormatting sqref="M98">
    <cfRule type="cellIs" dxfId="3486" priority="46" operator="equal">
      <formula>0</formula>
    </cfRule>
  </conditionalFormatting>
  <conditionalFormatting sqref="N98">
    <cfRule type="cellIs" dxfId="3485" priority="45" operator="equal">
      <formula>0</formula>
    </cfRule>
  </conditionalFormatting>
  <conditionalFormatting sqref="O98">
    <cfRule type="cellIs" dxfId="3484" priority="44" operator="equal">
      <formula>0</formula>
    </cfRule>
  </conditionalFormatting>
  <conditionalFormatting sqref="P95">
    <cfRule type="cellIs" dxfId="3483" priority="42" operator="equal">
      <formula>0</formula>
    </cfRule>
    <cfRule type="cellIs" dxfId="3482" priority="43" operator="notEqual">
      <formula>0</formula>
    </cfRule>
  </conditionalFormatting>
  <conditionalFormatting sqref="P98">
    <cfRule type="cellIs" dxfId="3481" priority="41" operator="equal">
      <formula>0</formula>
    </cfRule>
  </conditionalFormatting>
  <conditionalFormatting sqref="Q95">
    <cfRule type="cellIs" dxfId="3480" priority="39" operator="equal">
      <formula>0</formula>
    </cfRule>
    <cfRule type="cellIs" dxfId="3479" priority="40" operator="notEqual">
      <formula>0</formula>
    </cfRule>
  </conditionalFormatting>
  <conditionalFormatting sqref="Q98">
    <cfRule type="cellIs" dxfId="3478" priority="38" operator="equal">
      <formula>0</formula>
    </cfRule>
  </conditionalFormatting>
  <conditionalFormatting sqref="R95">
    <cfRule type="cellIs" dxfId="3477" priority="36" operator="equal">
      <formula>0</formula>
    </cfRule>
    <cfRule type="cellIs" dxfId="3476" priority="37" operator="notEqual">
      <formula>0</formula>
    </cfRule>
  </conditionalFormatting>
  <conditionalFormatting sqref="R98">
    <cfRule type="cellIs" dxfId="3475" priority="35" operator="equal">
      <formula>0</formula>
    </cfRule>
  </conditionalFormatting>
  <conditionalFormatting sqref="S95">
    <cfRule type="cellIs" dxfId="3474" priority="33" operator="equal">
      <formula>0</formula>
    </cfRule>
    <cfRule type="cellIs" dxfId="3473" priority="34" operator="notEqual">
      <formula>0</formula>
    </cfRule>
  </conditionalFormatting>
  <conditionalFormatting sqref="S98">
    <cfRule type="cellIs" dxfId="3472" priority="32" operator="equal">
      <formula>0</formula>
    </cfRule>
  </conditionalFormatting>
  <conditionalFormatting sqref="D62">
    <cfRule type="cellIs" dxfId="3471" priority="766" operator="equal">
      <formula>0</formula>
    </cfRule>
  </conditionalFormatting>
  <conditionalFormatting sqref="D60:D61">
    <cfRule type="cellIs" dxfId="3470" priority="767" operator="equal">
      <formula>0</formula>
    </cfRule>
    <cfRule type="cellIs" dxfId="3469" priority="768" operator="notEqual">
      <formula>0</formula>
    </cfRule>
  </conditionalFormatting>
  <conditionalFormatting sqref="D66">
    <cfRule type="cellIs" dxfId="3468" priority="725" operator="equal">
      <formula>0</formula>
    </cfRule>
  </conditionalFormatting>
  <conditionalFormatting sqref="D64:D65">
    <cfRule type="cellIs" dxfId="3467" priority="726" operator="equal">
      <formula>0</formula>
    </cfRule>
    <cfRule type="cellIs" dxfId="3466" priority="727" operator="notEqual">
      <formula>0</formula>
    </cfRule>
  </conditionalFormatting>
  <conditionalFormatting sqref="D70">
    <cfRule type="cellIs" dxfId="3465" priority="684" operator="equal">
      <formula>0</formula>
    </cfRule>
  </conditionalFormatting>
  <conditionalFormatting sqref="D68:D69">
    <cfRule type="cellIs" dxfId="3464" priority="685" operator="equal">
      <formula>0</formula>
    </cfRule>
    <cfRule type="cellIs" dxfId="3463" priority="686" operator="notEqual">
      <formula>0</formula>
    </cfRule>
  </conditionalFormatting>
  <conditionalFormatting sqref="D74">
    <cfRule type="cellIs" dxfId="3462" priority="479" operator="equal">
      <formula>0</formula>
    </cfRule>
  </conditionalFormatting>
  <conditionalFormatting sqref="D72:D73">
    <cfRule type="cellIs" dxfId="3461" priority="480" operator="equal">
      <formula>0</formula>
    </cfRule>
    <cfRule type="cellIs" dxfId="3460" priority="481" operator="notEqual">
      <formula>0</formula>
    </cfRule>
  </conditionalFormatting>
  <conditionalFormatting sqref="D78">
    <cfRule type="cellIs" dxfId="3459" priority="438" operator="equal">
      <formula>0</formula>
    </cfRule>
  </conditionalFormatting>
  <conditionalFormatting sqref="D76:D77">
    <cfRule type="cellIs" dxfId="3458" priority="439" operator="equal">
      <formula>0</formula>
    </cfRule>
    <cfRule type="cellIs" dxfId="3457" priority="440" operator="notEqual">
      <formula>0</formula>
    </cfRule>
  </conditionalFormatting>
  <conditionalFormatting sqref="D82">
    <cfRule type="cellIs" dxfId="3456" priority="356" operator="equal">
      <formula>0</formula>
    </cfRule>
  </conditionalFormatting>
  <conditionalFormatting sqref="D80:D81">
    <cfRule type="cellIs" dxfId="3455" priority="357" operator="equal">
      <formula>0</formula>
    </cfRule>
    <cfRule type="cellIs" dxfId="3454" priority="358" operator="notEqual">
      <formula>0</formula>
    </cfRule>
  </conditionalFormatting>
  <conditionalFormatting sqref="D86">
    <cfRule type="cellIs" dxfId="3453" priority="233" operator="equal">
      <formula>0</formula>
    </cfRule>
  </conditionalFormatting>
  <conditionalFormatting sqref="D84:D85">
    <cfRule type="cellIs" dxfId="3452" priority="234" operator="equal">
      <formula>0</formula>
    </cfRule>
    <cfRule type="cellIs" dxfId="3451" priority="235" operator="notEqual">
      <formula>0</formula>
    </cfRule>
  </conditionalFormatting>
  <conditionalFormatting sqref="D90">
    <cfRule type="cellIs" dxfId="3450" priority="192" operator="equal">
      <formula>0</formula>
    </cfRule>
  </conditionalFormatting>
  <conditionalFormatting sqref="D88:D89">
    <cfRule type="cellIs" dxfId="3449" priority="193" operator="equal">
      <formula>0</formula>
    </cfRule>
    <cfRule type="cellIs" dxfId="3448" priority="194" operator="notEqual">
      <formula>0</formula>
    </cfRule>
  </conditionalFormatting>
  <conditionalFormatting sqref="D94">
    <cfRule type="cellIs" dxfId="3447" priority="110" operator="equal">
      <formula>0</formula>
    </cfRule>
  </conditionalFormatting>
  <conditionalFormatting sqref="D92:D93">
    <cfRule type="cellIs" dxfId="3446" priority="111" operator="equal">
      <formula>0</formula>
    </cfRule>
    <cfRule type="cellIs" dxfId="3445" priority="112" operator="notEqual">
      <formula>0</formula>
    </cfRule>
  </conditionalFormatting>
  <conditionalFormatting sqref="D98">
    <cfRule type="cellIs" dxfId="3444" priority="69" operator="equal">
      <formula>0</formula>
    </cfRule>
  </conditionalFormatting>
  <conditionalFormatting sqref="D96:D97">
    <cfRule type="cellIs" dxfId="3443" priority="70" operator="equal">
      <formula>0</formula>
    </cfRule>
    <cfRule type="cellIs" dxfId="3442" priority="71" operator="notEqual">
      <formula>0</formula>
    </cfRule>
  </conditionalFormatting>
  <conditionalFormatting sqref="D157:T158 D161:T162 D165:T166 D169:T170 D173:T174 D177:T178 D181:T182 D185:T186 D189:T190 D193:T194">
    <cfRule type="cellIs" dxfId="3441" priority="30" operator="equal">
      <formula>0</formula>
    </cfRule>
    <cfRule type="cellIs" dxfId="3440" priority="31" operator="notEqual">
      <formula>0</formula>
    </cfRule>
  </conditionalFormatting>
  <conditionalFormatting sqref="D159:T159 D163:T163 D167:T167 D171:T171 D175:T175 D179:T179 D183:T183 D187:T187 D191:T191 D195:T195">
    <cfRule type="cellIs" dxfId="3439" priority="29" operator="equal">
      <formula>0</formula>
    </cfRule>
  </conditionalFormatting>
  <conditionalFormatting sqref="D254:T255 D258:T259 D262:T263 D266:T267 D270:T271 D274:T275 D278:T279 D282:T283 D286:T287 D290:T291">
    <cfRule type="cellIs" dxfId="3438" priority="24" operator="equal">
      <formula>0</formula>
    </cfRule>
    <cfRule type="cellIs" dxfId="3437" priority="25" operator="notEqual">
      <formula>0</formula>
    </cfRule>
  </conditionalFormatting>
  <conditionalFormatting sqref="D256:T256 D260:T260 D264:T264 D268:T268 D272:T272 D276:T276 D280:T280 D284:T284 D288:T288 D292:T292">
    <cfRule type="cellIs" dxfId="3436" priority="23" operator="equal">
      <formula>0</formula>
    </cfRule>
  </conditionalFormatting>
  <conditionalFormatting sqref="Y289:AN289">
    <cfRule type="cellIs" dxfId="3435" priority="20" operator="equal">
      <formula>0</formula>
    </cfRule>
  </conditionalFormatting>
  <conditionalFormatting sqref="Y281:AN284">
    <cfRule type="cellIs" dxfId="3434" priority="17" operator="equal">
      <formula>0</formula>
    </cfRule>
  </conditionalFormatting>
  <conditionalFormatting sqref="Y277:AN280">
    <cfRule type="cellIs" dxfId="3433" priority="16" operator="equal">
      <formula>0</formula>
    </cfRule>
  </conditionalFormatting>
  <conditionalFormatting sqref="Y273:AN276">
    <cfRule type="cellIs" dxfId="3432" priority="13" operator="equal">
      <formula>0</formula>
    </cfRule>
  </conditionalFormatting>
  <conditionalFormatting sqref="Y265:AN268">
    <cfRule type="cellIs" dxfId="3431" priority="10" operator="equal">
      <formula>0</formula>
    </cfRule>
  </conditionalFormatting>
  <conditionalFormatting sqref="Y257:AN260">
    <cfRule type="cellIs" dxfId="3430" priority="4" operator="equal">
      <formula>0</formula>
    </cfRule>
  </conditionalFormatting>
  <conditionalFormatting sqref="Y253:AN256">
    <cfRule type="cellIs" dxfId="3429" priority="3" operator="equal">
      <formula>0</formula>
    </cfRule>
  </conditionalFormatting>
  <conditionalFormatting sqref="Y285:AN288">
    <cfRule type="cellIs" dxfId="3428" priority="19" operator="equal">
      <formula>0</formula>
    </cfRule>
  </conditionalFormatting>
  <conditionalFormatting sqref="Y269:AN272">
    <cfRule type="cellIs" dxfId="3427" priority="11" operator="equal">
      <formula>0</formula>
    </cfRule>
  </conditionalFormatting>
  <conditionalFormatting sqref="Y261:AN264">
    <cfRule type="cellIs" dxfId="3426" priority="5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/>
  <dimension ref="A1:AN108"/>
  <sheetViews>
    <sheetView topLeftCell="A66" zoomScaleNormal="100" workbookViewId="0">
      <selection activeCell="D72" sqref="D72"/>
    </sheetView>
  </sheetViews>
  <sheetFormatPr baseColWidth="10" defaultColWidth="8.83203125" defaultRowHeight="14" x14ac:dyDescent="0.15"/>
  <cols>
    <col min="2" max="2" width="35" bestFit="1" customWidth="1"/>
    <col min="10" max="18" width="8.83203125" style="30"/>
    <col min="19" max="19" width="12.83203125" customWidth="1"/>
    <col min="21" max="21" width="35" bestFit="1" customWidth="1"/>
    <col min="22" max="22" width="11.5" bestFit="1" customWidth="1"/>
    <col min="23" max="28" width="10.1640625" bestFit="1" customWidth="1"/>
  </cols>
  <sheetData>
    <row r="1" spans="1:40" ht="65.25" customHeight="1" x14ac:dyDescent="0.15">
      <c r="A1" s="356" t="s">
        <v>1018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</row>
    <row r="2" spans="1:40" ht="42.75" customHeight="1" x14ac:dyDescent="0.15">
      <c r="A2" s="348"/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  <c r="AK2" s="348"/>
      <c r="AL2" s="348"/>
      <c r="AM2" s="348"/>
      <c r="AN2" s="348"/>
    </row>
    <row r="3" spans="1:40" s="72" customFormat="1" ht="39.75" customHeight="1" x14ac:dyDescent="0.15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</row>
    <row r="4" spans="1:40" ht="16" x14ac:dyDescent="0.2">
      <c r="A4" s="30"/>
      <c r="B4" s="30"/>
      <c r="C4" s="312" t="s">
        <v>486</v>
      </c>
      <c r="D4" s="313"/>
      <c r="E4" s="313"/>
      <c r="F4" s="313"/>
      <c r="G4" s="313"/>
      <c r="H4" s="313"/>
      <c r="I4" s="313"/>
      <c r="J4" s="313"/>
      <c r="K4" s="313"/>
      <c r="L4" s="313"/>
      <c r="M4" s="313"/>
      <c r="N4" s="313"/>
      <c r="O4" s="313"/>
      <c r="P4" s="313"/>
      <c r="Q4" s="313"/>
      <c r="R4" s="313"/>
      <c r="S4" s="357"/>
      <c r="T4" s="178"/>
      <c r="U4" s="178"/>
      <c r="V4" s="358" t="s">
        <v>487</v>
      </c>
      <c r="W4" s="358"/>
      <c r="X4" s="358"/>
      <c r="Y4" s="358"/>
      <c r="Z4" s="358"/>
      <c r="AA4" s="358"/>
      <c r="AB4" s="358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</row>
    <row r="5" spans="1:40" x14ac:dyDescent="0.15">
      <c r="A5" s="30"/>
      <c r="B5" s="176"/>
      <c r="C5" s="58" t="s">
        <v>504</v>
      </c>
      <c r="D5" s="58" t="s">
        <v>503</v>
      </c>
      <c r="E5" s="58" t="s">
        <v>502</v>
      </c>
      <c r="F5" s="58" t="s">
        <v>501</v>
      </c>
      <c r="G5" s="58" t="s">
        <v>510</v>
      </c>
      <c r="H5" s="58" t="s">
        <v>176</v>
      </c>
      <c r="I5" s="58" t="s">
        <v>177</v>
      </c>
      <c r="J5" s="58" t="s">
        <v>505</v>
      </c>
      <c r="K5" s="58" t="s">
        <v>507</v>
      </c>
      <c r="L5" s="58" t="s">
        <v>178</v>
      </c>
      <c r="M5" s="58" t="s">
        <v>179</v>
      </c>
      <c r="N5" s="58" t="s">
        <v>506</v>
      </c>
      <c r="O5" s="58" t="s">
        <v>508</v>
      </c>
      <c r="P5" s="58" t="s">
        <v>180</v>
      </c>
      <c r="Q5" s="58" t="s">
        <v>181</v>
      </c>
      <c r="R5" s="58" t="s">
        <v>509</v>
      </c>
      <c r="S5" s="60" t="s">
        <v>183</v>
      </c>
      <c r="T5" s="95"/>
      <c r="U5" s="176"/>
      <c r="V5" s="58" t="s">
        <v>504</v>
      </c>
      <c r="W5" s="58" t="s">
        <v>503</v>
      </c>
      <c r="X5" s="58" t="s">
        <v>502</v>
      </c>
      <c r="Y5" s="58" t="s">
        <v>501</v>
      </c>
      <c r="Z5" s="58" t="s">
        <v>510</v>
      </c>
      <c r="AA5" s="58" t="s">
        <v>176</v>
      </c>
      <c r="AB5" s="58" t="s">
        <v>177</v>
      </c>
      <c r="AC5" s="58" t="s">
        <v>505</v>
      </c>
      <c r="AD5" s="58" t="s">
        <v>507</v>
      </c>
      <c r="AE5" s="58" t="s">
        <v>178</v>
      </c>
      <c r="AF5" s="58" t="s">
        <v>179</v>
      </c>
      <c r="AG5" s="58" t="s">
        <v>506</v>
      </c>
      <c r="AH5" s="58" t="s">
        <v>508</v>
      </c>
      <c r="AI5" s="58" t="s">
        <v>180</v>
      </c>
      <c r="AJ5" s="58" t="s">
        <v>181</v>
      </c>
      <c r="AK5" s="58" t="s">
        <v>509</v>
      </c>
      <c r="AL5" s="30"/>
      <c r="AM5" s="30"/>
      <c r="AN5" s="30"/>
    </row>
    <row r="6" spans="1:40" x14ac:dyDescent="0.15">
      <c r="A6" s="30"/>
      <c r="B6" s="181" t="s">
        <v>4</v>
      </c>
      <c r="C6" s="177">
        <f>SUMIF('caseload data'!$A:$A,"NPS East Midlands Region",'caseload data'!E:E)</f>
        <v>0</v>
      </c>
      <c r="D6" s="177">
        <f>SUMIF('caseload data'!$A:$A,"NPS East Midlands Region",'caseload data'!F:F)</f>
        <v>0</v>
      </c>
      <c r="E6" s="177">
        <f>SUMIF('caseload data'!$A:$A,"NPS East Midlands Region",'caseload data'!G:G)</f>
        <v>0</v>
      </c>
      <c r="F6" s="177">
        <f>SUMIF('caseload data'!$A:$A,"NPS East Midlands Region",'caseload data'!H:H)</f>
        <v>0</v>
      </c>
      <c r="G6" s="177">
        <f>SUMIF('caseload data'!$A:$A,"NPS East Midlands Region",'caseload data'!I:I)</f>
        <v>0</v>
      </c>
      <c r="H6" s="177">
        <f>SUMIF('caseload data'!$A:$A,"NPS East Midlands Region",'caseload data'!J:J)</f>
        <v>0</v>
      </c>
      <c r="I6" s="177">
        <f>SUMIF('caseload data'!$A:$A,"NPS East Midlands Region",'caseload data'!K:K)</f>
        <v>0</v>
      </c>
      <c r="J6" s="177">
        <f>SUMIF('caseload data'!$A:$A,"NPS East Midlands Region",'caseload data'!L:L)</f>
        <v>0</v>
      </c>
      <c r="K6" s="177">
        <f>SUMIF('caseload data'!$A:$A,"NPS East Midlands Region",'caseload data'!M:M)</f>
        <v>0</v>
      </c>
      <c r="L6" s="177">
        <f>SUMIF('caseload data'!$A:$A,"NPS East Midlands Region",'caseload data'!N:N)</f>
        <v>0</v>
      </c>
      <c r="M6" s="177">
        <f>SUMIF('caseload data'!$A:$A,"NPS East Midlands Region",'caseload data'!O:O)</f>
        <v>0</v>
      </c>
      <c r="N6" s="177">
        <f>SUMIF('caseload data'!$A:$A,"NPS East Midlands Region",'caseload data'!P:P)</f>
        <v>0</v>
      </c>
      <c r="O6" s="177">
        <f>SUMIF('caseload data'!$A:$A,"NPS East Midlands Region",'caseload data'!Q:Q)</f>
        <v>0</v>
      </c>
      <c r="P6" s="177">
        <f>SUMIF('caseload data'!$A:$A,"NPS East Midlands Region",'caseload data'!R:R)</f>
        <v>0</v>
      </c>
      <c r="Q6" s="177">
        <f>SUMIF('caseload data'!$A:$A,"NPS East Midlands Region",'caseload data'!S:S)</f>
        <v>0</v>
      </c>
      <c r="R6" s="177">
        <f>SUMIF('caseload data'!$A:$A,"NPS East Midlands Region",'caseload data'!T:T)</f>
        <v>0</v>
      </c>
      <c r="S6" s="177">
        <f>SUMIF('caseload data'!A:A,"NPS East Midlands Region",'caseload data'!V:V)</f>
        <v>0</v>
      </c>
      <c r="T6" s="95"/>
      <c r="U6" s="181" t="s">
        <v>4</v>
      </c>
      <c r="V6" s="97" t="e">
        <f>C6/$S$6</f>
        <v>#DIV/0!</v>
      </c>
      <c r="W6" s="97" t="e">
        <f t="shared" ref="W6:AK6" si="0">D6/$S$6</f>
        <v>#DIV/0!</v>
      </c>
      <c r="X6" s="97" t="e">
        <f t="shared" si="0"/>
        <v>#DIV/0!</v>
      </c>
      <c r="Y6" s="97" t="e">
        <f t="shared" si="0"/>
        <v>#DIV/0!</v>
      </c>
      <c r="Z6" s="97" t="e">
        <f t="shared" si="0"/>
        <v>#DIV/0!</v>
      </c>
      <c r="AA6" s="97" t="e">
        <f t="shared" si="0"/>
        <v>#DIV/0!</v>
      </c>
      <c r="AB6" s="97" t="e">
        <f t="shared" si="0"/>
        <v>#DIV/0!</v>
      </c>
      <c r="AC6" s="97" t="e">
        <f t="shared" si="0"/>
        <v>#DIV/0!</v>
      </c>
      <c r="AD6" s="97" t="e">
        <f t="shared" si="0"/>
        <v>#DIV/0!</v>
      </c>
      <c r="AE6" s="97" t="e">
        <f t="shared" si="0"/>
        <v>#DIV/0!</v>
      </c>
      <c r="AF6" s="97" t="e">
        <f t="shared" si="0"/>
        <v>#DIV/0!</v>
      </c>
      <c r="AG6" s="97" t="e">
        <f t="shared" si="0"/>
        <v>#DIV/0!</v>
      </c>
      <c r="AH6" s="97" t="e">
        <f t="shared" si="0"/>
        <v>#DIV/0!</v>
      </c>
      <c r="AI6" s="97" t="e">
        <f t="shared" si="0"/>
        <v>#DIV/0!</v>
      </c>
      <c r="AJ6" s="97" t="e">
        <f t="shared" si="0"/>
        <v>#DIV/0!</v>
      </c>
      <c r="AK6" s="97" t="e">
        <f t="shared" si="0"/>
        <v>#DIV/0!</v>
      </c>
      <c r="AL6" s="30"/>
      <c r="AM6" s="30"/>
      <c r="AN6" s="30"/>
    </row>
    <row r="7" spans="1:40" x14ac:dyDescent="0.15">
      <c r="A7" s="30"/>
      <c r="B7" s="181" t="s">
        <v>1014</v>
      </c>
      <c r="C7" s="177">
        <f>SUMIF('caseload data'!$A:$A,"East of England",'caseload data'!E:E)</f>
        <v>0</v>
      </c>
      <c r="D7" s="177">
        <f>SUMIF('caseload data'!$A:$A,"East of England",'caseload data'!F:F)</f>
        <v>0</v>
      </c>
      <c r="E7" s="177">
        <f>SUMIF('caseload data'!$A:$A,"East of England",'caseload data'!G:G)</f>
        <v>0</v>
      </c>
      <c r="F7" s="177">
        <f>SUMIF('caseload data'!$A:$A,"East of England",'caseload data'!H:H)</f>
        <v>0</v>
      </c>
      <c r="G7" s="177">
        <f>SUMIF('caseload data'!$A:$A,"East of England",'caseload data'!I:I)</f>
        <v>0</v>
      </c>
      <c r="H7" s="177">
        <f>SUMIF('caseload data'!$A:$A,"East of England",'caseload data'!J:J)</f>
        <v>0</v>
      </c>
      <c r="I7" s="177">
        <f>SUMIF('caseload data'!$A:$A,"East of England",'caseload data'!K:K)</f>
        <v>0</v>
      </c>
      <c r="J7" s="177">
        <f>SUMIF('caseload data'!$A:$A,"East of England",'caseload data'!L:L)</f>
        <v>0</v>
      </c>
      <c r="K7" s="177">
        <f>SUMIF('caseload data'!$A:$A,"East of England",'caseload data'!M:M)</f>
        <v>0</v>
      </c>
      <c r="L7" s="177">
        <f>SUMIF('caseload data'!$A:$A,"East of England",'caseload data'!N:N)</f>
        <v>0</v>
      </c>
      <c r="M7" s="177">
        <f>SUMIF('caseload data'!$A:$A,"East of England",'caseload data'!O:O)</f>
        <v>0</v>
      </c>
      <c r="N7" s="177">
        <f>SUMIF('caseload data'!$A:$A,"East of England",'caseload data'!P:P)</f>
        <v>0</v>
      </c>
      <c r="O7" s="177">
        <f>SUMIF('caseload data'!$A:$A,"East of England",'caseload data'!Q:Q)</f>
        <v>0</v>
      </c>
      <c r="P7" s="177">
        <f>SUMIF('caseload data'!$A:$A,"East of England",'caseload data'!R:R)</f>
        <v>0</v>
      </c>
      <c r="Q7" s="177">
        <f>SUMIF('caseload data'!$A:$A,"East of England",'caseload data'!S:S)</f>
        <v>0</v>
      </c>
      <c r="R7" s="177">
        <f>SUMIF('caseload data'!$A:$A,"East of England",'caseload data'!T:T)</f>
        <v>0</v>
      </c>
      <c r="S7" s="177">
        <f>SUMIF('caseload data'!A:A,"East of England",'caseload data'!V:V)</f>
        <v>0</v>
      </c>
      <c r="T7" s="95"/>
      <c r="U7" s="181" t="s">
        <v>1014</v>
      </c>
      <c r="V7" s="97" t="e">
        <f>C7/$S$7</f>
        <v>#DIV/0!</v>
      </c>
      <c r="W7" s="97" t="e">
        <f>D7/$S$7</f>
        <v>#DIV/0!</v>
      </c>
      <c r="X7" s="97" t="e">
        <f t="shared" ref="X7:AA7" si="1">E7/$S$7</f>
        <v>#DIV/0!</v>
      </c>
      <c r="Y7" s="97" t="e">
        <f t="shared" si="1"/>
        <v>#DIV/0!</v>
      </c>
      <c r="Z7" s="97" t="e">
        <f t="shared" si="1"/>
        <v>#DIV/0!</v>
      </c>
      <c r="AA7" s="97" t="e">
        <f t="shared" si="1"/>
        <v>#DIV/0!</v>
      </c>
      <c r="AB7" s="97" t="e">
        <f>I7/$S$7</f>
        <v>#DIV/0!</v>
      </c>
      <c r="AC7" s="97" t="e">
        <f t="shared" ref="AC7:AD7" si="2">J7/$S$7</f>
        <v>#DIV/0!</v>
      </c>
      <c r="AD7" s="97" t="e">
        <f t="shared" si="2"/>
        <v>#DIV/0!</v>
      </c>
      <c r="AE7" s="97" t="e">
        <f t="shared" ref="AE7" si="3">L7/$S$7</f>
        <v>#DIV/0!</v>
      </c>
      <c r="AF7" s="97" t="e">
        <f t="shared" ref="AF7" si="4">M7/$S$7</f>
        <v>#DIV/0!</v>
      </c>
      <c r="AG7" s="97" t="e">
        <f t="shared" ref="AG7" si="5">N7/$S$7</f>
        <v>#DIV/0!</v>
      </c>
      <c r="AH7" s="97" t="e">
        <f t="shared" ref="AH7:AK7" si="6">O7/$S$7</f>
        <v>#DIV/0!</v>
      </c>
      <c r="AI7" s="97" t="e">
        <f t="shared" si="6"/>
        <v>#DIV/0!</v>
      </c>
      <c r="AJ7" s="97" t="e">
        <f t="shared" si="6"/>
        <v>#DIV/0!</v>
      </c>
      <c r="AK7" s="97" t="e">
        <f t="shared" si="6"/>
        <v>#DIV/0!</v>
      </c>
      <c r="AL7" s="30"/>
      <c r="AM7" s="30"/>
      <c r="AN7" s="30"/>
    </row>
    <row r="8" spans="1:40" x14ac:dyDescent="0.15">
      <c r="A8" s="30"/>
      <c r="B8" s="181" t="s">
        <v>5</v>
      </c>
      <c r="C8" s="177">
        <f>SUMIF('caseload data'!$A:$A,"NPS Greater Manchester",'caseload data'!E:E)</f>
        <v>0</v>
      </c>
      <c r="D8" s="177">
        <f>SUMIF('caseload data'!$A:$A,"NPS Greater Manchester",'caseload data'!F:F)</f>
        <v>0</v>
      </c>
      <c r="E8" s="177">
        <f>SUMIF('caseload data'!$A:$A,"NPS Greater Manchester",'caseload data'!G:G)</f>
        <v>0</v>
      </c>
      <c r="F8" s="177">
        <f>SUMIF('caseload data'!$A:$A,"NPS Greater Manchester",'caseload data'!H:H)</f>
        <v>0</v>
      </c>
      <c r="G8" s="177">
        <f>SUMIF('caseload data'!$A:$A,"NPS Greater Manchester",'caseload data'!I:I)</f>
        <v>0</v>
      </c>
      <c r="H8" s="177">
        <f>SUMIF('caseload data'!$A:$A,"NPS Greater Manchester",'caseload data'!J:J)</f>
        <v>0</v>
      </c>
      <c r="I8" s="177">
        <f>SUMIF('caseload data'!$A:$A,"NPS Greater Manchester",'caseload data'!K:K)</f>
        <v>0</v>
      </c>
      <c r="J8" s="177">
        <f>SUMIF('caseload data'!$A:$A,"NPS Greater Manchester",'caseload data'!L:L)</f>
        <v>0</v>
      </c>
      <c r="K8" s="177">
        <f>SUMIF('caseload data'!$A:$A,"NPS Greater Manchester",'caseload data'!M:M)</f>
        <v>0</v>
      </c>
      <c r="L8" s="177">
        <f>SUMIF('caseload data'!$A:$A,"NPS Greater Manchester",'caseload data'!N:N)</f>
        <v>0</v>
      </c>
      <c r="M8" s="177">
        <f>SUMIF('caseload data'!$A:$A,"NPS Greater Manchester",'caseload data'!O:O)</f>
        <v>0</v>
      </c>
      <c r="N8" s="177">
        <f>SUMIF('caseload data'!$A:$A,"NPS Greater Manchester",'caseload data'!P:P)</f>
        <v>0</v>
      </c>
      <c r="O8" s="177">
        <f>SUMIF('caseload data'!$A:$A,"NPS Greater Manchester",'caseload data'!Q:Q)</f>
        <v>0</v>
      </c>
      <c r="P8" s="177">
        <f>SUMIF('caseload data'!$A:$A,"NPS Greater Manchester",'caseload data'!R:R)</f>
        <v>0</v>
      </c>
      <c r="Q8" s="177">
        <f>SUMIF('caseload data'!$A:$A,"NPS Greater Manchester",'caseload data'!S:S)</f>
        <v>0</v>
      </c>
      <c r="R8" s="177">
        <f>SUMIF('caseload data'!$A:$A,"NPS Greater Manchester",'caseload data'!T:T)</f>
        <v>0</v>
      </c>
      <c r="S8" s="177">
        <f>SUMIF('caseload data'!A:A,"NPS Greater Manchester",'caseload data'!V:V)</f>
        <v>0</v>
      </c>
      <c r="T8" s="95"/>
      <c r="U8" s="181" t="s">
        <v>5</v>
      </c>
      <c r="V8" s="97" t="e">
        <f>C8/$S$8</f>
        <v>#DIV/0!</v>
      </c>
      <c r="W8" s="97" t="e">
        <f t="shared" ref="W8:AC8" si="7">D8/$S$8</f>
        <v>#DIV/0!</v>
      </c>
      <c r="X8" s="97" t="e">
        <f t="shared" si="7"/>
        <v>#DIV/0!</v>
      </c>
      <c r="Y8" s="97" t="e">
        <f t="shared" si="7"/>
        <v>#DIV/0!</v>
      </c>
      <c r="Z8" s="97" t="e">
        <f t="shared" si="7"/>
        <v>#DIV/0!</v>
      </c>
      <c r="AA8" s="97" t="e">
        <f t="shared" si="7"/>
        <v>#DIV/0!</v>
      </c>
      <c r="AB8" s="97" t="e">
        <f t="shared" si="7"/>
        <v>#DIV/0!</v>
      </c>
      <c r="AC8" s="97" t="e">
        <f t="shared" si="7"/>
        <v>#DIV/0!</v>
      </c>
      <c r="AD8" s="97" t="e">
        <f t="shared" ref="AD8" si="8">K8/$S$8</f>
        <v>#DIV/0!</v>
      </c>
      <c r="AE8" s="97" t="e">
        <f t="shared" ref="AE8" si="9">L8/$S$8</f>
        <v>#DIV/0!</v>
      </c>
      <c r="AF8" s="97" t="e">
        <f t="shared" ref="AF8" si="10">M8/$S$8</f>
        <v>#DIV/0!</v>
      </c>
      <c r="AG8" s="97" t="e">
        <f t="shared" ref="AG8" si="11">N8/$S$8</f>
        <v>#DIV/0!</v>
      </c>
      <c r="AH8" s="97" t="e">
        <f t="shared" ref="AH8" si="12">O8/$S$8</f>
        <v>#DIV/0!</v>
      </c>
      <c r="AI8" s="97" t="e">
        <f t="shared" ref="AI8:AJ8" si="13">P8/$S$8</f>
        <v>#DIV/0!</v>
      </c>
      <c r="AJ8" s="97" t="e">
        <f t="shared" si="13"/>
        <v>#DIV/0!</v>
      </c>
      <c r="AK8" s="97" t="e">
        <f t="shared" ref="AK8" si="14">R8/$S$8</f>
        <v>#DIV/0!</v>
      </c>
      <c r="AL8" s="30"/>
      <c r="AM8" s="30"/>
      <c r="AN8" s="30"/>
    </row>
    <row r="9" spans="1:40" x14ac:dyDescent="0.15">
      <c r="A9" s="30"/>
      <c r="B9" s="181" t="s">
        <v>6</v>
      </c>
      <c r="C9" s="177">
        <f>SUMIF('caseload data'!$A:$A,"NPS Kent Surrey Sussex Region",'caseload data'!E:E)</f>
        <v>0</v>
      </c>
      <c r="D9" s="177">
        <f>SUMIF('caseload data'!$A:$A,"NPS Kent Surrey Sussex Region",'caseload data'!F:F)</f>
        <v>0</v>
      </c>
      <c r="E9" s="177">
        <f>SUMIF('caseload data'!$A:$A,"NPS Kent Surrey Sussex Region",'caseload data'!G:G)</f>
        <v>0</v>
      </c>
      <c r="F9" s="177">
        <f>SUMIF('caseload data'!$A:$A,"NPS Kent Surrey Sussex Region",'caseload data'!H:H)</f>
        <v>0</v>
      </c>
      <c r="G9" s="177">
        <f>SUMIF('caseload data'!$A:$A,"NPS Kent Surrey Sussex Region",'caseload data'!I:I)</f>
        <v>0</v>
      </c>
      <c r="H9" s="177">
        <f>SUMIF('caseload data'!$A:$A,"NPS Kent Surrey Sussex Region",'caseload data'!J:J)</f>
        <v>0</v>
      </c>
      <c r="I9" s="177">
        <f>SUMIF('caseload data'!$A:$A,"NPS Kent Surrey Sussex Region",'caseload data'!K:K)</f>
        <v>0</v>
      </c>
      <c r="J9" s="177">
        <f>SUMIF('caseload data'!$A:$A,"NPS Kent Surrey Sussex Region",'caseload data'!L:L)</f>
        <v>0</v>
      </c>
      <c r="K9" s="177">
        <f>SUMIF('caseload data'!$A:$A,"NPS Kent Surrey Sussex Region",'caseload data'!M:M)</f>
        <v>0</v>
      </c>
      <c r="L9" s="177">
        <f>SUMIF('caseload data'!$A:$A,"NPS Kent Surrey Sussex Region",'caseload data'!N:N)</f>
        <v>0</v>
      </c>
      <c r="M9" s="177">
        <f>SUMIF('caseload data'!$A:$A,"NPS Kent Surrey Sussex Region",'caseload data'!O:O)</f>
        <v>0</v>
      </c>
      <c r="N9" s="177">
        <f>SUMIF('caseload data'!$A:$A,"NPS Kent Surrey Sussex Region",'caseload data'!P:P)</f>
        <v>0</v>
      </c>
      <c r="O9" s="177">
        <f>SUMIF('caseload data'!$A:$A,"NPS Kent Surrey Sussex Region",'caseload data'!Q:Q)</f>
        <v>0</v>
      </c>
      <c r="P9" s="177">
        <f>SUMIF('caseload data'!$A:$A,"NPS Kent Surrey Sussex Region",'caseload data'!R:R)</f>
        <v>0</v>
      </c>
      <c r="Q9" s="177">
        <f>SUMIF('caseload data'!$A:$A,"NPS Kent Surrey Sussex Region",'caseload data'!S:S)</f>
        <v>0</v>
      </c>
      <c r="R9" s="177">
        <f>SUMIF('caseload data'!$A:$A,"NPS Kent Surrey Sussex Region",'caseload data'!T:T)</f>
        <v>0</v>
      </c>
      <c r="S9" s="177">
        <f>SUMIF('caseload data'!A:A,"NPS Kent Surrey Sussex Region",'caseload data'!V:V)</f>
        <v>0</v>
      </c>
      <c r="T9" s="95"/>
      <c r="U9" s="181" t="s">
        <v>6</v>
      </c>
      <c r="V9" s="97" t="e">
        <f>C9/$S$9</f>
        <v>#DIV/0!</v>
      </c>
      <c r="W9" s="97" t="e">
        <f t="shared" ref="W9:AC9" si="15">D9/$S$9</f>
        <v>#DIV/0!</v>
      </c>
      <c r="X9" s="97" t="e">
        <f t="shared" si="15"/>
        <v>#DIV/0!</v>
      </c>
      <c r="Y9" s="97" t="e">
        <f t="shared" si="15"/>
        <v>#DIV/0!</v>
      </c>
      <c r="Z9" s="97" t="e">
        <f t="shared" si="15"/>
        <v>#DIV/0!</v>
      </c>
      <c r="AA9" s="97" t="e">
        <f t="shared" si="15"/>
        <v>#DIV/0!</v>
      </c>
      <c r="AB9" s="97" t="e">
        <f t="shared" si="15"/>
        <v>#DIV/0!</v>
      </c>
      <c r="AC9" s="97" t="e">
        <f t="shared" si="15"/>
        <v>#DIV/0!</v>
      </c>
      <c r="AD9" s="97" t="e">
        <f t="shared" ref="AD9" si="16">K9/$S$9</f>
        <v>#DIV/0!</v>
      </c>
      <c r="AE9" s="97" t="e">
        <f t="shared" ref="AE9" si="17">L9/$S$9</f>
        <v>#DIV/0!</v>
      </c>
      <c r="AF9" s="97" t="e">
        <f t="shared" ref="AF9" si="18">M9/$S$9</f>
        <v>#DIV/0!</v>
      </c>
      <c r="AG9" s="97" t="e">
        <f t="shared" ref="AG9" si="19">N9/$S$9</f>
        <v>#DIV/0!</v>
      </c>
      <c r="AH9" s="97" t="e">
        <f t="shared" ref="AH9" si="20">O9/$S$9</f>
        <v>#DIV/0!</v>
      </c>
      <c r="AI9" s="97" t="e">
        <f t="shared" ref="AI9:AJ9" si="21">P9/$S$9</f>
        <v>#DIV/0!</v>
      </c>
      <c r="AJ9" s="97" t="e">
        <f t="shared" si="21"/>
        <v>#DIV/0!</v>
      </c>
      <c r="AK9" s="97" t="e">
        <f t="shared" ref="AK9" si="22">R9/$S$9</f>
        <v>#DIV/0!</v>
      </c>
      <c r="AL9" s="30"/>
      <c r="AM9" s="30"/>
      <c r="AN9" s="30"/>
    </row>
    <row r="10" spans="1:40" x14ac:dyDescent="0.15">
      <c r="A10" s="30"/>
      <c r="B10" s="181" t="s">
        <v>376</v>
      </c>
      <c r="C10" s="177">
        <f>SUMIF('caseload data'!$A:$A,"London",'caseload data'!E:E)</f>
        <v>0</v>
      </c>
      <c r="D10" s="177">
        <f>SUMIF('caseload data'!$A:$A,"London",'caseload data'!F:F)</f>
        <v>0</v>
      </c>
      <c r="E10" s="177">
        <f>SUMIF('caseload data'!$A:$A,"London",'caseload data'!G:G)</f>
        <v>0</v>
      </c>
      <c r="F10" s="177">
        <f>SUMIF('caseload data'!$A:$A,"London",'caseload data'!H:H)</f>
        <v>0</v>
      </c>
      <c r="G10" s="177">
        <f>SUMIF('caseload data'!$A:$A,"London",'caseload data'!I:I)</f>
        <v>0</v>
      </c>
      <c r="H10" s="177">
        <f>SUMIF('caseload data'!$A:$A,"London",'caseload data'!J:J)</f>
        <v>0</v>
      </c>
      <c r="I10" s="177">
        <f>SUMIF('caseload data'!$A:$A,"London",'caseload data'!K:K)</f>
        <v>0</v>
      </c>
      <c r="J10" s="177">
        <f>SUMIF('caseload data'!$A:$A,"London",'caseload data'!L:L)</f>
        <v>0</v>
      </c>
      <c r="K10" s="177">
        <f>SUMIF('caseload data'!$A:$A,"London",'caseload data'!M:M)</f>
        <v>0</v>
      </c>
      <c r="L10" s="177">
        <f>SUMIF('caseload data'!$A:$A,"London",'caseload data'!N:N)</f>
        <v>0</v>
      </c>
      <c r="M10" s="177">
        <f>SUMIF('caseload data'!$A:$A,"London",'caseload data'!O:O)</f>
        <v>0</v>
      </c>
      <c r="N10" s="177">
        <f>SUMIF('caseload data'!$A:$A,"London",'caseload data'!P:P)</f>
        <v>0</v>
      </c>
      <c r="O10" s="177">
        <f>SUMIF('caseload data'!$A:$A,"London",'caseload data'!Q:Q)</f>
        <v>0</v>
      </c>
      <c r="P10" s="177">
        <f>SUMIF('caseload data'!$A:$A,"London",'caseload data'!R:R)</f>
        <v>0</v>
      </c>
      <c r="Q10" s="177">
        <f>SUMIF('caseload data'!$A:$A,"London",'caseload data'!S:S)</f>
        <v>0</v>
      </c>
      <c r="R10" s="177">
        <f>SUMIF('caseload data'!$A:$A,"London",'caseload data'!T:T)</f>
        <v>0</v>
      </c>
      <c r="S10" s="177">
        <f>SUMIF('caseload data'!A:A,"London",'caseload data'!V:V)</f>
        <v>0</v>
      </c>
      <c r="T10" s="95"/>
      <c r="U10" s="181" t="s">
        <v>376</v>
      </c>
      <c r="V10" s="97" t="e">
        <f>C10/$S$10</f>
        <v>#DIV/0!</v>
      </c>
      <c r="W10" s="97" t="e">
        <f t="shared" ref="W10:AC10" si="23">D10/$S$10</f>
        <v>#DIV/0!</v>
      </c>
      <c r="X10" s="97" t="e">
        <f t="shared" si="23"/>
        <v>#DIV/0!</v>
      </c>
      <c r="Y10" s="97" t="e">
        <f t="shared" si="23"/>
        <v>#DIV/0!</v>
      </c>
      <c r="Z10" s="97" t="e">
        <f t="shared" si="23"/>
        <v>#DIV/0!</v>
      </c>
      <c r="AA10" s="97" t="e">
        <f t="shared" si="23"/>
        <v>#DIV/0!</v>
      </c>
      <c r="AB10" s="97" t="e">
        <f t="shared" si="23"/>
        <v>#DIV/0!</v>
      </c>
      <c r="AC10" s="97" t="e">
        <f t="shared" si="23"/>
        <v>#DIV/0!</v>
      </c>
      <c r="AD10" s="97" t="e">
        <f t="shared" ref="AD10" si="24">K10/$S$10</f>
        <v>#DIV/0!</v>
      </c>
      <c r="AE10" s="97" t="e">
        <f t="shared" ref="AE10" si="25">L10/$S$10</f>
        <v>#DIV/0!</v>
      </c>
      <c r="AF10" s="97" t="e">
        <f t="shared" ref="AF10" si="26">M10/$S$10</f>
        <v>#DIV/0!</v>
      </c>
      <c r="AG10" s="97" t="e">
        <f t="shared" ref="AG10" si="27">N10/$S$10</f>
        <v>#DIV/0!</v>
      </c>
      <c r="AH10" s="97" t="e">
        <f t="shared" ref="AH10" si="28">O10/$S$10</f>
        <v>#DIV/0!</v>
      </c>
      <c r="AI10" s="97" t="e">
        <f t="shared" ref="AI10:AJ10" si="29">P10/$S$10</f>
        <v>#DIV/0!</v>
      </c>
      <c r="AJ10" s="97" t="e">
        <f t="shared" si="29"/>
        <v>#DIV/0!</v>
      </c>
      <c r="AK10" s="97" t="e">
        <f t="shared" ref="AK10" si="30">R10/$S$10</f>
        <v>#DIV/0!</v>
      </c>
      <c r="AL10" s="30"/>
      <c r="AM10" s="30"/>
      <c r="AN10" s="30"/>
    </row>
    <row r="11" spans="1:40" x14ac:dyDescent="0.15">
      <c r="A11" s="30"/>
      <c r="B11" s="181" t="s">
        <v>1130</v>
      </c>
      <c r="C11" s="177">
        <f>SUMIF('caseload data'!$A:$A,"North East Region",'caseload data'!E:E)</f>
        <v>0</v>
      </c>
      <c r="D11" s="177">
        <f>SUMIF('caseload data'!$A:$A,"North East Region",'caseload data'!F:F)</f>
        <v>0</v>
      </c>
      <c r="E11" s="177">
        <f>SUMIF('caseload data'!$A:$A,"North East Region",'caseload data'!G:G)</f>
        <v>0</v>
      </c>
      <c r="F11" s="177">
        <f>SUMIF('caseload data'!$A:$A,"North East Region",'caseload data'!H:H)</f>
        <v>0</v>
      </c>
      <c r="G11" s="177">
        <f>SUMIF('caseload data'!$A:$A,"North East Region",'caseload data'!I:I)</f>
        <v>0</v>
      </c>
      <c r="H11" s="177">
        <f>SUMIF('caseload data'!$A:$A,"North East Region",'caseload data'!J:J)</f>
        <v>0</v>
      </c>
      <c r="I11" s="177">
        <f>SUMIF('caseload data'!$A:$A,"North East Region",'caseload data'!K:K)</f>
        <v>0</v>
      </c>
      <c r="J11" s="177">
        <f>SUMIF('caseload data'!$A:$A,"North East Region",'caseload data'!L:L)</f>
        <v>0</v>
      </c>
      <c r="K11" s="177">
        <f>SUMIF('caseload data'!$A:$A,"North East Region",'caseload data'!M:M)</f>
        <v>0</v>
      </c>
      <c r="L11" s="177">
        <f>SUMIF('caseload data'!$A:$A,"North East Region",'caseload data'!N:N)</f>
        <v>0</v>
      </c>
      <c r="M11" s="177">
        <f>SUMIF('caseload data'!$A:$A,"North East Region",'caseload data'!O:O)</f>
        <v>0</v>
      </c>
      <c r="N11" s="177">
        <f>SUMIF('caseload data'!$A:$A,"North East Region",'caseload data'!P:P)</f>
        <v>0</v>
      </c>
      <c r="O11" s="177">
        <f>SUMIF('caseload data'!$A:$A,"North East Region",'caseload data'!Q:Q)</f>
        <v>0</v>
      </c>
      <c r="P11" s="177">
        <f>SUMIF('caseload data'!$A:$A,"North East Region",'caseload data'!R:R)</f>
        <v>0</v>
      </c>
      <c r="Q11" s="177">
        <f>SUMIF('caseload data'!$A:$A,"North East Region",'caseload data'!S:S)</f>
        <v>0</v>
      </c>
      <c r="R11" s="177">
        <f>SUMIF('caseload data'!$A:$A,"North East Region",'caseload data'!T:T)</f>
        <v>0</v>
      </c>
      <c r="S11" s="177">
        <f>SUMIF('caseload data'!A:A,"North East Region",'caseload data'!V:V)</f>
        <v>0</v>
      </c>
      <c r="T11" s="95"/>
      <c r="U11" s="181" t="s">
        <v>1130</v>
      </c>
      <c r="V11" s="97" t="e">
        <f>C11/$S$11</f>
        <v>#DIV/0!</v>
      </c>
      <c r="W11" s="97" t="e">
        <f t="shared" ref="W11:AC11" si="31">D11/$S$11</f>
        <v>#DIV/0!</v>
      </c>
      <c r="X11" s="97" t="e">
        <f t="shared" si="31"/>
        <v>#DIV/0!</v>
      </c>
      <c r="Y11" s="97" t="e">
        <f t="shared" si="31"/>
        <v>#DIV/0!</v>
      </c>
      <c r="Z11" s="97" t="e">
        <f t="shared" si="31"/>
        <v>#DIV/0!</v>
      </c>
      <c r="AA11" s="97" t="e">
        <f t="shared" si="31"/>
        <v>#DIV/0!</v>
      </c>
      <c r="AB11" s="97" t="e">
        <f t="shared" si="31"/>
        <v>#DIV/0!</v>
      </c>
      <c r="AC11" s="97" t="e">
        <f t="shared" si="31"/>
        <v>#DIV/0!</v>
      </c>
      <c r="AD11" s="97" t="e">
        <f t="shared" ref="AD11" si="32">K11/$S$11</f>
        <v>#DIV/0!</v>
      </c>
      <c r="AE11" s="97" t="e">
        <f t="shared" ref="AE11" si="33">L11/$S$11</f>
        <v>#DIV/0!</v>
      </c>
      <c r="AF11" s="97" t="e">
        <f t="shared" ref="AF11" si="34">M11/$S$11</f>
        <v>#DIV/0!</v>
      </c>
      <c r="AG11" s="97" t="e">
        <f t="shared" ref="AG11" si="35">N11/$S$11</f>
        <v>#DIV/0!</v>
      </c>
      <c r="AH11" s="97" t="e">
        <f t="shared" ref="AH11" si="36">O11/$S$11</f>
        <v>#DIV/0!</v>
      </c>
      <c r="AI11" s="97" t="e">
        <f t="shared" ref="AI11:AJ11" si="37">P11/$S$11</f>
        <v>#DIV/0!</v>
      </c>
      <c r="AJ11" s="97" t="e">
        <f t="shared" si="37"/>
        <v>#DIV/0!</v>
      </c>
      <c r="AK11" s="97" t="e">
        <f t="shared" ref="AK11" si="38">R11/$S$11</f>
        <v>#DIV/0!</v>
      </c>
      <c r="AL11" s="30"/>
      <c r="AM11" s="30"/>
      <c r="AN11" s="30"/>
    </row>
    <row r="12" spans="1:40" s="30" customFormat="1" x14ac:dyDescent="0.15">
      <c r="B12" s="181" t="s">
        <v>7</v>
      </c>
      <c r="C12" s="177">
        <f>SUMIF('caseload data'!$A:$A,"NPS North West Region",'caseload data'!E:E)</f>
        <v>0</v>
      </c>
      <c r="D12" s="177">
        <f>SUMIF('caseload data'!$A:$A,"NPS North West Region",'caseload data'!F:F)</f>
        <v>0</v>
      </c>
      <c r="E12" s="177">
        <f>SUMIF('caseload data'!$A:$A,"NPS North West Region",'caseload data'!G:G)</f>
        <v>0</v>
      </c>
      <c r="F12" s="177">
        <f>SUMIF('caseload data'!$A:$A,"NPS North West Region",'caseload data'!H:H)</f>
        <v>0</v>
      </c>
      <c r="G12" s="177">
        <f>SUMIF('caseload data'!$A:$A,"NPS North West Region",'caseload data'!I:I)</f>
        <v>0</v>
      </c>
      <c r="H12" s="177">
        <f>SUMIF('caseload data'!$A:$A,"NPS North West Region",'caseload data'!J:J)</f>
        <v>0</v>
      </c>
      <c r="I12" s="177">
        <f>SUMIF('caseload data'!$A:$A,"NPS North West Region",'caseload data'!K:K)</f>
        <v>0</v>
      </c>
      <c r="J12" s="177">
        <f>SUMIF('caseload data'!$A:$A,"NPS North West Region",'caseload data'!L:L)</f>
        <v>0</v>
      </c>
      <c r="K12" s="177">
        <f>SUMIF('caseload data'!$A:$A,"NPS North West Region",'caseload data'!M:M)</f>
        <v>0</v>
      </c>
      <c r="L12" s="177">
        <f>SUMIF('caseload data'!$A:$A,"NPS North West Region",'caseload data'!N:N)</f>
        <v>0</v>
      </c>
      <c r="M12" s="177">
        <f>SUMIF('caseload data'!$A:$A,"NPS North West Region",'caseload data'!O:O)</f>
        <v>0</v>
      </c>
      <c r="N12" s="177">
        <f>SUMIF('caseload data'!$A:$A,"NPS North West Region",'caseload data'!P:P)</f>
        <v>0</v>
      </c>
      <c r="O12" s="177">
        <f>SUMIF('caseload data'!$A:$A,"NPS North West Region",'caseload data'!Q:Q)</f>
        <v>0</v>
      </c>
      <c r="P12" s="177">
        <f>SUMIF('caseload data'!$A:$A,"NPS North West Region",'caseload data'!R:R)</f>
        <v>0</v>
      </c>
      <c r="Q12" s="177">
        <f>SUMIF('caseload data'!$A:$A,"NPS North West Region",'caseload data'!S:S)</f>
        <v>0</v>
      </c>
      <c r="R12" s="177">
        <f>SUMIF('caseload data'!$A:$A,"NPS North West Region",'caseload data'!T:T)</f>
        <v>0</v>
      </c>
      <c r="S12" s="177">
        <f>SUMIF('caseload data'!A:A,"NPS North West Region",'caseload data'!V:V)</f>
        <v>0</v>
      </c>
      <c r="T12" s="95"/>
      <c r="U12" s="181" t="s">
        <v>7</v>
      </c>
      <c r="V12" s="97" t="e">
        <f>C12/$S$12</f>
        <v>#DIV/0!</v>
      </c>
      <c r="W12" s="97" t="e">
        <f t="shared" ref="W12:AC12" si="39">D12/$S$12</f>
        <v>#DIV/0!</v>
      </c>
      <c r="X12" s="97" t="e">
        <f t="shared" si="39"/>
        <v>#DIV/0!</v>
      </c>
      <c r="Y12" s="97" t="e">
        <f t="shared" si="39"/>
        <v>#DIV/0!</v>
      </c>
      <c r="Z12" s="97" t="e">
        <f t="shared" si="39"/>
        <v>#DIV/0!</v>
      </c>
      <c r="AA12" s="97" t="e">
        <f t="shared" si="39"/>
        <v>#DIV/0!</v>
      </c>
      <c r="AB12" s="97" t="e">
        <f t="shared" si="39"/>
        <v>#DIV/0!</v>
      </c>
      <c r="AC12" s="97" t="e">
        <f t="shared" si="39"/>
        <v>#DIV/0!</v>
      </c>
      <c r="AD12" s="97" t="e">
        <f t="shared" ref="AD12" si="40">K12/$S$12</f>
        <v>#DIV/0!</v>
      </c>
      <c r="AE12" s="97" t="e">
        <f t="shared" ref="AE12" si="41">L12/$S$12</f>
        <v>#DIV/0!</v>
      </c>
      <c r="AF12" s="97" t="e">
        <f t="shared" ref="AF12" si="42">M12/$S$12</f>
        <v>#DIV/0!</v>
      </c>
      <c r="AG12" s="97" t="e">
        <f t="shared" ref="AG12" si="43">N12/$S$12</f>
        <v>#DIV/0!</v>
      </c>
      <c r="AH12" s="97" t="e">
        <f t="shared" ref="AH12" si="44">O12/$S$12</f>
        <v>#DIV/0!</v>
      </c>
      <c r="AI12" s="97" t="e">
        <f t="shared" ref="AI12:AJ12" si="45">P12/$S$12</f>
        <v>#DIV/0!</v>
      </c>
      <c r="AJ12" s="97" t="e">
        <f t="shared" si="45"/>
        <v>#DIV/0!</v>
      </c>
      <c r="AK12" s="97" t="e">
        <f t="shared" ref="AK12" si="46">R12/$S$12</f>
        <v>#DIV/0!</v>
      </c>
    </row>
    <row r="13" spans="1:40" s="30" customFormat="1" x14ac:dyDescent="0.15">
      <c r="B13" s="181" t="s">
        <v>1132</v>
      </c>
      <c r="C13" s="177">
        <f>SUMIF('caseload data'!$A:$A,"South Central",'caseload data'!E:E)</f>
        <v>0</v>
      </c>
      <c r="D13" s="177">
        <f>SUMIF('caseload data'!$A:$A,"South Central",'caseload data'!F:F)</f>
        <v>0</v>
      </c>
      <c r="E13" s="177">
        <f>SUMIF('caseload data'!$A:$A,"South Central",'caseload data'!G:G)</f>
        <v>0</v>
      </c>
      <c r="F13" s="177">
        <f>SUMIF('caseload data'!$A:$A,"South Central",'caseload data'!H:H)</f>
        <v>0</v>
      </c>
      <c r="G13" s="177">
        <f>SUMIF('caseload data'!$A:$A,"South Central",'caseload data'!I:I)</f>
        <v>0</v>
      </c>
      <c r="H13" s="177">
        <f>SUMIF('caseload data'!$A:$A,"South Central",'caseload data'!J:J)</f>
        <v>0</v>
      </c>
      <c r="I13" s="177">
        <f>SUMIF('caseload data'!$A:$A,"South Central",'caseload data'!K:K)</f>
        <v>0</v>
      </c>
      <c r="J13" s="177">
        <f>SUMIF('caseload data'!$A:$A,"South Central",'caseload data'!L:L)</f>
        <v>0</v>
      </c>
      <c r="K13" s="177">
        <f>SUMIF('caseload data'!$A:$A,"South Central",'caseload data'!M:M)</f>
        <v>0</v>
      </c>
      <c r="L13" s="177">
        <f>SUMIF('caseload data'!$A:$A,"South Central",'caseload data'!N:N)</f>
        <v>0</v>
      </c>
      <c r="M13" s="177">
        <f>SUMIF('caseload data'!$A:$A,"South Central",'caseload data'!O:O)</f>
        <v>0</v>
      </c>
      <c r="N13" s="177">
        <f>SUMIF('caseload data'!$A:$A,"South Central",'caseload data'!P:P)</f>
        <v>0</v>
      </c>
      <c r="O13" s="177">
        <f>SUMIF('caseload data'!$A:$A,"South Central",'caseload data'!Q:Q)</f>
        <v>0</v>
      </c>
      <c r="P13" s="177">
        <f>SUMIF('caseload data'!$A:$A,"South Central",'caseload data'!R:R)</f>
        <v>0</v>
      </c>
      <c r="Q13" s="177">
        <f>SUMIF('caseload data'!$A:$A,"South Central",'caseload data'!S:S)</f>
        <v>0</v>
      </c>
      <c r="R13" s="177">
        <f>SUMIF('caseload data'!$A:$A,"South Central",'caseload data'!T:T)</f>
        <v>0</v>
      </c>
      <c r="S13" s="177">
        <f>SUMIF('caseload data'!A:A,"South Central",'caseload data'!V:V)</f>
        <v>0</v>
      </c>
      <c r="T13" s="95"/>
      <c r="U13" s="181" t="s">
        <v>1132</v>
      </c>
      <c r="V13" s="97" t="e">
        <f t="shared" ref="V13:AK13" si="47">C13/$S$13</f>
        <v>#DIV/0!</v>
      </c>
      <c r="W13" s="97" t="e">
        <f t="shared" si="47"/>
        <v>#DIV/0!</v>
      </c>
      <c r="X13" s="97" t="e">
        <f t="shared" si="47"/>
        <v>#DIV/0!</v>
      </c>
      <c r="Y13" s="97" t="e">
        <f t="shared" si="47"/>
        <v>#DIV/0!</v>
      </c>
      <c r="Z13" s="97" t="e">
        <f t="shared" si="47"/>
        <v>#DIV/0!</v>
      </c>
      <c r="AA13" s="97" t="e">
        <f t="shared" si="47"/>
        <v>#DIV/0!</v>
      </c>
      <c r="AB13" s="97" t="e">
        <f t="shared" si="47"/>
        <v>#DIV/0!</v>
      </c>
      <c r="AC13" s="97" t="e">
        <f t="shared" si="47"/>
        <v>#DIV/0!</v>
      </c>
      <c r="AD13" s="97" t="e">
        <f t="shared" si="47"/>
        <v>#DIV/0!</v>
      </c>
      <c r="AE13" s="97" t="e">
        <f t="shared" si="47"/>
        <v>#DIV/0!</v>
      </c>
      <c r="AF13" s="97" t="e">
        <f t="shared" si="47"/>
        <v>#DIV/0!</v>
      </c>
      <c r="AG13" s="97" t="e">
        <f t="shared" si="47"/>
        <v>#DIV/0!</v>
      </c>
      <c r="AH13" s="97" t="e">
        <f t="shared" si="47"/>
        <v>#DIV/0!</v>
      </c>
      <c r="AI13" s="97" t="e">
        <f t="shared" si="47"/>
        <v>#DIV/0!</v>
      </c>
      <c r="AJ13" s="97" t="e">
        <f t="shared" si="47"/>
        <v>#DIV/0!</v>
      </c>
      <c r="AK13" s="97" t="e">
        <f t="shared" si="47"/>
        <v>#DIV/0!</v>
      </c>
    </row>
    <row r="14" spans="1:40" s="30" customFormat="1" x14ac:dyDescent="0.15">
      <c r="B14" s="181" t="s">
        <v>1217</v>
      </c>
      <c r="C14" s="177">
        <f>SUMIF('caseload data'!$A:$A,"South West",'caseload data'!E:E)</f>
        <v>0</v>
      </c>
      <c r="D14" s="177">
        <f>SUMIF('caseload data'!$A:$A,"South West",'caseload data'!F:F)</f>
        <v>0</v>
      </c>
      <c r="E14" s="177">
        <f>SUMIF('caseload data'!$A:$A,"South West",'caseload data'!G:G)</f>
        <v>0</v>
      </c>
      <c r="F14" s="177">
        <f>SUMIF('caseload data'!$A:$A,"South West",'caseload data'!H:H)</f>
        <v>0</v>
      </c>
      <c r="G14" s="177">
        <f>SUMIF('caseload data'!$A:$A,"South West",'caseload data'!I:I)</f>
        <v>0</v>
      </c>
      <c r="H14" s="177">
        <f>SUMIF('caseload data'!$A:$A,"South West",'caseload data'!J:J)</f>
        <v>0</v>
      </c>
      <c r="I14" s="177">
        <f>SUMIF('caseload data'!$A:$A,"South West",'caseload data'!K:K)</f>
        <v>0</v>
      </c>
      <c r="J14" s="177">
        <f>SUMIF('caseload data'!$A:$A,"South West",'caseload data'!L:L)</f>
        <v>0</v>
      </c>
      <c r="K14" s="177">
        <f>SUMIF('caseload data'!$A:$A,"South West",'caseload data'!M:M)</f>
        <v>0</v>
      </c>
      <c r="L14" s="177">
        <f>SUMIF('caseload data'!$A:$A,"South West",'caseload data'!N:N)</f>
        <v>0</v>
      </c>
      <c r="M14" s="177">
        <f>SUMIF('caseload data'!$A:$A,"South West",'caseload data'!O:O)</f>
        <v>0</v>
      </c>
      <c r="N14" s="177">
        <f>SUMIF('caseload data'!$A:$A,"South West",'caseload data'!P:P)</f>
        <v>0</v>
      </c>
      <c r="O14" s="177">
        <f>SUMIF('caseload data'!$A:$A,"South West",'caseload data'!Q:Q)</f>
        <v>0</v>
      </c>
      <c r="P14" s="177">
        <f>SUMIF('caseload data'!$A:$A,"South West",'caseload data'!R:R)</f>
        <v>0</v>
      </c>
      <c r="Q14" s="177">
        <f>SUMIF('caseload data'!$A:$A,"South West",'caseload data'!S:S)</f>
        <v>0</v>
      </c>
      <c r="R14" s="177">
        <f>SUMIF('caseload data'!$A:$A,"South West",'caseload data'!T:T)</f>
        <v>0</v>
      </c>
      <c r="S14" s="177">
        <f>SUMIF('caseload data'!A:A,"South West",'caseload data'!V:V)</f>
        <v>0</v>
      </c>
      <c r="T14" s="95"/>
      <c r="U14" s="181" t="s">
        <v>1217</v>
      </c>
      <c r="V14" s="97" t="e">
        <f>C14/$S$14</f>
        <v>#DIV/0!</v>
      </c>
      <c r="W14" s="97" t="e">
        <f t="shared" ref="W14:AC14" si="48">D14/$S$14</f>
        <v>#DIV/0!</v>
      </c>
      <c r="X14" s="97" t="e">
        <f t="shared" si="48"/>
        <v>#DIV/0!</v>
      </c>
      <c r="Y14" s="97" t="e">
        <f t="shared" si="48"/>
        <v>#DIV/0!</v>
      </c>
      <c r="Z14" s="97" t="e">
        <f t="shared" si="48"/>
        <v>#DIV/0!</v>
      </c>
      <c r="AA14" s="97" t="e">
        <f t="shared" si="48"/>
        <v>#DIV/0!</v>
      </c>
      <c r="AB14" s="97" t="e">
        <f t="shared" si="48"/>
        <v>#DIV/0!</v>
      </c>
      <c r="AC14" s="97" t="e">
        <f t="shared" si="48"/>
        <v>#DIV/0!</v>
      </c>
      <c r="AD14" s="97" t="e">
        <f t="shared" ref="AD14" si="49">K14/$S$14</f>
        <v>#DIV/0!</v>
      </c>
      <c r="AE14" s="97" t="e">
        <f t="shared" ref="AE14" si="50">L14/$S$14</f>
        <v>#DIV/0!</v>
      </c>
      <c r="AF14" s="97" t="e">
        <f t="shared" ref="AF14" si="51">M14/$S$14</f>
        <v>#DIV/0!</v>
      </c>
      <c r="AG14" s="97" t="e">
        <f t="shared" ref="AG14" si="52">N14/$S$14</f>
        <v>#DIV/0!</v>
      </c>
      <c r="AH14" s="97" t="e">
        <f t="shared" ref="AH14" si="53">O14/$S$14</f>
        <v>#DIV/0!</v>
      </c>
      <c r="AI14" s="97" t="e">
        <f t="shared" ref="AI14:AJ14" si="54">P14/$S$14</f>
        <v>#DIV/0!</v>
      </c>
      <c r="AJ14" s="97" t="e">
        <f t="shared" si="54"/>
        <v>#DIV/0!</v>
      </c>
      <c r="AK14" s="97" t="e">
        <f t="shared" ref="AK14" si="55">R14/$S$14</f>
        <v>#DIV/0!</v>
      </c>
    </row>
    <row r="15" spans="1:40" s="30" customFormat="1" x14ac:dyDescent="0.15">
      <c r="B15" s="181" t="s">
        <v>382</v>
      </c>
      <c r="C15" s="177">
        <f>SUMIF('caseload data'!$A:$A,"Wales",'caseload data'!E:E)</f>
        <v>0</v>
      </c>
      <c r="D15" s="177">
        <f>SUMIF('caseload data'!$A:$A,"Wales",'caseload data'!F:F)</f>
        <v>0</v>
      </c>
      <c r="E15" s="177">
        <f>SUMIF('caseload data'!$A:$A,"Wales",'caseload data'!G:G)</f>
        <v>0</v>
      </c>
      <c r="F15" s="177">
        <f>SUMIF('caseload data'!$A:$A,"Wales",'caseload data'!H:H)</f>
        <v>0</v>
      </c>
      <c r="G15" s="177">
        <f>SUMIF('caseload data'!$A:$A,"Wales",'caseload data'!I:I)</f>
        <v>0</v>
      </c>
      <c r="H15" s="177">
        <f>SUMIF('caseload data'!$A:$A,"Wales",'caseload data'!J:J)</f>
        <v>0</v>
      </c>
      <c r="I15" s="177">
        <f>SUMIF('caseload data'!$A:$A,"Wales",'caseload data'!K:K)</f>
        <v>0</v>
      </c>
      <c r="J15" s="177">
        <f>SUMIF('caseload data'!$A:$A,"Wales",'caseload data'!L:L)</f>
        <v>0</v>
      </c>
      <c r="K15" s="177">
        <f>SUMIF('caseload data'!$A:$A,"Wales",'caseload data'!M:M)</f>
        <v>0</v>
      </c>
      <c r="L15" s="177">
        <f>SUMIF('caseload data'!$A:$A,"Wales",'caseload data'!N:N)</f>
        <v>0</v>
      </c>
      <c r="M15" s="177">
        <f>SUMIF('caseload data'!$A:$A,"Wales",'caseload data'!O:O)</f>
        <v>0</v>
      </c>
      <c r="N15" s="177">
        <f>SUMIF('caseload data'!$A:$A,"Wales",'caseload data'!P:P)</f>
        <v>0</v>
      </c>
      <c r="O15" s="177">
        <f>SUMIF('caseload data'!$A:$A,"Wales",'caseload data'!Q:Q)</f>
        <v>0</v>
      </c>
      <c r="P15" s="177">
        <f>SUMIF('caseload data'!$A:$A,"Wales",'caseload data'!R:R)</f>
        <v>0</v>
      </c>
      <c r="Q15" s="177">
        <f>SUMIF('caseload data'!$A:$A,"Wales",'caseload data'!S:S)</f>
        <v>0</v>
      </c>
      <c r="R15" s="177">
        <f>SUMIF('caseload data'!$A:$A,"Wales",'caseload data'!T:T)</f>
        <v>0</v>
      </c>
      <c r="S15" s="177">
        <f>SUMIF('caseload data'!A:A,"Wales",'caseload data'!V:V)</f>
        <v>0</v>
      </c>
      <c r="T15" s="95"/>
      <c r="U15" s="181" t="s">
        <v>382</v>
      </c>
      <c r="V15" s="97" t="e">
        <f>C15/$S$15</f>
        <v>#DIV/0!</v>
      </c>
      <c r="W15" s="97" t="e">
        <f t="shared" ref="W15:AC15" si="56">D15/$S$15</f>
        <v>#DIV/0!</v>
      </c>
      <c r="X15" s="97" t="e">
        <f t="shared" si="56"/>
        <v>#DIV/0!</v>
      </c>
      <c r="Y15" s="97" t="e">
        <f t="shared" si="56"/>
        <v>#DIV/0!</v>
      </c>
      <c r="Z15" s="97" t="e">
        <f t="shared" si="56"/>
        <v>#DIV/0!</v>
      </c>
      <c r="AA15" s="97" t="e">
        <f t="shared" si="56"/>
        <v>#DIV/0!</v>
      </c>
      <c r="AB15" s="97" t="e">
        <f t="shared" si="56"/>
        <v>#DIV/0!</v>
      </c>
      <c r="AC15" s="97" t="e">
        <f t="shared" si="56"/>
        <v>#DIV/0!</v>
      </c>
      <c r="AD15" s="97" t="e">
        <f t="shared" ref="AD15" si="57">K15/$S$15</f>
        <v>#DIV/0!</v>
      </c>
      <c r="AE15" s="97" t="e">
        <f t="shared" ref="AE15" si="58">L15/$S$15</f>
        <v>#DIV/0!</v>
      </c>
      <c r="AF15" s="97" t="e">
        <f t="shared" ref="AF15" si="59">M15/$S$15</f>
        <v>#DIV/0!</v>
      </c>
      <c r="AG15" s="97" t="e">
        <f t="shared" ref="AG15" si="60">N15/$S$15</f>
        <v>#DIV/0!</v>
      </c>
      <c r="AH15" s="97" t="e">
        <f t="shared" ref="AH15" si="61">O15/$S$15</f>
        <v>#DIV/0!</v>
      </c>
      <c r="AI15" s="97" t="e">
        <f t="shared" ref="AI15:AJ15" si="62">P15/$S$15</f>
        <v>#DIV/0!</v>
      </c>
      <c r="AJ15" s="97" t="e">
        <f t="shared" si="62"/>
        <v>#DIV/0!</v>
      </c>
      <c r="AK15" s="97" t="e">
        <f t="shared" ref="AK15" si="63">R15/$S$15</f>
        <v>#DIV/0!</v>
      </c>
    </row>
    <row r="16" spans="1:40" s="30" customFormat="1" x14ac:dyDescent="0.15">
      <c r="B16" s="181" t="s">
        <v>8</v>
      </c>
      <c r="C16" s="177">
        <f>SUMIF('caseload data'!$A:$A,"NPS West Midlands Region",'caseload data'!E:E)</f>
        <v>0</v>
      </c>
      <c r="D16" s="177">
        <f>SUMIF('caseload data'!$A:$A,"NPS West Midlands Region",'caseload data'!F:F)</f>
        <v>0</v>
      </c>
      <c r="E16" s="177">
        <f>SUMIF('caseload data'!$A:$A,"NPS West Midlands Region",'caseload data'!G:G)</f>
        <v>0</v>
      </c>
      <c r="F16" s="177">
        <f>SUMIF('caseload data'!$A:$A,"NPS West Midlands Region",'caseload data'!H:H)</f>
        <v>0</v>
      </c>
      <c r="G16" s="177">
        <f>SUMIF('caseload data'!$A:$A,"NPS West Midlands Region",'caseload data'!I:I)</f>
        <v>0</v>
      </c>
      <c r="H16" s="177">
        <f>SUMIF('caseload data'!$A:$A,"NPS West Midlands Region",'caseload data'!J:J)</f>
        <v>0</v>
      </c>
      <c r="I16" s="177">
        <f>SUMIF('caseload data'!$A:$A,"NPS West Midlands Region",'caseload data'!K:K)</f>
        <v>0</v>
      </c>
      <c r="J16" s="177">
        <f>SUMIF('caseload data'!$A:$A,"NPS West Midlands Region",'caseload data'!L:L)</f>
        <v>0</v>
      </c>
      <c r="K16" s="177">
        <f>SUMIF('caseload data'!$A:$A,"NPS West Midlands Region",'caseload data'!M:M)</f>
        <v>0</v>
      </c>
      <c r="L16" s="177">
        <f>SUMIF('caseload data'!$A:$A,"NPS West Midlands Region",'caseload data'!N:N)</f>
        <v>0</v>
      </c>
      <c r="M16" s="177">
        <f>SUMIF('caseload data'!$A:$A,"NPS West Midlands Region",'caseload data'!O:O)</f>
        <v>0</v>
      </c>
      <c r="N16" s="177">
        <f>SUMIF('caseload data'!$A:$A,"NPS West Midlands Region",'caseload data'!P:P)</f>
        <v>0</v>
      </c>
      <c r="O16" s="177">
        <f>SUMIF('caseload data'!$A:$A,"NPS West Midlands Region",'caseload data'!Q:Q)</f>
        <v>0</v>
      </c>
      <c r="P16" s="177">
        <f>SUMIF('caseload data'!$A:$A,"NPS West Midlands Region",'caseload data'!R:R)</f>
        <v>0</v>
      </c>
      <c r="Q16" s="177">
        <f>SUMIF('caseload data'!$A:$A,"NPS West Midlands Region",'caseload data'!S:S)</f>
        <v>0</v>
      </c>
      <c r="R16" s="177">
        <f>SUMIF('caseload data'!$A:$A,"NPS West Midlands Region",'caseload data'!T:T)</f>
        <v>0</v>
      </c>
      <c r="S16" s="177">
        <f>SUMIF('caseload data'!A:A,"NPS West Midlands Region",'caseload data'!V:V)</f>
        <v>0</v>
      </c>
      <c r="T16" s="95"/>
      <c r="U16" s="181" t="s">
        <v>8</v>
      </c>
      <c r="V16" s="97" t="e">
        <f>C16/$S$16</f>
        <v>#DIV/0!</v>
      </c>
      <c r="W16" s="97" t="e">
        <f t="shared" ref="W16:AC16" si="64">D16/$S$16</f>
        <v>#DIV/0!</v>
      </c>
      <c r="X16" s="97" t="e">
        <f t="shared" si="64"/>
        <v>#DIV/0!</v>
      </c>
      <c r="Y16" s="97" t="e">
        <f t="shared" si="64"/>
        <v>#DIV/0!</v>
      </c>
      <c r="Z16" s="97" t="e">
        <f t="shared" si="64"/>
        <v>#DIV/0!</v>
      </c>
      <c r="AA16" s="97" t="e">
        <f t="shared" si="64"/>
        <v>#DIV/0!</v>
      </c>
      <c r="AB16" s="97" t="e">
        <f t="shared" si="64"/>
        <v>#DIV/0!</v>
      </c>
      <c r="AC16" s="97" t="e">
        <f t="shared" si="64"/>
        <v>#DIV/0!</v>
      </c>
      <c r="AD16" s="97" t="e">
        <f t="shared" ref="AD16" si="65">K16/$S$16</f>
        <v>#DIV/0!</v>
      </c>
      <c r="AE16" s="97" t="e">
        <f t="shared" ref="AE16" si="66">L16/$S$16</f>
        <v>#DIV/0!</v>
      </c>
      <c r="AF16" s="97" t="e">
        <f t="shared" ref="AF16" si="67">M16/$S$16</f>
        <v>#DIV/0!</v>
      </c>
      <c r="AG16" s="97" t="e">
        <f t="shared" ref="AG16" si="68">N16/$S$16</f>
        <v>#DIV/0!</v>
      </c>
      <c r="AH16" s="97" t="e">
        <f t="shared" ref="AH16" si="69">O16/$S$16</f>
        <v>#DIV/0!</v>
      </c>
      <c r="AI16" s="97" t="e">
        <f t="shared" ref="AI16:AJ16" si="70">P16/$S$16</f>
        <v>#DIV/0!</v>
      </c>
      <c r="AJ16" s="97" t="e">
        <f t="shared" si="70"/>
        <v>#DIV/0!</v>
      </c>
      <c r="AK16" s="97" t="e">
        <f t="shared" ref="AK16" si="71">R16/$S$16</f>
        <v>#DIV/0!</v>
      </c>
    </row>
    <row r="17" spans="2:38" x14ac:dyDescent="0.15">
      <c r="B17" s="181" t="s">
        <v>9</v>
      </c>
      <c r="C17" s="177">
        <f>SUMIF('caseload data'!$A:$A,"NPS Yorkshire and The Humber",'caseload data'!E:E)</f>
        <v>0</v>
      </c>
      <c r="D17" s="177">
        <f>SUMIF('caseload data'!$A:$A,"NPS Yorkshire and The Humber",'caseload data'!F:F)</f>
        <v>0</v>
      </c>
      <c r="E17" s="177">
        <f>SUMIF('caseload data'!$A:$A,"NPS Yorkshire and The Humber",'caseload data'!G:G)</f>
        <v>0</v>
      </c>
      <c r="F17" s="177">
        <f>SUMIF('caseload data'!$A:$A,"NPS Yorkshire and The Humber",'caseload data'!H:H)</f>
        <v>0</v>
      </c>
      <c r="G17" s="177">
        <f>SUMIF('caseload data'!$A:$A,"NPS Yorkshire and The Humber",'caseload data'!I:I)</f>
        <v>0</v>
      </c>
      <c r="H17" s="177">
        <f>SUMIF('caseload data'!$A:$A,"NPS Yorkshire and The Humber",'caseload data'!J:J)</f>
        <v>0</v>
      </c>
      <c r="I17" s="177">
        <f>SUMIF('caseload data'!$A:$A,"NPS Yorkshire and The Humber",'caseload data'!K:K)</f>
        <v>0</v>
      </c>
      <c r="J17" s="177">
        <f>SUMIF('caseload data'!$A:$A,"NPS Yorkshire and The Humber",'caseload data'!L:L)</f>
        <v>0</v>
      </c>
      <c r="K17" s="177">
        <f>SUMIF('caseload data'!$A:$A,"NPS Yorkshire and The Humber",'caseload data'!M:M)</f>
        <v>0</v>
      </c>
      <c r="L17" s="177">
        <f>SUMIF('caseload data'!$A:$A,"NPS Yorkshire and The Humber",'caseload data'!N:N)</f>
        <v>0</v>
      </c>
      <c r="M17" s="177">
        <f>SUMIF('caseload data'!$A:$A,"NPS Yorkshire and The Humber",'caseload data'!O:O)</f>
        <v>0</v>
      </c>
      <c r="N17" s="177">
        <f>SUMIF('caseload data'!$A:$A,"NPS Yorkshire and The Humber",'caseload data'!P:P)</f>
        <v>0</v>
      </c>
      <c r="O17" s="177">
        <f>SUMIF('caseload data'!$A:$A,"NPS Yorkshire and The Humber",'caseload data'!Q:Q)</f>
        <v>0</v>
      </c>
      <c r="P17" s="177">
        <f>SUMIF('caseload data'!$A:$A,"NPS Yorkshire and The Humber",'caseload data'!R:R)</f>
        <v>0</v>
      </c>
      <c r="Q17" s="177">
        <f>SUMIF('caseload data'!$A:$A,"NPS Yorkshire and The Humber",'caseload data'!S:S)</f>
        <v>0</v>
      </c>
      <c r="R17" s="177">
        <f>SUMIF('caseload data'!$A:$A,"NPS Yorkshire and The Humber",'caseload data'!T:T)</f>
        <v>0</v>
      </c>
      <c r="S17" s="177">
        <f>SUMIF('caseload data'!A:A,"NPS Yorkshire and The Humber",'caseload data'!V:V)</f>
        <v>0</v>
      </c>
      <c r="T17" s="95"/>
      <c r="U17" s="181" t="s">
        <v>9</v>
      </c>
      <c r="V17" s="97" t="e">
        <f>C17/$S$17</f>
        <v>#DIV/0!</v>
      </c>
      <c r="W17" s="97" t="e">
        <f t="shared" ref="W17:AC17" si="72">D17/$S$17</f>
        <v>#DIV/0!</v>
      </c>
      <c r="X17" s="97" t="e">
        <f t="shared" si="72"/>
        <v>#DIV/0!</v>
      </c>
      <c r="Y17" s="97" t="e">
        <f t="shared" si="72"/>
        <v>#DIV/0!</v>
      </c>
      <c r="Z17" s="97" t="e">
        <f t="shared" si="72"/>
        <v>#DIV/0!</v>
      </c>
      <c r="AA17" s="97" t="e">
        <f t="shared" si="72"/>
        <v>#DIV/0!</v>
      </c>
      <c r="AB17" s="97" t="e">
        <f t="shared" si="72"/>
        <v>#DIV/0!</v>
      </c>
      <c r="AC17" s="97" t="e">
        <f t="shared" si="72"/>
        <v>#DIV/0!</v>
      </c>
      <c r="AD17" s="97" t="e">
        <f t="shared" ref="AD17" si="73">K17/$S$17</f>
        <v>#DIV/0!</v>
      </c>
      <c r="AE17" s="97" t="e">
        <f t="shared" ref="AE17" si="74">L17/$S$17</f>
        <v>#DIV/0!</v>
      </c>
      <c r="AF17" s="97" t="e">
        <f t="shared" ref="AF17" si="75">M17/$S$17</f>
        <v>#DIV/0!</v>
      </c>
      <c r="AG17" s="97" t="e">
        <f t="shared" ref="AG17" si="76">N17/$S$17</f>
        <v>#DIV/0!</v>
      </c>
      <c r="AH17" s="97" t="e">
        <f t="shared" ref="AH17" si="77">O17/$S$17</f>
        <v>#DIV/0!</v>
      </c>
      <c r="AI17" s="97" t="e">
        <f t="shared" ref="AI17:AJ17" si="78">P17/$S$17</f>
        <v>#DIV/0!</v>
      </c>
      <c r="AJ17" s="97" t="e">
        <f t="shared" si="78"/>
        <v>#DIV/0!</v>
      </c>
      <c r="AK17" s="97" t="e">
        <f t="shared" ref="AK17" si="79">R17/$S$17</f>
        <v>#DIV/0!</v>
      </c>
      <c r="AL17" s="30"/>
    </row>
    <row r="18" spans="2:38" s="30" customFormat="1" x14ac:dyDescent="0.15">
      <c r="B18" s="181" t="s">
        <v>514</v>
      </c>
      <c r="C18" s="177">
        <f>SUMIF('caseload data'!$A:$A,$B$18,'caseload data'!E:E)</f>
        <v>0</v>
      </c>
      <c r="D18" s="177">
        <f>SUMIF('caseload data'!$A:$A,$B$18,'caseload data'!F:F)</f>
        <v>0</v>
      </c>
      <c r="E18" s="177">
        <f>SUMIF('caseload data'!$A:$A,$B$18,'caseload data'!G:G)</f>
        <v>0</v>
      </c>
      <c r="F18" s="177">
        <f>SUMIF('caseload data'!$A:$A,$B$18,'caseload data'!H:H)</f>
        <v>0</v>
      </c>
      <c r="G18" s="177">
        <f>SUMIF('caseload data'!$A:$A,$B$18,'caseload data'!I:I)</f>
        <v>0</v>
      </c>
      <c r="H18" s="177">
        <f>SUMIF('caseload data'!$A:$A,$B$18,'caseload data'!J:J)</f>
        <v>0</v>
      </c>
      <c r="I18" s="177">
        <f>SUMIF('caseload data'!$A:$A,$B$18,'caseload data'!K:K)</f>
        <v>0</v>
      </c>
      <c r="J18" s="177">
        <f>SUMIF('caseload data'!$A:$A,$B$18,'caseload data'!L:L)</f>
        <v>0</v>
      </c>
      <c r="K18" s="177">
        <f>SUMIF('caseload data'!$A:$A,$B$18,'caseload data'!M:M)</f>
        <v>0</v>
      </c>
      <c r="L18" s="177">
        <f>SUMIF('caseload data'!$A:$A,$B$18,'caseload data'!N:N)</f>
        <v>0</v>
      </c>
      <c r="M18" s="177">
        <f>SUMIF('caseload data'!$A:$A,$B$18,'caseload data'!O:O)</f>
        <v>0</v>
      </c>
      <c r="N18" s="177">
        <f>SUMIF('caseload data'!$A:$A,$B$18,'caseload data'!P:P)</f>
        <v>0</v>
      </c>
      <c r="O18" s="177">
        <f>SUMIF('caseload data'!$A:$A,$B$18,'caseload data'!Q:Q)</f>
        <v>0</v>
      </c>
      <c r="P18" s="177">
        <f>SUMIF('caseload data'!$A:$A,$B$18,'caseload data'!R:R)</f>
        <v>0</v>
      </c>
      <c r="Q18" s="177">
        <f>SUMIF('caseload data'!$A:$A,$B$18,'caseload data'!S:S)</f>
        <v>0</v>
      </c>
      <c r="R18" s="177">
        <f>SUMIF('caseload data'!$A:$A,$B$18,'caseload data'!T:T)</f>
        <v>0</v>
      </c>
      <c r="S18" s="177">
        <f>SUMIF('caseload data'!$A:$A,$B$18,'caseload data'!U:U)</f>
        <v>0</v>
      </c>
      <c r="T18" s="95"/>
      <c r="U18" s="181" t="s">
        <v>514</v>
      </c>
      <c r="V18" s="97" t="e">
        <f t="shared" ref="V18:V26" si="80">C18/$S18</f>
        <v>#DIV/0!</v>
      </c>
      <c r="W18" s="97" t="e">
        <f t="shared" ref="W18:W26" si="81">D18/$S18</f>
        <v>#DIV/0!</v>
      </c>
      <c r="X18" s="97" t="e">
        <f t="shared" ref="X18:X26" si="82">E18/$S18</f>
        <v>#DIV/0!</v>
      </c>
      <c r="Y18" s="97" t="e">
        <f t="shared" ref="Y18:Y26" si="83">F18/$S18</f>
        <v>#DIV/0!</v>
      </c>
      <c r="Z18" s="97" t="e">
        <f t="shared" ref="Z18:Z26" si="84">G18/$S18</f>
        <v>#DIV/0!</v>
      </c>
      <c r="AA18" s="97" t="e">
        <f t="shared" ref="AA18:AA26" si="85">H18/$S18</f>
        <v>#DIV/0!</v>
      </c>
      <c r="AB18" s="97" t="e">
        <f t="shared" ref="AB18:AB26" si="86">I18/$S18</f>
        <v>#DIV/0!</v>
      </c>
      <c r="AC18" s="97" t="e">
        <f t="shared" ref="AC18:AC26" si="87">J18/$S18</f>
        <v>#DIV/0!</v>
      </c>
      <c r="AD18" s="97" t="e">
        <f t="shared" ref="AD18:AD26" si="88">K18/$S18</f>
        <v>#DIV/0!</v>
      </c>
      <c r="AE18" s="97" t="e">
        <f t="shared" ref="AE18:AE26" si="89">L18/$S18</f>
        <v>#DIV/0!</v>
      </c>
      <c r="AF18" s="97" t="e">
        <f t="shared" ref="AF18:AF26" si="90">M18/$S18</f>
        <v>#DIV/0!</v>
      </c>
      <c r="AG18" s="97" t="e">
        <f t="shared" ref="AG18:AG26" si="91">N18/$S18</f>
        <v>#DIV/0!</v>
      </c>
      <c r="AH18" s="97" t="e">
        <f t="shared" ref="AH18:AH26" si="92">O18/$S18</f>
        <v>#DIV/0!</v>
      </c>
      <c r="AI18" s="97" t="e">
        <f t="shared" ref="AI18:AI26" si="93">P18/$S18</f>
        <v>#DIV/0!</v>
      </c>
      <c r="AJ18" s="97" t="e">
        <f t="shared" ref="AJ18:AJ26" si="94">Q18/$S18</f>
        <v>#DIV/0!</v>
      </c>
      <c r="AK18" s="97" t="e">
        <f t="shared" ref="AK18:AK26" si="95">R18/$S18</f>
        <v>#DIV/0!</v>
      </c>
    </row>
    <row r="19" spans="2:38" s="30" customFormat="1" x14ac:dyDescent="0.15">
      <c r="B19" s="181" t="s">
        <v>515</v>
      </c>
      <c r="C19" s="177">
        <f>SUMIF('caseload data'!$A:$A,$B$19,'caseload data'!E:E)</f>
        <v>0</v>
      </c>
      <c r="D19" s="177">
        <f>SUMIF('caseload data'!$A:$A,$B$19,'caseload data'!F:F)</f>
        <v>0</v>
      </c>
      <c r="E19" s="177">
        <f>SUMIF('caseload data'!$A:$A,$B$19,'caseload data'!G:G)</f>
        <v>0</v>
      </c>
      <c r="F19" s="177">
        <f>SUMIF('caseload data'!$A:$A,$B$19,'caseload data'!H:H)</f>
        <v>0</v>
      </c>
      <c r="G19" s="177">
        <f>SUMIF('caseload data'!$A:$A,$B$19,'caseload data'!I:I)</f>
        <v>0</v>
      </c>
      <c r="H19" s="177">
        <f>SUMIF('caseload data'!$A:$A,$B$19,'caseload data'!J:J)</f>
        <v>0</v>
      </c>
      <c r="I19" s="177">
        <f>SUMIF('caseload data'!$A:$A,$B$19,'caseload data'!K:K)</f>
        <v>0</v>
      </c>
      <c r="J19" s="177">
        <f>SUMIF('caseload data'!$A:$A,$B$19,'caseload data'!L:L)</f>
        <v>0</v>
      </c>
      <c r="K19" s="177">
        <f>SUMIF('caseload data'!$A:$A,$B$19,'caseload data'!M:M)</f>
        <v>0</v>
      </c>
      <c r="L19" s="177">
        <f>SUMIF('caseload data'!$A:$A,$B$19,'caseload data'!N:N)</f>
        <v>0</v>
      </c>
      <c r="M19" s="177">
        <f>SUMIF('caseload data'!$A:$A,$B$19,'caseload data'!O:O)</f>
        <v>0</v>
      </c>
      <c r="N19" s="177">
        <f>SUMIF('caseload data'!$A:$A,$B$19,'caseload data'!P:P)</f>
        <v>0</v>
      </c>
      <c r="O19" s="177">
        <f>SUMIF('caseload data'!$A:$A,$B$19,'caseload data'!Q:Q)</f>
        <v>0</v>
      </c>
      <c r="P19" s="177">
        <f>SUMIF('caseload data'!$A:$A,$B$19,'caseload data'!R:R)</f>
        <v>0</v>
      </c>
      <c r="Q19" s="177">
        <f>SUMIF('caseload data'!$A:$A,$B$19,'caseload data'!S:S)</f>
        <v>0</v>
      </c>
      <c r="R19" s="177">
        <f>SUMIF('caseload data'!$A:$A,$B$19,'caseload data'!T:T)</f>
        <v>0</v>
      </c>
      <c r="S19" s="177">
        <f>SUMIF('caseload data'!$A:$A,$B$19,'caseload data'!U:U)</f>
        <v>0</v>
      </c>
      <c r="T19" s="95"/>
      <c r="U19" s="181" t="s">
        <v>515</v>
      </c>
      <c r="V19" s="97" t="e">
        <f t="shared" si="80"/>
        <v>#DIV/0!</v>
      </c>
      <c r="W19" s="97" t="e">
        <f t="shared" si="81"/>
        <v>#DIV/0!</v>
      </c>
      <c r="X19" s="97" t="e">
        <f t="shared" si="82"/>
        <v>#DIV/0!</v>
      </c>
      <c r="Y19" s="97" t="e">
        <f t="shared" si="83"/>
        <v>#DIV/0!</v>
      </c>
      <c r="Z19" s="97" t="e">
        <f t="shared" si="84"/>
        <v>#DIV/0!</v>
      </c>
      <c r="AA19" s="97" t="e">
        <f t="shared" si="85"/>
        <v>#DIV/0!</v>
      </c>
      <c r="AB19" s="97" t="e">
        <f t="shared" si="86"/>
        <v>#DIV/0!</v>
      </c>
      <c r="AC19" s="97" t="e">
        <f t="shared" si="87"/>
        <v>#DIV/0!</v>
      </c>
      <c r="AD19" s="97" t="e">
        <f t="shared" si="88"/>
        <v>#DIV/0!</v>
      </c>
      <c r="AE19" s="97" t="e">
        <f t="shared" si="89"/>
        <v>#DIV/0!</v>
      </c>
      <c r="AF19" s="97" t="e">
        <f t="shared" si="90"/>
        <v>#DIV/0!</v>
      </c>
      <c r="AG19" s="97" t="e">
        <f t="shared" si="91"/>
        <v>#DIV/0!</v>
      </c>
      <c r="AH19" s="97" t="e">
        <f t="shared" si="92"/>
        <v>#DIV/0!</v>
      </c>
      <c r="AI19" s="97" t="e">
        <f t="shared" si="93"/>
        <v>#DIV/0!</v>
      </c>
      <c r="AJ19" s="97" t="e">
        <f t="shared" si="94"/>
        <v>#DIV/0!</v>
      </c>
      <c r="AK19" s="97" t="e">
        <f t="shared" si="95"/>
        <v>#DIV/0!</v>
      </c>
    </row>
    <row r="20" spans="2:38" s="30" customFormat="1" x14ac:dyDescent="0.15">
      <c r="B20" s="181" t="s">
        <v>516</v>
      </c>
      <c r="C20" s="177">
        <f>SUMIF('caseload data'!$A:$A,$B$20,'caseload data'!E:E)</f>
        <v>0</v>
      </c>
      <c r="D20" s="177">
        <f>SUMIF('caseload data'!$A:$A,$B$20,'caseload data'!F:F)</f>
        <v>0</v>
      </c>
      <c r="E20" s="177">
        <f>SUMIF('caseload data'!$A:$A,$B$20,'caseload data'!G:G)</f>
        <v>0</v>
      </c>
      <c r="F20" s="177">
        <f>SUMIF('caseload data'!$A:$A,$B$20,'caseload data'!H:H)</f>
        <v>0</v>
      </c>
      <c r="G20" s="177">
        <f>SUMIF('caseload data'!$A:$A,$B$20,'caseload data'!I:I)</f>
        <v>0</v>
      </c>
      <c r="H20" s="177">
        <f>SUMIF('caseload data'!$A:$A,$B$20,'caseload data'!J:J)</f>
        <v>0</v>
      </c>
      <c r="I20" s="177">
        <f>SUMIF('caseload data'!$A:$A,$B$20,'caseload data'!K:K)</f>
        <v>0</v>
      </c>
      <c r="J20" s="177">
        <f>SUMIF('caseload data'!$A:$A,$B$20,'caseload data'!L:L)</f>
        <v>0</v>
      </c>
      <c r="K20" s="177">
        <f>SUMIF('caseload data'!$A:$A,$B$20,'caseload data'!M:M)</f>
        <v>0</v>
      </c>
      <c r="L20" s="177">
        <f>SUMIF('caseload data'!$A:$A,$B$20,'caseload data'!N:N)</f>
        <v>0</v>
      </c>
      <c r="M20" s="177">
        <f>SUMIF('caseload data'!$A:$A,$B$20,'caseload data'!O:O)</f>
        <v>0</v>
      </c>
      <c r="N20" s="177">
        <f>SUMIF('caseload data'!$A:$A,$B$20,'caseload data'!P:P)</f>
        <v>0</v>
      </c>
      <c r="O20" s="177">
        <f>SUMIF('caseload data'!$A:$A,$B$20,'caseload data'!Q:Q)</f>
        <v>0</v>
      </c>
      <c r="P20" s="177">
        <f>SUMIF('caseload data'!$A:$A,$B$20,'caseload data'!R:R)</f>
        <v>0</v>
      </c>
      <c r="Q20" s="177">
        <f>SUMIF('caseload data'!$A:$A,$B$20,'caseload data'!S:S)</f>
        <v>0</v>
      </c>
      <c r="R20" s="177">
        <f>SUMIF('caseload data'!$A:$A,$B$20,'caseload data'!T:T)</f>
        <v>0</v>
      </c>
      <c r="S20" s="177">
        <f>SUMIF('caseload data'!$A:$A,$B$20,'caseload data'!U:U)</f>
        <v>0</v>
      </c>
      <c r="T20" s="95"/>
      <c r="U20" s="181" t="s">
        <v>516</v>
      </c>
      <c r="V20" s="97" t="e">
        <f t="shared" si="80"/>
        <v>#DIV/0!</v>
      </c>
      <c r="W20" s="97" t="e">
        <f t="shared" si="81"/>
        <v>#DIV/0!</v>
      </c>
      <c r="X20" s="97" t="e">
        <f t="shared" si="82"/>
        <v>#DIV/0!</v>
      </c>
      <c r="Y20" s="97" t="e">
        <f t="shared" si="83"/>
        <v>#DIV/0!</v>
      </c>
      <c r="Z20" s="97" t="e">
        <f t="shared" si="84"/>
        <v>#DIV/0!</v>
      </c>
      <c r="AA20" s="97" t="e">
        <f t="shared" si="85"/>
        <v>#DIV/0!</v>
      </c>
      <c r="AB20" s="97" t="e">
        <f t="shared" si="86"/>
        <v>#DIV/0!</v>
      </c>
      <c r="AC20" s="97" t="e">
        <f t="shared" si="87"/>
        <v>#DIV/0!</v>
      </c>
      <c r="AD20" s="97" t="e">
        <f t="shared" si="88"/>
        <v>#DIV/0!</v>
      </c>
      <c r="AE20" s="97" t="e">
        <f t="shared" si="89"/>
        <v>#DIV/0!</v>
      </c>
      <c r="AF20" s="97" t="e">
        <f t="shared" si="90"/>
        <v>#DIV/0!</v>
      </c>
      <c r="AG20" s="97" t="e">
        <f t="shared" si="91"/>
        <v>#DIV/0!</v>
      </c>
      <c r="AH20" s="97" t="e">
        <f t="shared" si="92"/>
        <v>#DIV/0!</v>
      </c>
      <c r="AI20" s="97" t="e">
        <f t="shared" si="93"/>
        <v>#DIV/0!</v>
      </c>
      <c r="AJ20" s="97" t="e">
        <f t="shared" si="94"/>
        <v>#DIV/0!</v>
      </c>
      <c r="AK20" s="97" t="e">
        <f t="shared" si="95"/>
        <v>#DIV/0!</v>
      </c>
    </row>
    <row r="21" spans="2:38" s="30" customFormat="1" x14ac:dyDescent="0.15">
      <c r="B21" s="181" t="s">
        <v>517</v>
      </c>
      <c r="C21" s="177">
        <f>SUMIF('caseload data'!$A:$A,$B$21,'caseload data'!E:E)</f>
        <v>0</v>
      </c>
      <c r="D21" s="177">
        <f>SUMIF('caseload data'!$A:$A,$B$21,'caseload data'!F:F)</f>
        <v>0</v>
      </c>
      <c r="E21" s="177">
        <f>SUMIF('caseload data'!$A:$A,$B$21,'caseload data'!G:G)</f>
        <v>0</v>
      </c>
      <c r="F21" s="177">
        <f>SUMIF('caseload data'!$A:$A,$B$21,'caseload data'!H:H)</f>
        <v>0</v>
      </c>
      <c r="G21" s="177">
        <f>SUMIF('caseload data'!$A:$A,$B$21,'caseload data'!I:I)</f>
        <v>0</v>
      </c>
      <c r="H21" s="177">
        <f>SUMIF('caseload data'!$A:$A,$B$21,'caseload data'!J:J)</f>
        <v>0</v>
      </c>
      <c r="I21" s="177">
        <f>SUMIF('caseload data'!$A:$A,$B$21,'caseload data'!K:K)</f>
        <v>0</v>
      </c>
      <c r="J21" s="177">
        <f>SUMIF('caseload data'!$A:$A,$B$21,'caseload data'!L:L)</f>
        <v>0</v>
      </c>
      <c r="K21" s="177">
        <f>SUMIF('caseload data'!$A:$A,$B$21,'caseload data'!M:M)</f>
        <v>0</v>
      </c>
      <c r="L21" s="177">
        <f>SUMIF('caseload data'!$A:$A,$B$21,'caseload data'!N:N)</f>
        <v>0</v>
      </c>
      <c r="M21" s="177">
        <f>SUMIF('caseload data'!$A:$A,$B$21,'caseload data'!O:O)</f>
        <v>0</v>
      </c>
      <c r="N21" s="177">
        <f>SUMIF('caseload data'!$A:$A,$B$21,'caseload data'!P:P)</f>
        <v>0</v>
      </c>
      <c r="O21" s="177">
        <f>SUMIF('caseload data'!$A:$A,$B$21,'caseload data'!Q:Q)</f>
        <v>0</v>
      </c>
      <c r="P21" s="177">
        <f>SUMIF('caseload data'!$A:$A,$B$21,'caseload data'!R:R)</f>
        <v>0</v>
      </c>
      <c r="Q21" s="177">
        <f>SUMIF('caseload data'!$A:$A,$B$21,'caseload data'!S:S)</f>
        <v>0</v>
      </c>
      <c r="R21" s="177">
        <f>SUMIF('caseload data'!$A:$A,$B$21,'caseload data'!T:T)</f>
        <v>0</v>
      </c>
      <c r="S21" s="177">
        <f>SUMIF('caseload data'!$A:$A,$B$21,'caseload data'!U:U)</f>
        <v>0</v>
      </c>
      <c r="T21" s="95"/>
      <c r="U21" s="181" t="s">
        <v>517</v>
      </c>
      <c r="V21" s="97" t="e">
        <f t="shared" si="80"/>
        <v>#DIV/0!</v>
      </c>
      <c r="W21" s="97" t="e">
        <f t="shared" si="81"/>
        <v>#DIV/0!</v>
      </c>
      <c r="X21" s="97" t="e">
        <f t="shared" si="82"/>
        <v>#DIV/0!</v>
      </c>
      <c r="Y21" s="97" t="e">
        <f t="shared" si="83"/>
        <v>#DIV/0!</v>
      </c>
      <c r="Z21" s="97" t="e">
        <f t="shared" si="84"/>
        <v>#DIV/0!</v>
      </c>
      <c r="AA21" s="97" t="e">
        <f t="shared" si="85"/>
        <v>#DIV/0!</v>
      </c>
      <c r="AB21" s="97" t="e">
        <f t="shared" si="86"/>
        <v>#DIV/0!</v>
      </c>
      <c r="AC21" s="97" t="e">
        <f t="shared" si="87"/>
        <v>#DIV/0!</v>
      </c>
      <c r="AD21" s="97" t="e">
        <f t="shared" si="88"/>
        <v>#DIV/0!</v>
      </c>
      <c r="AE21" s="97" t="e">
        <f t="shared" si="89"/>
        <v>#DIV/0!</v>
      </c>
      <c r="AF21" s="97" t="e">
        <f t="shared" si="90"/>
        <v>#DIV/0!</v>
      </c>
      <c r="AG21" s="97" t="e">
        <f t="shared" si="91"/>
        <v>#DIV/0!</v>
      </c>
      <c r="AH21" s="97" t="e">
        <f t="shared" si="92"/>
        <v>#DIV/0!</v>
      </c>
      <c r="AI21" s="97" t="e">
        <f t="shared" si="93"/>
        <v>#DIV/0!</v>
      </c>
      <c r="AJ21" s="97" t="e">
        <f t="shared" si="94"/>
        <v>#DIV/0!</v>
      </c>
      <c r="AK21" s="97" t="e">
        <f t="shared" si="95"/>
        <v>#DIV/0!</v>
      </c>
    </row>
    <row r="22" spans="2:38" s="30" customFormat="1" x14ac:dyDescent="0.15">
      <c r="B22" s="181" t="s">
        <v>518</v>
      </c>
      <c r="C22" s="177">
        <f>SUMIF('caseload data'!$A:$A,$B$22,'caseload data'!E:E)</f>
        <v>0</v>
      </c>
      <c r="D22" s="177">
        <f>SUMIF('caseload data'!$A:$A,$B$22,'caseload data'!F:F)</f>
        <v>0</v>
      </c>
      <c r="E22" s="177">
        <f>SUMIF('caseload data'!$A:$A,$B$22,'caseload data'!G:G)</f>
        <v>0</v>
      </c>
      <c r="F22" s="177">
        <f>SUMIF('caseload data'!$A:$A,$B$22,'caseload data'!H:H)</f>
        <v>0</v>
      </c>
      <c r="G22" s="177">
        <f>SUMIF('caseload data'!$A:$A,$B$22,'caseload data'!I:I)</f>
        <v>0</v>
      </c>
      <c r="H22" s="177">
        <f>SUMIF('caseload data'!$A:$A,$B$22,'caseload data'!J:J)</f>
        <v>0</v>
      </c>
      <c r="I22" s="177">
        <f>SUMIF('caseload data'!$A:$A,$B$22,'caseload data'!K:K)</f>
        <v>0</v>
      </c>
      <c r="J22" s="177">
        <f>SUMIF('caseload data'!$A:$A,$B$22,'caseload data'!L:L)</f>
        <v>0</v>
      </c>
      <c r="K22" s="177">
        <f>SUMIF('caseload data'!$A:$A,$B$22,'caseload data'!M:M)</f>
        <v>0</v>
      </c>
      <c r="L22" s="177">
        <f>SUMIF('caseload data'!$A:$A,$B$22,'caseload data'!N:N)</f>
        <v>0</v>
      </c>
      <c r="M22" s="177">
        <f>SUMIF('caseload data'!$A:$A,$B$22,'caseload data'!O:O)</f>
        <v>0</v>
      </c>
      <c r="N22" s="177">
        <f>SUMIF('caseload data'!$A:$A,$B$22,'caseload data'!P:P)</f>
        <v>0</v>
      </c>
      <c r="O22" s="177">
        <f>SUMIF('caseload data'!$A:$A,$B$22,'caseload data'!Q:Q)</f>
        <v>0</v>
      </c>
      <c r="P22" s="177">
        <f>SUMIF('caseload data'!$A:$A,$B$22,'caseload data'!R:R)</f>
        <v>0</v>
      </c>
      <c r="Q22" s="177">
        <f>SUMIF('caseload data'!$A:$A,$B$22,'caseload data'!S:S)</f>
        <v>0</v>
      </c>
      <c r="R22" s="177">
        <f>SUMIF('caseload data'!$A:$A,$B$22,'caseload data'!T:T)</f>
        <v>0</v>
      </c>
      <c r="S22" s="177">
        <f>SUMIF('caseload data'!$A:$A,$B$22,'caseload data'!U:U)</f>
        <v>0</v>
      </c>
      <c r="T22" s="95"/>
      <c r="U22" s="181" t="s">
        <v>518</v>
      </c>
      <c r="V22" s="97" t="e">
        <f t="shared" si="80"/>
        <v>#DIV/0!</v>
      </c>
      <c r="W22" s="97" t="e">
        <f t="shared" si="81"/>
        <v>#DIV/0!</v>
      </c>
      <c r="X22" s="97" t="e">
        <f t="shared" si="82"/>
        <v>#DIV/0!</v>
      </c>
      <c r="Y22" s="97" t="e">
        <f t="shared" si="83"/>
        <v>#DIV/0!</v>
      </c>
      <c r="Z22" s="97" t="e">
        <f t="shared" si="84"/>
        <v>#DIV/0!</v>
      </c>
      <c r="AA22" s="97" t="e">
        <f t="shared" si="85"/>
        <v>#DIV/0!</v>
      </c>
      <c r="AB22" s="97" t="e">
        <f t="shared" si="86"/>
        <v>#DIV/0!</v>
      </c>
      <c r="AC22" s="97" t="e">
        <f t="shared" si="87"/>
        <v>#DIV/0!</v>
      </c>
      <c r="AD22" s="97" t="e">
        <f t="shared" si="88"/>
        <v>#DIV/0!</v>
      </c>
      <c r="AE22" s="97" t="e">
        <f t="shared" si="89"/>
        <v>#DIV/0!</v>
      </c>
      <c r="AF22" s="97" t="e">
        <f t="shared" si="90"/>
        <v>#DIV/0!</v>
      </c>
      <c r="AG22" s="97" t="e">
        <f t="shared" si="91"/>
        <v>#DIV/0!</v>
      </c>
      <c r="AH22" s="97" t="e">
        <f t="shared" si="92"/>
        <v>#DIV/0!</v>
      </c>
      <c r="AI22" s="97" t="e">
        <f t="shared" si="93"/>
        <v>#DIV/0!</v>
      </c>
      <c r="AJ22" s="97" t="e">
        <f t="shared" si="94"/>
        <v>#DIV/0!</v>
      </c>
      <c r="AK22" s="97" t="e">
        <f t="shared" si="95"/>
        <v>#DIV/0!</v>
      </c>
    </row>
    <row r="23" spans="2:38" s="30" customFormat="1" x14ac:dyDescent="0.15">
      <c r="B23" s="181" t="s">
        <v>519</v>
      </c>
      <c r="C23" s="177">
        <f>SUMIF('caseload data'!$A:$A,$B$23,'caseload data'!E:E)</f>
        <v>0</v>
      </c>
      <c r="D23" s="177">
        <f>SUMIF('caseload data'!$A:$A,$B$23,'caseload data'!F:F)</f>
        <v>0</v>
      </c>
      <c r="E23" s="177">
        <f>SUMIF('caseload data'!$A:$A,$B$23,'caseload data'!G:G)</f>
        <v>0</v>
      </c>
      <c r="F23" s="177">
        <f>SUMIF('caseload data'!$A:$A,$B$23,'caseload data'!H:H)</f>
        <v>0</v>
      </c>
      <c r="G23" s="177">
        <f>SUMIF('caseload data'!$A:$A,$B$23,'caseload data'!I:I)</f>
        <v>0</v>
      </c>
      <c r="H23" s="177">
        <f>SUMIF('caseload data'!$A:$A,$B$23,'caseload data'!J:J)</f>
        <v>0</v>
      </c>
      <c r="I23" s="177">
        <f>SUMIF('caseload data'!$A:$A,$B$23,'caseload data'!K:K)</f>
        <v>0</v>
      </c>
      <c r="J23" s="177">
        <f>SUMIF('caseload data'!$A:$A,$B$23,'caseload data'!L:L)</f>
        <v>0</v>
      </c>
      <c r="K23" s="177">
        <f>SUMIF('caseload data'!$A:$A,$B$23,'caseload data'!M:M)</f>
        <v>0</v>
      </c>
      <c r="L23" s="177">
        <f>SUMIF('caseload data'!$A:$A,$B$23,'caseload data'!N:N)</f>
        <v>0</v>
      </c>
      <c r="M23" s="177">
        <f>SUMIF('caseload data'!$A:$A,$B$23,'caseload data'!O:O)</f>
        <v>0</v>
      </c>
      <c r="N23" s="177">
        <f>SUMIF('caseload data'!$A:$A,$B$23,'caseload data'!P:P)</f>
        <v>0</v>
      </c>
      <c r="O23" s="177">
        <f>SUMIF('caseload data'!$A:$A,$B$23,'caseload data'!Q:Q)</f>
        <v>0</v>
      </c>
      <c r="P23" s="177">
        <f>SUMIF('caseload data'!$A:$A,$B$23,'caseload data'!R:R)</f>
        <v>0</v>
      </c>
      <c r="Q23" s="177">
        <f>SUMIF('caseload data'!$A:$A,$B$23,'caseload data'!S:S)</f>
        <v>0</v>
      </c>
      <c r="R23" s="177">
        <f>SUMIF('caseload data'!$A:$A,$B$23,'caseload data'!T:T)</f>
        <v>0</v>
      </c>
      <c r="S23" s="177">
        <f>SUMIF('caseload data'!$A:$A,$B$23,'caseload data'!U:U)</f>
        <v>0</v>
      </c>
      <c r="T23" s="95"/>
      <c r="U23" s="181" t="s">
        <v>519</v>
      </c>
      <c r="V23" s="97" t="e">
        <f t="shared" si="80"/>
        <v>#DIV/0!</v>
      </c>
      <c r="W23" s="97" t="e">
        <f t="shared" si="81"/>
        <v>#DIV/0!</v>
      </c>
      <c r="X23" s="97" t="e">
        <f t="shared" si="82"/>
        <v>#DIV/0!</v>
      </c>
      <c r="Y23" s="97" t="e">
        <f t="shared" si="83"/>
        <v>#DIV/0!</v>
      </c>
      <c r="Z23" s="97" t="e">
        <f t="shared" si="84"/>
        <v>#DIV/0!</v>
      </c>
      <c r="AA23" s="97" t="e">
        <f t="shared" si="85"/>
        <v>#DIV/0!</v>
      </c>
      <c r="AB23" s="97" t="e">
        <f t="shared" si="86"/>
        <v>#DIV/0!</v>
      </c>
      <c r="AC23" s="97" t="e">
        <f t="shared" si="87"/>
        <v>#DIV/0!</v>
      </c>
      <c r="AD23" s="97" t="e">
        <f t="shared" si="88"/>
        <v>#DIV/0!</v>
      </c>
      <c r="AE23" s="97" t="e">
        <f t="shared" si="89"/>
        <v>#DIV/0!</v>
      </c>
      <c r="AF23" s="97" t="e">
        <f t="shared" si="90"/>
        <v>#DIV/0!</v>
      </c>
      <c r="AG23" s="97" t="e">
        <f t="shared" si="91"/>
        <v>#DIV/0!</v>
      </c>
      <c r="AH23" s="97" t="e">
        <f t="shared" si="92"/>
        <v>#DIV/0!</v>
      </c>
      <c r="AI23" s="97" t="e">
        <f t="shared" si="93"/>
        <v>#DIV/0!</v>
      </c>
      <c r="AJ23" s="97" t="e">
        <f t="shared" si="94"/>
        <v>#DIV/0!</v>
      </c>
      <c r="AK23" s="97" t="e">
        <f t="shared" si="95"/>
        <v>#DIV/0!</v>
      </c>
    </row>
    <row r="24" spans="2:38" s="30" customFormat="1" x14ac:dyDescent="0.15">
      <c r="B24" s="181" t="s">
        <v>520</v>
      </c>
      <c r="C24" s="177">
        <f>SUMIF('caseload data'!$A:$A,$B$24,'caseload data'!E:E)</f>
        <v>0</v>
      </c>
      <c r="D24" s="177">
        <f>SUMIF('caseload data'!$A:$A,$B$24,'caseload data'!F:F)</f>
        <v>0</v>
      </c>
      <c r="E24" s="177">
        <f>SUMIF('caseload data'!$A:$A,$B$24,'caseload data'!G:G)</f>
        <v>0</v>
      </c>
      <c r="F24" s="177">
        <f>SUMIF('caseload data'!$A:$A,$B$24,'caseload data'!H:H)</f>
        <v>0</v>
      </c>
      <c r="G24" s="177">
        <f>SUMIF('caseload data'!$A:$A,$B$24,'caseload data'!I:I)</f>
        <v>0</v>
      </c>
      <c r="H24" s="177">
        <f>SUMIF('caseload data'!$A:$A,$B$24,'caseload data'!J:J)</f>
        <v>0</v>
      </c>
      <c r="I24" s="177">
        <f>SUMIF('caseload data'!$A:$A,$B$24,'caseload data'!K:K)</f>
        <v>0</v>
      </c>
      <c r="J24" s="177">
        <f>SUMIF('caseload data'!$A:$A,$B$24,'caseload data'!L:L)</f>
        <v>0</v>
      </c>
      <c r="K24" s="177">
        <f>SUMIF('caseload data'!$A:$A,$B$24,'caseload data'!M:M)</f>
        <v>0</v>
      </c>
      <c r="L24" s="177">
        <f>SUMIF('caseload data'!$A:$A,$B$24,'caseload data'!N:N)</f>
        <v>0</v>
      </c>
      <c r="M24" s="177">
        <f>SUMIF('caseload data'!$A:$A,$B$24,'caseload data'!O:O)</f>
        <v>0</v>
      </c>
      <c r="N24" s="177">
        <f>SUMIF('caseload data'!$A:$A,$B$24,'caseload data'!P:P)</f>
        <v>0</v>
      </c>
      <c r="O24" s="177">
        <f>SUMIF('caseload data'!$A:$A,$B$24,'caseload data'!Q:Q)</f>
        <v>0</v>
      </c>
      <c r="P24" s="177">
        <f>SUMIF('caseload data'!$A:$A,$B$24,'caseload data'!R:R)</f>
        <v>0</v>
      </c>
      <c r="Q24" s="177">
        <f>SUMIF('caseload data'!$A:$A,$B$24,'caseload data'!S:S)</f>
        <v>0</v>
      </c>
      <c r="R24" s="177">
        <f>SUMIF('caseload data'!$A:$A,$B$24,'caseload data'!T:T)</f>
        <v>0</v>
      </c>
      <c r="S24" s="177">
        <f>SUMIF('caseload data'!$A:$A,$B$24,'caseload data'!U:U)</f>
        <v>0</v>
      </c>
      <c r="T24" s="95"/>
      <c r="U24" s="181" t="s">
        <v>520</v>
      </c>
      <c r="V24" s="97" t="e">
        <f t="shared" si="80"/>
        <v>#DIV/0!</v>
      </c>
      <c r="W24" s="97" t="e">
        <f t="shared" si="81"/>
        <v>#DIV/0!</v>
      </c>
      <c r="X24" s="97" t="e">
        <f t="shared" si="82"/>
        <v>#DIV/0!</v>
      </c>
      <c r="Y24" s="97" t="e">
        <f t="shared" si="83"/>
        <v>#DIV/0!</v>
      </c>
      <c r="Z24" s="97" t="e">
        <f t="shared" si="84"/>
        <v>#DIV/0!</v>
      </c>
      <c r="AA24" s="97" t="e">
        <f t="shared" si="85"/>
        <v>#DIV/0!</v>
      </c>
      <c r="AB24" s="97" t="e">
        <f t="shared" si="86"/>
        <v>#DIV/0!</v>
      </c>
      <c r="AC24" s="97" t="e">
        <f t="shared" si="87"/>
        <v>#DIV/0!</v>
      </c>
      <c r="AD24" s="97" t="e">
        <f t="shared" si="88"/>
        <v>#DIV/0!</v>
      </c>
      <c r="AE24" s="97" t="e">
        <f t="shared" si="89"/>
        <v>#DIV/0!</v>
      </c>
      <c r="AF24" s="97" t="e">
        <f t="shared" si="90"/>
        <v>#DIV/0!</v>
      </c>
      <c r="AG24" s="97" t="e">
        <f t="shared" si="91"/>
        <v>#DIV/0!</v>
      </c>
      <c r="AH24" s="97" t="e">
        <f t="shared" si="92"/>
        <v>#DIV/0!</v>
      </c>
      <c r="AI24" s="97" t="e">
        <f t="shared" si="93"/>
        <v>#DIV/0!</v>
      </c>
      <c r="AJ24" s="97" t="e">
        <f t="shared" si="94"/>
        <v>#DIV/0!</v>
      </c>
      <c r="AK24" s="97" t="e">
        <f t="shared" si="95"/>
        <v>#DIV/0!</v>
      </c>
    </row>
    <row r="25" spans="2:38" s="30" customFormat="1" x14ac:dyDescent="0.15">
      <c r="B25" s="181" t="s">
        <v>521</v>
      </c>
      <c r="C25" s="177">
        <f>SUMIF('caseload data'!$A:$A,$B$25,'caseload data'!E:E)</f>
        <v>0</v>
      </c>
      <c r="D25" s="177">
        <f>SUMIF('caseload data'!$A:$A,$B$25,'caseload data'!F:F)</f>
        <v>0</v>
      </c>
      <c r="E25" s="177">
        <f>SUMIF('caseload data'!$A:$A,$B$25,'caseload data'!G:G)</f>
        <v>0</v>
      </c>
      <c r="F25" s="177">
        <f>SUMIF('caseload data'!$A:$A,$B$25,'caseload data'!H:H)</f>
        <v>0</v>
      </c>
      <c r="G25" s="177">
        <f>SUMIF('caseload data'!$A:$A,$B$25,'caseload data'!I:I)</f>
        <v>0</v>
      </c>
      <c r="H25" s="177">
        <f>SUMIF('caseload data'!$A:$A,$B$25,'caseload data'!J:J)</f>
        <v>0</v>
      </c>
      <c r="I25" s="177">
        <f>SUMIF('caseload data'!$A:$A,$B$25,'caseload data'!K:K)</f>
        <v>0</v>
      </c>
      <c r="J25" s="177">
        <f>SUMIF('caseload data'!$A:$A,$B$25,'caseload data'!L:L)</f>
        <v>0</v>
      </c>
      <c r="K25" s="177">
        <f>SUMIF('caseload data'!$A:$A,$B$25,'caseload data'!M:M)</f>
        <v>0</v>
      </c>
      <c r="L25" s="177">
        <f>SUMIF('caseload data'!$A:$A,$B$25,'caseload data'!N:N)</f>
        <v>0</v>
      </c>
      <c r="M25" s="177">
        <f>SUMIF('caseload data'!$A:$A,$B$25,'caseload data'!O:O)</f>
        <v>0</v>
      </c>
      <c r="N25" s="177">
        <f>SUMIF('caseload data'!$A:$A,$B$25,'caseload data'!P:P)</f>
        <v>0</v>
      </c>
      <c r="O25" s="177">
        <f>SUMIF('caseload data'!$A:$A,$B$25,'caseload data'!Q:Q)</f>
        <v>0</v>
      </c>
      <c r="P25" s="177">
        <f>SUMIF('caseload data'!$A:$A,$B$25,'caseload data'!R:R)</f>
        <v>0</v>
      </c>
      <c r="Q25" s="177">
        <f>SUMIF('caseload data'!$A:$A,$B$25,'caseload data'!S:S)</f>
        <v>0</v>
      </c>
      <c r="R25" s="177">
        <f>SUMIF('caseload data'!$A:$A,$B$25,'caseload data'!T:T)</f>
        <v>0</v>
      </c>
      <c r="S25" s="177">
        <f>SUMIF('caseload data'!$A:$A,$B$25,'caseload data'!U:U)</f>
        <v>0</v>
      </c>
      <c r="T25" s="95"/>
      <c r="U25" s="181" t="s">
        <v>521</v>
      </c>
      <c r="V25" s="97" t="e">
        <f t="shared" si="80"/>
        <v>#DIV/0!</v>
      </c>
      <c r="W25" s="97" t="e">
        <f t="shared" si="81"/>
        <v>#DIV/0!</v>
      </c>
      <c r="X25" s="97" t="e">
        <f t="shared" si="82"/>
        <v>#DIV/0!</v>
      </c>
      <c r="Y25" s="97" t="e">
        <f t="shared" si="83"/>
        <v>#DIV/0!</v>
      </c>
      <c r="Z25" s="97" t="e">
        <f t="shared" si="84"/>
        <v>#DIV/0!</v>
      </c>
      <c r="AA25" s="97" t="e">
        <f t="shared" si="85"/>
        <v>#DIV/0!</v>
      </c>
      <c r="AB25" s="97" t="e">
        <f t="shared" si="86"/>
        <v>#DIV/0!</v>
      </c>
      <c r="AC25" s="97" t="e">
        <f t="shared" si="87"/>
        <v>#DIV/0!</v>
      </c>
      <c r="AD25" s="97" t="e">
        <f t="shared" si="88"/>
        <v>#DIV/0!</v>
      </c>
      <c r="AE25" s="97" t="e">
        <f t="shared" si="89"/>
        <v>#DIV/0!</v>
      </c>
      <c r="AF25" s="97" t="e">
        <f t="shared" si="90"/>
        <v>#DIV/0!</v>
      </c>
      <c r="AG25" s="97" t="e">
        <f t="shared" si="91"/>
        <v>#DIV/0!</v>
      </c>
      <c r="AH25" s="97" t="e">
        <f t="shared" si="92"/>
        <v>#DIV/0!</v>
      </c>
      <c r="AI25" s="97" t="e">
        <f t="shared" si="93"/>
        <v>#DIV/0!</v>
      </c>
      <c r="AJ25" s="97" t="e">
        <f t="shared" si="94"/>
        <v>#DIV/0!</v>
      </c>
      <c r="AK25" s="97" t="e">
        <f t="shared" si="95"/>
        <v>#DIV/0!</v>
      </c>
    </row>
    <row r="26" spans="2:38" s="30" customFormat="1" x14ac:dyDescent="0.15">
      <c r="B26" s="181" t="s">
        <v>522</v>
      </c>
      <c r="C26" s="177">
        <f>SUMIF('caseload data'!$A:$A,$B$26,'caseload data'!E:E)</f>
        <v>0</v>
      </c>
      <c r="D26" s="177">
        <f>SUMIF('caseload data'!$A:$A,$B$26,'caseload data'!F:F)</f>
        <v>0</v>
      </c>
      <c r="E26" s="177">
        <f>SUMIF('caseload data'!$A:$A,$B$26,'caseload data'!G:G)</f>
        <v>0</v>
      </c>
      <c r="F26" s="177">
        <f>SUMIF('caseload data'!$A:$A,$B$26,'caseload data'!H:H)</f>
        <v>0</v>
      </c>
      <c r="G26" s="177">
        <f>SUMIF('caseload data'!$A:$A,$B$26,'caseload data'!I:I)</f>
        <v>0</v>
      </c>
      <c r="H26" s="177">
        <f>SUMIF('caseload data'!$A:$A,$B$26,'caseload data'!J:J)</f>
        <v>0</v>
      </c>
      <c r="I26" s="177">
        <f>SUMIF('caseload data'!$A:$A,$B$26,'caseload data'!K:K)</f>
        <v>0</v>
      </c>
      <c r="J26" s="177">
        <f>SUMIF('caseload data'!$A:$A,$B$26,'caseload data'!L:L)</f>
        <v>0</v>
      </c>
      <c r="K26" s="177">
        <f>SUMIF('caseload data'!$A:$A,$B$26,'caseload data'!M:M)</f>
        <v>0</v>
      </c>
      <c r="L26" s="177">
        <f>SUMIF('caseload data'!$A:$A,$B$26,'caseload data'!N:N)</f>
        <v>0</v>
      </c>
      <c r="M26" s="177">
        <f>SUMIF('caseload data'!$A:$A,$B$26,'caseload data'!O:O)</f>
        <v>0</v>
      </c>
      <c r="N26" s="177">
        <f>SUMIF('caseload data'!$A:$A,$B$26,'caseload data'!P:P)</f>
        <v>0</v>
      </c>
      <c r="O26" s="177">
        <f>SUMIF('caseload data'!$A:$A,$B$26,'caseload data'!Q:Q)</f>
        <v>0</v>
      </c>
      <c r="P26" s="177">
        <f>SUMIF('caseload data'!$A:$A,$B$26,'caseload data'!R:R)</f>
        <v>0</v>
      </c>
      <c r="Q26" s="177">
        <f>SUMIF('caseload data'!$A:$A,$B$26,'caseload data'!S:S)</f>
        <v>0</v>
      </c>
      <c r="R26" s="177">
        <f>SUMIF('caseload data'!$A:$A,$B$26,'caseload data'!T:T)</f>
        <v>0</v>
      </c>
      <c r="S26" s="177">
        <f>SUMIF('caseload data'!$A:$A,$B$26,'caseload data'!U:U)</f>
        <v>0</v>
      </c>
      <c r="T26" s="95"/>
      <c r="U26" s="181" t="s">
        <v>522</v>
      </c>
      <c r="V26" s="97" t="e">
        <f t="shared" si="80"/>
        <v>#DIV/0!</v>
      </c>
      <c r="W26" s="97" t="e">
        <f t="shared" si="81"/>
        <v>#DIV/0!</v>
      </c>
      <c r="X26" s="97" t="e">
        <f t="shared" si="82"/>
        <v>#DIV/0!</v>
      </c>
      <c r="Y26" s="97" t="e">
        <f t="shared" si="83"/>
        <v>#DIV/0!</v>
      </c>
      <c r="Z26" s="97" t="e">
        <f t="shared" si="84"/>
        <v>#DIV/0!</v>
      </c>
      <c r="AA26" s="97" t="e">
        <f t="shared" si="85"/>
        <v>#DIV/0!</v>
      </c>
      <c r="AB26" s="97" t="e">
        <f t="shared" si="86"/>
        <v>#DIV/0!</v>
      </c>
      <c r="AC26" s="97" t="e">
        <f t="shared" si="87"/>
        <v>#DIV/0!</v>
      </c>
      <c r="AD26" s="97" t="e">
        <f t="shared" si="88"/>
        <v>#DIV/0!</v>
      </c>
      <c r="AE26" s="97" t="e">
        <f t="shared" si="89"/>
        <v>#DIV/0!</v>
      </c>
      <c r="AF26" s="97" t="e">
        <f t="shared" si="90"/>
        <v>#DIV/0!</v>
      </c>
      <c r="AG26" s="97" t="e">
        <f t="shared" si="91"/>
        <v>#DIV/0!</v>
      </c>
      <c r="AH26" s="97" t="e">
        <f t="shared" si="92"/>
        <v>#DIV/0!</v>
      </c>
      <c r="AI26" s="97" t="e">
        <f t="shared" si="93"/>
        <v>#DIV/0!</v>
      </c>
      <c r="AJ26" s="97" t="e">
        <f t="shared" si="94"/>
        <v>#DIV/0!</v>
      </c>
      <c r="AK26" s="97" t="e">
        <f t="shared" si="95"/>
        <v>#DIV/0!</v>
      </c>
    </row>
    <row r="27" spans="2:38" s="30" customFormat="1" x14ac:dyDescent="0.15">
      <c r="B27" s="181" t="s">
        <v>523</v>
      </c>
      <c r="C27" s="177">
        <f>SUMIF('caseload data'!$A:$A,$B$27,'caseload data'!E:E)</f>
        <v>0</v>
      </c>
      <c r="D27" s="177">
        <f>SUMIF('caseload data'!$A:$A,$B$27,'caseload data'!F:F)</f>
        <v>0</v>
      </c>
      <c r="E27" s="177">
        <f>SUMIF('caseload data'!$A:$A,$B$27,'caseload data'!G:G)</f>
        <v>0</v>
      </c>
      <c r="F27" s="177">
        <f>SUMIF('caseload data'!$A:$A,$B$27,'caseload data'!H:H)</f>
        <v>0</v>
      </c>
      <c r="G27" s="177">
        <f>SUMIF('caseload data'!$A:$A,$B$27,'caseload data'!I:I)</f>
        <v>0</v>
      </c>
      <c r="H27" s="177">
        <f>SUMIF('caseload data'!$A:$A,$B$27,'caseload data'!J:J)</f>
        <v>0</v>
      </c>
      <c r="I27" s="177">
        <f>SUMIF('caseload data'!$A:$A,$B$27,'caseload data'!K:K)</f>
        <v>0</v>
      </c>
      <c r="J27" s="177">
        <f>SUMIF('caseload data'!$A:$A,$B$27,'caseload data'!L:L)</f>
        <v>0</v>
      </c>
      <c r="K27" s="177">
        <f>SUMIF('caseload data'!$A:$A,$B$27,'caseload data'!M:M)</f>
        <v>0</v>
      </c>
      <c r="L27" s="177">
        <f>SUMIF('caseload data'!$A:$A,$B$27,'caseload data'!N:N)</f>
        <v>0</v>
      </c>
      <c r="M27" s="177">
        <f>SUMIF('caseload data'!$A:$A,$B$27,'caseload data'!O:O)</f>
        <v>0</v>
      </c>
      <c r="N27" s="177">
        <f>SUMIF('caseload data'!$A:$A,$B$27,'caseload data'!P:P)</f>
        <v>0</v>
      </c>
      <c r="O27" s="177">
        <f>SUMIF('caseload data'!$A:$A,$B$27,'caseload data'!Q:Q)</f>
        <v>0</v>
      </c>
      <c r="P27" s="177">
        <f>SUMIF('caseload data'!$A:$A,$B$27,'caseload data'!R:R)</f>
        <v>0</v>
      </c>
      <c r="Q27" s="177">
        <f>SUMIF('caseload data'!$A:$A,$B$27,'caseload data'!S:S)</f>
        <v>0</v>
      </c>
      <c r="R27" s="177">
        <f>SUMIF('caseload data'!$A:$A,$B$27,'caseload data'!T:T)</f>
        <v>0</v>
      </c>
      <c r="S27" s="177">
        <f>SUMIF('caseload data'!$A:$A,$B$27,'caseload data'!U:U)</f>
        <v>0</v>
      </c>
      <c r="T27" s="95"/>
      <c r="U27" s="181" t="s">
        <v>523</v>
      </c>
      <c r="V27" s="97" t="e">
        <f t="shared" ref="V27:AK27" si="96">C27/$S27</f>
        <v>#DIV/0!</v>
      </c>
      <c r="W27" s="97" t="e">
        <f t="shared" si="96"/>
        <v>#DIV/0!</v>
      </c>
      <c r="X27" s="97" t="e">
        <f t="shared" si="96"/>
        <v>#DIV/0!</v>
      </c>
      <c r="Y27" s="97" t="e">
        <f t="shared" si="96"/>
        <v>#DIV/0!</v>
      </c>
      <c r="Z27" s="97" t="e">
        <f t="shared" si="96"/>
        <v>#DIV/0!</v>
      </c>
      <c r="AA27" s="97" t="e">
        <f t="shared" si="96"/>
        <v>#DIV/0!</v>
      </c>
      <c r="AB27" s="97" t="e">
        <f t="shared" si="96"/>
        <v>#DIV/0!</v>
      </c>
      <c r="AC27" s="97" t="e">
        <f t="shared" si="96"/>
        <v>#DIV/0!</v>
      </c>
      <c r="AD27" s="97" t="e">
        <f t="shared" si="96"/>
        <v>#DIV/0!</v>
      </c>
      <c r="AE27" s="97" t="e">
        <f t="shared" si="96"/>
        <v>#DIV/0!</v>
      </c>
      <c r="AF27" s="97" t="e">
        <f t="shared" si="96"/>
        <v>#DIV/0!</v>
      </c>
      <c r="AG27" s="97" t="e">
        <f t="shared" si="96"/>
        <v>#DIV/0!</v>
      </c>
      <c r="AH27" s="97" t="e">
        <f t="shared" si="96"/>
        <v>#DIV/0!</v>
      </c>
      <c r="AI27" s="97" t="e">
        <f t="shared" si="96"/>
        <v>#DIV/0!</v>
      </c>
      <c r="AJ27" s="97" t="e">
        <f t="shared" si="96"/>
        <v>#DIV/0!</v>
      </c>
      <c r="AK27" s="97" t="e">
        <f t="shared" si="96"/>
        <v>#DIV/0!</v>
      </c>
    </row>
    <row r="28" spans="2:38" x14ac:dyDescent="0.15">
      <c r="B28" s="143" t="s">
        <v>183</v>
      </c>
      <c r="C28" s="179">
        <f>SUM('caseload data'!E:E)</f>
        <v>0</v>
      </c>
      <c r="D28" s="179">
        <f>SUM('caseload data'!F:F)</f>
        <v>0</v>
      </c>
      <c r="E28" s="179">
        <f>SUM('caseload data'!G:G)</f>
        <v>0</v>
      </c>
      <c r="F28" s="179">
        <f>SUM('caseload data'!H:H)</f>
        <v>0</v>
      </c>
      <c r="G28" s="179">
        <f>SUM('caseload data'!I:I)</f>
        <v>0</v>
      </c>
      <c r="H28" s="179">
        <f>SUM('caseload data'!J:J)</f>
        <v>0</v>
      </c>
      <c r="I28" s="179">
        <f>SUM('caseload data'!K:K)</f>
        <v>0</v>
      </c>
      <c r="J28" s="179">
        <f>SUM('caseload data'!L:L)</f>
        <v>0</v>
      </c>
      <c r="K28" s="179">
        <f>SUM('caseload data'!M:M)</f>
        <v>0</v>
      </c>
      <c r="L28" s="179">
        <f>SUM('caseload data'!N:N)</f>
        <v>0</v>
      </c>
      <c r="M28" s="179">
        <f>SUM('caseload data'!O:O)</f>
        <v>0</v>
      </c>
      <c r="N28" s="179">
        <f>SUM('caseload data'!P:P)</f>
        <v>0</v>
      </c>
      <c r="O28" s="179">
        <f>SUM('caseload data'!Q:Q)</f>
        <v>0</v>
      </c>
      <c r="P28" s="179">
        <f>SUM('caseload data'!R:R)</f>
        <v>0</v>
      </c>
      <c r="Q28" s="179">
        <f>SUM('caseload data'!S:S)</f>
        <v>0</v>
      </c>
      <c r="R28" s="179">
        <f>SUM('caseload data'!T:T)</f>
        <v>0</v>
      </c>
      <c r="S28" s="179">
        <f>SUM('caseload data'!V:V)</f>
        <v>0</v>
      </c>
      <c r="T28" s="95"/>
      <c r="U28" s="143" t="s">
        <v>183</v>
      </c>
      <c r="V28" s="148" t="e">
        <f>C28/$S$28</f>
        <v>#DIV/0!</v>
      </c>
      <c r="W28" s="148" t="e">
        <f t="shared" ref="W28:AA28" si="97">D28/$S$28</f>
        <v>#DIV/0!</v>
      </c>
      <c r="X28" s="148" t="e">
        <f t="shared" si="97"/>
        <v>#DIV/0!</v>
      </c>
      <c r="Y28" s="148" t="e">
        <f t="shared" si="97"/>
        <v>#DIV/0!</v>
      </c>
      <c r="Z28" s="148" t="e">
        <f t="shared" si="97"/>
        <v>#DIV/0!</v>
      </c>
      <c r="AA28" s="148" t="e">
        <f t="shared" si="97"/>
        <v>#DIV/0!</v>
      </c>
      <c r="AB28" s="148" t="e">
        <f>I28/$S$28</f>
        <v>#DIV/0!</v>
      </c>
      <c r="AC28" s="148" t="e">
        <f t="shared" ref="AC28:AK28" si="98">J28/$S$28</f>
        <v>#DIV/0!</v>
      </c>
      <c r="AD28" s="148" t="e">
        <f t="shared" si="98"/>
        <v>#DIV/0!</v>
      </c>
      <c r="AE28" s="148" t="e">
        <f t="shared" si="98"/>
        <v>#DIV/0!</v>
      </c>
      <c r="AF28" s="148" t="e">
        <f t="shared" si="98"/>
        <v>#DIV/0!</v>
      </c>
      <c r="AG28" s="148" t="e">
        <f t="shared" si="98"/>
        <v>#DIV/0!</v>
      </c>
      <c r="AH28" s="148" t="e">
        <f t="shared" si="98"/>
        <v>#DIV/0!</v>
      </c>
      <c r="AI28" s="148" t="e">
        <f t="shared" si="98"/>
        <v>#DIV/0!</v>
      </c>
      <c r="AJ28" s="148" t="e">
        <f t="shared" si="98"/>
        <v>#DIV/0!</v>
      </c>
      <c r="AK28" s="148" t="e">
        <f t="shared" si="98"/>
        <v>#DIV/0!</v>
      </c>
      <c r="AL28" s="30"/>
    </row>
    <row r="29" spans="2:38" x14ac:dyDescent="0.15">
      <c r="B29" s="30"/>
      <c r="C29" s="30"/>
      <c r="D29" s="30"/>
      <c r="E29" s="30"/>
      <c r="F29" s="30"/>
      <c r="G29" s="30"/>
      <c r="H29" s="30"/>
      <c r="I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  <row r="30" spans="2:38" x14ac:dyDescent="0.15">
      <c r="B30" s="30"/>
      <c r="C30" s="30"/>
      <c r="D30" s="30"/>
      <c r="E30" s="30"/>
      <c r="F30" s="30"/>
      <c r="G30" s="30"/>
      <c r="H30" s="30"/>
      <c r="I30" s="30"/>
      <c r="S30" s="30"/>
      <c r="T30" s="30"/>
      <c r="U30" s="30"/>
      <c r="V30" s="30"/>
      <c r="W30" s="30"/>
      <c r="X30" s="30"/>
      <c r="Y30" s="30"/>
      <c r="Z30" s="30"/>
      <c r="AA30" s="30"/>
      <c r="AB30" s="30"/>
    </row>
    <row r="31" spans="2:38" ht="16" x14ac:dyDescent="0.2">
      <c r="B31" s="30"/>
      <c r="C31" s="312" t="s">
        <v>488</v>
      </c>
      <c r="D31" s="313"/>
      <c r="E31" s="313"/>
      <c r="F31" s="313"/>
      <c r="G31" s="313"/>
      <c r="H31" s="313"/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57"/>
      <c r="T31" s="178"/>
      <c r="U31" s="178"/>
      <c r="V31" s="358" t="s">
        <v>489</v>
      </c>
      <c r="W31" s="358"/>
      <c r="X31" s="358"/>
      <c r="Y31" s="358"/>
      <c r="Z31" s="358"/>
      <c r="AA31" s="358"/>
      <c r="AB31" s="358"/>
    </row>
    <row r="32" spans="2:38" x14ac:dyDescent="0.15">
      <c r="B32" s="180"/>
      <c r="C32" s="58" t="s">
        <v>504</v>
      </c>
      <c r="D32" s="58" t="s">
        <v>503</v>
      </c>
      <c r="E32" s="58" t="s">
        <v>502</v>
      </c>
      <c r="F32" s="58" t="s">
        <v>501</v>
      </c>
      <c r="G32" s="58" t="s">
        <v>510</v>
      </c>
      <c r="H32" s="58" t="s">
        <v>176</v>
      </c>
      <c r="I32" s="58" t="s">
        <v>177</v>
      </c>
      <c r="J32" s="58" t="s">
        <v>505</v>
      </c>
      <c r="K32" s="58" t="s">
        <v>507</v>
      </c>
      <c r="L32" s="58" t="s">
        <v>178</v>
      </c>
      <c r="M32" s="58" t="s">
        <v>179</v>
      </c>
      <c r="N32" s="58" t="s">
        <v>506</v>
      </c>
      <c r="O32" s="58" t="s">
        <v>508</v>
      </c>
      <c r="P32" s="58" t="s">
        <v>180</v>
      </c>
      <c r="Q32" s="58" t="s">
        <v>181</v>
      </c>
      <c r="R32" s="58" t="s">
        <v>509</v>
      </c>
      <c r="S32" s="60" t="s">
        <v>183</v>
      </c>
      <c r="T32" s="30"/>
      <c r="U32" s="87"/>
      <c r="V32" s="58" t="s">
        <v>504</v>
      </c>
      <c r="W32" s="58" t="s">
        <v>503</v>
      </c>
      <c r="X32" s="58" t="s">
        <v>502</v>
      </c>
      <c r="Y32" s="58" t="s">
        <v>501</v>
      </c>
      <c r="Z32" s="58" t="s">
        <v>510</v>
      </c>
      <c r="AA32" s="58" t="s">
        <v>176</v>
      </c>
      <c r="AB32" s="58" t="s">
        <v>177</v>
      </c>
      <c r="AC32" s="58" t="s">
        <v>505</v>
      </c>
      <c r="AD32" s="58" t="s">
        <v>507</v>
      </c>
      <c r="AE32" s="58" t="s">
        <v>178</v>
      </c>
      <c r="AF32" s="58" t="s">
        <v>179</v>
      </c>
      <c r="AG32" s="58" t="s">
        <v>506</v>
      </c>
      <c r="AH32" s="58" t="s">
        <v>508</v>
      </c>
      <c r="AI32" s="58" t="s">
        <v>180</v>
      </c>
      <c r="AJ32" s="58" t="s">
        <v>181</v>
      </c>
      <c r="AK32" s="58" t="s">
        <v>509</v>
      </c>
    </row>
    <row r="33" spans="2:37" x14ac:dyDescent="0.15">
      <c r="B33" s="181" t="s">
        <v>4</v>
      </c>
      <c r="C33" s="177">
        <f>SUMIFS('caseload data'!E:E,'caseload data'!$A:$A,$B33,'caseload data'!$B:$B,"custody")</f>
        <v>0</v>
      </c>
      <c r="D33" s="177">
        <f>SUMIFS('caseload data'!F:F,'caseload data'!$A:$A,$B33,'caseload data'!$B:$B,"custody")</f>
        <v>0</v>
      </c>
      <c r="E33" s="177">
        <f>SUMIFS('caseload data'!G:G,'caseload data'!$A:$A,$B33,'caseload data'!$B:$B,"custody")</f>
        <v>0</v>
      </c>
      <c r="F33" s="177">
        <f>SUMIFS('caseload data'!H:H,'caseload data'!$A:$A,$B33,'caseload data'!$B:$B,"custody")</f>
        <v>0</v>
      </c>
      <c r="G33" s="177">
        <f>SUMIFS('caseload data'!I:I,'caseload data'!$A:$A,$B33,'caseload data'!$B:$B,"custody")</f>
        <v>0</v>
      </c>
      <c r="H33" s="177">
        <f>SUMIFS('caseload data'!J:J,'caseload data'!$A:$A,$B33,'caseload data'!$B:$B,"custody")</f>
        <v>0</v>
      </c>
      <c r="I33" s="177">
        <f>SUMIFS('caseload data'!K:K,'caseload data'!$A:$A,$B33,'caseload data'!$B:$B,"custody")</f>
        <v>0</v>
      </c>
      <c r="J33" s="177">
        <f>SUMIFS('caseload data'!L:L,'caseload data'!$A:$A,$B33,'caseload data'!$B:$B,"custody")</f>
        <v>0</v>
      </c>
      <c r="K33" s="177">
        <f>SUMIFS('caseload data'!M:M,'caseload data'!$A:$A,$B33,'caseload data'!$B:$B,"custody")</f>
        <v>0</v>
      </c>
      <c r="L33" s="177">
        <f>SUMIFS('caseload data'!N:N,'caseload data'!$A:$A,$B33,'caseload data'!$B:$B,"custody")</f>
        <v>0</v>
      </c>
      <c r="M33" s="177">
        <f>SUMIFS('caseload data'!O:O,'caseload data'!$A:$A,$B33,'caseload data'!$B:$B,"custody")</f>
        <v>0</v>
      </c>
      <c r="N33" s="177">
        <f>SUMIFS('caseload data'!P:P,'caseload data'!$A:$A,$B33,'caseload data'!$B:$B,"custody")</f>
        <v>0</v>
      </c>
      <c r="O33" s="177">
        <f>SUMIFS('caseload data'!Q:Q,'caseload data'!$A:$A,$B33,'caseload data'!$B:$B,"custody")</f>
        <v>0</v>
      </c>
      <c r="P33" s="177">
        <f>SUMIFS('caseload data'!R:R,'caseload data'!$A:$A,$B33,'caseload data'!$B:$B,"custody")</f>
        <v>0</v>
      </c>
      <c r="Q33" s="177">
        <f>SUMIFS('caseload data'!S:S,'caseload data'!$A:$A,$B33,'caseload data'!$B:$B,"custody")</f>
        <v>0</v>
      </c>
      <c r="R33" s="177">
        <f>SUMIFS('caseload data'!T:T,'caseload data'!$A:$A,$B33,'caseload data'!$B:$B,"custody")</f>
        <v>0</v>
      </c>
      <c r="S33" s="177">
        <f>SUMIFS('caseload data'!V:V,'caseload data'!$A:$A,B33,'caseload data'!$B:$B,"custody")</f>
        <v>0</v>
      </c>
      <c r="T33" s="95"/>
      <c r="U33" s="181" t="s">
        <v>4</v>
      </c>
      <c r="V33" s="97" t="e">
        <f>C33/$S$33</f>
        <v>#DIV/0!</v>
      </c>
      <c r="W33" s="97" t="e">
        <f t="shared" ref="W33:AB33" si="99">D33/$S$33</f>
        <v>#DIV/0!</v>
      </c>
      <c r="X33" s="97" t="e">
        <f t="shared" si="99"/>
        <v>#DIV/0!</v>
      </c>
      <c r="Y33" s="97" t="e">
        <f t="shared" si="99"/>
        <v>#DIV/0!</v>
      </c>
      <c r="Z33" s="97" t="e">
        <f t="shared" si="99"/>
        <v>#DIV/0!</v>
      </c>
      <c r="AA33" s="97" t="e">
        <f t="shared" si="99"/>
        <v>#DIV/0!</v>
      </c>
      <c r="AB33" s="97" t="e">
        <f t="shared" si="99"/>
        <v>#DIV/0!</v>
      </c>
      <c r="AC33" s="97" t="e">
        <f t="shared" ref="AC33" si="100">J33/$S$33</f>
        <v>#DIV/0!</v>
      </c>
      <c r="AD33" s="97" t="e">
        <f t="shared" ref="AD33" si="101">K33/$S$33</f>
        <v>#DIV/0!</v>
      </c>
      <c r="AE33" s="97" t="e">
        <f t="shared" ref="AE33" si="102">L33/$S$33</f>
        <v>#DIV/0!</v>
      </c>
      <c r="AF33" s="97" t="e">
        <f t="shared" ref="AF33" si="103">M33/$S$33</f>
        <v>#DIV/0!</v>
      </c>
      <c r="AG33" s="97" t="e">
        <f t="shared" ref="AG33:AH33" si="104">N33/$S$33</f>
        <v>#DIV/0!</v>
      </c>
      <c r="AH33" s="97" t="e">
        <f t="shared" si="104"/>
        <v>#DIV/0!</v>
      </c>
      <c r="AI33" s="97" t="e">
        <f t="shared" ref="AI33" si="105">P33/$S$33</f>
        <v>#DIV/0!</v>
      </c>
      <c r="AJ33" s="97" t="e">
        <f t="shared" ref="AJ33" si="106">Q33/$S$33</f>
        <v>#DIV/0!</v>
      </c>
      <c r="AK33" s="97" t="e">
        <f t="shared" ref="AK33" si="107">R33/$S$33</f>
        <v>#DIV/0!</v>
      </c>
    </row>
    <row r="34" spans="2:37" x14ac:dyDescent="0.15">
      <c r="B34" s="181" t="s">
        <v>1014</v>
      </c>
      <c r="C34" s="177">
        <f>SUMIFS('caseload data'!E:E,'caseload data'!$A:$A,$B34,'caseload data'!$B:$B,"custody")</f>
        <v>0</v>
      </c>
      <c r="D34" s="177">
        <f>SUMIFS('caseload data'!F:F,'caseload data'!$A:$A,$B34,'caseload data'!$B:$B,"custody")</f>
        <v>0</v>
      </c>
      <c r="E34" s="177">
        <f>SUMIFS('caseload data'!G:G,'caseload data'!$A:$A,$B34,'caseload data'!$B:$B,"custody")</f>
        <v>0</v>
      </c>
      <c r="F34" s="177">
        <f>SUMIFS('caseload data'!H:H,'caseload data'!$A:$A,$B34,'caseload data'!$B:$B,"custody")</f>
        <v>0</v>
      </c>
      <c r="G34" s="177">
        <f>SUMIFS('caseload data'!I:I,'caseload data'!$A:$A,$B34,'caseload data'!$B:$B,"custody")</f>
        <v>0</v>
      </c>
      <c r="H34" s="177">
        <f>SUMIFS('caseload data'!J:J,'caseload data'!$A:$A,$B34,'caseload data'!$B:$B,"custody")</f>
        <v>0</v>
      </c>
      <c r="I34" s="177">
        <f>SUMIFS('caseload data'!K:K,'caseload data'!$A:$A,$B34,'caseload data'!$B:$B,"custody")</f>
        <v>0</v>
      </c>
      <c r="J34" s="177">
        <f>SUMIFS('caseload data'!L:L,'caseload data'!$A:$A,$B34,'caseload data'!$B:$B,"custody")</f>
        <v>0</v>
      </c>
      <c r="K34" s="177">
        <f>SUMIFS('caseload data'!M:M,'caseload data'!$A:$A,$B34,'caseload data'!$B:$B,"custody")</f>
        <v>0</v>
      </c>
      <c r="L34" s="177">
        <f>SUMIFS('caseload data'!N:N,'caseload data'!$A:$A,$B34,'caseload data'!$B:$B,"custody")</f>
        <v>0</v>
      </c>
      <c r="M34" s="177">
        <f>SUMIFS('caseload data'!O:O,'caseload data'!$A:$A,$B34,'caseload data'!$B:$B,"custody")</f>
        <v>0</v>
      </c>
      <c r="N34" s="177">
        <f>SUMIFS('caseload data'!P:P,'caseload data'!$A:$A,$B34,'caseload data'!$B:$B,"custody")</f>
        <v>0</v>
      </c>
      <c r="O34" s="177">
        <f>SUMIFS('caseload data'!Q:Q,'caseload data'!$A:$A,$B34,'caseload data'!$B:$B,"custody")</f>
        <v>0</v>
      </c>
      <c r="P34" s="177">
        <f>SUMIFS('caseload data'!R:R,'caseload data'!$A:$A,$B34,'caseload data'!$B:$B,"custody")</f>
        <v>0</v>
      </c>
      <c r="Q34" s="177">
        <f>SUMIFS('caseload data'!S:S,'caseload data'!$A:$A,$B34,'caseload data'!$B:$B,"custody")</f>
        <v>0</v>
      </c>
      <c r="R34" s="177">
        <f>SUMIFS('caseload data'!T:T,'caseload data'!$A:$A,$B34,'caseload data'!$B:$B,"custody")</f>
        <v>0</v>
      </c>
      <c r="S34" s="177">
        <f>SUMIFS('caseload data'!V:V,'caseload data'!$A:$A,B34,'caseload data'!$B:$B,"custody")</f>
        <v>0</v>
      </c>
      <c r="T34" s="95"/>
      <c r="U34" s="181" t="s">
        <v>1014</v>
      </c>
      <c r="V34" s="97" t="e">
        <f>C34/$S$34</f>
        <v>#DIV/0!</v>
      </c>
      <c r="W34" s="97" t="e">
        <f t="shared" ref="W34:AB34" si="108">D34/$S$34</f>
        <v>#DIV/0!</v>
      </c>
      <c r="X34" s="97" t="e">
        <f t="shared" si="108"/>
        <v>#DIV/0!</v>
      </c>
      <c r="Y34" s="97" t="e">
        <f t="shared" si="108"/>
        <v>#DIV/0!</v>
      </c>
      <c r="Z34" s="97" t="e">
        <f t="shared" si="108"/>
        <v>#DIV/0!</v>
      </c>
      <c r="AA34" s="97" t="e">
        <f t="shared" si="108"/>
        <v>#DIV/0!</v>
      </c>
      <c r="AB34" s="97" t="e">
        <f t="shared" si="108"/>
        <v>#DIV/0!</v>
      </c>
      <c r="AC34" s="97" t="e">
        <f t="shared" ref="AC34" si="109">J34/$S$34</f>
        <v>#DIV/0!</v>
      </c>
      <c r="AD34" s="97" t="e">
        <f t="shared" ref="AD34" si="110">K34/$S$34</f>
        <v>#DIV/0!</v>
      </c>
      <c r="AE34" s="97" t="e">
        <f t="shared" ref="AE34" si="111">L34/$S$34</f>
        <v>#DIV/0!</v>
      </c>
      <c r="AF34" s="97" t="e">
        <f t="shared" ref="AF34" si="112">M34/$S$34</f>
        <v>#DIV/0!</v>
      </c>
      <c r="AG34" s="97" t="e">
        <f t="shared" ref="AG34:AH34" si="113">N34/$S$34</f>
        <v>#DIV/0!</v>
      </c>
      <c r="AH34" s="97" t="e">
        <f t="shared" si="113"/>
        <v>#DIV/0!</v>
      </c>
      <c r="AI34" s="97" t="e">
        <f t="shared" ref="AI34" si="114">P34/$S$34</f>
        <v>#DIV/0!</v>
      </c>
      <c r="AJ34" s="97" t="e">
        <f t="shared" ref="AJ34" si="115">Q34/$S$34</f>
        <v>#DIV/0!</v>
      </c>
      <c r="AK34" s="97" t="e">
        <f t="shared" ref="AK34" si="116">R34/$S$34</f>
        <v>#DIV/0!</v>
      </c>
    </row>
    <row r="35" spans="2:37" x14ac:dyDescent="0.15">
      <c r="B35" s="181" t="s">
        <v>5</v>
      </c>
      <c r="C35" s="177">
        <f>SUMIFS('caseload data'!E:E,'caseload data'!$A:$A,$B35,'caseload data'!$B:$B,"custody")</f>
        <v>0</v>
      </c>
      <c r="D35" s="177">
        <f>SUMIFS('caseload data'!F:F,'caseload data'!$A:$A,$B35,'caseload data'!$B:$B,"custody")</f>
        <v>0</v>
      </c>
      <c r="E35" s="177">
        <f>SUMIFS('caseload data'!G:G,'caseload data'!$A:$A,$B35,'caseload data'!$B:$B,"custody")</f>
        <v>0</v>
      </c>
      <c r="F35" s="177">
        <f>SUMIFS('caseload data'!H:H,'caseload data'!$A:$A,$B35,'caseload data'!$B:$B,"custody")</f>
        <v>0</v>
      </c>
      <c r="G35" s="177">
        <f>SUMIFS('caseload data'!I:I,'caseload data'!$A:$A,$B35,'caseload data'!$B:$B,"custody")</f>
        <v>0</v>
      </c>
      <c r="H35" s="177">
        <f>SUMIFS('caseload data'!J:J,'caseload data'!$A:$A,$B35,'caseload data'!$B:$B,"custody")</f>
        <v>0</v>
      </c>
      <c r="I35" s="177">
        <f>SUMIFS('caseload data'!K:K,'caseload data'!$A:$A,$B35,'caseload data'!$B:$B,"custody")</f>
        <v>0</v>
      </c>
      <c r="J35" s="177">
        <f>SUMIFS('caseload data'!L:L,'caseload data'!$A:$A,$B35,'caseload data'!$B:$B,"custody")</f>
        <v>0</v>
      </c>
      <c r="K35" s="177">
        <f>SUMIFS('caseload data'!M:M,'caseload data'!$A:$A,$B35,'caseload data'!$B:$B,"custody")</f>
        <v>0</v>
      </c>
      <c r="L35" s="177">
        <f>SUMIFS('caseload data'!N:N,'caseload data'!$A:$A,$B35,'caseload data'!$B:$B,"custody")</f>
        <v>0</v>
      </c>
      <c r="M35" s="177">
        <f>SUMIFS('caseload data'!O:O,'caseload data'!$A:$A,$B35,'caseload data'!$B:$B,"custody")</f>
        <v>0</v>
      </c>
      <c r="N35" s="177">
        <f>SUMIFS('caseload data'!P:P,'caseload data'!$A:$A,$B35,'caseload data'!$B:$B,"custody")</f>
        <v>0</v>
      </c>
      <c r="O35" s="177">
        <f>SUMIFS('caseload data'!Q:Q,'caseload data'!$A:$A,$B35,'caseload data'!$B:$B,"custody")</f>
        <v>0</v>
      </c>
      <c r="P35" s="177">
        <f>SUMIFS('caseload data'!R:R,'caseload data'!$A:$A,$B35,'caseload data'!$B:$B,"custody")</f>
        <v>0</v>
      </c>
      <c r="Q35" s="177">
        <f>SUMIFS('caseload data'!S:S,'caseload data'!$A:$A,$B35,'caseload data'!$B:$B,"custody")</f>
        <v>0</v>
      </c>
      <c r="R35" s="177">
        <f>SUMIFS('caseload data'!T:T,'caseload data'!$A:$A,$B35,'caseload data'!$B:$B,"custody")</f>
        <v>0</v>
      </c>
      <c r="S35" s="177">
        <f>SUMIFS('caseload data'!V:V,'caseload data'!$A:$A,B35,'caseload data'!$B:$B,"custody")</f>
        <v>0</v>
      </c>
      <c r="T35" s="95"/>
      <c r="U35" s="181" t="s">
        <v>5</v>
      </c>
      <c r="V35" s="97" t="e">
        <f>C35/$S$35</f>
        <v>#DIV/0!</v>
      </c>
      <c r="W35" s="97" t="e">
        <f t="shared" ref="W35:AB35" si="117">D35/$S$35</f>
        <v>#DIV/0!</v>
      </c>
      <c r="X35" s="97" t="e">
        <f t="shared" si="117"/>
        <v>#DIV/0!</v>
      </c>
      <c r="Y35" s="97" t="e">
        <f t="shared" si="117"/>
        <v>#DIV/0!</v>
      </c>
      <c r="Z35" s="97" t="e">
        <f t="shared" si="117"/>
        <v>#DIV/0!</v>
      </c>
      <c r="AA35" s="97" t="e">
        <f t="shared" si="117"/>
        <v>#DIV/0!</v>
      </c>
      <c r="AB35" s="97" t="e">
        <f t="shared" si="117"/>
        <v>#DIV/0!</v>
      </c>
      <c r="AC35" s="97" t="e">
        <f t="shared" ref="AC35" si="118">J35/$S$35</f>
        <v>#DIV/0!</v>
      </c>
      <c r="AD35" s="97" t="e">
        <f t="shared" ref="AD35" si="119">K35/$S$35</f>
        <v>#DIV/0!</v>
      </c>
      <c r="AE35" s="97" t="e">
        <f t="shared" ref="AE35" si="120">L35/$S$35</f>
        <v>#DIV/0!</v>
      </c>
      <c r="AF35" s="97" t="e">
        <f t="shared" ref="AF35" si="121">M35/$S$35</f>
        <v>#DIV/0!</v>
      </c>
      <c r="AG35" s="97" t="e">
        <f t="shared" ref="AG35:AH35" si="122">N35/$S$35</f>
        <v>#DIV/0!</v>
      </c>
      <c r="AH35" s="97" t="e">
        <f t="shared" si="122"/>
        <v>#DIV/0!</v>
      </c>
      <c r="AI35" s="97" t="e">
        <f t="shared" ref="AI35" si="123">P35/$S$35</f>
        <v>#DIV/0!</v>
      </c>
      <c r="AJ35" s="97" t="e">
        <f t="shared" ref="AJ35" si="124">Q35/$S$35</f>
        <v>#DIV/0!</v>
      </c>
      <c r="AK35" s="97" t="e">
        <f t="shared" ref="AK35" si="125">R35/$S$35</f>
        <v>#DIV/0!</v>
      </c>
    </row>
    <row r="36" spans="2:37" s="30" customFormat="1" x14ac:dyDescent="0.15">
      <c r="B36" s="181" t="s">
        <v>6</v>
      </c>
      <c r="C36" s="177">
        <f>SUMIFS('caseload data'!E:E,'caseload data'!$A:$A,$B36,'caseload data'!$B:$B,"custody")</f>
        <v>0</v>
      </c>
      <c r="D36" s="177">
        <f>SUMIFS('caseload data'!F:F,'caseload data'!$A:$A,$B36,'caseload data'!$B:$B,"custody")</f>
        <v>0</v>
      </c>
      <c r="E36" s="177">
        <f>SUMIFS('caseload data'!G:G,'caseload data'!$A:$A,$B36,'caseload data'!$B:$B,"custody")</f>
        <v>0</v>
      </c>
      <c r="F36" s="177">
        <f>SUMIFS('caseload data'!H:H,'caseload data'!$A:$A,$B36,'caseload data'!$B:$B,"custody")</f>
        <v>0</v>
      </c>
      <c r="G36" s="177">
        <f>SUMIFS('caseload data'!I:I,'caseload data'!$A:$A,$B36,'caseload data'!$B:$B,"custody")</f>
        <v>0</v>
      </c>
      <c r="H36" s="177">
        <f>SUMIFS('caseload data'!J:J,'caseload data'!$A:$A,$B36,'caseload data'!$B:$B,"custody")</f>
        <v>0</v>
      </c>
      <c r="I36" s="177">
        <f>SUMIFS('caseload data'!K:K,'caseload data'!$A:$A,$B36,'caseload data'!$B:$B,"custody")</f>
        <v>0</v>
      </c>
      <c r="J36" s="177">
        <f>SUMIFS('caseload data'!L:L,'caseload data'!$A:$A,$B36,'caseload data'!$B:$B,"custody")</f>
        <v>0</v>
      </c>
      <c r="K36" s="177">
        <f>SUMIFS('caseload data'!M:M,'caseload data'!$A:$A,$B36,'caseload data'!$B:$B,"custody")</f>
        <v>0</v>
      </c>
      <c r="L36" s="177">
        <f>SUMIFS('caseload data'!N:N,'caseload data'!$A:$A,$B36,'caseload data'!$B:$B,"custody")</f>
        <v>0</v>
      </c>
      <c r="M36" s="177">
        <f>SUMIFS('caseload data'!O:O,'caseload data'!$A:$A,$B36,'caseload data'!$B:$B,"custody")</f>
        <v>0</v>
      </c>
      <c r="N36" s="177">
        <f>SUMIFS('caseload data'!P:P,'caseload data'!$A:$A,$B36,'caseload data'!$B:$B,"custody")</f>
        <v>0</v>
      </c>
      <c r="O36" s="177">
        <f>SUMIFS('caseload data'!Q:Q,'caseload data'!$A:$A,$B36,'caseload data'!$B:$B,"custody")</f>
        <v>0</v>
      </c>
      <c r="P36" s="177">
        <f>SUMIFS('caseload data'!R:R,'caseload data'!$A:$A,$B36,'caseload data'!$B:$B,"custody")</f>
        <v>0</v>
      </c>
      <c r="Q36" s="177">
        <f>SUMIFS('caseload data'!S:S,'caseload data'!$A:$A,$B36,'caseload data'!$B:$B,"custody")</f>
        <v>0</v>
      </c>
      <c r="R36" s="177">
        <f>SUMIFS('caseload data'!T:T,'caseload data'!$A:$A,$B36,'caseload data'!$B:$B,"custody")</f>
        <v>0</v>
      </c>
      <c r="S36" s="177">
        <f>SUMIFS('caseload data'!V:V,'caseload data'!$A:$A,B36,'caseload data'!$B:$B,"custody")</f>
        <v>0</v>
      </c>
      <c r="T36" s="95"/>
      <c r="U36" s="181" t="s">
        <v>6</v>
      </c>
      <c r="V36" s="97" t="e">
        <f>C36/$S$36</f>
        <v>#DIV/0!</v>
      </c>
      <c r="W36" s="97" t="e">
        <f t="shared" ref="W36:AB36" si="126">D36/$S$36</f>
        <v>#DIV/0!</v>
      </c>
      <c r="X36" s="97" t="e">
        <f t="shared" si="126"/>
        <v>#DIV/0!</v>
      </c>
      <c r="Y36" s="97" t="e">
        <f t="shared" si="126"/>
        <v>#DIV/0!</v>
      </c>
      <c r="Z36" s="97" t="e">
        <f t="shared" si="126"/>
        <v>#DIV/0!</v>
      </c>
      <c r="AA36" s="97" t="e">
        <f t="shared" si="126"/>
        <v>#DIV/0!</v>
      </c>
      <c r="AB36" s="97" t="e">
        <f t="shared" si="126"/>
        <v>#DIV/0!</v>
      </c>
      <c r="AC36" s="97" t="e">
        <f t="shared" ref="AC36" si="127">J36/$S$36</f>
        <v>#DIV/0!</v>
      </c>
      <c r="AD36" s="97" t="e">
        <f t="shared" ref="AD36" si="128">K36/$S$36</f>
        <v>#DIV/0!</v>
      </c>
      <c r="AE36" s="97" t="e">
        <f t="shared" ref="AE36" si="129">L36/$S$36</f>
        <v>#DIV/0!</v>
      </c>
      <c r="AF36" s="97" t="e">
        <f t="shared" ref="AF36" si="130">M36/$S$36</f>
        <v>#DIV/0!</v>
      </c>
      <c r="AG36" s="97" t="e">
        <f t="shared" ref="AG36:AH36" si="131">N36/$S$36</f>
        <v>#DIV/0!</v>
      </c>
      <c r="AH36" s="97" t="e">
        <f t="shared" si="131"/>
        <v>#DIV/0!</v>
      </c>
      <c r="AI36" s="97" t="e">
        <f t="shared" ref="AI36" si="132">P36/$S$36</f>
        <v>#DIV/0!</v>
      </c>
      <c r="AJ36" s="97" t="e">
        <f t="shared" ref="AJ36" si="133">Q36/$S$36</f>
        <v>#DIV/0!</v>
      </c>
      <c r="AK36" s="97" t="e">
        <f t="shared" ref="AK36" si="134">R36/$S$36</f>
        <v>#DIV/0!</v>
      </c>
    </row>
    <row r="37" spans="2:37" s="30" customFormat="1" x14ac:dyDescent="0.15">
      <c r="B37" s="181" t="s">
        <v>376</v>
      </c>
      <c r="C37" s="177">
        <f>SUMIFS('caseload data'!E:E,'caseload data'!$A:$A,$B37,'caseload data'!$B:$B,"custody")</f>
        <v>0</v>
      </c>
      <c r="D37" s="177">
        <f>SUMIFS('caseload data'!F:F,'caseload data'!$A:$A,$B37,'caseload data'!$B:$B,"custody")</f>
        <v>0</v>
      </c>
      <c r="E37" s="177">
        <f>SUMIFS('caseload data'!G:G,'caseload data'!$A:$A,$B37,'caseload data'!$B:$B,"custody")</f>
        <v>0</v>
      </c>
      <c r="F37" s="177">
        <f>SUMIFS('caseload data'!H:H,'caseload data'!$A:$A,$B37,'caseload data'!$B:$B,"custody")</f>
        <v>0</v>
      </c>
      <c r="G37" s="177">
        <f>SUMIFS('caseload data'!I:I,'caseload data'!$A:$A,$B37,'caseload data'!$B:$B,"custody")</f>
        <v>0</v>
      </c>
      <c r="H37" s="177">
        <f>SUMIFS('caseload data'!J:J,'caseload data'!$A:$A,$B37,'caseload data'!$B:$B,"custody")</f>
        <v>0</v>
      </c>
      <c r="I37" s="177">
        <f>SUMIFS('caseload data'!K:K,'caseload data'!$A:$A,$B37,'caseload data'!$B:$B,"custody")</f>
        <v>0</v>
      </c>
      <c r="J37" s="177">
        <f>SUMIFS('caseload data'!L:L,'caseload data'!$A:$A,$B37,'caseload data'!$B:$B,"custody")</f>
        <v>0</v>
      </c>
      <c r="K37" s="177">
        <f>SUMIFS('caseload data'!M:M,'caseload data'!$A:$A,$B37,'caseload data'!$B:$B,"custody")</f>
        <v>0</v>
      </c>
      <c r="L37" s="177">
        <f>SUMIFS('caseload data'!N:N,'caseload data'!$A:$A,$B37,'caseload data'!$B:$B,"custody")</f>
        <v>0</v>
      </c>
      <c r="M37" s="177">
        <f>SUMIFS('caseload data'!O:O,'caseload data'!$A:$A,$B37,'caseload data'!$B:$B,"custody")</f>
        <v>0</v>
      </c>
      <c r="N37" s="177">
        <f>SUMIFS('caseload data'!P:P,'caseload data'!$A:$A,$B37,'caseload data'!$B:$B,"custody")</f>
        <v>0</v>
      </c>
      <c r="O37" s="177">
        <f>SUMIFS('caseload data'!Q:Q,'caseload data'!$A:$A,$B37,'caseload data'!$B:$B,"custody")</f>
        <v>0</v>
      </c>
      <c r="P37" s="177">
        <f>SUMIFS('caseload data'!R:R,'caseload data'!$A:$A,$B37,'caseload data'!$B:$B,"custody")</f>
        <v>0</v>
      </c>
      <c r="Q37" s="177">
        <f>SUMIFS('caseload data'!S:S,'caseload data'!$A:$A,$B37,'caseload data'!$B:$B,"custody")</f>
        <v>0</v>
      </c>
      <c r="R37" s="177">
        <f>SUMIFS('caseload data'!T:T,'caseload data'!$A:$A,$B37,'caseload data'!$B:$B,"custody")</f>
        <v>0</v>
      </c>
      <c r="S37" s="177">
        <f>SUMIFS('caseload data'!V:V,'caseload data'!$A:$A,B37,'caseload data'!$B:$B,"custody")</f>
        <v>0</v>
      </c>
      <c r="T37" s="95"/>
      <c r="U37" s="181" t="s">
        <v>376</v>
      </c>
      <c r="V37" s="97" t="e">
        <f>C37/$S$37</f>
        <v>#DIV/0!</v>
      </c>
      <c r="W37" s="97" t="e">
        <f t="shared" ref="W37:AB37" si="135">D37/$S$37</f>
        <v>#DIV/0!</v>
      </c>
      <c r="X37" s="97" t="e">
        <f t="shared" si="135"/>
        <v>#DIV/0!</v>
      </c>
      <c r="Y37" s="97" t="e">
        <f t="shared" si="135"/>
        <v>#DIV/0!</v>
      </c>
      <c r="Z37" s="97" t="e">
        <f t="shared" si="135"/>
        <v>#DIV/0!</v>
      </c>
      <c r="AA37" s="97" t="e">
        <f t="shared" si="135"/>
        <v>#DIV/0!</v>
      </c>
      <c r="AB37" s="97" t="e">
        <f t="shared" si="135"/>
        <v>#DIV/0!</v>
      </c>
      <c r="AC37" s="97" t="e">
        <f t="shared" ref="AC37" si="136">J37/$S$37</f>
        <v>#DIV/0!</v>
      </c>
      <c r="AD37" s="97" t="e">
        <f t="shared" ref="AD37" si="137">K37/$S$37</f>
        <v>#DIV/0!</v>
      </c>
      <c r="AE37" s="97" t="e">
        <f t="shared" ref="AE37" si="138">L37/$S$37</f>
        <v>#DIV/0!</v>
      </c>
      <c r="AF37" s="97" t="e">
        <f t="shared" ref="AF37" si="139">M37/$S$37</f>
        <v>#DIV/0!</v>
      </c>
      <c r="AG37" s="97" t="e">
        <f t="shared" ref="AG37:AH37" si="140">N37/$S$37</f>
        <v>#DIV/0!</v>
      </c>
      <c r="AH37" s="97" t="e">
        <f t="shared" si="140"/>
        <v>#DIV/0!</v>
      </c>
      <c r="AI37" s="97" t="e">
        <f t="shared" ref="AI37" si="141">P37/$S$37</f>
        <v>#DIV/0!</v>
      </c>
      <c r="AJ37" s="97" t="e">
        <f t="shared" ref="AJ37" si="142">Q37/$S$37</f>
        <v>#DIV/0!</v>
      </c>
      <c r="AK37" s="97" t="e">
        <f t="shared" ref="AK37" si="143">R37/$S$37</f>
        <v>#DIV/0!</v>
      </c>
    </row>
    <row r="38" spans="2:37" s="30" customFormat="1" x14ac:dyDescent="0.15">
      <c r="B38" s="181" t="s">
        <v>1130</v>
      </c>
      <c r="C38" s="177">
        <f>SUMIFS('caseload data'!E:E,'caseload data'!$A:$A,$B38,'caseload data'!$B:$B,"custody")</f>
        <v>0</v>
      </c>
      <c r="D38" s="177">
        <f>SUMIFS('caseload data'!F:F,'caseload data'!$A:$A,$B38,'caseload data'!$B:$B,"custody")</f>
        <v>0</v>
      </c>
      <c r="E38" s="177">
        <f>SUMIFS('caseload data'!G:G,'caseload data'!$A:$A,$B38,'caseload data'!$B:$B,"custody")</f>
        <v>0</v>
      </c>
      <c r="F38" s="177">
        <f>SUMIFS('caseload data'!H:H,'caseload data'!$A:$A,$B38,'caseload data'!$B:$B,"custody")</f>
        <v>0</v>
      </c>
      <c r="G38" s="177">
        <f>SUMIFS('caseload data'!I:I,'caseload data'!$A:$A,$B38,'caseload data'!$B:$B,"custody")</f>
        <v>0</v>
      </c>
      <c r="H38" s="177">
        <f>SUMIFS('caseload data'!J:J,'caseload data'!$A:$A,$B38,'caseload data'!$B:$B,"custody")</f>
        <v>0</v>
      </c>
      <c r="I38" s="177">
        <f>SUMIFS('caseload data'!K:K,'caseload data'!$A:$A,$B38,'caseload data'!$B:$B,"custody")</f>
        <v>0</v>
      </c>
      <c r="J38" s="177">
        <f>SUMIFS('caseload data'!L:L,'caseload data'!$A:$A,$B38,'caseload data'!$B:$B,"custody")</f>
        <v>0</v>
      </c>
      <c r="K38" s="177">
        <f>SUMIFS('caseload data'!M:M,'caseload data'!$A:$A,$B38,'caseload data'!$B:$B,"custody")</f>
        <v>0</v>
      </c>
      <c r="L38" s="177">
        <f>SUMIFS('caseload data'!N:N,'caseload data'!$A:$A,$B38,'caseload data'!$B:$B,"custody")</f>
        <v>0</v>
      </c>
      <c r="M38" s="177">
        <f>SUMIFS('caseload data'!O:O,'caseload data'!$A:$A,$B38,'caseload data'!$B:$B,"custody")</f>
        <v>0</v>
      </c>
      <c r="N38" s="177">
        <f>SUMIFS('caseload data'!P:P,'caseload data'!$A:$A,$B38,'caseload data'!$B:$B,"custody")</f>
        <v>0</v>
      </c>
      <c r="O38" s="177">
        <f>SUMIFS('caseload data'!Q:Q,'caseload data'!$A:$A,$B38,'caseload data'!$B:$B,"custody")</f>
        <v>0</v>
      </c>
      <c r="P38" s="177">
        <f>SUMIFS('caseload data'!R:R,'caseload data'!$A:$A,$B38,'caseload data'!$B:$B,"custody")</f>
        <v>0</v>
      </c>
      <c r="Q38" s="177">
        <f>SUMIFS('caseload data'!S:S,'caseload data'!$A:$A,$B38,'caseload data'!$B:$B,"custody")</f>
        <v>0</v>
      </c>
      <c r="R38" s="177">
        <f>SUMIFS('caseload data'!T:T,'caseload data'!$A:$A,$B38,'caseload data'!$B:$B,"custody")</f>
        <v>0</v>
      </c>
      <c r="S38" s="177">
        <f>SUMIFS('caseload data'!V:V,'caseload data'!$A:$A,B38,'caseload data'!$B:$B,"custody")</f>
        <v>0</v>
      </c>
      <c r="T38" s="95"/>
      <c r="U38" s="181" t="s">
        <v>1130</v>
      </c>
      <c r="V38" s="97" t="e">
        <f>C38/$S$38</f>
        <v>#DIV/0!</v>
      </c>
      <c r="W38" s="97" t="e">
        <f t="shared" ref="W38:AB38" si="144">D38/$S$38</f>
        <v>#DIV/0!</v>
      </c>
      <c r="X38" s="97" t="e">
        <f t="shared" si="144"/>
        <v>#DIV/0!</v>
      </c>
      <c r="Y38" s="97" t="e">
        <f t="shared" si="144"/>
        <v>#DIV/0!</v>
      </c>
      <c r="Z38" s="97" t="e">
        <f t="shared" si="144"/>
        <v>#DIV/0!</v>
      </c>
      <c r="AA38" s="97" t="e">
        <f t="shared" si="144"/>
        <v>#DIV/0!</v>
      </c>
      <c r="AB38" s="97" t="e">
        <f t="shared" si="144"/>
        <v>#DIV/0!</v>
      </c>
      <c r="AC38" s="97" t="e">
        <f t="shared" ref="AC38" si="145">J38/$S$38</f>
        <v>#DIV/0!</v>
      </c>
      <c r="AD38" s="97" t="e">
        <f t="shared" ref="AD38" si="146">K38/$S$38</f>
        <v>#DIV/0!</v>
      </c>
      <c r="AE38" s="97" t="e">
        <f t="shared" ref="AE38" si="147">L38/$S$38</f>
        <v>#DIV/0!</v>
      </c>
      <c r="AF38" s="97" t="e">
        <f t="shared" ref="AF38" si="148">M38/$S$38</f>
        <v>#DIV/0!</v>
      </c>
      <c r="AG38" s="97" t="e">
        <f t="shared" ref="AG38:AH38" si="149">N38/$S$38</f>
        <v>#DIV/0!</v>
      </c>
      <c r="AH38" s="97" t="e">
        <f t="shared" si="149"/>
        <v>#DIV/0!</v>
      </c>
      <c r="AI38" s="97" t="e">
        <f t="shared" ref="AI38" si="150">P38/$S$38</f>
        <v>#DIV/0!</v>
      </c>
      <c r="AJ38" s="97" t="e">
        <f t="shared" ref="AJ38" si="151">Q38/$S$38</f>
        <v>#DIV/0!</v>
      </c>
      <c r="AK38" s="97" t="e">
        <f t="shared" ref="AK38" si="152">R38/$S$38</f>
        <v>#DIV/0!</v>
      </c>
    </row>
    <row r="39" spans="2:37" s="30" customFormat="1" x14ac:dyDescent="0.15">
      <c r="B39" s="181" t="s">
        <v>7</v>
      </c>
      <c r="C39" s="177">
        <f>SUMIFS('caseload data'!E:E,'caseload data'!$A:$A,$B39,'caseload data'!$B:$B,"custody")</f>
        <v>0</v>
      </c>
      <c r="D39" s="177">
        <f>SUMIFS('caseload data'!F:F,'caseload data'!$A:$A,$B39,'caseload data'!$B:$B,"custody")</f>
        <v>0</v>
      </c>
      <c r="E39" s="177">
        <f>SUMIFS('caseload data'!G:G,'caseload data'!$A:$A,$B39,'caseload data'!$B:$B,"custody")</f>
        <v>0</v>
      </c>
      <c r="F39" s="177">
        <f>SUMIFS('caseload data'!H:H,'caseload data'!$A:$A,$B39,'caseload data'!$B:$B,"custody")</f>
        <v>0</v>
      </c>
      <c r="G39" s="177">
        <f>SUMIFS('caseload data'!I:I,'caseload data'!$A:$A,$B39,'caseload data'!$B:$B,"custody")</f>
        <v>0</v>
      </c>
      <c r="H39" s="177">
        <f>SUMIFS('caseload data'!J:J,'caseload data'!$A:$A,$B39,'caseload data'!$B:$B,"custody")</f>
        <v>0</v>
      </c>
      <c r="I39" s="177">
        <f>SUMIFS('caseload data'!K:K,'caseload data'!$A:$A,$B39,'caseload data'!$B:$B,"custody")</f>
        <v>0</v>
      </c>
      <c r="J39" s="177">
        <f>SUMIFS('caseload data'!L:L,'caseload data'!$A:$A,$B39,'caseload data'!$B:$B,"custody")</f>
        <v>0</v>
      </c>
      <c r="K39" s="177">
        <f>SUMIFS('caseload data'!M:M,'caseload data'!$A:$A,$B39,'caseload data'!$B:$B,"custody")</f>
        <v>0</v>
      </c>
      <c r="L39" s="177">
        <f>SUMIFS('caseload data'!N:N,'caseload data'!$A:$A,$B39,'caseload data'!$B:$B,"custody")</f>
        <v>0</v>
      </c>
      <c r="M39" s="177">
        <f>SUMIFS('caseload data'!O:O,'caseload data'!$A:$A,$B39,'caseload data'!$B:$B,"custody")</f>
        <v>0</v>
      </c>
      <c r="N39" s="177">
        <f>SUMIFS('caseload data'!P:P,'caseload data'!$A:$A,$B39,'caseload data'!$B:$B,"custody")</f>
        <v>0</v>
      </c>
      <c r="O39" s="177">
        <f>SUMIFS('caseload data'!Q:Q,'caseload data'!$A:$A,$B39,'caseload data'!$B:$B,"custody")</f>
        <v>0</v>
      </c>
      <c r="P39" s="177">
        <f>SUMIFS('caseload data'!R:R,'caseload data'!$A:$A,$B39,'caseload data'!$B:$B,"custody")</f>
        <v>0</v>
      </c>
      <c r="Q39" s="177">
        <f>SUMIFS('caseload data'!S:S,'caseload data'!$A:$A,$B39,'caseload data'!$B:$B,"custody")</f>
        <v>0</v>
      </c>
      <c r="R39" s="177">
        <f>SUMIFS('caseload data'!T:T,'caseload data'!$A:$A,$B39,'caseload data'!$B:$B,"custody")</f>
        <v>0</v>
      </c>
      <c r="S39" s="177">
        <f>SUMIFS('caseload data'!V:V,'caseload data'!$A:$A,B39,'caseload data'!$B:$B,"custody")</f>
        <v>0</v>
      </c>
      <c r="T39" s="95"/>
      <c r="U39" s="181" t="s">
        <v>7</v>
      </c>
      <c r="V39" s="97" t="e">
        <f>C39/$S$39</f>
        <v>#DIV/0!</v>
      </c>
      <c r="W39" s="97" t="e">
        <f t="shared" ref="W39:AA39" si="153">D39/$S$39</f>
        <v>#DIV/0!</v>
      </c>
      <c r="X39" s="97" t="e">
        <f t="shared" si="153"/>
        <v>#DIV/0!</v>
      </c>
      <c r="Y39" s="97" t="e">
        <f t="shared" si="153"/>
        <v>#DIV/0!</v>
      </c>
      <c r="Z39" s="97" t="e">
        <f t="shared" si="153"/>
        <v>#DIV/0!</v>
      </c>
      <c r="AA39" s="97" t="e">
        <f t="shared" si="153"/>
        <v>#DIV/0!</v>
      </c>
      <c r="AB39" s="97" t="e">
        <f t="shared" ref="AB39" si="154">I39/$S$39</f>
        <v>#DIV/0!</v>
      </c>
      <c r="AC39" s="97" t="e">
        <f t="shared" ref="AC39" si="155">J39/$S$39</f>
        <v>#DIV/0!</v>
      </c>
      <c r="AD39" s="97" t="e">
        <f t="shared" ref="AD39" si="156">K39/$S$39</f>
        <v>#DIV/0!</v>
      </c>
      <c r="AE39" s="97" t="e">
        <f t="shared" ref="AE39" si="157">L39/$S$39</f>
        <v>#DIV/0!</v>
      </c>
      <c r="AF39" s="97" t="e">
        <f t="shared" ref="AF39" si="158">M39/$S$39</f>
        <v>#DIV/0!</v>
      </c>
      <c r="AG39" s="97" t="e">
        <f t="shared" ref="AG39" si="159">N39/$S$39</f>
        <v>#DIV/0!</v>
      </c>
      <c r="AH39" s="97" t="e">
        <f t="shared" ref="AH39" si="160">O39/$S$39</f>
        <v>#DIV/0!</v>
      </c>
      <c r="AI39" s="97" t="e">
        <f t="shared" ref="AI39" si="161">P39/$S$39</f>
        <v>#DIV/0!</v>
      </c>
      <c r="AJ39" s="97" t="e">
        <f t="shared" ref="AJ39" si="162">Q39/$S$39</f>
        <v>#DIV/0!</v>
      </c>
      <c r="AK39" s="97" t="e">
        <f t="shared" ref="AK39" si="163">R39/$S$39</f>
        <v>#DIV/0!</v>
      </c>
    </row>
    <row r="40" spans="2:37" s="30" customFormat="1" x14ac:dyDescent="0.15">
      <c r="B40" s="181" t="s">
        <v>1132</v>
      </c>
      <c r="C40" s="177">
        <f>SUMIFS('caseload data'!E:E,'caseload data'!$A:$A,$B40,'caseload data'!$B:$B,"custody")</f>
        <v>0</v>
      </c>
      <c r="D40" s="177">
        <f>SUMIFS('caseload data'!F:F,'caseload data'!$A:$A,$B40,'caseload data'!$B:$B,"custody")</f>
        <v>0</v>
      </c>
      <c r="E40" s="177">
        <f>SUMIFS('caseload data'!G:G,'caseload data'!$A:$A,$B40,'caseload data'!$B:$B,"custody")</f>
        <v>0</v>
      </c>
      <c r="F40" s="177">
        <f>SUMIFS('caseload data'!H:H,'caseload data'!$A:$A,$B40,'caseload data'!$B:$B,"custody")</f>
        <v>0</v>
      </c>
      <c r="G40" s="177">
        <f>SUMIFS('caseload data'!I:I,'caseload data'!$A:$A,$B40,'caseload data'!$B:$B,"custody")</f>
        <v>0</v>
      </c>
      <c r="H40" s="177">
        <f>SUMIFS('caseload data'!J:J,'caseload data'!$A:$A,$B40,'caseload data'!$B:$B,"custody")</f>
        <v>0</v>
      </c>
      <c r="I40" s="177">
        <f>SUMIFS('caseload data'!K:K,'caseload data'!$A:$A,$B40,'caseload data'!$B:$B,"custody")</f>
        <v>0</v>
      </c>
      <c r="J40" s="177">
        <f>SUMIFS('caseload data'!L:L,'caseload data'!$A:$A,$B40,'caseload data'!$B:$B,"custody")</f>
        <v>0</v>
      </c>
      <c r="K40" s="177">
        <f>SUMIFS('caseload data'!M:M,'caseload data'!$A:$A,$B40,'caseload data'!$B:$B,"custody")</f>
        <v>0</v>
      </c>
      <c r="L40" s="177">
        <f>SUMIFS('caseload data'!N:N,'caseload data'!$A:$A,$B40,'caseload data'!$B:$B,"custody")</f>
        <v>0</v>
      </c>
      <c r="M40" s="177">
        <f>SUMIFS('caseload data'!O:O,'caseload data'!$A:$A,$B40,'caseload data'!$B:$B,"custody")</f>
        <v>0</v>
      </c>
      <c r="N40" s="177">
        <f>SUMIFS('caseload data'!P:P,'caseload data'!$A:$A,$B40,'caseload data'!$B:$B,"custody")</f>
        <v>0</v>
      </c>
      <c r="O40" s="177">
        <f>SUMIFS('caseload data'!Q:Q,'caseload data'!$A:$A,$B40,'caseload data'!$B:$B,"custody")</f>
        <v>0</v>
      </c>
      <c r="P40" s="177">
        <f>SUMIFS('caseload data'!R:R,'caseload data'!$A:$A,$B40,'caseload data'!$B:$B,"custody")</f>
        <v>0</v>
      </c>
      <c r="Q40" s="177">
        <f>SUMIFS('caseload data'!S:S,'caseload data'!$A:$A,$B40,'caseload data'!$B:$B,"custody")</f>
        <v>0</v>
      </c>
      <c r="R40" s="177">
        <f>SUMIFS('caseload data'!T:T,'caseload data'!$A:$A,$B40,'caseload data'!$B:$B,"custody")</f>
        <v>0</v>
      </c>
      <c r="S40" s="177">
        <f>SUMIFS('caseload data'!V:V,'caseload data'!$A:$A,B40,'caseload data'!$B:$B,"custody")</f>
        <v>0</v>
      </c>
      <c r="T40" s="95"/>
      <c r="U40" s="181" t="s">
        <v>1132</v>
      </c>
      <c r="V40" s="97" t="e">
        <f t="shared" ref="V40:AK40" si="164">C40/$S$40</f>
        <v>#DIV/0!</v>
      </c>
      <c r="W40" s="97" t="e">
        <f t="shared" si="164"/>
        <v>#DIV/0!</v>
      </c>
      <c r="X40" s="97" t="e">
        <f t="shared" si="164"/>
        <v>#DIV/0!</v>
      </c>
      <c r="Y40" s="97" t="e">
        <f t="shared" si="164"/>
        <v>#DIV/0!</v>
      </c>
      <c r="Z40" s="97" t="e">
        <f t="shared" si="164"/>
        <v>#DIV/0!</v>
      </c>
      <c r="AA40" s="97" t="e">
        <f t="shared" si="164"/>
        <v>#DIV/0!</v>
      </c>
      <c r="AB40" s="97" t="e">
        <f t="shared" si="164"/>
        <v>#DIV/0!</v>
      </c>
      <c r="AC40" s="97" t="e">
        <f t="shared" si="164"/>
        <v>#DIV/0!</v>
      </c>
      <c r="AD40" s="97" t="e">
        <f t="shared" si="164"/>
        <v>#DIV/0!</v>
      </c>
      <c r="AE40" s="97" t="e">
        <f t="shared" si="164"/>
        <v>#DIV/0!</v>
      </c>
      <c r="AF40" s="97" t="e">
        <f t="shared" si="164"/>
        <v>#DIV/0!</v>
      </c>
      <c r="AG40" s="97" t="e">
        <f t="shared" si="164"/>
        <v>#DIV/0!</v>
      </c>
      <c r="AH40" s="97" t="e">
        <f t="shared" si="164"/>
        <v>#DIV/0!</v>
      </c>
      <c r="AI40" s="97" t="e">
        <f t="shared" si="164"/>
        <v>#DIV/0!</v>
      </c>
      <c r="AJ40" s="97" t="e">
        <f t="shared" si="164"/>
        <v>#DIV/0!</v>
      </c>
      <c r="AK40" s="97" t="e">
        <f t="shared" si="164"/>
        <v>#DIV/0!</v>
      </c>
    </row>
    <row r="41" spans="2:37" x14ac:dyDescent="0.15">
      <c r="B41" s="181" t="s">
        <v>1217</v>
      </c>
      <c r="C41" s="177">
        <f>SUMIFS('caseload data'!E:E,'caseload data'!$A:$A,$B41,'caseload data'!$B:$B,"custody")</f>
        <v>0</v>
      </c>
      <c r="D41" s="177">
        <f>SUMIFS('caseload data'!F:F,'caseload data'!$A:$A,$B41,'caseload data'!$B:$B,"custody")</f>
        <v>0</v>
      </c>
      <c r="E41" s="177">
        <f>SUMIFS('caseload data'!G:G,'caseload data'!$A:$A,$B41,'caseload data'!$B:$B,"custody")</f>
        <v>0</v>
      </c>
      <c r="F41" s="177">
        <f>SUMIFS('caseload data'!H:H,'caseload data'!$A:$A,$B41,'caseload data'!$B:$B,"custody")</f>
        <v>0</v>
      </c>
      <c r="G41" s="177">
        <f>SUMIFS('caseload data'!I:I,'caseload data'!$A:$A,$B41,'caseload data'!$B:$B,"custody")</f>
        <v>0</v>
      </c>
      <c r="H41" s="177">
        <f>SUMIFS('caseload data'!J:J,'caseload data'!$A:$A,$B41,'caseload data'!$B:$B,"custody")</f>
        <v>0</v>
      </c>
      <c r="I41" s="177">
        <f>SUMIFS('caseload data'!K:K,'caseload data'!$A:$A,$B41,'caseload data'!$B:$B,"custody")</f>
        <v>0</v>
      </c>
      <c r="J41" s="177">
        <f>SUMIFS('caseload data'!L:L,'caseload data'!$A:$A,$B41,'caseload data'!$B:$B,"custody")</f>
        <v>0</v>
      </c>
      <c r="K41" s="177">
        <f>SUMIFS('caseload data'!M:M,'caseload data'!$A:$A,$B41,'caseload data'!$B:$B,"custody")</f>
        <v>0</v>
      </c>
      <c r="L41" s="177">
        <f>SUMIFS('caseload data'!N:N,'caseload data'!$A:$A,$B41,'caseload data'!$B:$B,"custody")</f>
        <v>0</v>
      </c>
      <c r="M41" s="177">
        <f>SUMIFS('caseload data'!O:O,'caseload data'!$A:$A,$B41,'caseload data'!$B:$B,"custody")</f>
        <v>0</v>
      </c>
      <c r="N41" s="177">
        <f>SUMIFS('caseload data'!P:P,'caseload data'!$A:$A,$B41,'caseload data'!$B:$B,"custody")</f>
        <v>0</v>
      </c>
      <c r="O41" s="177">
        <f>SUMIFS('caseload data'!Q:Q,'caseload data'!$A:$A,$B41,'caseload data'!$B:$B,"custody")</f>
        <v>0</v>
      </c>
      <c r="P41" s="177">
        <f>SUMIFS('caseload data'!R:R,'caseload data'!$A:$A,$B41,'caseload data'!$B:$B,"custody")</f>
        <v>0</v>
      </c>
      <c r="Q41" s="177">
        <f>SUMIFS('caseload data'!S:S,'caseload data'!$A:$A,$B41,'caseload data'!$B:$B,"custody")</f>
        <v>0</v>
      </c>
      <c r="R41" s="177">
        <f>SUMIFS('caseload data'!T:T,'caseload data'!$A:$A,$B41,'caseload data'!$B:$B,"custody")</f>
        <v>0</v>
      </c>
      <c r="S41" s="177">
        <f>SUMIFS('caseload data'!V:V,'caseload data'!$A:$A,B41,'caseload data'!$B:$B,"custody")</f>
        <v>0</v>
      </c>
      <c r="T41" s="95"/>
      <c r="U41" s="181" t="s">
        <v>1217</v>
      </c>
      <c r="V41" s="97" t="e">
        <f>C41/$S$41</f>
        <v>#DIV/0!</v>
      </c>
      <c r="W41" s="97" t="e">
        <f t="shared" ref="W41:AB41" si="165">D41/$S$41</f>
        <v>#DIV/0!</v>
      </c>
      <c r="X41" s="97" t="e">
        <f t="shared" si="165"/>
        <v>#DIV/0!</v>
      </c>
      <c r="Y41" s="97" t="e">
        <f t="shared" si="165"/>
        <v>#DIV/0!</v>
      </c>
      <c r="Z41" s="97" t="e">
        <f t="shared" si="165"/>
        <v>#DIV/0!</v>
      </c>
      <c r="AA41" s="97" t="e">
        <f t="shared" si="165"/>
        <v>#DIV/0!</v>
      </c>
      <c r="AB41" s="97" t="e">
        <f t="shared" si="165"/>
        <v>#DIV/0!</v>
      </c>
      <c r="AC41" s="97" t="e">
        <f t="shared" ref="AC41" si="166">J41/$S$41</f>
        <v>#DIV/0!</v>
      </c>
      <c r="AD41" s="97" t="e">
        <f t="shared" ref="AD41" si="167">K41/$S$41</f>
        <v>#DIV/0!</v>
      </c>
      <c r="AE41" s="97" t="e">
        <f t="shared" ref="AE41" si="168">L41/$S$41</f>
        <v>#DIV/0!</v>
      </c>
      <c r="AF41" s="97" t="e">
        <f t="shared" ref="AF41" si="169">M41/$S$41</f>
        <v>#DIV/0!</v>
      </c>
      <c r="AG41" s="97" t="e">
        <f t="shared" ref="AG41:AH41" si="170">N41/$S$41</f>
        <v>#DIV/0!</v>
      </c>
      <c r="AH41" s="97" t="e">
        <f t="shared" si="170"/>
        <v>#DIV/0!</v>
      </c>
      <c r="AI41" s="97" t="e">
        <f t="shared" ref="AI41" si="171">P41/$S$41</f>
        <v>#DIV/0!</v>
      </c>
      <c r="AJ41" s="97" t="e">
        <f t="shared" ref="AJ41" si="172">Q41/$S$41</f>
        <v>#DIV/0!</v>
      </c>
      <c r="AK41" s="97" t="e">
        <f t="shared" ref="AK41" si="173">R41/$S$41</f>
        <v>#DIV/0!</v>
      </c>
    </row>
    <row r="42" spans="2:37" x14ac:dyDescent="0.15">
      <c r="B42" s="181" t="s">
        <v>382</v>
      </c>
      <c r="C42" s="177">
        <f>SUMIFS('caseload data'!E:E,'caseload data'!$A:$A,$B42,'caseload data'!$B:$B,"custody")</f>
        <v>0</v>
      </c>
      <c r="D42" s="177">
        <f>SUMIFS('caseload data'!F:F,'caseload data'!$A:$A,$B42,'caseload data'!$B:$B,"custody")</f>
        <v>0</v>
      </c>
      <c r="E42" s="177">
        <f>SUMIFS('caseload data'!G:G,'caseload data'!$A:$A,$B42,'caseload data'!$B:$B,"custody")</f>
        <v>0</v>
      </c>
      <c r="F42" s="177">
        <f>SUMIFS('caseload data'!H:H,'caseload data'!$A:$A,$B42,'caseload data'!$B:$B,"custody")</f>
        <v>0</v>
      </c>
      <c r="G42" s="177">
        <f>SUMIFS('caseload data'!I:I,'caseload data'!$A:$A,$B42,'caseload data'!$B:$B,"custody")</f>
        <v>0</v>
      </c>
      <c r="H42" s="177">
        <f>SUMIFS('caseload data'!J:J,'caseload data'!$A:$A,$B42,'caseload data'!$B:$B,"custody")</f>
        <v>0</v>
      </c>
      <c r="I42" s="177">
        <f>SUMIFS('caseload data'!K:K,'caseload data'!$A:$A,$B42,'caseload data'!$B:$B,"custody")</f>
        <v>0</v>
      </c>
      <c r="J42" s="177">
        <f>SUMIFS('caseload data'!L:L,'caseload data'!$A:$A,$B42,'caseload data'!$B:$B,"custody")</f>
        <v>0</v>
      </c>
      <c r="K42" s="177">
        <f>SUMIFS('caseload data'!M:M,'caseload data'!$A:$A,$B42,'caseload data'!$B:$B,"custody")</f>
        <v>0</v>
      </c>
      <c r="L42" s="177">
        <f>SUMIFS('caseload data'!N:N,'caseload data'!$A:$A,$B42,'caseload data'!$B:$B,"custody")</f>
        <v>0</v>
      </c>
      <c r="M42" s="177">
        <f>SUMIFS('caseload data'!O:O,'caseload data'!$A:$A,$B42,'caseload data'!$B:$B,"custody")</f>
        <v>0</v>
      </c>
      <c r="N42" s="177">
        <f>SUMIFS('caseload data'!P:P,'caseload data'!$A:$A,$B42,'caseload data'!$B:$B,"custody")</f>
        <v>0</v>
      </c>
      <c r="O42" s="177">
        <f>SUMIFS('caseload data'!Q:Q,'caseload data'!$A:$A,$B42,'caseload data'!$B:$B,"custody")</f>
        <v>0</v>
      </c>
      <c r="P42" s="177">
        <f>SUMIFS('caseload data'!R:R,'caseload data'!$A:$A,$B42,'caseload data'!$B:$B,"custody")</f>
        <v>0</v>
      </c>
      <c r="Q42" s="177">
        <f>SUMIFS('caseload data'!S:S,'caseload data'!$A:$A,$B42,'caseload data'!$B:$B,"custody")</f>
        <v>0</v>
      </c>
      <c r="R42" s="177">
        <f>SUMIFS('caseload data'!T:T,'caseload data'!$A:$A,$B42,'caseload data'!$B:$B,"custody")</f>
        <v>0</v>
      </c>
      <c r="S42" s="177">
        <f>SUMIFS('caseload data'!V:V,'caseload data'!$A:$A,B42,'caseload data'!$B:$B,"custody")</f>
        <v>0</v>
      </c>
      <c r="T42" s="95"/>
      <c r="U42" s="181" t="s">
        <v>382</v>
      </c>
      <c r="V42" s="97" t="e">
        <f>C42/$S$42</f>
        <v>#DIV/0!</v>
      </c>
      <c r="W42" s="97" t="e">
        <f t="shared" ref="W42:AB42" si="174">D42/$S$42</f>
        <v>#DIV/0!</v>
      </c>
      <c r="X42" s="97" t="e">
        <f t="shared" si="174"/>
        <v>#DIV/0!</v>
      </c>
      <c r="Y42" s="97" t="e">
        <f t="shared" si="174"/>
        <v>#DIV/0!</v>
      </c>
      <c r="Z42" s="97" t="e">
        <f t="shared" si="174"/>
        <v>#DIV/0!</v>
      </c>
      <c r="AA42" s="97" t="e">
        <f t="shared" si="174"/>
        <v>#DIV/0!</v>
      </c>
      <c r="AB42" s="97" t="e">
        <f t="shared" si="174"/>
        <v>#DIV/0!</v>
      </c>
      <c r="AC42" s="97" t="e">
        <f t="shared" ref="AC42" si="175">J42/$S$42</f>
        <v>#DIV/0!</v>
      </c>
      <c r="AD42" s="97" t="e">
        <f t="shared" ref="AD42" si="176">K42/$S$42</f>
        <v>#DIV/0!</v>
      </c>
      <c r="AE42" s="97" t="e">
        <f t="shared" ref="AE42" si="177">L42/$S$42</f>
        <v>#DIV/0!</v>
      </c>
      <c r="AF42" s="97" t="e">
        <f t="shared" ref="AF42" si="178">M42/$S$42</f>
        <v>#DIV/0!</v>
      </c>
      <c r="AG42" s="97" t="e">
        <f t="shared" ref="AG42:AH42" si="179">N42/$S$42</f>
        <v>#DIV/0!</v>
      </c>
      <c r="AH42" s="97" t="e">
        <f t="shared" si="179"/>
        <v>#DIV/0!</v>
      </c>
      <c r="AI42" s="97" t="e">
        <f t="shared" ref="AI42" si="180">P42/$S$42</f>
        <v>#DIV/0!</v>
      </c>
      <c r="AJ42" s="97" t="e">
        <f t="shared" ref="AJ42" si="181">Q42/$S$42</f>
        <v>#DIV/0!</v>
      </c>
      <c r="AK42" s="97" t="e">
        <f t="shared" ref="AK42" si="182">R42/$S$42</f>
        <v>#DIV/0!</v>
      </c>
    </row>
    <row r="43" spans="2:37" x14ac:dyDescent="0.15">
      <c r="B43" s="181" t="s">
        <v>8</v>
      </c>
      <c r="C43" s="177">
        <f>SUMIFS('caseload data'!E:E,'caseload data'!$A:$A,$B43,'caseload data'!$B:$B,"custody")</f>
        <v>0</v>
      </c>
      <c r="D43" s="177">
        <f>SUMIFS('caseload data'!F:F,'caseload data'!$A:$A,$B43,'caseload data'!$B:$B,"custody")</f>
        <v>0</v>
      </c>
      <c r="E43" s="177">
        <f>SUMIFS('caseload data'!G:G,'caseload data'!$A:$A,$B43,'caseload data'!$B:$B,"custody")</f>
        <v>0</v>
      </c>
      <c r="F43" s="177">
        <f>SUMIFS('caseload data'!H:H,'caseload data'!$A:$A,$B43,'caseload data'!$B:$B,"custody")</f>
        <v>0</v>
      </c>
      <c r="G43" s="177">
        <f>SUMIFS('caseload data'!I:I,'caseload data'!$A:$A,$B43,'caseload data'!$B:$B,"custody")</f>
        <v>0</v>
      </c>
      <c r="H43" s="177">
        <f>SUMIFS('caseload data'!J:J,'caseload data'!$A:$A,$B43,'caseload data'!$B:$B,"custody")</f>
        <v>0</v>
      </c>
      <c r="I43" s="177">
        <f>SUMIFS('caseload data'!K:K,'caseload data'!$A:$A,$B43,'caseload data'!$B:$B,"custody")</f>
        <v>0</v>
      </c>
      <c r="J43" s="177">
        <f>SUMIFS('caseload data'!L:L,'caseload data'!$A:$A,$B43,'caseload data'!$B:$B,"custody")</f>
        <v>0</v>
      </c>
      <c r="K43" s="177">
        <f>SUMIFS('caseload data'!M:M,'caseload data'!$A:$A,$B43,'caseload data'!$B:$B,"custody")</f>
        <v>0</v>
      </c>
      <c r="L43" s="177">
        <f>SUMIFS('caseload data'!N:N,'caseload data'!$A:$A,$B43,'caseload data'!$B:$B,"custody")</f>
        <v>0</v>
      </c>
      <c r="M43" s="177">
        <f>SUMIFS('caseload data'!O:O,'caseload data'!$A:$A,$B43,'caseload data'!$B:$B,"custody")</f>
        <v>0</v>
      </c>
      <c r="N43" s="177">
        <f>SUMIFS('caseload data'!P:P,'caseload data'!$A:$A,$B43,'caseload data'!$B:$B,"custody")</f>
        <v>0</v>
      </c>
      <c r="O43" s="177">
        <f>SUMIFS('caseload data'!Q:Q,'caseload data'!$A:$A,$B43,'caseload data'!$B:$B,"custody")</f>
        <v>0</v>
      </c>
      <c r="P43" s="177">
        <f>SUMIFS('caseload data'!R:R,'caseload data'!$A:$A,$B43,'caseload data'!$B:$B,"custody")</f>
        <v>0</v>
      </c>
      <c r="Q43" s="177">
        <f>SUMIFS('caseload data'!S:S,'caseload data'!$A:$A,$B43,'caseload data'!$B:$B,"custody")</f>
        <v>0</v>
      </c>
      <c r="R43" s="177">
        <f>SUMIFS('caseload data'!T:T,'caseload data'!$A:$A,$B43,'caseload data'!$B:$B,"custody")</f>
        <v>0</v>
      </c>
      <c r="S43" s="177">
        <f>SUMIFS('caseload data'!V:V,'caseload data'!$A:$A,B43,'caseload data'!$B:$B,"custody")</f>
        <v>0</v>
      </c>
      <c r="T43" s="95"/>
      <c r="U43" s="181" t="s">
        <v>8</v>
      </c>
      <c r="V43" s="97" t="e">
        <f>C43/$S$43</f>
        <v>#DIV/0!</v>
      </c>
      <c r="W43" s="97" t="e">
        <f t="shared" ref="W43:AB43" si="183">D43/$S$43</f>
        <v>#DIV/0!</v>
      </c>
      <c r="X43" s="97" t="e">
        <f t="shared" si="183"/>
        <v>#DIV/0!</v>
      </c>
      <c r="Y43" s="97" t="e">
        <f t="shared" si="183"/>
        <v>#DIV/0!</v>
      </c>
      <c r="Z43" s="97" t="e">
        <f t="shared" si="183"/>
        <v>#DIV/0!</v>
      </c>
      <c r="AA43" s="97" t="e">
        <f t="shared" si="183"/>
        <v>#DIV/0!</v>
      </c>
      <c r="AB43" s="97" t="e">
        <f t="shared" si="183"/>
        <v>#DIV/0!</v>
      </c>
      <c r="AC43" s="97" t="e">
        <f t="shared" ref="AC43" si="184">J43/$S$43</f>
        <v>#DIV/0!</v>
      </c>
      <c r="AD43" s="97" t="e">
        <f t="shared" ref="AD43" si="185">K43/$S$43</f>
        <v>#DIV/0!</v>
      </c>
      <c r="AE43" s="97" t="e">
        <f t="shared" ref="AE43" si="186">L43/$S$43</f>
        <v>#DIV/0!</v>
      </c>
      <c r="AF43" s="97" t="e">
        <f t="shared" ref="AF43" si="187">M43/$S$43</f>
        <v>#DIV/0!</v>
      </c>
      <c r="AG43" s="97" t="e">
        <f t="shared" ref="AG43:AH43" si="188">N43/$S$43</f>
        <v>#DIV/0!</v>
      </c>
      <c r="AH43" s="97" t="e">
        <f t="shared" si="188"/>
        <v>#DIV/0!</v>
      </c>
      <c r="AI43" s="97" t="e">
        <f t="shared" ref="AI43" si="189">P43/$S$43</f>
        <v>#DIV/0!</v>
      </c>
      <c r="AJ43" s="97" t="e">
        <f t="shared" ref="AJ43" si="190">Q43/$S$43</f>
        <v>#DIV/0!</v>
      </c>
      <c r="AK43" s="97" t="e">
        <f t="shared" ref="AK43" si="191">R43/$S$43</f>
        <v>#DIV/0!</v>
      </c>
    </row>
    <row r="44" spans="2:37" x14ac:dyDescent="0.15">
      <c r="B44" s="181" t="s">
        <v>9</v>
      </c>
      <c r="C44" s="177">
        <f>SUMIFS('caseload data'!E:E,'caseload data'!$A:$A,$B44,'caseload data'!$B:$B,"custody")</f>
        <v>0</v>
      </c>
      <c r="D44" s="177">
        <f>SUMIFS('caseload data'!F:F,'caseload data'!$A:$A,$B44,'caseload data'!$B:$B,"custody")</f>
        <v>0</v>
      </c>
      <c r="E44" s="177">
        <f>SUMIFS('caseload data'!G:G,'caseload data'!$A:$A,$B44,'caseload data'!$B:$B,"custody")</f>
        <v>0</v>
      </c>
      <c r="F44" s="177">
        <f>SUMIFS('caseload data'!H:H,'caseload data'!$A:$A,$B44,'caseload data'!$B:$B,"custody")</f>
        <v>0</v>
      </c>
      <c r="G44" s="177">
        <f>SUMIFS('caseload data'!I:I,'caseload data'!$A:$A,$B44,'caseload data'!$B:$B,"custody")</f>
        <v>0</v>
      </c>
      <c r="H44" s="177">
        <f>SUMIFS('caseload data'!J:J,'caseload data'!$A:$A,$B44,'caseload data'!$B:$B,"custody")</f>
        <v>0</v>
      </c>
      <c r="I44" s="177">
        <f>SUMIFS('caseload data'!K:K,'caseload data'!$A:$A,$B44,'caseload data'!$B:$B,"custody")</f>
        <v>0</v>
      </c>
      <c r="J44" s="177">
        <f>SUMIFS('caseload data'!L:L,'caseload data'!$A:$A,$B44,'caseload data'!$B:$B,"custody")</f>
        <v>0</v>
      </c>
      <c r="K44" s="177">
        <f>SUMIFS('caseload data'!M:M,'caseload data'!$A:$A,$B44,'caseload data'!$B:$B,"custody")</f>
        <v>0</v>
      </c>
      <c r="L44" s="177">
        <f>SUMIFS('caseload data'!N:N,'caseload data'!$A:$A,$B44,'caseload data'!$B:$B,"custody")</f>
        <v>0</v>
      </c>
      <c r="M44" s="177">
        <f>SUMIFS('caseload data'!O:O,'caseload data'!$A:$A,$B44,'caseload data'!$B:$B,"custody")</f>
        <v>0</v>
      </c>
      <c r="N44" s="177">
        <f>SUMIFS('caseload data'!P:P,'caseload data'!$A:$A,$B44,'caseload data'!$B:$B,"custody")</f>
        <v>0</v>
      </c>
      <c r="O44" s="177">
        <f>SUMIFS('caseload data'!Q:Q,'caseload data'!$A:$A,$B44,'caseload data'!$B:$B,"custody")</f>
        <v>0</v>
      </c>
      <c r="P44" s="177">
        <f>SUMIFS('caseload data'!R:R,'caseload data'!$A:$A,$B44,'caseload data'!$B:$B,"custody")</f>
        <v>0</v>
      </c>
      <c r="Q44" s="177">
        <f>SUMIFS('caseload data'!S:S,'caseload data'!$A:$A,$B44,'caseload data'!$B:$B,"custody")</f>
        <v>0</v>
      </c>
      <c r="R44" s="177">
        <f>SUMIFS('caseload data'!T:T,'caseload data'!$A:$A,$B44,'caseload data'!$B:$B,"custody")</f>
        <v>0</v>
      </c>
      <c r="S44" s="177">
        <f>SUMIFS('caseload data'!V:V,'caseload data'!$A:$A,B44,'caseload data'!$B:$B,"custody")</f>
        <v>0</v>
      </c>
      <c r="T44" s="95"/>
      <c r="U44" s="181" t="s">
        <v>9</v>
      </c>
      <c r="V44" s="97" t="e">
        <f>C44/$S$44</f>
        <v>#DIV/0!</v>
      </c>
      <c r="W44" s="97" t="e">
        <f t="shared" ref="W44:AB44" si="192">D44/$S$44</f>
        <v>#DIV/0!</v>
      </c>
      <c r="X44" s="97" t="e">
        <f t="shared" si="192"/>
        <v>#DIV/0!</v>
      </c>
      <c r="Y44" s="97" t="e">
        <f t="shared" si="192"/>
        <v>#DIV/0!</v>
      </c>
      <c r="Z44" s="97" t="e">
        <f t="shared" si="192"/>
        <v>#DIV/0!</v>
      </c>
      <c r="AA44" s="97" t="e">
        <f t="shared" si="192"/>
        <v>#DIV/0!</v>
      </c>
      <c r="AB44" s="97" t="e">
        <f t="shared" si="192"/>
        <v>#DIV/0!</v>
      </c>
      <c r="AC44" s="97" t="e">
        <f t="shared" ref="AC44" si="193">J44/$S$44</f>
        <v>#DIV/0!</v>
      </c>
      <c r="AD44" s="97" t="e">
        <f t="shared" ref="AD44" si="194">K44/$S$44</f>
        <v>#DIV/0!</v>
      </c>
      <c r="AE44" s="97" t="e">
        <f t="shared" ref="AE44" si="195">L44/$S$44</f>
        <v>#DIV/0!</v>
      </c>
      <c r="AF44" s="97" t="e">
        <f t="shared" ref="AF44" si="196">M44/$S$44</f>
        <v>#DIV/0!</v>
      </c>
      <c r="AG44" s="97" t="e">
        <f t="shared" ref="AG44:AH44" si="197">N44/$S$44</f>
        <v>#DIV/0!</v>
      </c>
      <c r="AH44" s="97" t="e">
        <f t="shared" si="197"/>
        <v>#DIV/0!</v>
      </c>
      <c r="AI44" s="97" t="e">
        <f t="shared" ref="AI44" si="198">P44/$S$44</f>
        <v>#DIV/0!</v>
      </c>
      <c r="AJ44" s="97" t="e">
        <f t="shared" ref="AJ44" si="199">Q44/$S$44</f>
        <v>#DIV/0!</v>
      </c>
      <c r="AK44" s="97" t="e">
        <f t="shared" ref="AK44" si="200">R44/$S$44</f>
        <v>#DIV/0!</v>
      </c>
    </row>
    <row r="45" spans="2:37" s="30" customFormat="1" x14ac:dyDescent="0.15">
      <c r="B45" s="181" t="s">
        <v>514</v>
      </c>
      <c r="C45" s="177">
        <f>SUMIFS('caseload data'!E:E,'caseload data'!$A:$A,$B45,'caseload data'!$B:$B,"custody")</f>
        <v>0</v>
      </c>
      <c r="D45" s="177">
        <f>SUMIFS('caseload data'!F:F,'caseload data'!$A:$A,$B45,'caseload data'!$B:$B,"custody")</f>
        <v>0</v>
      </c>
      <c r="E45" s="177">
        <f>SUMIFS('caseload data'!G:G,'caseload data'!$A:$A,$B45,'caseload data'!$B:$B,"custody")</f>
        <v>0</v>
      </c>
      <c r="F45" s="177">
        <f>SUMIFS('caseload data'!H:H,'caseload data'!$A:$A,$B45,'caseload data'!$B:$B,"custody")</f>
        <v>0</v>
      </c>
      <c r="G45" s="177">
        <f>SUMIFS('caseload data'!I:I,'caseload data'!$A:$A,$B45,'caseload data'!$B:$B,"custody")</f>
        <v>0</v>
      </c>
      <c r="H45" s="177">
        <f>SUMIFS('caseload data'!J:J,'caseload data'!$A:$A,$B45,'caseload data'!$B:$B,"custody")</f>
        <v>0</v>
      </c>
      <c r="I45" s="177">
        <f>SUMIFS('caseload data'!K:K,'caseload data'!$A:$A,$B45,'caseload data'!$B:$B,"custody")</f>
        <v>0</v>
      </c>
      <c r="J45" s="177">
        <f>SUMIFS('caseload data'!L:L,'caseload data'!$A:$A,$B45,'caseload data'!$B:$B,"custody")</f>
        <v>0</v>
      </c>
      <c r="K45" s="177">
        <f>SUMIFS('caseload data'!M:M,'caseload data'!$A:$A,$B45,'caseload data'!$B:$B,"custody")</f>
        <v>0</v>
      </c>
      <c r="L45" s="177">
        <f>SUMIFS('caseload data'!N:N,'caseload data'!$A:$A,$B45,'caseload data'!$B:$B,"custody")</f>
        <v>0</v>
      </c>
      <c r="M45" s="177">
        <f>SUMIFS('caseload data'!O:O,'caseload data'!$A:$A,$B45,'caseload data'!$B:$B,"custody")</f>
        <v>0</v>
      </c>
      <c r="N45" s="177">
        <f>SUMIFS('caseload data'!P:P,'caseload data'!$A:$A,$B45,'caseload data'!$B:$B,"custody")</f>
        <v>0</v>
      </c>
      <c r="O45" s="177">
        <f>SUMIFS('caseload data'!Q:Q,'caseload data'!$A:$A,$B45,'caseload data'!$B:$B,"custody")</f>
        <v>0</v>
      </c>
      <c r="P45" s="177">
        <f>SUMIFS('caseload data'!R:R,'caseload data'!$A:$A,$B45,'caseload data'!$B:$B,"custody")</f>
        <v>0</v>
      </c>
      <c r="Q45" s="177">
        <f>SUMIFS('caseload data'!S:S,'caseload data'!$A:$A,$B45,'caseload data'!$B:$B,"custody")</f>
        <v>0</v>
      </c>
      <c r="R45" s="177">
        <f>SUMIFS('caseload data'!T:T,'caseload data'!$A:$A,$B45,'caseload data'!$B:$B,"custody")</f>
        <v>0</v>
      </c>
      <c r="S45" s="177">
        <f>SUMIFS('caseload data'!V:V,'caseload data'!$A:$A,B45,'caseload data'!$B:$B,"custody")</f>
        <v>0</v>
      </c>
      <c r="T45" s="95"/>
      <c r="U45" s="181" t="s">
        <v>514</v>
      </c>
      <c r="V45" s="97" t="e">
        <f t="shared" ref="V45:V54" si="201">C45/$S45</f>
        <v>#DIV/0!</v>
      </c>
      <c r="W45" s="97" t="e">
        <f t="shared" ref="W45:W54" si="202">D45/$S45</f>
        <v>#DIV/0!</v>
      </c>
      <c r="X45" s="97" t="e">
        <f t="shared" ref="X45:X54" si="203">E45/$S45</f>
        <v>#DIV/0!</v>
      </c>
      <c r="Y45" s="97" t="e">
        <f t="shared" ref="Y45:Y54" si="204">F45/$S45</f>
        <v>#DIV/0!</v>
      </c>
      <c r="Z45" s="97" t="e">
        <f t="shared" ref="Z45:Z54" si="205">G45/$S45</f>
        <v>#DIV/0!</v>
      </c>
      <c r="AA45" s="97" t="e">
        <f t="shared" ref="AA45:AA54" si="206">H45/$S45</f>
        <v>#DIV/0!</v>
      </c>
      <c r="AB45" s="97" t="e">
        <f t="shared" ref="AB45:AB54" si="207">I45/$S45</f>
        <v>#DIV/0!</v>
      </c>
      <c r="AC45" s="97" t="e">
        <f t="shared" ref="AC45:AC54" si="208">J45/$S45</f>
        <v>#DIV/0!</v>
      </c>
      <c r="AD45" s="97" t="e">
        <f t="shared" ref="AD45:AD54" si="209">K45/$S45</f>
        <v>#DIV/0!</v>
      </c>
      <c r="AE45" s="97" t="e">
        <f t="shared" ref="AE45:AE54" si="210">L45/$S45</f>
        <v>#DIV/0!</v>
      </c>
      <c r="AF45" s="97" t="e">
        <f t="shared" ref="AF45:AF54" si="211">M45/$S45</f>
        <v>#DIV/0!</v>
      </c>
      <c r="AG45" s="97" t="e">
        <f t="shared" ref="AG45:AG54" si="212">N45/$S45</f>
        <v>#DIV/0!</v>
      </c>
      <c r="AH45" s="97" t="e">
        <f t="shared" ref="AH45:AH54" si="213">O45/$S45</f>
        <v>#DIV/0!</v>
      </c>
      <c r="AI45" s="97" t="e">
        <f t="shared" ref="AI45:AI54" si="214">P45/$S45</f>
        <v>#DIV/0!</v>
      </c>
      <c r="AJ45" s="97" t="e">
        <f t="shared" ref="AJ45:AJ54" si="215">Q45/$S45</f>
        <v>#DIV/0!</v>
      </c>
      <c r="AK45" s="97" t="e">
        <f t="shared" ref="AK45:AK54" si="216">R45/$S45</f>
        <v>#DIV/0!</v>
      </c>
    </row>
    <row r="46" spans="2:37" s="30" customFormat="1" x14ac:dyDescent="0.15">
      <c r="B46" s="181" t="s">
        <v>515</v>
      </c>
      <c r="C46" s="177">
        <f>SUMIFS('caseload data'!E:E,'caseload data'!$A:$A,$B46,'caseload data'!$B:$B,"custody")</f>
        <v>0</v>
      </c>
      <c r="D46" s="177">
        <f>SUMIFS('caseload data'!F:F,'caseload data'!$A:$A,$B46,'caseload data'!$B:$B,"custody")</f>
        <v>0</v>
      </c>
      <c r="E46" s="177">
        <f>SUMIFS('caseload data'!G:G,'caseload data'!$A:$A,$B46,'caseload data'!$B:$B,"custody")</f>
        <v>0</v>
      </c>
      <c r="F46" s="177">
        <f>SUMIFS('caseload data'!H:H,'caseload data'!$A:$A,$B46,'caseload data'!$B:$B,"custody")</f>
        <v>0</v>
      </c>
      <c r="G46" s="177">
        <f>SUMIFS('caseload data'!I:I,'caseload data'!$A:$A,$B46,'caseload data'!$B:$B,"custody")</f>
        <v>0</v>
      </c>
      <c r="H46" s="177">
        <f>SUMIFS('caseload data'!J:J,'caseload data'!$A:$A,$B46,'caseload data'!$B:$B,"custody")</f>
        <v>0</v>
      </c>
      <c r="I46" s="177">
        <f>SUMIFS('caseload data'!K:K,'caseload data'!$A:$A,$B46,'caseload data'!$B:$B,"custody")</f>
        <v>0</v>
      </c>
      <c r="J46" s="177">
        <f>SUMIFS('caseload data'!L:L,'caseload data'!$A:$A,$B46,'caseload data'!$B:$B,"custody")</f>
        <v>0</v>
      </c>
      <c r="K46" s="177">
        <f>SUMIFS('caseload data'!M:M,'caseload data'!$A:$A,$B46,'caseload data'!$B:$B,"custody")</f>
        <v>0</v>
      </c>
      <c r="L46" s="177">
        <f>SUMIFS('caseload data'!N:N,'caseload data'!$A:$A,$B46,'caseload data'!$B:$B,"custody")</f>
        <v>0</v>
      </c>
      <c r="M46" s="177">
        <f>SUMIFS('caseload data'!O:O,'caseload data'!$A:$A,$B46,'caseload data'!$B:$B,"custody")</f>
        <v>0</v>
      </c>
      <c r="N46" s="177">
        <f>SUMIFS('caseload data'!P:P,'caseload data'!$A:$A,$B46,'caseload data'!$B:$B,"custody")</f>
        <v>0</v>
      </c>
      <c r="O46" s="177">
        <f>SUMIFS('caseload data'!Q:Q,'caseload data'!$A:$A,$B46,'caseload data'!$B:$B,"custody")</f>
        <v>0</v>
      </c>
      <c r="P46" s="177">
        <f>SUMIFS('caseload data'!R:R,'caseload data'!$A:$A,$B46,'caseload data'!$B:$B,"custody")</f>
        <v>0</v>
      </c>
      <c r="Q46" s="177">
        <f>SUMIFS('caseload data'!S:S,'caseload data'!$A:$A,$B46,'caseload data'!$B:$B,"custody")</f>
        <v>0</v>
      </c>
      <c r="R46" s="177">
        <f>SUMIFS('caseload data'!T:T,'caseload data'!$A:$A,$B46,'caseload data'!$B:$B,"custody")</f>
        <v>0</v>
      </c>
      <c r="S46" s="177">
        <f>SUMIFS('caseload data'!V:V,'caseload data'!$A:$A,B46,'caseload data'!$B:$B,"custody")</f>
        <v>0</v>
      </c>
      <c r="T46" s="95"/>
      <c r="U46" s="181" t="s">
        <v>515</v>
      </c>
      <c r="V46" s="97" t="e">
        <f t="shared" si="201"/>
        <v>#DIV/0!</v>
      </c>
      <c r="W46" s="97" t="e">
        <f t="shared" si="202"/>
        <v>#DIV/0!</v>
      </c>
      <c r="X46" s="97" t="e">
        <f t="shared" si="203"/>
        <v>#DIV/0!</v>
      </c>
      <c r="Y46" s="97" t="e">
        <f t="shared" si="204"/>
        <v>#DIV/0!</v>
      </c>
      <c r="Z46" s="97" t="e">
        <f t="shared" si="205"/>
        <v>#DIV/0!</v>
      </c>
      <c r="AA46" s="97" t="e">
        <f t="shared" si="206"/>
        <v>#DIV/0!</v>
      </c>
      <c r="AB46" s="97" t="e">
        <f t="shared" si="207"/>
        <v>#DIV/0!</v>
      </c>
      <c r="AC46" s="97" t="e">
        <f t="shared" si="208"/>
        <v>#DIV/0!</v>
      </c>
      <c r="AD46" s="97" t="e">
        <f t="shared" si="209"/>
        <v>#DIV/0!</v>
      </c>
      <c r="AE46" s="97" t="e">
        <f t="shared" si="210"/>
        <v>#DIV/0!</v>
      </c>
      <c r="AF46" s="97" t="e">
        <f t="shared" si="211"/>
        <v>#DIV/0!</v>
      </c>
      <c r="AG46" s="97" t="e">
        <f t="shared" si="212"/>
        <v>#DIV/0!</v>
      </c>
      <c r="AH46" s="97" t="e">
        <f t="shared" si="213"/>
        <v>#DIV/0!</v>
      </c>
      <c r="AI46" s="97" t="e">
        <f t="shared" si="214"/>
        <v>#DIV/0!</v>
      </c>
      <c r="AJ46" s="97" t="e">
        <f t="shared" si="215"/>
        <v>#DIV/0!</v>
      </c>
      <c r="AK46" s="97" t="e">
        <f t="shared" si="216"/>
        <v>#DIV/0!</v>
      </c>
    </row>
    <row r="47" spans="2:37" s="30" customFormat="1" x14ac:dyDescent="0.15">
      <c r="B47" s="181" t="s">
        <v>516</v>
      </c>
      <c r="C47" s="177">
        <f>SUMIFS('caseload data'!E:E,'caseload data'!$A:$A,$B47,'caseload data'!$B:$B,"custody")</f>
        <v>0</v>
      </c>
      <c r="D47" s="177">
        <f>SUMIFS('caseload data'!F:F,'caseload data'!$A:$A,$B47,'caseload data'!$B:$B,"custody")</f>
        <v>0</v>
      </c>
      <c r="E47" s="177">
        <f>SUMIFS('caseload data'!G:G,'caseload data'!$A:$A,$B47,'caseload data'!$B:$B,"custody")</f>
        <v>0</v>
      </c>
      <c r="F47" s="177">
        <f>SUMIFS('caseload data'!H:H,'caseload data'!$A:$A,$B47,'caseload data'!$B:$B,"custody")</f>
        <v>0</v>
      </c>
      <c r="G47" s="177">
        <f>SUMIFS('caseload data'!I:I,'caseload data'!$A:$A,$B47,'caseload data'!$B:$B,"custody")</f>
        <v>0</v>
      </c>
      <c r="H47" s="177">
        <f>SUMIFS('caseload data'!J:J,'caseload data'!$A:$A,$B47,'caseload data'!$B:$B,"custody")</f>
        <v>0</v>
      </c>
      <c r="I47" s="177">
        <f>SUMIFS('caseload data'!K:K,'caseload data'!$A:$A,$B47,'caseload data'!$B:$B,"custody")</f>
        <v>0</v>
      </c>
      <c r="J47" s="177">
        <f>SUMIFS('caseload data'!L:L,'caseload data'!$A:$A,$B47,'caseload data'!$B:$B,"custody")</f>
        <v>0</v>
      </c>
      <c r="K47" s="177">
        <f>SUMIFS('caseload data'!M:M,'caseload data'!$A:$A,$B47,'caseload data'!$B:$B,"custody")</f>
        <v>0</v>
      </c>
      <c r="L47" s="177">
        <f>SUMIFS('caseload data'!N:N,'caseload data'!$A:$A,$B47,'caseload data'!$B:$B,"custody")</f>
        <v>0</v>
      </c>
      <c r="M47" s="177">
        <f>SUMIFS('caseload data'!O:O,'caseload data'!$A:$A,$B47,'caseload data'!$B:$B,"custody")</f>
        <v>0</v>
      </c>
      <c r="N47" s="177">
        <f>SUMIFS('caseload data'!P:P,'caseload data'!$A:$A,$B47,'caseload data'!$B:$B,"custody")</f>
        <v>0</v>
      </c>
      <c r="O47" s="177">
        <f>SUMIFS('caseload data'!Q:Q,'caseload data'!$A:$A,$B47,'caseload data'!$B:$B,"custody")</f>
        <v>0</v>
      </c>
      <c r="P47" s="177">
        <f>SUMIFS('caseload data'!R:R,'caseload data'!$A:$A,$B47,'caseload data'!$B:$B,"custody")</f>
        <v>0</v>
      </c>
      <c r="Q47" s="177">
        <f>SUMIFS('caseload data'!S:S,'caseload data'!$A:$A,$B47,'caseload data'!$B:$B,"custody")</f>
        <v>0</v>
      </c>
      <c r="R47" s="177">
        <f>SUMIFS('caseload data'!T:T,'caseload data'!$A:$A,$B47,'caseload data'!$B:$B,"custody")</f>
        <v>0</v>
      </c>
      <c r="S47" s="177">
        <f>SUMIFS('caseload data'!V:V,'caseload data'!$A:$A,B47,'caseload data'!$B:$B,"custody")</f>
        <v>0</v>
      </c>
      <c r="T47" s="95"/>
      <c r="U47" s="181" t="s">
        <v>516</v>
      </c>
      <c r="V47" s="97" t="e">
        <f t="shared" si="201"/>
        <v>#DIV/0!</v>
      </c>
      <c r="W47" s="97" t="e">
        <f t="shared" si="202"/>
        <v>#DIV/0!</v>
      </c>
      <c r="X47" s="97" t="e">
        <f t="shared" si="203"/>
        <v>#DIV/0!</v>
      </c>
      <c r="Y47" s="97" t="e">
        <f t="shared" si="204"/>
        <v>#DIV/0!</v>
      </c>
      <c r="Z47" s="97" t="e">
        <f t="shared" si="205"/>
        <v>#DIV/0!</v>
      </c>
      <c r="AA47" s="97" t="e">
        <f t="shared" si="206"/>
        <v>#DIV/0!</v>
      </c>
      <c r="AB47" s="97" t="e">
        <f t="shared" si="207"/>
        <v>#DIV/0!</v>
      </c>
      <c r="AC47" s="97" t="e">
        <f t="shared" si="208"/>
        <v>#DIV/0!</v>
      </c>
      <c r="AD47" s="97" t="e">
        <f t="shared" si="209"/>
        <v>#DIV/0!</v>
      </c>
      <c r="AE47" s="97" t="e">
        <f t="shared" si="210"/>
        <v>#DIV/0!</v>
      </c>
      <c r="AF47" s="97" t="e">
        <f t="shared" si="211"/>
        <v>#DIV/0!</v>
      </c>
      <c r="AG47" s="97" t="e">
        <f t="shared" si="212"/>
        <v>#DIV/0!</v>
      </c>
      <c r="AH47" s="97" t="e">
        <f t="shared" si="213"/>
        <v>#DIV/0!</v>
      </c>
      <c r="AI47" s="97" t="e">
        <f t="shared" si="214"/>
        <v>#DIV/0!</v>
      </c>
      <c r="AJ47" s="97" t="e">
        <f t="shared" si="215"/>
        <v>#DIV/0!</v>
      </c>
      <c r="AK47" s="97" t="e">
        <f t="shared" si="216"/>
        <v>#DIV/0!</v>
      </c>
    </row>
    <row r="48" spans="2:37" s="30" customFormat="1" x14ac:dyDescent="0.15">
      <c r="B48" s="181" t="s">
        <v>517</v>
      </c>
      <c r="C48" s="177">
        <f>SUMIFS('caseload data'!E:E,'caseload data'!$A:$A,$B48,'caseload data'!$B:$B,"custody")</f>
        <v>0</v>
      </c>
      <c r="D48" s="177">
        <f>SUMIFS('caseload data'!F:F,'caseload data'!$A:$A,$B48,'caseload data'!$B:$B,"custody")</f>
        <v>0</v>
      </c>
      <c r="E48" s="177">
        <f>SUMIFS('caseload data'!G:G,'caseload data'!$A:$A,$B48,'caseload data'!$B:$B,"custody")</f>
        <v>0</v>
      </c>
      <c r="F48" s="177">
        <f>SUMIFS('caseload data'!H:H,'caseload data'!$A:$A,$B48,'caseload data'!$B:$B,"custody")</f>
        <v>0</v>
      </c>
      <c r="G48" s="177">
        <f>SUMIFS('caseload data'!I:I,'caseload data'!$A:$A,$B48,'caseload data'!$B:$B,"custody")</f>
        <v>0</v>
      </c>
      <c r="H48" s="177">
        <f>SUMIFS('caseload data'!J:J,'caseload data'!$A:$A,$B48,'caseload data'!$B:$B,"custody")</f>
        <v>0</v>
      </c>
      <c r="I48" s="177">
        <f>SUMIFS('caseload data'!K:K,'caseload data'!$A:$A,$B48,'caseload data'!$B:$B,"custody")</f>
        <v>0</v>
      </c>
      <c r="J48" s="177">
        <f>SUMIFS('caseload data'!L:L,'caseload data'!$A:$A,$B48,'caseload data'!$B:$B,"custody")</f>
        <v>0</v>
      </c>
      <c r="K48" s="177">
        <f>SUMIFS('caseload data'!M:M,'caseload data'!$A:$A,$B48,'caseload data'!$B:$B,"custody")</f>
        <v>0</v>
      </c>
      <c r="L48" s="177">
        <f>SUMIFS('caseload data'!N:N,'caseload data'!$A:$A,$B48,'caseload data'!$B:$B,"custody")</f>
        <v>0</v>
      </c>
      <c r="M48" s="177">
        <f>SUMIFS('caseload data'!O:O,'caseload data'!$A:$A,$B48,'caseload data'!$B:$B,"custody")</f>
        <v>0</v>
      </c>
      <c r="N48" s="177">
        <f>SUMIFS('caseload data'!P:P,'caseload data'!$A:$A,$B48,'caseload data'!$B:$B,"custody")</f>
        <v>0</v>
      </c>
      <c r="O48" s="177">
        <f>SUMIFS('caseload data'!Q:Q,'caseload data'!$A:$A,$B48,'caseload data'!$B:$B,"custody")</f>
        <v>0</v>
      </c>
      <c r="P48" s="177">
        <f>SUMIFS('caseload data'!R:R,'caseload data'!$A:$A,$B48,'caseload data'!$B:$B,"custody")</f>
        <v>0</v>
      </c>
      <c r="Q48" s="177">
        <f>SUMIFS('caseload data'!S:S,'caseload data'!$A:$A,$B48,'caseload data'!$B:$B,"custody")</f>
        <v>0</v>
      </c>
      <c r="R48" s="177">
        <f>SUMIFS('caseload data'!T:T,'caseload data'!$A:$A,$B48,'caseload data'!$B:$B,"custody")</f>
        <v>0</v>
      </c>
      <c r="S48" s="177">
        <f>SUMIFS('caseload data'!V:V,'caseload data'!$A:$A,B48,'caseload data'!$B:$B,"custody")</f>
        <v>0</v>
      </c>
      <c r="T48" s="95"/>
      <c r="U48" s="181" t="s">
        <v>517</v>
      </c>
      <c r="V48" s="97" t="e">
        <f t="shared" si="201"/>
        <v>#DIV/0!</v>
      </c>
      <c r="W48" s="97" t="e">
        <f t="shared" si="202"/>
        <v>#DIV/0!</v>
      </c>
      <c r="X48" s="97" t="e">
        <f t="shared" si="203"/>
        <v>#DIV/0!</v>
      </c>
      <c r="Y48" s="97" t="e">
        <f t="shared" si="204"/>
        <v>#DIV/0!</v>
      </c>
      <c r="Z48" s="97" t="e">
        <f t="shared" si="205"/>
        <v>#DIV/0!</v>
      </c>
      <c r="AA48" s="97" t="e">
        <f t="shared" si="206"/>
        <v>#DIV/0!</v>
      </c>
      <c r="AB48" s="97" t="e">
        <f t="shared" si="207"/>
        <v>#DIV/0!</v>
      </c>
      <c r="AC48" s="97" t="e">
        <f t="shared" si="208"/>
        <v>#DIV/0!</v>
      </c>
      <c r="AD48" s="97" t="e">
        <f t="shared" si="209"/>
        <v>#DIV/0!</v>
      </c>
      <c r="AE48" s="97" t="e">
        <f t="shared" si="210"/>
        <v>#DIV/0!</v>
      </c>
      <c r="AF48" s="97" t="e">
        <f t="shared" si="211"/>
        <v>#DIV/0!</v>
      </c>
      <c r="AG48" s="97" t="e">
        <f t="shared" si="212"/>
        <v>#DIV/0!</v>
      </c>
      <c r="AH48" s="97" t="e">
        <f t="shared" si="213"/>
        <v>#DIV/0!</v>
      </c>
      <c r="AI48" s="97" t="e">
        <f t="shared" si="214"/>
        <v>#DIV/0!</v>
      </c>
      <c r="AJ48" s="97" t="e">
        <f t="shared" si="215"/>
        <v>#DIV/0!</v>
      </c>
      <c r="AK48" s="97" t="e">
        <f t="shared" si="216"/>
        <v>#DIV/0!</v>
      </c>
    </row>
    <row r="49" spans="2:37" s="30" customFormat="1" x14ac:dyDescent="0.15">
      <c r="B49" s="181" t="s">
        <v>518</v>
      </c>
      <c r="C49" s="177">
        <f>SUMIFS('caseload data'!E:E,'caseload data'!$A:$A,$B49,'caseload data'!$B:$B,"custody")</f>
        <v>0</v>
      </c>
      <c r="D49" s="177">
        <f>SUMIFS('caseload data'!F:F,'caseload data'!$A:$A,$B49,'caseload data'!$B:$B,"custody")</f>
        <v>0</v>
      </c>
      <c r="E49" s="177">
        <f>SUMIFS('caseload data'!G:G,'caseload data'!$A:$A,$B49,'caseload data'!$B:$B,"custody")</f>
        <v>0</v>
      </c>
      <c r="F49" s="177">
        <f>SUMIFS('caseload data'!H:H,'caseload data'!$A:$A,$B49,'caseload data'!$B:$B,"custody")</f>
        <v>0</v>
      </c>
      <c r="G49" s="177">
        <f>SUMIFS('caseload data'!I:I,'caseload data'!$A:$A,$B49,'caseload data'!$B:$B,"custody")</f>
        <v>0</v>
      </c>
      <c r="H49" s="177">
        <f>SUMIFS('caseload data'!J:J,'caseload data'!$A:$A,$B49,'caseload data'!$B:$B,"custody")</f>
        <v>0</v>
      </c>
      <c r="I49" s="177">
        <f>SUMIFS('caseload data'!K:K,'caseload data'!$A:$A,$B49,'caseload data'!$B:$B,"custody")</f>
        <v>0</v>
      </c>
      <c r="J49" s="177">
        <f>SUMIFS('caseload data'!L:L,'caseload data'!$A:$A,$B49,'caseload data'!$B:$B,"custody")</f>
        <v>0</v>
      </c>
      <c r="K49" s="177">
        <f>SUMIFS('caseload data'!M:M,'caseload data'!$A:$A,$B49,'caseload data'!$B:$B,"custody")</f>
        <v>0</v>
      </c>
      <c r="L49" s="177">
        <f>SUMIFS('caseload data'!N:N,'caseload data'!$A:$A,$B49,'caseload data'!$B:$B,"custody")</f>
        <v>0</v>
      </c>
      <c r="M49" s="177">
        <f>SUMIFS('caseload data'!O:O,'caseload data'!$A:$A,$B49,'caseload data'!$B:$B,"custody")</f>
        <v>0</v>
      </c>
      <c r="N49" s="177">
        <f>SUMIFS('caseload data'!P:P,'caseload data'!$A:$A,$B49,'caseload data'!$B:$B,"custody")</f>
        <v>0</v>
      </c>
      <c r="O49" s="177">
        <f>SUMIFS('caseload data'!Q:Q,'caseload data'!$A:$A,$B49,'caseload data'!$B:$B,"custody")</f>
        <v>0</v>
      </c>
      <c r="P49" s="177">
        <f>SUMIFS('caseload data'!R:R,'caseload data'!$A:$A,$B49,'caseload data'!$B:$B,"custody")</f>
        <v>0</v>
      </c>
      <c r="Q49" s="177">
        <f>SUMIFS('caseload data'!S:S,'caseload data'!$A:$A,$B49,'caseload data'!$B:$B,"custody")</f>
        <v>0</v>
      </c>
      <c r="R49" s="177">
        <f>SUMIFS('caseload data'!T:T,'caseload data'!$A:$A,$B49,'caseload data'!$B:$B,"custody")</f>
        <v>0</v>
      </c>
      <c r="S49" s="177">
        <f>SUMIFS('caseload data'!V:V,'caseload data'!$A:$A,B49,'caseload data'!$B:$B,"custody")</f>
        <v>0</v>
      </c>
      <c r="T49" s="95"/>
      <c r="U49" s="181" t="s">
        <v>518</v>
      </c>
      <c r="V49" s="97" t="e">
        <f t="shared" si="201"/>
        <v>#DIV/0!</v>
      </c>
      <c r="W49" s="97" t="e">
        <f t="shared" si="202"/>
        <v>#DIV/0!</v>
      </c>
      <c r="X49" s="97" t="e">
        <f t="shared" si="203"/>
        <v>#DIV/0!</v>
      </c>
      <c r="Y49" s="97" t="e">
        <f t="shared" si="204"/>
        <v>#DIV/0!</v>
      </c>
      <c r="Z49" s="97" t="e">
        <f t="shared" si="205"/>
        <v>#DIV/0!</v>
      </c>
      <c r="AA49" s="97" t="e">
        <f t="shared" si="206"/>
        <v>#DIV/0!</v>
      </c>
      <c r="AB49" s="97" t="e">
        <f t="shared" si="207"/>
        <v>#DIV/0!</v>
      </c>
      <c r="AC49" s="97" t="e">
        <f t="shared" si="208"/>
        <v>#DIV/0!</v>
      </c>
      <c r="AD49" s="97" t="e">
        <f t="shared" si="209"/>
        <v>#DIV/0!</v>
      </c>
      <c r="AE49" s="97" t="e">
        <f t="shared" si="210"/>
        <v>#DIV/0!</v>
      </c>
      <c r="AF49" s="97" t="e">
        <f t="shared" si="211"/>
        <v>#DIV/0!</v>
      </c>
      <c r="AG49" s="97" t="e">
        <f t="shared" si="212"/>
        <v>#DIV/0!</v>
      </c>
      <c r="AH49" s="97" t="e">
        <f t="shared" si="213"/>
        <v>#DIV/0!</v>
      </c>
      <c r="AI49" s="97" t="e">
        <f t="shared" si="214"/>
        <v>#DIV/0!</v>
      </c>
      <c r="AJ49" s="97" t="e">
        <f t="shared" si="215"/>
        <v>#DIV/0!</v>
      </c>
      <c r="AK49" s="97" t="e">
        <f t="shared" si="216"/>
        <v>#DIV/0!</v>
      </c>
    </row>
    <row r="50" spans="2:37" s="30" customFormat="1" x14ac:dyDescent="0.15">
      <c r="B50" s="181" t="s">
        <v>519</v>
      </c>
      <c r="C50" s="177">
        <f>SUMIFS('caseload data'!E:E,'caseload data'!$A:$A,$B50,'caseload data'!$B:$B,"custody")</f>
        <v>0</v>
      </c>
      <c r="D50" s="177">
        <f>SUMIFS('caseload data'!F:F,'caseload data'!$A:$A,$B50,'caseload data'!$B:$B,"custody")</f>
        <v>0</v>
      </c>
      <c r="E50" s="177">
        <f>SUMIFS('caseload data'!G:G,'caseload data'!$A:$A,$B50,'caseload data'!$B:$B,"custody")</f>
        <v>0</v>
      </c>
      <c r="F50" s="177">
        <f>SUMIFS('caseload data'!H:H,'caseload data'!$A:$A,$B50,'caseload data'!$B:$B,"custody")</f>
        <v>0</v>
      </c>
      <c r="G50" s="177">
        <f>SUMIFS('caseload data'!I:I,'caseload data'!$A:$A,$B50,'caseload data'!$B:$B,"custody")</f>
        <v>0</v>
      </c>
      <c r="H50" s="177">
        <f>SUMIFS('caseload data'!J:J,'caseload data'!$A:$A,$B50,'caseload data'!$B:$B,"custody")</f>
        <v>0</v>
      </c>
      <c r="I50" s="177">
        <f>SUMIFS('caseload data'!K:K,'caseload data'!$A:$A,$B50,'caseload data'!$B:$B,"custody")</f>
        <v>0</v>
      </c>
      <c r="J50" s="177">
        <f>SUMIFS('caseload data'!L:L,'caseload data'!$A:$A,$B50,'caseload data'!$B:$B,"custody")</f>
        <v>0</v>
      </c>
      <c r="K50" s="177">
        <f>SUMIFS('caseload data'!M:M,'caseload data'!$A:$A,$B50,'caseload data'!$B:$B,"custody")</f>
        <v>0</v>
      </c>
      <c r="L50" s="177">
        <f>SUMIFS('caseload data'!N:N,'caseload data'!$A:$A,$B50,'caseload data'!$B:$B,"custody")</f>
        <v>0</v>
      </c>
      <c r="M50" s="177">
        <f>SUMIFS('caseload data'!O:O,'caseload data'!$A:$A,$B50,'caseload data'!$B:$B,"custody")</f>
        <v>0</v>
      </c>
      <c r="N50" s="177">
        <f>SUMIFS('caseload data'!P:P,'caseload data'!$A:$A,$B50,'caseload data'!$B:$B,"custody")</f>
        <v>0</v>
      </c>
      <c r="O50" s="177">
        <f>SUMIFS('caseload data'!Q:Q,'caseload data'!$A:$A,$B50,'caseload data'!$B:$B,"custody")</f>
        <v>0</v>
      </c>
      <c r="P50" s="177">
        <f>SUMIFS('caseload data'!R:R,'caseload data'!$A:$A,$B50,'caseload data'!$B:$B,"custody")</f>
        <v>0</v>
      </c>
      <c r="Q50" s="177">
        <f>SUMIFS('caseload data'!S:S,'caseload data'!$A:$A,$B50,'caseload data'!$B:$B,"custody")</f>
        <v>0</v>
      </c>
      <c r="R50" s="177">
        <f>SUMIFS('caseload data'!T:T,'caseload data'!$A:$A,$B50,'caseload data'!$B:$B,"custody")</f>
        <v>0</v>
      </c>
      <c r="S50" s="177">
        <f>SUMIFS('caseload data'!V:V,'caseload data'!$A:$A,B50,'caseload data'!$B:$B,"custody")</f>
        <v>0</v>
      </c>
      <c r="T50" s="95"/>
      <c r="U50" s="181" t="s">
        <v>519</v>
      </c>
      <c r="V50" s="97" t="e">
        <f t="shared" si="201"/>
        <v>#DIV/0!</v>
      </c>
      <c r="W50" s="97" t="e">
        <f t="shared" si="202"/>
        <v>#DIV/0!</v>
      </c>
      <c r="X50" s="97" t="e">
        <f t="shared" si="203"/>
        <v>#DIV/0!</v>
      </c>
      <c r="Y50" s="97" t="e">
        <f t="shared" si="204"/>
        <v>#DIV/0!</v>
      </c>
      <c r="Z50" s="97" t="e">
        <f t="shared" si="205"/>
        <v>#DIV/0!</v>
      </c>
      <c r="AA50" s="97" t="e">
        <f t="shared" si="206"/>
        <v>#DIV/0!</v>
      </c>
      <c r="AB50" s="97" t="e">
        <f t="shared" si="207"/>
        <v>#DIV/0!</v>
      </c>
      <c r="AC50" s="97" t="e">
        <f t="shared" si="208"/>
        <v>#DIV/0!</v>
      </c>
      <c r="AD50" s="97" t="e">
        <f t="shared" si="209"/>
        <v>#DIV/0!</v>
      </c>
      <c r="AE50" s="97" t="e">
        <f t="shared" si="210"/>
        <v>#DIV/0!</v>
      </c>
      <c r="AF50" s="97" t="e">
        <f t="shared" si="211"/>
        <v>#DIV/0!</v>
      </c>
      <c r="AG50" s="97" t="e">
        <f t="shared" si="212"/>
        <v>#DIV/0!</v>
      </c>
      <c r="AH50" s="97" t="e">
        <f t="shared" si="213"/>
        <v>#DIV/0!</v>
      </c>
      <c r="AI50" s="97" t="e">
        <f t="shared" si="214"/>
        <v>#DIV/0!</v>
      </c>
      <c r="AJ50" s="97" t="e">
        <f t="shared" si="215"/>
        <v>#DIV/0!</v>
      </c>
      <c r="AK50" s="97" t="e">
        <f t="shared" si="216"/>
        <v>#DIV/0!</v>
      </c>
    </row>
    <row r="51" spans="2:37" s="30" customFormat="1" x14ac:dyDescent="0.15">
      <c r="B51" s="181" t="s">
        <v>520</v>
      </c>
      <c r="C51" s="177">
        <f>SUMIFS('caseload data'!E:E,'caseload data'!$A:$A,$B51,'caseload data'!$B:$B,"custody")</f>
        <v>0</v>
      </c>
      <c r="D51" s="177">
        <f>SUMIFS('caseload data'!F:F,'caseload data'!$A:$A,$B51,'caseload data'!$B:$B,"custody")</f>
        <v>0</v>
      </c>
      <c r="E51" s="177">
        <f>SUMIFS('caseload data'!G:G,'caseload data'!$A:$A,$B51,'caseload data'!$B:$B,"custody")</f>
        <v>0</v>
      </c>
      <c r="F51" s="177">
        <f>SUMIFS('caseload data'!H:H,'caseload data'!$A:$A,$B51,'caseload data'!$B:$B,"custody")</f>
        <v>0</v>
      </c>
      <c r="G51" s="177">
        <f>SUMIFS('caseload data'!I:I,'caseload data'!$A:$A,$B51,'caseload data'!$B:$B,"custody")</f>
        <v>0</v>
      </c>
      <c r="H51" s="177">
        <f>SUMIFS('caseload data'!J:J,'caseload data'!$A:$A,$B51,'caseload data'!$B:$B,"custody")</f>
        <v>0</v>
      </c>
      <c r="I51" s="177">
        <f>SUMIFS('caseload data'!K:K,'caseload data'!$A:$A,$B51,'caseload data'!$B:$B,"custody")</f>
        <v>0</v>
      </c>
      <c r="J51" s="177">
        <f>SUMIFS('caseload data'!L:L,'caseload data'!$A:$A,$B51,'caseload data'!$B:$B,"custody")</f>
        <v>0</v>
      </c>
      <c r="K51" s="177">
        <f>SUMIFS('caseload data'!M:M,'caseload data'!$A:$A,$B51,'caseload data'!$B:$B,"custody")</f>
        <v>0</v>
      </c>
      <c r="L51" s="177">
        <f>SUMIFS('caseload data'!N:N,'caseload data'!$A:$A,$B51,'caseload data'!$B:$B,"custody")</f>
        <v>0</v>
      </c>
      <c r="M51" s="177">
        <f>SUMIFS('caseload data'!O:O,'caseload data'!$A:$A,$B51,'caseload data'!$B:$B,"custody")</f>
        <v>0</v>
      </c>
      <c r="N51" s="177">
        <f>SUMIFS('caseload data'!P:P,'caseload data'!$A:$A,$B51,'caseload data'!$B:$B,"custody")</f>
        <v>0</v>
      </c>
      <c r="O51" s="177">
        <f>SUMIFS('caseload data'!Q:Q,'caseload data'!$A:$A,$B51,'caseload data'!$B:$B,"custody")</f>
        <v>0</v>
      </c>
      <c r="P51" s="177">
        <f>SUMIFS('caseload data'!R:R,'caseload data'!$A:$A,$B51,'caseload data'!$B:$B,"custody")</f>
        <v>0</v>
      </c>
      <c r="Q51" s="177">
        <f>SUMIFS('caseload data'!S:S,'caseload data'!$A:$A,$B51,'caseload data'!$B:$B,"custody")</f>
        <v>0</v>
      </c>
      <c r="R51" s="177">
        <f>SUMIFS('caseload data'!T:T,'caseload data'!$A:$A,$B51,'caseload data'!$B:$B,"custody")</f>
        <v>0</v>
      </c>
      <c r="S51" s="177">
        <f>SUMIFS('caseload data'!V:V,'caseload data'!$A:$A,B51,'caseload data'!$B:$B,"custody")</f>
        <v>0</v>
      </c>
      <c r="T51" s="95"/>
      <c r="U51" s="181" t="s">
        <v>520</v>
      </c>
      <c r="V51" s="97" t="e">
        <f t="shared" si="201"/>
        <v>#DIV/0!</v>
      </c>
      <c r="W51" s="97" t="e">
        <f t="shared" si="202"/>
        <v>#DIV/0!</v>
      </c>
      <c r="X51" s="97" t="e">
        <f t="shared" si="203"/>
        <v>#DIV/0!</v>
      </c>
      <c r="Y51" s="97" t="e">
        <f t="shared" si="204"/>
        <v>#DIV/0!</v>
      </c>
      <c r="Z51" s="97" t="e">
        <f t="shared" si="205"/>
        <v>#DIV/0!</v>
      </c>
      <c r="AA51" s="97" t="e">
        <f t="shared" si="206"/>
        <v>#DIV/0!</v>
      </c>
      <c r="AB51" s="97" t="e">
        <f t="shared" si="207"/>
        <v>#DIV/0!</v>
      </c>
      <c r="AC51" s="97" t="e">
        <f t="shared" si="208"/>
        <v>#DIV/0!</v>
      </c>
      <c r="AD51" s="97" t="e">
        <f t="shared" si="209"/>
        <v>#DIV/0!</v>
      </c>
      <c r="AE51" s="97" t="e">
        <f t="shared" si="210"/>
        <v>#DIV/0!</v>
      </c>
      <c r="AF51" s="97" t="e">
        <f t="shared" si="211"/>
        <v>#DIV/0!</v>
      </c>
      <c r="AG51" s="97" t="e">
        <f t="shared" si="212"/>
        <v>#DIV/0!</v>
      </c>
      <c r="AH51" s="97" t="e">
        <f t="shared" si="213"/>
        <v>#DIV/0!</v>
      </c>
      <c r="AI51" s="97" t="e">
        <f t="shared" si="214"/>
        <v>#DIV/0!</v>
      </c>
      <c r="AJ51" s="97" t="e">
        <f t="shared" si="215"/>
        <v>#DIV/0!</v>
      </c>
      <c r="AK51" s="97" t="e">
        <f t="shared" si="216"/>
        <v>#DIV/0!</v>
      </c>
    </row>
    <row r="52" spans="2:37" s="30" customFormat="1" x14ac:dyDescent="0.15">
      <c r="B52" s="181" t="s">
        <v>521</v>
      </c>
      <c r="C52" s="177">
        <f>SUMIFS('caseload data'!E:E,'caseload data'!$A:$A,$B52,'caseload data'!$B:$B,"custody")</f>
        <v>0</v>
      </c>
      <c r="D52" s="177">
        <f>SUMIFS('caseload data'!F:F,'caseload data'!$A:$A,$B52,'caseload data'!$B:$B,"custody")</f>
        <v>0</v>
      </c>
      <c r="E52" s="177">
        <f>SUMIFS('caseload data'!G:G,'caseload data'!$A:$A,$B52,'caseload data'!$B:$B,"custody")</f>
        <v>0</v>
      </c>
      <c r="F52" s="177">
        <f>SUMIFS('caseload data'!H:H,'caseload data'!$A:$A,$B52,'caseload data'!$B:$B,"custody")</f>
        <v>0</v>
      </c>
      <c r="G52" s="177">
        <f>SUMIFS('caseload data'!I:I,'caseload data'!$A:$A,$B52,'caseload data'!$B:$B,"custody")</f>
        <v>0</v>
      </c>
      <c r="H52" s="177">
        <f>SUMIFS('caseload data'!J:J,'caseload data'!$A:$A,$B52,'caseload data'!$B:$B,"custody")</f>
        <v>0</v>
      </c>
      <c r="I52" s="177">
        <f>SUMIFS('caseload data'!K:K,'caseload data'!$A:$A,$B52,'caseload data'!$B:$B,"custody")</f>
        <v>0</v>
      </c>
      <c r="J52" s="177">
        <f>SUMIFS('caseload data'!L:L,'caseload data'!$A:$A,$B52,'caseload data'!$B:$B,"custody")</f>
        <v>0</v>
      </c>
      <c r="K52" s="177">
        <f>SUMIFS('caseload data'!M:M,'caseload data'!$A:$A,$B52,'caseload data'!$B:$B,"custody")</f>
        <v>0</v>
      </c>
      <c r="L52" s="177">
        <f>SUMIFS('caseload data'!N:N,'caseload data'!$A:$A,$B52,'caseload data'!$B:$B,"custody")</f>
        <v>0</v>
      </c>
      <c r="M52" s="177">
        <f>SUMIFS('caseload data'!O:O,'caseload data'!$A:$A,$B52,'caseload data'!$B:$B,"custody")</f>
        <v>0</v>
      </c>
      <c r="N52" s="177">
        <f>SUMIFS('caseload data'!P:P,'caseload data'!$A:$A,$B52,'caseload data'!$B:$B,"custody")</f>
        <v>0</v>
      </c>
      <c r="O52" s="177">
        <f>SUMIFS('caseload data'!Q:Q,'caseload data'!$A:$A,$B52,'caseload data'!$B:$B,"custody")</f>
        <v>0</v>
      </c>
      <c r="P52" s="177">
        <f>SUMIFS('caseload data'!R:R,'caseload data'!$A:$A,$B52,'caseload data'!$B:$B,"custody")</f>
        <v>0</v>
      </c>
      <c r="Q52" s="177">
        <f>SUMIFS('caseload data'!S:S,'caseload data'!$A:$A,$B52,'caseload data'!$B:$B,"custody")</f>
        <v>0</v>
      </c>
      <c r="R52" s="177">
        <f>SUMIFS('caseload data'!T:T,'caseload data'!$A:$A,$B52,'caseload data'!$B:$B,"custody")</f>
        <v>0</v>
      </c>
      <c r="S52" s="177">
        <f>SUMIFS('caseload data'!V:V,'caseload data'!$A:$A,B52,'caseload data'!$B:$B,"custody")</f>
        <v>0</v>
      </c>
      <c r="T52" s="95"/>
      <c r="U52" s="181" t="s">
        <v>521</v>
      </c>
      <c r="V52" s="97" t="e">
        <f t="shared" si="201"/>
        <v>#DIV/0!</v>
      </c>
      <c r="W52" s="97" t="e">
        <f t="shared" si="202"/>
        <v>#DIV/0!</v>
      </c>
      <c r="X52" s="97" t="e">
        <f t="shared" si="203"/>
        <v>#DIV/0!</v>
      </c>
      <c r="Y52" s="97" t="e">
        <f t="shared" si="204"/>
        <v>#DIV/0!</v>
      </c>
      <c r="Z52" s="97" t="e">
        <f t="shared" si="205"/>
        <v>#DIV/0!</v>
      </c>
      <c r="AA52" s="97" t="e">
        <f t="shared" si="206"/>
        <v>#DIV/0!</v>
      </c>
      <c r="AB52" s="97" t="e">
        <f t="shared" si="207"/>
        <v>#DIV/0!</v>
      </c>
      <c r="AC52" s="97" t="e">
        <f t="shared" si="208"/>
        <v>#DIV/0!</v>
      </c>
      <c r="AD52" s="97" t="e">
        <f t="shared" si="209"/>
        <v>#DIV/0!</v>
      </c>
      <c r="AE52" s="97" t="e">
        <f t="shared" si="210"/>
        <v>#DIV/0!</v>
      </c>
      <c r="AF52" s="97" t="e">
        <f t="shared" si="211"/>
        <v>#DIV/0!</v>
      </c>
      <c r="AG52" s="97" t="e">
        <f t="shared" si="212"/>
        <v>#DIV/0!</v>
      </c>
      <c r="AH52" s="97" t="e">
        <f t="shared" si="213"/>
        <v>#DIV/0!</v>
      </c>
      <c r="AI52" s="97" t="e">
        <f t="shared" si="214"/>
        <v>#DIV/0!</v>
      </c>
      <c r="AJ52" s="97" t="e">
        <f t="shared" si="215"/>
        <v>#DIV/0!</v>
      </c>
      <c r="AK52" s="97" t="e">
        <f t="shared" si="216"/>
        <v>#DIV/0!</v>
      </c>
    </row>
    <row r="53" spans="2:37" s="30" customFormat="1" x14ac:dyDescent="0.15">
      <c r="B53" s="181" t="s">
        <v>522</v>
      </c>
      <c r="C53" s="177">
        <f>SUMIFS('caseload data'!E:E,'caseload data'!$A:$A,$B53,'caseload data'!$B:$B,"custody")</f>
        <v>0</v>
      </c>
      <c r="D53" s="177">
        <f>SUMIFS('caseload data'!F:F,'caseload data'!$A:$A,$B53,'caseload data'!$B:$B,"custody")</f>
        <v>0</v>
      </c>
      <c r="E53" s="177">
        <f>SUMIFS('caseload data'!G:G,'caseload data'!$A:$A,$B53,'caseload data'!$B:$B,"custody")</f>
        <v>0</v>
      </c>
      <c r="F53" s="177">
        <f>SUMIFS('caseload data'!H:H,'caseload data'!$A:$A,$B53,'caseload data'!$B:$B,"custody")</f>
        <v>0</v>
      </c>
      <c r="G53" s="177">
        <f>SUMIFS('caseload data'!I:I,'caseload data'!$A:$A,$B53,'caseload data'!$B:$B,"custody")</f>
        <v>0</v>
      </c>
      <c r="H53" s="177">
        <f>SUMIFS('caseload data'!J:J,'caseload data'!$A:$A,$B53,'caseload data'!$B:$B,"custody")</f>
        <v>0</v>
      </c>
      <c r="I53" s="177">
        <f>SUMIFS('caseload data'!K:K,'caseload data'!$A:$A,$B53,'caseload data'!$B:$B,"custody")</f>
        <v>0</v>
      </c>
      <c r="J53" s="177">
        <f>SUMIFS('caseload data'!L:L,'caseload data'!$A:$A,$B53,'caseload data'!$B:$B,"custody")</f>
        <v>0</v>
      </c>
      <c r="K53" s="177">
        <f>SUMIFS('caseload data'!M:M,'caseload data'!$A:$A,$B53,'caseload data'!$B:$B,"custody")</f>
        <v>0</v>
      </c>
      <c r="L53" s="177">
        <f>SUMIFS('caseload data'!N:N,'caseload data'!$A:$A,$B53,'caseload data'!$B:$B,"custody")</f>
        <v>0</v>
      </c>
      <c r="M53" s="177">
        <f>SUMIFS('caseload data'!O:O,'caseload data'!$A:$A,$B53,'caseload data'!$B:$B,"custody")</f>
        <v>0</v>
      </c>
      <c r="N53" s="177">
        <f>SUMIFS('caseload data'!P:P,'caseload data'!$A:$A,$B53,'caseload data'!$B:$B,"custody")</f>
        <v>0</v>
      </c>
      <c r="O53" s="177">
        <f>SUMIFS('caseload data'!Q:Q,'caseload data'!$A:$A,$B53,'caseload data'!$B:$B,"custody")</f>
        <v>0</v>
      </c>
      <c r="P53" s="177">
        <f>SUMIFS('caseload data'!R:R,'caseload data'!$A:$A,$B53,'caseload data'!$B:$B,"custody")</f>
        <v>0</v>
      </c>
      <c r="Q53" s="177">
        <f>SUMIFS('caseload data'!S:S,'caseload data'!$A:$A,$B53,'caseload data'!$B:$B,"custody")</f>
        <v>0</v>
      </c>
      <c r="R53" s="177">
        <f>SUMIFS('caseload data'!T:T,'caseload data'!$A:$A,$B53,'caseload data'!$B:$B,"custody")</f>
        <v>0</v>
      </c>
      <c r="S53" s="177">
        <f>SUMIFS('caseload data'!V:V,'caseload data'!$A:$A,B53,'caseload data'!$B:$B,"custody")</f>
        <v>0</v>
      </c>
      <c r="T53" s="95"/>
      <c r="U53" s="181" t="s">
        <v>522</v>
      </c>
      <c r="V53" s="97" t="e">
        <f t="shared" si="201"/>
        <v>#DIV/0!</v>
      </c>
      <c r="W53" s="97" t="e">
        <f t="shared" si="202"/>
        <v>#DIV/0!</v>
      </c>
      <c r="X53" s="97" t="e">
        <f t="shared" si="203"/>
        <v>#DIV/0!</v>
      </c>
      <c r="Y53" s="97" t="e">
        <f t="shared" si="204"/>
        <v>#DIV/0!</v>
      </c>
      <c r="Z53" s="97" t="e">
        <f t="shared" si="205"/>
        <v>#DIV/0!</v>
      </c>
      <c r="AA53" s="97" t="e">
        <f t="shared" si="206"/>
        <v>#DIV/0!</v>
      </c>
      <c r="AB53" s="97" t="e">
        <f t="shared" si="207"/>
        <v>#DIV/0!</v>
      </c>
      <c r="AC53" s="97" t="e">
        <f t="shared" si="208"/>
        <v>#DIV/0!</v>
      </c>
      <c r="AD53" s="97" t="e">
        <f t="shared" si="209"/>
        <v>#DIV/0!</v>
      </c>
      <c r="AE53" s="97" t="e">
        <f t="shared" si="210"/>
        <v>#DIV/0!</v>
      </c>
      <c r="AF53" s="97" t="e">
        <f t="shared" si="211"/>
        <v>#DIV/0!</v>
      </c>
      <c r="AG53" s="97" t="e">
        <f t="shared" si="212"/>
        <v>#DIV/0!</v>
      </c>
      <c r="AH53" s="97" t="e">
        <f t="shared" si="213"/>
        <v>#DIV/0!</v>
      </c>
      <c r="AI53" s="97" t="e">
        <f t="shared" si="214"/>
        <v>#DIV/0!</v>
      </c>
      <c r="AJ53" s="97" t="e">
        <f t="shared" si="215"/>
        <v>#DIV/0!</v>
      </c>
      <c r="AK53" s="97" t="e">
        <f t="shared" si="216"/>
        <v>#DIV/0!</v>
      </c>
    </row>
    <row r="54" spans="2:37" s="30" customFormat="1" x14ac:dyDescent="0.15">
      <c r="B54" s="181" t="s">
        <v>523</v>
      </c>
      <c r="C54" s="177">
        <f>SUMIFS('caseload data'!E:E,'caseload data'!$A:$A,$B54,'caseload data'!$B:$B,"custody")</f>
        <v>0</v>
      </c>
      <c r="D54" s="177">
        <f>SUMIFS('caseload data'!F:F,'caseload data'!$A:$A,$B54,'caseload data'!$B:$B,"custody")</f>
        <v>0</v>
      </c>
      <c r="E54" s="177">
        <f>SUMIFS('caseload data'!G:G,'caseload data'!$A:$A,$B54,'caseload data'!$B:$B,"custody")</f>
        <v>0</v>
      </c>
      <c r="F54" s="177">
        <f>SUMIFS('caseload data'!H:H,'caseload data'!$A:$A,$B54,'caseload data'!$B:$B,"custody")</f>
        <v>0</v>
      </c>
      <c r="G54" s="177">
        <f>SUMIFS('caseload data'!I:I,'caseload data'!$A:$A,$B54,'caseload data'!$B:$B,"custody")</f>
        <v>0</v>
      </c>
      <c r="H54" s="177">
        <f>SUMIFS('caseload data'!J:J,'caseload data'!$A:$A,$B54,'caseload data'!$B:$B,"custody")</f>
        <v>0</v>
      </c>
      <c r="I54" s="177">
        <f>SUMIFS('caseload data'!K:K,'caseload data'!$A:$A,$B54,'caseload data'!$B:$B,"custody")</f>
        <v>0</v>
      </c>
      <c r="J54" s="177">
        <f>SUMIFS('caseload data'!L:L,'caseload data'!$A:$A,$B54,'caseload data'!$B:$B,"custody")</f>
        <v>0</v>
      </c>
      <c r="K54" s="177">
        <f>SUMIFS('caseload data'!M:M,'caseload data'!$A:$A,$B54,'caseload data'!$B:$B,"custody")</f>
        <v>0</v>
      </c>
      <c r="L54" s="177">
        <f>SUMIFS('caseload data'!N:N,'caseload data'!$A:$A,$B54,'caseload data'!$B:$B,"custody")</f>
        <v>0</v>
      </c>
      <c r="M54" s="177">
        <f>SUMIFS('caseload data'!O:O,'caseload data'!$A:$A,$B54,'caseload data'!$B:$B,"custody")</f>
        <v>0</v>
      </c>
      <c r="N54" s="177">
        <f>SUMIFS('caseload data'!P:P,'caseload data'!$A:$A,$B54,'caseload data'!$B:$B,"custody")</f>
        <v>0</v>
      </c>
      <c r="O54" s="177">
        <f>SUMIFS('caseload data'!Q:Q,'caseload data'!$A:$A,$B54,'caseload data'!$B:$B,"custody")</f>
        <v>0</v>
      </c>
      <c r="P54" s="177">
        <f>SUMIFS('caseload data'!R:R,'caseload data'!$A:$A,$B54,'caseload data'!$B:$B,"custody")</f>
        <v>0</v>
      </c>
      <c r="Q54" s="177">
        <f>SUMIFS('caseload data'!S:S,'caseload data'!$A:$A,$B54,'caseload data'!$B:$B,"custody")</f>
        <v>0</v>
      </c>
      <c r="R54" s="177">
        <f>SUMIFS('caseload data'!T:T,'caseload data'!$A:$A,$B54,'caseload data'!$B:$B,"custody")</f>
        <v>0</v>
      </c>
      <c r="S54" s="177">
        <f>SUMIFS('caseload data'!V:V,'caseload data'!$A:$A,B54,'caseload data'!$B:$B,"custody")</f>
        <v>0</v>
      </c>
      <c r="T54" s="95"/>
      <c r="U54" s="181" t="s">
        <v>523</v>
      </c>
      <c r="V54" s="97" t="e">
        <f t="shared" si="201"/>
        <v>#DIV/0!</v>
      </c>
      <c r="W54" s="97" t="e">
        <f t="shared" si="202"/>
        <v>#DIV/0!</v>
      </c>
      <c r="X54" s="97" t="e">
        <f t="shared" si="203"/>
        <v>#DIV/0!</v>
      </c>
      <c r="Y54" s="97" t="e">
        <f t="shared" si="204"/>
        <v>#DIV/0!</v>
      </c>
      <c r="Z54" s="97" t="e">
        <f t="shared" si="205"/>
        <v>#DIV/0!</v>
      </c>
      <c r="AA54" s="97" t="e">
        <f t="shared" si="206"/>
        <v>#DIV/0!</v>
      </c>
      <c r="AB54" s="97" t="e">
        <f t="shared" si="207"/>
        <v>#DIV/0!</v>
      </c>
      <c r="AC54" s="97" t="e">
        <f t="shared" si="208"/>
        <v>#DIV/0!</v>
      </c>
      <c r="AD54" s="97" t="e">
        <f t="shared" si="209"/>
        <v>#DIV/0!</v>
      </c>
      <c r="AE54" s="97" t="e">
        <f t="shared" si="210"/>
        <v>#DIV/0!</v>
      </c>
      <c r="AF54" s="97" t="e">
        <f t="shared" si="211"/>
        <v>#DIV/0!</v>
      </c>
      <c r="AG54" s="97" t="e">
        <f t="shared" si="212"/>
        <v>#DIV/0!</v>
      </c>
      <c r="AH54" s="97" t="e">
        <f t="shared" si="213"/>
        <v>#DIV/0!</v>
      </c>
      <c r="AI54" s="97" t="e">
        <f t="shared" si="214"/>
        <v>#DIV/0!</v>
      </c>
      <c r="AJ54" s="97" t="e">
        <f t="shared" si="215"/>
        <v>#DIV/0!</v>
      </c>
      <c r="AK54" s="97" t="e">
        <f t="shared" si="216"/>
        <v>#DIV/0!</v>
      </c>
    </row>
    <row r="55" spans="2:37" x14ac:dyDescent="0.15">
      <c r="B55" s="143" t="s">
        <v>183</v>
      </c>
      <c r="C55" s="179">
        <f>SUMIF('caseload data'!$B:$B,"custody",'caseload data'!E:E)</f>
        <v>0</v>
      </c>
      <c r="D55" s="179">
        <f>SUMIF('caseload data'!$B:$B,"custody",'caseload data'!F:F)</f>
        <v>0</v>
      </c>
      <c r="E55" s="179">
        <f>SUMIF('caseload data'!$B:$B,"custody",'caseload data'!G:G)</f>
        <v>0</v>
      </c>
      <c r="F55" s="179">
        <f>SUMIF('caseload data'!$B:$B,"custody",'caseload data'!H:H)</f>
        <v>0</v>
      </c>
      <c r="G55" s="179">
        <f>SUMIF('caseload data'!$B:$B,"custody",'caseload data'!I:I)</f>
        <v>0</v>
      </c>
      <c r="H55" s="179">
        <f>SUMIF('caseload data'!$B:$B,"custody",'caseload data'!J:J)</f>
        <v>0</v>
      </c>
      <c r="I55" s="179">
        <f>SUMIF('caseload data'!$B:$B,"custody",'caseload data'!K:K)</f>
        <v>0</v>
      </c>
      <c r="J55" s="179">
        <f>SUMIF('caseload data'!$B:$B,"custody",'caseload data'!L:L)</f>
        <v>0</v>
      </c>
      <c r="K55" s="179">
        <f>SUMIF('caseload data'!$B:$B,"custody",'caseload data'!M:M)</f>
        <v>0</v>
      </c>
      <c r="L55" s="179">
        <f>SUMIF('caseload data'!$B:$B,"custody",'caseload data'!N:N)</f>
        <v>0</v>
      </c>
      <c r="M55" s="179">
        <f>SUMIF('caseload data'!$B:$B,"custody",'caseload data'!O:O)</f>
        <v>0</v>
      </c>
      <c r="N55" s="179">
        <f>SUMIF('caseload data'!$B:$B,"custody",'caseload data'!P:P)</f>
        <v>0</v>
      </c>
      <c r="O55" s="179">
        <f>SUMIF('caseload data'!$B:$B,"custody",'caseload data'!Q:Q)</f>
        <v>0</v>
      </c>
      <c r="P55" s="179">
        <f>SUMIF('caseload data'!$B:$B,"custody",'caseload data'!R:R)</f>
        <v>0</v>
      </c>
      <c r="Q55" s="179">
        <f>SUMIF('caseload data'!$B:$B,"custody",'caseload data'!S:S)</f>
        <v>0</v>
      </c>
      <c r="R55" s="179">
        <f>SUMIF('caseload data'!$B:$B,"custody",'caseload data'!T:T)</f>
        <v>0</v>
      </c>
      <c r="S55" s="179">
        <f>SUMIF('caseload data'!$B:$B,"custody",'caseload data'!V:V)</f>
        <v>0</v>
      </c>
      <c r="T55" s="95"/>
      <c r="U55" s="143" t="s">
        <v>183</v>
      </c>
      <c r="V55" s="148" t="e">
        <f>C55/$S$55</f>
        <v>#DIV/0!</v>
      </c>
      <c r="W55" s="148" t="e">
        <f t="shared" ref="W55:AB55" si="217">D55/$S$55</f>
        <v>#DIV/0!</v>
      </c>
      <c r="X55" s="148" t="e">
        <f t="shared" si="217"/>
        <v>#DIV/0!</v>
      </c>
      <c r="Y55" s="148" t="e">
        <f t="shared" si="217"/>
        <v>#DIV/0!</v>
      </c>
      <c r="Z55" s="148" t="e">
        <f t="shared" si="217"/>
        <v>#DIV/0!</v>
      </c>
      <c r="AA55" s="148" t="e">
        <f t="shared" si="217"/>
        <v>#DIV/0!</v>
      </c>
      <c r="AB55" s="148" t="e">
        <f t="shared" si="217"/>
        <v>#DIV/0!</v>
      </c>
      <c r="AC55" s="148" t="e">
        <f t="shared" ref="AC55" si="218">J55/$S$55</f>
        <v>#DIV/0!</v>
      </c>
      <c r="AD55" s="148" t="e">
        <f t="shared" ref="AD55" si="219">K55/$S$55</f>
        <v>#DIV/0!</v>
      </c>
      <c r="AE55" s="148" t="e">
        <f t="shared" ref="AE55" si="220">L55/$S$55</f>
        <v>#DIV/0!</v>
      </c>
      <c r="AF55" s="148" t="e">
        <f t="shared" ref="AF55" si="221">M55/$S$55</f>
        <v>#DIV/0!</v>
      </c>
      <c r="AG55" s="148" t="e">
        <f t="shared" ref="AG55:AH55" si="222">N55/$S$55</f>
        <v>#DIV/0!</v>
      </c>
      <c r="AH55" s="148" t="e">
        <f t="shared" si="222"/>
        <v>#DIV/0!</v>
      </c>
      <c r="AI55" s="148" t="e">
        <f t="shared" ref="AI55" si="223">P55/$S$55</f>
        <v>#DIV/0!</v>
      </c>
      <c r="AJ55" s="148" t="e">
        <f t="shared" ref="AJ55" si="224">Q55/$S$55</f>
        <v>#DIV/0!</v>
      </c>
      <c r="AK55" s="148" t="e">
        <f t="shared" ref="AK55" si="225">R55/$S$55</f>
        <v>#DIV/0!</v>
      </c>
    </row>
    <row r="58" spans="2:37" ht="16" x14ac:dyDescent="0.2">
      <c r="B58" s="30"/>
      <c r="C58" s="312" t="s">
        <v>490</v>
      </c>
      <c r="D58" s="313"/>
      <c r="E58" s="313"/>
      <c r="F58" s="313"/>
      <c r="G58" s="313"/>
      <c r="H58" s="313"/>
      <c r="I58" s="313"/>
      <c r="J58" s="313"/>
      <c r="K58" s="313"/>
      <c r="L58" s="313"/>
      <c r="M58" s="313"/>
      <c r="N58" s="313"/>
      <c r="O58" s="313"/>
      <c r="P58" s="313"/>
      <c r="Q58" s="313"/>
      <c r="R58" s="313"/>
      <c r="S58" s="357"/>
      <c r="T58" s="178"/>
      <c r="U58" s="178"/>
      <c r="V58" s="358" t="s">
        <v>491</v>
      </c>
      <c r="W58" s="358"/>
      <c r="X58" s="358"/>
      <c r="Y58" s="358"/>
      <c r="Z58" s="358"/>
      <c r="AA58" s="358"/>
      <c r="AB58" s="358"/>
    </row>
    <row r="59" spans="2:37" x14ac:dyDescent="0.15">
      <c r="B59" s="176"/>
      <c r="C59" s="58" t="s">
        <v>504</v>
      </c>
      <c r="D59" s="58" t="s">
        <v>503</v>
      </c>
      <c r="E59" s="58" t="s">
        <v>502</v>
      </c>
      <c r="F59" s="58" t="s">
        <v>501</v>
      </c>
      <c r="G59" s="58" t="s">
        <v>510</v>
      </c>
      <c r="H59" s="58" t="s">
        <v>176</v>
      </c>
      <c r="I59" s="58" t="s">
        <v>177</v>
      </c>
      <c r="J59" s="58" t="s">
        <v>505</v>
      </c>
      <c r="K59" s="58" t="s">
        <v>507</v>
      </c>
      <c r="L59" s="58" t="s">
        <v>178</v>
      </c>
      <c r="M59" s="58" t="s">
        <v>179</v>
      </c>
      <c r="N59" s="58" t="s">
        <v>506</v>
      </c>
      <c r="O59" s="58" t="s">
        <v>508</v>
      </c>
      <c r="P59" s="58" t="s">
        <v>180</v>
      </c>
      <c r="Q59" s="58" t="s">
        <v>181</v>
      </c>
      <c r="R59" s="58" t="s">
        <v>509</v>
      </c>
      <c r="S59" s="60" t="s">
        <v>183</v>
      </c>
      <c r="T59" s="95"/>
      <c r="U59" s="176"/>
      <c r="V59" s="58" t="s">
        <v>504</v>
      </c>
      <c r="W59" s="58" t="s">
        <v>503</v>
      </c>
      <c r="X59" s="58" t="s">
        <v>502</v>
      </c>
      <c r="Y59" s="58" t="s">
        <v>501</v>
      </c>
      <c r="Z59" s="58" t="s">
        <v>510</v>
      </c>
      <c r="AA59" s="58" t="s">
        <v>176</v>
      </c>
      <c r="AB59" s="58" t="s">
        <v>177</v>
      </c>
      <c r="AC59" s="58" t="s">
        <v>505</v>
      </c>
      <c r="AD59" s="58" t="s">
        <v>507</v>
      </c>
      <c r="AE59" s="58" t="s">
        <v>178</v>
      </c>
      <c r="AF59" s="58" t="s">
        <v>179</v>
      </c>
      <c r="AG59" s="58" t="s">
        <v>506</v>
      </c>
      <c r="AH59" s="58" t="s">
        <v>508</v>
      </c>
      <c r="AI59" s="58" t="s">
        <v>180</v>
      </c>
      <c r="AJ59" s="58" t="s">
        <v>181</v>
      </c>
      <c r="AK59" s="58" t="s">
        <v>509</v>
      </c>
    </row>
    <row r="60" spans="2:37" x14ac:dyDescent="0.15">
      <c r="B60" s="181" t="s">
        <v>4</v>
      </c>
      <c r="C60" s="177">
        <f>SUMIFS('caseload data'!E:E,'caseload data'!$A:$A,$B60,'caseload data'!$B:$B,"licence")</f>
        <v>0</v>
      </c>
      <c r="D60" s="177">
        <f>SUMIFS('caseload data'!F:F,'caseload data'!$A:$A,$B60,'caseload data'!$B:$B,"licence")</f>
        <v>0</v>
      </c>
      <c r="E60" s="177">
        <f>SUMIFS('caseload data'!G:G,'caseload data'!$A:$A,$B60,'caseload data'!$B:$B,"licence")</f>
        <v>0</v>
      </c>
      <c r="F60" s="177">
        <f>SUMIFS('caseload data'!H:H,'caseload data'!$A:$A,$B60,'caseload data'!$B:$B,"licence")</f>
        <v>0</v>
      </c>
      <c r="G60" s="177">
        <f>SUMIFS('caseload data'!I:I,'caseload data'!$A:$A,$B60,'caseload data'!$B:$B,"licence")</f>
        <v>0</v>
      </c>
      <c r="H60" s="177">
        <f>SUMIFS('caseload data'!J:J,'caseload data'!$A:$A,$B60,'caseload data'!$B:$B,"licence")</f>
        <v>0</v>
      </c>
      <c r="I60" s="177">
        <f>SUMIFS('caseload data'!K:K,'caseload data'!$A:$A,$B60,'caseload data'!$B:$B,"licence")</f>
        <v>0</v>
      </c>
      <c r="J60" s="177">
        <f>SUMIFS('caseload data'!L:L,'caseload data'!$A:$A,$B60,'caseload data'!$B:$B,"licence")</f>
        <v>0</v>
      </c>
      <c r="K60" s="177">
        <f>SUMIFS('caseload data'!M:M,'caseload data'!$A:$A,$B60,'caseload data'!$B:$B,"licence")</f>
        <v>0</v>
      </c>
      <c r="L60" s="177">
        <f>SUMIFS('caseload data'!N:N,'caseload data'!$A:$A,$B60,'caseload data'!$B:$B,"licence")</f>
        <v>0</v>
      </c>
      <c r="M60" s="177">
        <f>SUMIFS('caseload data'!O:O,'caseload data'!$A:$A,$B60,'caseload data'!$B:$B,"licence")</f>
        <v>0</v>
      </c>
      <c r="N60" s="177">
        <f>SUMIFS('caseload data'!P:P,'caseload data'!$A:$A,$B60,'caseload data'!$B:$B,"licence")</f>
        <v>0</v>
      </c>
      <c r="O60" s="177">
        <f>SUMIFS('caseload data'!Q:Q,'caseload data'!$A:$A,$B60,'caseload data'!$B:$B,"licence")</f>
        <v>0</v>
      </c>
      <c r="P60" s="177">
        <f>SUMIFS('caseload data'!R:R,'caseload data'!$A:$A,$B60,'caseload data'!$B:$B,"licence")</f>
        <v>0</v>
      </c>
      <c r="Q60" s="177">
        <f>SUMIFS('caseload data'!S:S,'caseload data'!$A:$A,$B60,'caseload data'!$B:$B,"licence")</f>
        <v>0</v>
      </c>
      <c r="R60" s="177">
        <f>SUMIFS('caseload data'!T:T,'caseload data'!$A:$A,$B60,'caseload data'!$B:$B,"licence")</f>
        <v>0</v>
      </c>
      <c r="S60" s="177">
        <f>SUMIFS('caseload data'!V:V,'caseload data'!$A:$A,B60,'caseload data'!$B:$B,"licence")</f>
        <v>0</v>
      </c>
      <c r="T60" s="95"/>
      <c r="U60" s="181" t="s">
        <v>4</v>
      </c>
      <c r="V60" s="97" t="e">
        <f>C60/$S$60</f>
        <v>#DIV/0!</v>
      </c>
      <c r="W60" s="97" t="e">
        <f t="shared" ref="W60:AK60" si="226">D60/$S$60</f>
        <v>#DIV/0!</v>
      </c>
      <c r="X60" s="97" t="e">
        <f t="shared" si="226"/>
        <v>#DIV/0!</v>
      </c>
      <c r="Y60" s="97" t="e">
        <f t="shared" si="226"/>
        <v>#DIV/0!</v>
      </c>
      <c r="Z60" s="97" t="e">
        <f t="shared" si="226"/>
        <v>#DIV/0!</v>
      </c>
      <c r="AA60" s="97" t="e">
        <f t="shared" si="226"/>
        <v>#DIV/0!</v>
      </c>
      <c r="AB60" s="97" t="e">
        <f t="shared" si="226"/>
        <v>#DIV/0!</v>
      </c>
      <c r="AC60" s="97" t="e">
        <f t="shared" si="226"/>
        <v>#DIV/0!</v>
      </c>
      <c r="AD60" s="97" t="e">
        <f t="shared" si="226"/>
        <v>#DIV/0!</v>
      </c>
      <c r="AE60" s="97" t="e">
        <f t="shared" si="226"/>
        <v>#DIV/0!</v>
      </c>
      <c r="AF60" s="97" t="e">
        <f t="shared" si="226"/>
        <v>#DIV/0!</v>
      </c>
      <c r="AG60" s="97" t="e">
        <f t="shared" si="226"/>
        <v>#DIV/0!</v>
      </c>
      <c r="AH60" s="97" t="e">
        <f t="shared" si="226"/>
        <v>#DIV/0!</v>
      </c>
      <c r="AI60" s="97" t="e">
        <f t="shared" si="226"/>
        <v>#DIV/0!</v>
      </c>
      <c r="AJ60" s="97" t="e">
        <f t="shared" si="226"/>
        <v>#DIV/0!</v>
      </c>
      <c r="AK60" s="97" t="e">
        <f t="shared" si="226"/>
        <v>#DIV/0!</v>
      </c>
    </row>
    <row r="61" spans="2:37" x14ac:dyDescent="0.15">
      <c r="B61" s="181" t="s">
        <v>1014</v>
      </c>
      <c r="C61" s="177">
        <f>SUMIFS('caseload data'!E:E,'caseload data'!$A:$A,$B61,'caseload data'!$B:$B,"licence")</f>
        <v>0</v>
      </c>
      <c r="D61" s="177">
        <f>SUMIFS('caseload data'!F:F,'caseload data'!$A:$A,$B61,'caseload data'!$B:$B,"licence")</f>
        <v>0</v>
      </c>
      <c r="E61" s="177">
        <f>SUMIFS('caseload data'!G:G,'caseload data'!$A:$A,$B61,'caseload data'!$B:$B,"licence")</f>
        <v>0</v>
      </c>
      <c r="F61" s="177">
        <f>SUMIFS('caseload data'!H:H,'caseload data'!$A:$A,$B61,'caseload data'!$B:$B,"licence")</f>
        <v>0</v>
      </c>
      <c r="G61" s="177">
        <f>SUMIFS('caseload data'!I:I,'caseload data'!$A:$A,$B61,'caseload data'!$B:$B,"licence")</f>
        <v>0</v>
      </c>
      <c r="H61" s="177">
        <f>SUMIFS('caseload data'!J:J,'caseload data'!$A:$A,$B61,'caseload data'!$B:$B,"licence")</f>
        <v>0</v>
      </c>
      <c r="I61" s="177">
        <f>SUMIFS('caseload data'!K:K,'caseload data'!$A:$A,$B61,'caseload data'!$B:$B,"licence")</f>
        <v>0</v>
      </c>
      <c r="J61" s="177">
        <f>SUMIFS('caseload data'!L:L,'caseload data'!$A:$A,$B61,'caseload data'!$B:$B,"licence")</f>
        <v>0</v>
      </c>
      <c r="K61" s="177">
        <f>SUMIFS('caseload data'!M:M,'caseload data'!$A:$A,$B61,'caseload data'!$B:$B,"licence")</f>
        <v>0</v>
      </c>
      <c r="L61" s="177">
        <f>SUMIFS('caseload data'!N:N,'caseload data'!$A:$A,$B61,'caseload data'!$B:$B,"licence")</f>
        <v>0</v>
      </c>
      <c r="M61" s="177">
        <f>SUMIFS('caseload data'!O:O,'caseload data'!$A:$A,$B61,'caseload data'!$B:$B,"licence")</f>
        <v>0</v>
      </c>
      <c r="N61" s="177">
        <f>SUMIFS('caseload data'!P:P,'caseload data'!$A:$A,$B61,'caseload data'!$B:$B,"licence")</f>
        <v>0</v>
      </c>
      <c r="O61" s="177">
        <f>SUMIFS('caseload data'!Q:Q,'caseload data'!$A:$A,$B61,'caseload data'!$B:$B,"licence")</f>
        <v>0</v>
      </c>
      <c r="P61" s="177">
        <f>SUMIFS('caseload data'!R:R,'caseload data'!$A:$A,$B61,'caseload data'!$B:$B,"licence")</f>
        <v>0</v>
      </c>
      <c r="Q61" s="177">
        <f>SUMIFS('caseload data'!S:S,'caseload data'!$A:$A,$B61,'caseload data'!$B:$B,"licence")</f>
        <v>0</v>
      </c>
      <c r="R61" s="177">
        <f>SUMIFS('caseload data'!T:T,'caseload data'!$A:$A,$B61,'caseload data'!$B:$B,"licence")</f>
        <v>0</v>
      </c>
      <c r="S61" s="177">
        <f>SUMIFS('caseload data'!V:V,'caseload data'!$A:$A,B61,'caseload data'!$B:$B,"licence")</f>
        <v>0</v>
      </c>
      <c r="T61" s="95"/>
      <c r="U61" s="181" t="s">
        <v>1014</v>
      </c>
      <c r="V61" s="97" t="e">
        <f>C61/$S$61</f>
        <v>#DIV/0!</v>
      </c>
      <c r="W61" s="97" t="e">
        <f t="shared" ref="W61:AK61" si="227">D61/$S$61</f>
        <v>#DIV/0!</v>
      </c>
      <c r="X61" s="97" t="e">
        <f t="shared" si="227"/>
        <v>#DIV/0!</v>
      </c>
      <c r="Y61" s="97" t="e">
        <f t="shared" si="227"/>
        <v>#DIV/0!</v>
      </c>
      <c r="Z61" s="97" t="e">
        <f t="shared" si="227"/>
        <v>#DIV/0!</v>
      </c>
      <c r="AA61" s="97" t="e">
        <f t="shared" si="227"/>
        <v>#DIV/0!</v>
      </c>
      <c r="AB61" s="97" t="e">
        <f t="shared" si="227"/>
        <v>#DIV/0!</v>
      </c>
      <c r="AC61" s="97" t="e">
        <f t="shared" si="227"/>
        <v>#DIV/0!</v>
      </c>
      <c r="AD61" s="97" t="e">
        <f t="shared" si="227"/>
        <v>#DIV/0!</v>
      </c>
      <c r="AE61" s="97" t="e">
        <f t="shared" si="227"/>
        <v>#DIV/0!</v>
      </c>
      <c r="AF61" s="97" t="e">
        <f t="shared" si="227"/>
        <v>#DIV/0!</v>
      </c>
      <c r="AG61" s="97" t="e">
        <f t="shared" si="227"/>
        <v>#DIV/0!</v>
      </c>
      <c r="AH61" s="97" t="e">
        <f t="shared" si="227"/>
        <v>#DIV/0!</v>
      </c>
      <c r="AI61" s="97" t="e">
        <f t="shared" si="227"/>
        <v>#DIV/0!</v>
      </c>
      <c r="AJ61" s="97" t="e">
        <f t="shared" si="227"/>
        <v>#DIV/0!</v>
      </c>
      <c r="AK61" s="97" t="e">
        <f t="shared" si="227"/>
        <v>#DIV/0!</v>
      </c>
    </row>
    <row r="62" spans="2:37" x14ac:dyDescent="0.15">
      <c r="B62" s="181" t="s">
        <v>5</v>
      </c>
      <c r="C62" s="177">
        <f>SUMIFS('caseload data'!E:E,'caseload data'!$A:$A,$B62,'caseload data'!$B:$B,"licence")</f>
        <v>0</v>
      </c>
      <c r="D62" s="177">
        <f>SUMIFS('caseload data'!F:F,'caseload data'!$A:$A,$B62,'caseload data'!$B:$B,"licence")</f>
        <v>0</v>
      </c>
      <c r="E62" s="177">
        <f>SUMIFS('caseload data'!G:G,'caseload data'!$A:$A,$B62,'caseload data'!$B:$B,"licence")</f>
        <v>0</v>
      </c>
      <c r="F62" s="177">
        <f>SUMIFS('caseload data'!H:H,'caseload data'!$A:$A,$B62,'caseload data'!$B:$B,"licence")</f>
        <v>0</v>
      </c>
      <c r="G62" s="177">
        <f>SUMIFS('caseload data'!I:I,'caseload data'!$A:$A,$B62,'caseload data'!$B:$B,"licence")</f>
        <v>0</v>
      </c>
      <c r="H62" s="177">
        <f>SUMIFS('caseload data'!J:J,'caseload data'!$A:$A,$B62,'caseload data'!$B:$B,"licence")</f>
        <v>0</v>
      </c>
      <c r="I62" s="177">
        <f>SUMIFS('caseload data'!K:K,'caseload data'!$A:$A,$B62,'caseload data'!$B:$B,"licence")</f>
        <v>0</v>
      </c>
      <c r="J62" s="177">
        <f>SUMIFS('caseload data'!L:L,'caseload data'!$A:$A,$B62,'caseload data'!$B:$B,"licence")</f>
        <v>0</v>
      </c>
      <c r="K62" s="177">
        <f>SUMIFS('caseload data'!M:M,'caseload data'!$A:$A,$B62,'caseload data'!$B:$B,"licence")</f>
        <v>0</v>
      </c>
      <c r="L62" s="177">
        <f>SUMIFS('caseload data'!N:N,'caseload data'!$A:$A,$B62,'caseload data'!$B:$B,"licence")</f>
        <v>0</v>
      </c>
      <c r="M62" s="177">
        <f>SUMIFS('caseload data'!O:O,'caseload data'!$A:$A,$B62,'caseload data'!$B:$B,"licence")</f>
        <v>0</v>
      </c>
      <c r="N62" s="177">
        <f>SUMIFS('caseload data'!P:P,'caseload data'!$A:$A,$B62,'caseload data'!$B:$B,"licence")</f>
        <v>0</v>
      </c>
      <c r="O62" s="177">
        <f>SUMIFS('caseload data'!Q:Q,'caseload data'!$A:$A,$B62,'caseload data'!$B:$B,"licence")</f>
        <v>0</v>
      </c>
      <c r="P62" s="177">
        <f>SUMIFS('caseload data'!R:R,'caseload data'!$A:$A,$B62,'caseload data'!$B:$B,"licence")</f>
        <v>0</v>
      </c>
      <c r="Q62" s="177">
        <f>SUMIFS('caseload data'!S:S,'caseload data'!$A:$A,$B62,'caseload data'!$B:$B,"licence")</f>
        <v>0</v>
      </c>
      <c r="R62" s="177">
        <f>SUMIFS('caseload data'!T:T,'caseload data'!$A:$A,$B62,'caseload data'!$B:$B,"licence")</f>
        <v>0</v>
      </c>
      <c r="S62" s="177">
        <f>SUMIFS('caseload data'!V:V,'caseload data'!$A:$A,B62,'caseload data'!$B:$B,"licence")</f>
        <v>0</v>
      </c>
      <c r="T62" s="95"/>
      <c r="U62" s="181" t="s">
        <v>5</v>
      </c>
      <c r="V62" s="97" t="e">
        <f>C62/$S$62</f>
        <v>#DIV/0!</v>
      </c>
      <c r="W62" s="97" t="e">
        <f t="shared" ref="W62:AK62" si="228">D62/$S$62</f>
        <v>#DIV/0!</v>
      </c>
      <c r="X62" s="97" t="e">
        <f t="shared" si="228"/>
        <v>#DIV/0!</v>
      </c>
      <c r="Y62" s="97" t="e">
        <f t="shared" si="228"/>
        <v>#DIV/0!</v>
      </c>
      <c r="Z62" s="97" t="e">
        <f t="shared" si="228"/>
        <v>#DIV/0!</v>
      </c>
      <c r="AA62" s="97" t="e">
        <f t="shared" si="228"/>
        <v>#DIV/0!</v>
      </c>
      <c r="AB62" s="97" t="e">
        <f t="shared" si="228"/>
        <v>#DIV/0!</v>
      </c>
      <c r="AC62" s="97" t="e">
        <f t="shared" si="228"/>
        <v>#DIV/0!</v>
      </c>
      <c r="AD62" s="97" t="e">
        <f t="shared" si="228"/>
        <v>#DIV/0!</v>
      </c>
      <c r="AE62" s="97" t="e">
        <f t="shared" si="228"/>
        <v>#DIV/0!</v>
      </c>
      <c r="AF62" s="97" t="e">
        <f t="shared" si="228"/>
        <v>#DIV/0!</v>
      </c>
      <c r="AG62" s="97" t="e">
        <f t="shared" si="228"/>
        <v>#DIV/0!</v>
      </c>
      <c r="AH62" s="97" t="e">
        <f t="shared" si="228"/>
        <v>#DIV/0!</v>
      </c>
      <c r="AI62" s="97" t="e">
        <f t="shared" si="228"/>
        <v>#DIV/0!</v>
      </c>
      <c r="AJ62" s="97" t="e">
        <f t="shared" si="228"/>
        <v>#DIV/0!</v>
      </c>
      <c r="AK62" s="97" t="e">
        <f t="shared" si="228"/>
        <v>#DIV/0!</v>
      </c>
    </row>
    <row r="63" spans="2:37" x14ac:dyDescent="0.15">
      <c r="B63" s="181" t="s">
        <v>6</v>
      </c>
      <c r="C63" s="177">
        <f>SUMIFS('caseload data'!E:E,'caseload data'!$A:$A,$B63,'caseload data'!$B:$B,"licence")</f>
        <v>0</v>
      </c>
      <c r="D63" s="177">
        <f>SUMIFS('caseload data'!F:F,'caseload data'!$A:$A,$B63,'caseload data'!$B:$B,"licence")</f>
        <v>0</v>
      </c>
      <c r="E63" s="177">
        <f>SUMIFS('caseload data'!G:G,'caseload data'!$A:$A,$B63,'caseload data'!$B:$B,"licence")</f>
        <v>0</v>
      </c>
      <c r="F63" s="177">
        <f>SUMIFS('caseload data'!H:H,'caseload data'!$A:$A,$B63,'caseload data'!$B:$B,"licence")</f>
        <v>0</v>
      </c>
      <c r="G63" s="177">
        <f>SUMIFS('caseload data'!I:I,'caseload data'!$A:$A,$B63,'caseload data'!$B:$B,"licence")</f>
        <v>0</v>
      </c>
      <c r="H63" s="177">
        <f>SUMIFS('caseload data'!J:J,'caseload data'!$A:$A,$B63,'caseload data'!$B:$B,"licence")</f>
        <v>0</v>
      </c>
      <c r="I63" s="177">
        <f>SUMIFS('caseload data'!K:K,'caseload data'!$A:$A,$B63,'caseload data'!$B:$B,"licence")</f>
        <v>0</v>
      </c>
      <c r="J63" s="177">
        <f>SUMIFS('caseload data'!L:L,'caseload data'!$A:$A,$B63,'caseload data'!$B:$B,"licence")</f>
        <v>0</v>
      </c>
      <c r="K63" s="177">
        <f>SUMIFS('caseload data'!M:M,'caseload data'!$A:$A,$B63,'caseload data'!$B:$B,"licence")</f>
        <v>0</v>
      </c>
      <c r="L63" s="177">
        <f>SUMIFS('caseload data'!N:N,'caseload data'!$A:$A,$B63,'caseload data'!$B:$B,"licence")</f>
        <v>0</v>
      </c>
      <c r="M63" s="177">
        <f>SUMIFS('caseload data'!O:O,'caseload data'!$A:$A,$B63,'caseload data'!$B:$B,"licence")</f>
        <v>0</v>
      </c>
      <c r="N63" s="177">
        <f>SUMIFS('caseload data'!P:P,'caseload data'!$A:$A,$B63,'caseload data'!$B:$B,"licence")</f>
        <v>0</v>
      </c>
      <c r="O63" s="177">
        <f>SUMIFS('caseload data'!Q:Q,'caseload data'!$A:$A,$B63,'caseload data'!$B:$B,"licence")</f>
        <v>0</v>
      </c>
      <c r="P63" s="177">
        <f>SUMIFS('caseload data'!R:R,'caseload data'!$A:$A,$B63,'caseload data'!$B:$B,"licence")</f>
        <v>0</v>
      </c>
      <c r="Q63" s="177">
        <f>SUMIFS('caseload data'!S:S,'caseload data'!$A:$A,$B63,'caseload data'!$B:$B,"licence")</f>
        <v>0</v>
      </c>
      <c r="R63" s="177">
        <f>SUMIFS('caseload data'!T:T,'caseload data'!$A:$A,$B63,'caseload data'!$B:$B,"licence")</f>
        <v>0</v>
      </c>
      <c r="S63" s="177">
        <f>SUMIFS('caseload data'!V:V,'caseload data'!$A:$A,B63,'caseload data'!$B:$B,"licence")</f>
        <v>0</v>
      </c>
      <c r="T63" s="95"/>
      <c r="U63" s="181" t="s">
        <v>6</v>
      </c>
      <c r="V63" s="97" t="e">
        <f>C63/$S$63</f>
        <v>#DIV/0!</v>
      </c>
      <c r="W63" s="97" t="e">
        <f t="shared" ref="W63:AK63" si="229">D63/$S$63</f>
        <v>#DIV/0!</v>
      </c>
      <c r="X63" s="97" t="e">
        <f t="shared" si="229"/>
        <v>#DIV/0!</v>
      </c>
      <c r="Y63" s="97" t="e">
        <f t="shared" si="229"/>
        <v>#DIV/0!</v>
      </c>
      <c r="Z63" s="97" t="e">
        <f t="shared" si="229"/>
        <v>#DIV/0!</v>
      </c>
      <c r="AA63" s="97" t="e">
        <f t="shared" si="229"/>
        <v>#DIV/0!</v>
      </c>
      <c r="AB63" s="97" t="e">
        <f t="shared" si="229"/>
        <v>#DIV/0!</v>
      </c>
      <c r="AC63" s="97" t="e">
        <f t="shared" si="229"/>
        <v>#DIV/0!</v>
      </c>
      <c r="AD63" s="97" t="e">
        <f t="shared" si="229"/>
        <v>#DIV/0!</v>
      </c>
      <c r="AE63" s="97" t="e">
        <f t="shared" si="229"/>
        <v>#DIV/0!</v>
      </c>
      <c r="AF63" s="97" t="e">
        <f t="shared" si="229"/>
        <v>#DIV/0!</v>
      </c>
      <c r="AG63" s="97" t="e">
        <f t="shared" si="229"/>
        <v>#DIV/0!</v>
      </c>
      <c r="AH63" s="97" t="e">
        <f t="shared" si="229"/>
        <v>#DIV/0!</v>
      </c>
      <c r="AI63" s="97" t="e">
        <f t="shared" si="229"/>
        <v>#DIV/0!</v>
      </c>
      <c r="AJ63" s="97" t="e">
        <f t="shared" si="229"/>
        <v>#DIV/0!</v>
      </c>
      <c r="AK63" s="97" t="e">
        <f t="shared" si="229"/>
        <v>#DIV/0!</v>
      </c>
    </row>
    <row r="64" spans="2:37" s="30" customFormat="1" x14ac:dyDescent="0.15">
      <c r="B64" s="181" t="s">
        <v>376</v>
      </c>
      <c r="C64" s="177">
        <f>SUMIFS('caseload data'!E:E,'caseload data'!$A:$A,$B64,'caseload data'!$B:$B,"licence")</f>
        <v>0</v>
      </c>
      <c r="D64" s="177">
        <f>SUMIFS('caseload data'!F:F,'caseload data'!$A:$A,$B64,'caseload data'!$B:$B,"licence")</f>
        <v>0</v>
      </c>
      <c r="E64" s="177">
        <f>SUMIFS('caseload data'!G:G,'caseload data'!$A:$A,$B64,'caseload data'!$B:$B,"licence")</f>
        <v>0</v>
      </c>
      <c r="F64" s="177">
        <f>SUMIFS('caseload data'!H:H,'caseload data'!$A:$A,$B64,'caseload data'!$B:$B,"licence")</f>
        <v>0</v>
      </c>
      <c r="G64" s="177">
        <f>SUMIFS('caseload data'!I:I,'caseload data'!$A:$A,$B64,'caseload data'!$B:$B,"licence")</f>
        <v>0</v>
      </c>
      <c r="H64" s="177">
        <f>SUMIFS('caseload data'!J:J,'caseload data'!$A:$A,$B64,'caseload data'!$B:$B,"licence")</f>
        <v>0</v>
      </c>
      <c r="I64" s="177">
        <f>SUMIFS('caseload data'!K:K,'caseload data'!$A:$A,$B64,'caseload data'!$B:$B,"licence")</f>
        <v>0</v>
      </c>
      <c r="J64" s="177">
        <f>SUMIFS('caseload data'!L:L,'caseload data'!$A:$A,$B64,'caseload data'!$B:$B,"licence")</f>
        <v>0</v>
      </c>
      <c r="K64" s="177">
        <f>SUMIFS('caseload data'!M:M,'caseload data'!$A:$A,$B64,'caseload data'!$B:$B,"licence")</f>
        <v>0</v>
      </c>
      <c r="L64" s="177">
        <f>SUMIFS('caseload data'!N:N,'caseload data'!$A:$A,$B64,'caseload data'!$B:$B,"licence")</f>
        <v>0</v>
      </c>
      <c r="M64" s="177">
        <f>SUMIFS('caseload data'!O:O,'caseload data'!$A:$A,$B64,'caseload data'!$B:$B,"licence")</f>
        <v>0</v>
      </c>
      <c r="N64" s="177">
        <f>SUMIFS('caseload data'!P:P,'caseload data'!$A:$A,$B64,'caseload data'!$B:$B,"licence")</f>
        <v>0</v>
      </c>
      <c r="O64" s="177">
        <f>SUMIFS('caseload data'!Q:Q,'caseload data'!$A:$A,$B64,'caseload data'!$B:$B,"licence")</f>
        <v>0</v>
      </c>
      <c r="P64" s="177">
        <f>SUMIFS('caseload data'!R:R,'caseload data'!$A:$A,$B64,'caseload data'!$B:$B,"licence")</f>
        <v>0</v>
      </c>
      <c r="Q64" s="177">
        <f>SUMIFS('caseload data'!S:S,'caseload data'!$A:$A,$B64,'caseload data'!$B:$B,"licence")</f>
        <v>0</v>
      </c>
      <c r="R64" s="177">
        <f>SUMIFS('caseload data'!T:T,'caseload data'!$A:$A,$B64,'caseload data'!$B:$B,"licence")</f>
        <v>0</v>
      </c>
      <c r="S64" s="177">
        <f>SUMIFS('caseload data'!V:V,'caseload data'!$A:$A,B64,'caseload data'!$B:$B,"licence")</f>
        <v>0</v>
      </c>
      <c r="T64" s="95"/>
      <c r="U64" s="181" t="s">
        <v>376</v>
      </c>
      <c r="V64" s="97" t="e">
        <f>C64/$S$64</f>
        <v>#DIV/0!</v>
      </c>
      <c r="W64" s="97" t="e">
        <f t="shared" ref="W64:AK64" si="230">D64/$S$64</f>
        <v>#DIV/0!</v>
      </c>
      <c r="X64" s="97" t="e">
        <f t="shared" si="230"/>
        <v>#DIV/0!</v>
      </c>
      <c r="Y64" s="97" t="e">
        <f t="shared" si="230"/>
        <v>#DIV/0!</v>
      </c>
      <c r="Z64" s="97" t="e">
        <f t="shared" si="230"/>
        <v>#DIV/0!</v>
      </c>
      <c r="AA64" s="97" t="e">
        <f t="shared" si="230"/>
        <v>#DIV/0!</v>
      </c>
      <c r="AB64" s="97" t="e">
        <f t="shared" si="230"/>
        <v>#DIV/0!</v>
      </c>
      <c r="AC64" s="97" t="e">
        <f t="shared" si="230"/>
        <v>#DIV/0!</v>
      </c>
      <c r="AD64" s="97" t="e">
        <f t="shared" si="230"/>
        <v>#DIV/0!</v>
      </c>
      <c r="AE64" s="97" t="e">
        <f t="shared" si="230"/>
        <v>#DIV/0!</v>
      </c>
      <c r="AF64" s="97" t="e">
        <f t="shared" si="230"/>
        <v>#DIV/0!</v>
      </c>
      <c r="AG64" s="97" t="e">
        <f t="shared" si="230"/>
        <v>#DIV/0!</v>
      </c>
      <c r="AH64" s="97" t="e">
        <f t="shared" si="230"/>
        <v>#DIV/0!</v>
      </c>
      <c r="AI64" s="97" t="e">
        <f t="shared" si="230"/>
        <v>#DIV/0!</v>
      </c>
      <c r="AJ64" s="97" t="e">
        <f t="shared" si="230"/>
        <v>#DIV/0!</v>
      </c>
      <c r="AK64" s="97" t="e">
        <f t="shared" si="230"/>
        <v>#DIV/0!</v>
      </c>
    </row>
    <row r="65" spans="2:37" s="30" customFormat="1" x14ac:dyDescent="0.15">
      <c r="B65" s="181" t="s">
        <v>1130</v>
      </c>
      <c r="C65" s="177">
        <f>SUMIFS('caseload data'!E:E,'caseload data'!$A:$A,$B65,'caseload data'!$B:$B,"licence")</f>
        <v>0</v>
      </c>
      <c r="D65" s="177">
        <f>SUMIFS('caseload data'!F:F,'caseload data'!$A:$A,$B65,'caseload data'!$B:$B,"licence")</f>
        <v>0</v>
      </c>
      <c r="E65" s="177">
        <f>SUMIFS('caseload data'!G:G,'caseload data'!$A:$A,$B65,'caseload data'!$B:$B,"licence")</f>
        <v>0</v>
      </c>
      <c r="F65" s="177">
        <f>SUMIFS('caseload data'!H:H,'caseload data'!$A:$A,$B65,'caseload data'!$B:$B,"licence")</f>
        <v>0</v>
      </c>
      <c r="G65" s="177">
        <f>SUMIFS('caseload data'!I:I,'caseload data'!$A:$A,$B65,'caseload data'!$B:$B,"licence")</f>
        <v>0</v>
      </c>
      <c r="H65" s="177">
        <f>SUMIFS('caseload data'!J:J,'caseload data'!$A:$A,$B65,'caseload data'!$B:$B,"licence")</f>
        <v>0</v>
      </c>
      <c r="I65" s="177">
        <f>SUMIFS('caseload data'!K:K,'caseload data'!$A:$A,$B65,'caseload data'!$B:$B,"licence")</f>
        <v>0</v>
      </c>
      <c r="J65" s="177">
        <f>SUMIFS('caseload data'!L:L,'caseload data'!$A:$A,$B65,'caseload data'!$B:$B,"licence")</f>
        <v>0</v>
      </c>
      <c r="K65" s="177">
        <f>SUMIFS('caseload data'!M:M,'caseload data'!$A:$A,$B65,'caseload data'!$B:$B,"licence")</f>
        <v>0</v>
      </c>
      <c r="L65" s="177">
        <f>SUMIFS('caseload data'!N:N,'caseload data'!$A:$A,$B65,'caseload data'!$B:$B,"licence")</f>
        <v>0</v>
      </c>
      <c r="M65" s="177">
        <f>SUMIFS('caseload data'!O:O,'caseload data'!$A:$A,$B65,'caseload data'!$B:$B,"licence")</f>
        <v>0</v>
      </c>
      <c r="N65" s="177">
        <f>SUMIFS('caseload data'!P:P,'caseload data'!$A:$A,$B65,'caseload data'!$B:$B,"licence")</f>
        <v>0</v>
      </c>
      <c r="O65" s="177">
        <f>SUMIFS('caseload data'!Q:Q,'caseload data'!$A:$A,$B65,'caseload data'!$B:$B,"licence")</f>
        <v>0</v>
      </c>
      <c r="P65" s="177">
        <f>SUMIFS('caseload data'!R:R,'caseload data'!$A:$A,$B65,'caseload data'!$B:$B,"licence")</f>
        <v>0</v>
      </c>
      <c r="Q65" s="177">
        <f>SUMIFS('caseload data'!S:S,'caseload data'!$A:$A,$B65,'caseload data'!$B:$B,"licence")</f>
        <v>0</v>
      </c>
      <c r="R65" s="177">
        <f>SUMIFS('caseload data'!T:T,'caseload data'!$A:$A,$B65,'caseload data'!$B:$B,"licence")</f>
        <v>0</v>
      </c>
      <c r="S65" s="177">
        <f>SUMIFS('caseload data'!V:V,'caseload data'!$A:$A,B65,'caseload data'!$B:$B,"licence")</f>
        <v>0</v>
      </c>
      <c r="T65" s="95"/>
      <c r="U65" s="181" t="s">
        <v>1130</v>
      </c>
      <c r="V65" s="97" t="e">
        <f>C65/$S$65</f>
        <v>#DIV/0!</v>
      </c>
      <c r="W65" s="97" t="e">
        <f t="shared" ref="W65:AK65" si="231">D65/$S$65</f>
        <v>#DIV/0!</v>
      </c>
      <c r="X65" s="97" t="e">
        <f t="shared" si="231"/>
        <v>#DIV/0!</v>
      </c>
      <c r="Y65" s="97" t="e">
        <f t="shared" si="231"/>
        <v>#DIV/0!</v>
      </c>
      <c r="Z65" s="97" t="e">
        <f t="shared" si="231"/>
        <v>#DIV/0!</v>
      </c>
      <c r="AA65" s="97" t="e">
        <f t="shared" si="231"/>
        <v>#DIV/0!</v>
      </c>
      <c r="AB65" s="97" t="e">
        <f t="shared" si="231"/>
        <v>#DIV/0!</v>
      </c>
      <c r="AC65" s="97" t="e">
        <f t="shared" si="231"/>
        <v>#DIV/0!</v>
      </c>
      <c r="AD65" s="97" t="e">
        <f t="shared" si="231"/>
        <v>#DIV/0!</v>
      </c>
      <c r="AE65" s="97" t="e">
        <f t="shared" si="231"/>
        <v>#DIV/0!</v>
      </c>
      <c r="AF65" s="97" t="e">
        <f t="shared" si="231"/>
        <v>#DIV/0!</v>
      </c>
      <c r="AG65" s="97" t="e">
        <f t="shared" si="231"/>
        <v>#DIV/0!</v>
      </c>
      <c r="AH65" s="97" t="e">
        <f t="shared" si="231"/>
        <v>#DIV/0!</v>
      </c>
      <c r="AI65" s="97" t="e">
        <f t="shared" si="231"/>
        <v>#DIV/0!</v>
      </c>
      <c r="AJ65" s="97" t="e">
        <f t="shared" si="231"/>
        <v>#DIV/0!</v>
      </c>
      <c r="AK65" s="97" t="e">
        <f t="shared" si="231"/>
        <v>#DIV/0!</v>
      </c>
    </row>
    <row r="66" spans="2:37" s="30" customFormat="1" x14ac:dyDescent="0.15">
      <c r="B66" s="181" t="s">
        <v>7</v>
      </c>
      <c r="C66" s="177">
        <f>SUMIFS('caseload data'!E:E,'caseload data'!$A:$A,$B66,'caseload data'!$B:$B,"licence")</f>
        <v>0</v>
      </c>
      <c r="D66" s="177">
        <f>SUMIFS('caseload data'!F:F,'caseload data'!$A:$A,$B66,'caseload data'!$B:$B,"licence")</f>
        <v>0</v>
      </c>
      <c r="E66" s="177">
        <f>SUMIFS('caseload data'!G:G,'caseload data'!$A:$A,$B66,'caseload data'!$B:$B,"licence")</f>
        <v>0</v>
      </c>
      <c r="F66" s="177">
        <f>SUMIFS('caseload data'!H:H,'caseload data'!$A:$A,$B66,'caseload data'!$B:$B,"licence")</f>
        <v>0</v>
      </c>
      <c r="G66" s="177">
        <f>SUMIFS('caseload data'!I:I,'caseload data'!$A:$A,$B66,'caseload data'!$B:$B,"licence")</f>
        <v>0</v>
      </c>
      <c r="H66" s="177">
        <f>SUMIFS('caseload data'!J:J,'caseload data'!$A:$A,$B66,'caseload data'!$B:$B,"licence")</f>
        <v>0</v>
      </c>
      <c r="I66" s="177">
        <f>SUMIFS('caseload data'!K:K,'caseload data'!$A:$A,$B66,'caseload data'!$B:$B,"licence")</f>
        <v>0</v>
      </c>
      <c r="J66" s="177">
        <f>SUMIFS('caseload data'!L:L,'caseload data'!$A:$A,$B66,'caseload data'!$B:$B,"licence")</f>
        <v>0</v>
      </c>
      <c r="K66" s="177">
        <f>SUMIFS('caseload data'!M:M,'caseload data'!$A:$A,$B66,'caseload data'!$B:$B,"licence")</f>
        <v>0</v>
      </c>
      <c r="L66" s="177">
        <f>SUMIFS('caseload data'!N:N,'caseload data'!$A:$A,$B66,'caseload data'!$B:$B,"licence")</f>
        <v>0</v>
      </c>
      <c r="M66" s="177">
        <f>SUMIFS('caseload data'!O:O,'caseload data'!$A:$A,$B66,'caseload data'!$B:$B,"licence")</f>
        <v>0</v>
      </c>
      <c r="N66" s="177">
        <f>SUMIFS('caseload data'!P:P,'caseload data'!$A:$A,$B66,'caseload data'!$B:$B,"licence")</f>
        <v>0</v>
      </c>
      <c r="O66" s="177">
        <f>SUMIFS('caseload data'!Q:Q,'caseload data'!$A:$A,$B66,'caseload data'!$B:$B,"licence")</f>
        <v>0</v>
      </c>
      <c r="P66" s="177">
        <f>SUMIFS('caseload data'!R:R,'caseload data'!$A:$A,$B66,'caseload data'!$B:$B,"licence")</f>
        <v>0</v>
      </c>
      <c r="Q66" s="177">
        <f>SUMIFS('caseload data'!S:S,'caseload data'!$A:$A,$B66,'caseload data'!$B:$B,"licence")</f>
        <v>0</v>
      </c>
      <c r="R66" s="177">
        <f>SUMIFS('caseload data'!T:T,'caseload data'!$A:$A,$B66,'caseload data'!$B:$B,"licence")</f>
        <v>0</v>
      </c>
      <c r="S66" s="177">
        <f>SUMIFS('caseload data'!V:V,'caseload data'!$A:$A,B66,'caseload data'!$B:$B,"licence")</f>
        <v>0</v>
      </c>
      <c r="T66" s="95"/>
      <c r="U66" s="181" t="s">
        <v>7</v>
      </c>
      <c r="V66" s="97" t="e">
        <f>C66/$S$66</f>
        <v>#DIV/0!</v>
      </c>
      <c r="W66" s="97" t="e">
        <f t="shared" ref="W66:AK66" si="232">D66/$S$66</f>
        <v>#DIV/0!</v>
      </c>
      <c r="X66" s="97" t="e">
        <f t="shared" si="232"/>
        <v>#DIV/0!</v>
      </c>
      <c r="Y66" s="97" t="e">
        <f t="shared" si="232"/>
        <v>#DIV/0!</v>
      </c>
      <c r="Z66" s="97" t="e">
        <f t="shared" si="232"/>
        <v>#DIV/0!</v>
      </c>
      <c r="AA66" s="97" t="e">
        <f t="shared" si="232"/>
        <v>#DIV/0!</v>
      </c>
      <c r="AB66" s="97" t="e">
        <f t="shared" si="232"/>
        <v>#DIV/0!</v>
      </c>
      <c r="AC66" s="97" t="e">
        <f t="shared" si="232"/>
        <v>#DIV/0!</v>
      </c>
      <c r="AD66" s="97" t="e">
        <f t="shared" si="232"/>
        <v>#DIV/0!</v>
      </c>
      <c r="AE66" s="97" t="e">
        <f t="shared" si="232"/>
        <v>#DIV/0!</v>
      </c>
      <c r="AF66" s="97" t="e">
        <f t="shared" si="232"/>
        <v>#DIV/0!</v>
      </c>
      <c r="AG66" s="97" t="e">
        <f t="shared" si="232"/>
        <v>#DIV/0!</v>
      </c>
      <c r="AH66" s="97" t="e">
        <f t="shared" si="232"/>
        <v>#DIV/0!</v>
      </c>
      <c r="AI66" s="97" t="e">
        <f t="shared" si="232"/>
        <v>#DIV/0!</v>
      </c>
      <c r="AJ66" s="97" t="e">
        <f t="shared" si="232"/>
        <v>#DIV/0!</v>
      </c>
      <c r="AK66" s="97" t="e">
        <f t="shared" si="232"/>
        <v>#DIV/0!</v>
      </c>
    </row>
    <row r="67" spans="2:37" s="30" customFormat="1" x14ac:dyDescent="0.15">
      <c r="B67" s="181" t="s">
        <v>1132</v>
      </c>
      <c r="C67" s="177">
        <f>SUMIFS('caseload data'!E:E,'caseload data'!$A:$A,$B67,'caseload data'!$B:$B,"licence")</f>
        <v>0</v>
      </c>
      <c r="D67" s="177">
        <f>SUMIFS('caseload data'!F:F,'caseload data'!$A:$A,$B67,'caseload data'!$B:$B,"licence")</f>
        <v>0</v>
      </c>
      <c r="E67" s="177">
        <f>SUMIFS('caseload data'!G:G,'caseload data'!$A:$A,$B67,'caseload data'!$B:$B,"licence")</f>
        <v>0</v>
      </c>
      <c r="F67" s="177">
        <f>SUMIFS('caseload data'!H:H,'caseload data'!$A:$A,$B67,'caseload data'!$B:$B,"licence")</f>
        <v>0</v>
      </c>
      <c r="G67" s="177">
        <f>SUMIFS('caseload data'!I:I,'caseload data'!$A:$A,$B67,'caseload data'!$B:$B,"licence")</f>
        <v>0</v>
      </c>
      <c r="H67" s="177">
        <f>SUMIFS('caseload data'!J:J,'caseload data'!$A:$A,$B67,'caseload data'!$B:$B,"licence")</f>
        <v>0</v>
      </c>
      <c r="I67" s="177">
        <f>SUMIFS('caseload data'!K:K,'caseload data'!$A:$A,$B67,'caseload data'!$B:$B,"licence")</f>
        <v>0</v>
      </c>
      <c r="J67" s="177">
        <f>SUMIFS('caseload data'!L:L,'caseload data'!$A:$A,$B67,'caseload data'!$B:$B,"licence")</f>
        <v>0</v>
      </c>
      <c r="K67" s="177">
        <f>SUMIFS('caseload data'!M:M,'caseload data'!$A:$A,$B67,'caseload data'!$B:$B,"licence")</f>
        <v>0</v>
      </c>
      <c r="L67" s="177">
        <f>SUMIFS('caseload data'!N:N,'caseload data'!$A:$A,$B67,'caseload data'!$B:$B,"licence")</f>
        <v>0</v>
      </c>
      <c r="M67" s="177">
        <f>SUMIFS('caseload data'!O:O,'caseload data'!$A:$A,$B67,'caseload data'!$B:$B,"licence")</f>
        <v>0</v>
      </c>
      <c r="N67" s="177">
        <f>SUMIFS('caseload data'!P:P,'caseload data'!$A:$A,$B67,'caseload data'!$B:$B,"licence")</f>
        <v>0</v>
      </c>
      <c r="O67" s="177">
        <f>SUMIFS('caseload data'!Q:Q,'caseload data'!$A:$A,$B67,'caseload data'!$B:$B,"licence")</f>
        <v>0</v>
      </c>
      <c r="P67" s="177">
        <f>SUMIFS('caseload data'!R:R,'caseload data'!$A:$A,$B67,'caseload data'!$B:$B,"licence")</f>
        <v>0</v>
      </c>
      <c r="Q67" s="177">
        <f>SUMIFS('caseload data'!S:S,'caseload data'!$A:$A,$B67,'caseload data'!$B:$B,"licence")</f>
        <v>0</v>
      </c>
      <c r="R67" s="177">
        <f>SUMIFS('caseload data'!T:T,'caseload data'!$A:$A,$B67,'caseload data'!$B:$B,"licence")</f>
        <v>0</v>
      </c>
      <c r="S67" s="177">
        <f>SUMIFS('caseload data'!V:V,'caseload data'!$A:$A,B67,'caseload data'!$B:$B,"licence")</f>
        <v>0</v>
      </c>
      <c r="T67" s="95"/>
      <c r="U67" s="181" t="s">
        <v>1132</v>
      </c>
      <c r="V67" s="97" t="e">
        <f t="shared" ref="V67:AK67" si="233">C67/$S$67</f>
        <v>#DIV/0!</v>
      </c>
      <c r="W67" s="97" t="e">
        <f t="shared" si="233"/>
        <v>#DIV/0!</v>
      </c>
      <c r="X67" s="97" t="e">
        <f t="shared" si="233"/>
        <v>#DIV/0!</v>
      </c>
      <c r="Y67" s="97" t="e">
        <f t="shared" si="233"/>
        <v>#DIV/0!</v>
      </c>
      <c r="Z67" s="97" t="e">
        <f t="shared" si="233"/>
        <v>#DIV/0!</v>
      </c>
      <c r="AA67" s="97" t="e">
        <f t="shared" si="233"/>
        <v>#DIV/0!</v>
      </c>
      <c r="AB67" s="97" t="e">
        <f t="shared" si="233"/>
        <v>#DIV/0!</v>
      </c>
      <c r="AC67" s="97" t="e">
        <f t="shared" si="233"/>
        <v>#DIV/0!</v>
      </c>
      <c r="AD67" s="97" t="e">
        <f t="shared" si="233"/>
        <v>#DIV/0!</v>
      </c>
      <c r="AE67" s="97" t="e">
        <f t="shared" si="233"/>
        <v>#DIV/0!</v>
      </c>
      <c r="AF67" s="97" t="e">
        <f t="shared" si="233"/>
        <v>#DIV/0!</v>
      </c>
      <c r="AG67" s="97" t="e">
        <f t="shared" si="233"/>
        <v>#DIV/0!</v>
      </c>
      <c r="AH67" s="97" t="e">
        <f t="shared" si="233"/>
        <v>#DIV/0!</v>
      </c>
      <c r="AI67" s="97" t="e">
        <f t="shared" si="233"/>
        <v>#DIV/0!</v>
      </c>
      <c r="AJ67" s="97" t="e">
        <f t="shared" si="233"/>
        <v>#DIV/0!</v>
      </c>
      <c r="AK67" s="97" t="e">
        <f t="shared" si="233"/>
        <v>#DIV/0!</v>
      </c>
    </row>
    <row r="68" spans="2:37" s="30" customFormat="1" x14ac:dyDescent="0.15">
      <c r="B68" s="181" t="s">
        <v>1217</v>
      </c>
      <c r="C68" s="177">
        <f>SUMIFS('caseload data'!E:E,'caseload data'!$A:$A,$B68,'caseload data'!$B:$B,"licence")</f>
        <v>0</v>
      </c>
      <c r="D68" s="177">
        <f>SUMIFS('caseload data'!F:F,'caseload data'!$A:$A,$B68,'caseload data'!$B:$B,"licence")</f>
        <v>0</v>
      </c>
      <c r="E68" s="177">
        <f>SUMIFS('caseload data'!G:G,'caseload data'!$A:$A,$B68,'caseload data'!$B:$B,"licence")</f>
        <v>0</v>
      </c>
      <c r="F68" s="177">
        <f>SUMIFS('caseload data'!H:H,'caseload data'!$A:$A,$B68,'caseload data'!$B:$B,"licence")</f>
        <v>0</v>
      </c>
      <c r="G68" s="177">
        <f>SUMIFS('caseload data'!I:I,'caseload data'!$A:$A,$B68,'caseload data'!$B:$B,"licence")</f>
        <v>0</v>
      </c>
      <c r="H68" s="177">
        <f>SUMIFS('caseload data'!J:J,'caseload data'!$A:$A,$B68,'caseload data'!$B:$B,"licence")</f>
        <v>0</v>
      </c>
      <c r="I68" s="177">
        <f>SUMIFS('caseload data'!K:K,'caseload data'!$A:$A,$B68,'caseload data'!$B:$B,"licence")</f>
        <v>0</v>
      </c>
      <c r="J68" s="177">
        <f>SUMIFS('caseload data'!L:L,'caseload data'!$A:$A,$B68,'caseload data'!$B:$B,"licence")</f>
        <v>0</v>
      </c>
      <c r="K68" s="177">
        <f>SUMIFS('caseload data'!M:M,'caseload data'!$A:$A,$B68,'caseload data'!$B:$B,"licence")</f>
        <v>0</v>
      </c>
      <c r="L68" s="177">
        <f>SUMIFS('caseload data'!N:N,'caseload data'!$A:$A,$B68,'caseload data'!$B:$B,"licence")</f>
        <v>0</v>
      </c>
      <c r="M68" s="177">
        <f>SUMIFS('caseload data'!O:O,'caseload data'!$A:$A,$B68,'caseload data'!$B:$B,"licence")</f>
        <v>0</v>
      </c>
      <c r="N68" s="177">
        <f>SUMIFS('caseload data'!P:P,'caseload data'!$A:$A,$B68,'caseload data'!$B:$B,"licence")</f>
        <v>0</v>
      </c>
      <c r="O68" s="177">
        <f>SUMIFS('caseload data'!Q:Q,'caseload data'!$A:$A,$B68,'caseload data'!$B:$B,"licence")</f>
        <v>0</v>
      </c>
      <c r="P68" s="177">
        <f>SUMIFS('caseload data'!R:R,'caseload data'!$A:$A,$B68,'caseload data'!$B:$B,"licence")</f>
        <v>0</v>
      </c>
      <c r="Q68" s="177">
        <f>SUMIFS('caseload data'!S:S,'caseload data'!$A:$A,$B68,'caseload data'!$B:$B,"licence")</f>
        <v>0</v>
      </c>
      <c r="R68" s="177">
        <f>SUMIFS('caseload data'!T:T,'caseload data'!$A:$A,$B68,'caseload data'!$B:$B,"licence")</f>
        <v>0</v>
      </c>
      <c r="S68" s="177">
        <f>SUMIFS('caseload data'!V:V,'caseload data'!$A:$A,B68,'caseload data'!$B:$B,"licence")</f>
        <v>0</v>
      </c>
      <c r="T68" s="95"/>
      <c r="U68" s="181" t="s">
        <v>1316</v>
      </c>
      <c r="V68" s="97" t="e">
        <f t="shared" ref="V68:AK68" si="234">C68/$S$68</f>
        <v>#DIV/0!</v>
      </c>
      <c r="W68" s="97" t="e">
        <f t="shared" si="234"/>
        <v>#DIV/0!</v>
      </c>
      <c r="X68" s="97" t="e">
        <f t="shared" si="234"/>
        <v>#DIV/0!</v>
      </c>
      <c r="Y68" s="97" t="e">
        <f t="shared" si="234"/>
        <v>#DIV/0!</v>
      </c>
      <c r="Z68" s="97" t="e">
        <f t="shared" si="234"/>
        <v>#DIV/0!</v>
      </c>
      <c r="AA68" s="97" t="e">
        <f t="shared" si="234"/>
        <v>#DIV/0!</v>
      </c>
      <c r="AB68" s="97" t="e">
        <f t="shared" si="234"/>
        <v>#DIV/0!</v>
      </c>
      <c r="AC68" s="97" t="e">
        <f t="shared" si="234"/>
        <v>#DIV/0!</v>
      </c>
      <c r="AD68" s="97" t="e">
        <f t="shared" si="234"/>
        <v>#DIV/0!</v>
      </c>
      <c r="AE68" s="97" t="e">
        <f t="shared" si="234"/>
        <v>#DIV/0!</v>
      </c>
      <c r="AF68" s="97" t="e">
        <f t="shared" si="234"/>
        <v>#DIV/0!</v>
      </c>
      <c r="AG68" s="97" t="e">
        <f t="shared" si="234"/>
        <v>#DIV/0!</v>
      </c>
      <c r="AH68" s="97" t="e">
        <f t="shared" si="234"/>
        <v>#DIV/0!</v>
      </c>
      <c r="AI68" s="97" t="e">
        <f t="shared" si="234"/>
        <v>#DIV/0!</v>
      </c>
      <c r="AJ68" s="97" t="e">
        <f t="shared" si="234"/>
        <v>#DIV/0!</v>
      </c>
      <c r="AK68" s="97" t="e">
        <f t="shared" si="234"/>
        <v>#DIV/0!</v>
      </c>
    </row>
    <row r="69" spans="2:37" x14ac:dyDescent="0.15">
      <c r="B69" s="181" t="s">
        <v>382</v>
      </c>
      <c r="C69" s="177">
        <f>SUMIFS('caseload data'!E:E,'caseload data'!$A:$A,$B69,'caseload data'!$B:$B,"licence")</f>
        <v>0</v>
      </c>
      <c r="D69" s="177">
        <f>SUMIFS('caseload data'!F:F,'caseload data'!$A:$A,$B69,'caseload data'!$B:$B,"licence")</f>
        <v>0</v>
      </c>
      <c r="E69" s="177">
        <f>SUMIFS('caseload data'!G:G,'caseload data'!$A:$A,$B69,'caseload data'!$B:$B,"licence")</f>
        <v>0</v>
      </c>
      <c r="F69" s="177">
        <f>SUMIFS('caseload data'!H:H,'caseload data'!$A:$A,$B69,'caseload data'!$B:$B,"licence")</f>
        <v>0</v>
      </c>
      <c r="G69" s="177">
        <f>SUMIFS('caseload data'!I:I,'caseload data'!$A:$A,$B69,'caseload data'!$B:$B,"licence")</f>
        <v>0</v>
      </c>
      <c r="H69" s="177">
        <f>SUMIFS('caseload data'!J:J,'caseload data'!$A:$A,$B69,'caseload data'!$B:$B,"licence")</f>
        <v>0</v>
      </c>
      <c r="I69" s="177">
        <f>SUMIFS('caseload data'!K:K,'caseload data'!$A:$A,$B69,'caseload data'!$B:$B,"licence")</f>
        <v>0</v>
      </c>
      <c r="J69" s="177">
        <f>SUMIFS('caseload data'!L:L,'caseload data'!$A:$A,$B69,'caseload data'!$B:$B,"licence")</f>
        <v>0</v>
      </c>
      <c r="K69" s="177">
        <f>SUMIFS('caseload data'!M:M,'caseload data'!$A:$A,$B69,'caseload data'!$B:$B,"licence")</f>
        <v>0</v>
      </c>
      <c r="L69" s="177">
        <f>SUMIFS('caseload data'!N:N,'caseload data'!$A:$A,$B69,'caseload data'!$B:$B,"licence")</f>
        <v>0</v>
      </c>
      <c r="M69" s="177">
        <f>SUMIFS('caseload data'!O:O,'caseload data'!$A:$A,$B69,'caseload data'!$B:$B,"licence")</f>
        <v>0</v>
      </c>
      <c r="N69" s="177">
        <f>SUMIFS('caseload data'!P:P,'caseload data'!$A:$A,$B69,'caseload data'!$B:$B,"licence")</f>
        <v>0</v>
      </c>
      <c r="O69" s="177">
        <f>SUMIFS('caseload data'!Q:Q,'caseload data'!$A:$A,$B69,'caseload data'!$B:$B,"licence")</f>
        <v>0</v>
      </c>
      <c r="P69" s="177">
        <f>SUMIFS('caseload data'!R:R,'caseload data'!$A:$A,$B69,'caseload data'!$B:$B,"licence")</f>
        <v>0</v>
      </c>
      <c r="Q69" s="177">
        <f>SUMIFS('caseload data'!S:S,'caseload data'!$A:$A,$B69,'caseload data'!$B:$B,"licence")</f>
        <v>0</v>
      </c>
      <c r="R69" s="177">
        <f>SUMIFS('caseload data'!T:T,'caseload data'!$A:$A,$B69,'caseload data'!$B:$B,"licence")</f>
        <v>0</v>
      </c>
      <c r="S69" s="177">
        <f>SUMIFS('caseload data'!V:V,'caseload data'!$A:$A,B69,'caseload data'!$B:$B,"licence")</f>
        <v>0</v>
      </c>
      <c r="T69" s="95"/>
      <c r="U69" s="181" t="s">
        <v>382</v>
      </c>
      <c r="V69" s="97" t="e">
        <f>C69/$S$69</f>
        <v>#DIV/0!</v>
      </c>
      <c r="W69" s="97" t="e">
        <f t="shared" ref="W69:AK69" si="235">D69/$S$69</f>
        <v>#DIV/0!</v>
      </c>
      <c r="X69" s="97" t="e">
        <f t="shared" si="235"/>
        <v>#DIV/0!</v>
      </c>
      <c r="Y69" s="97" t="e">
        <f t="shared" si="235"/>
        <v>#DIV/0!</v>
      </c>
      <c r="Z69" s="97" t="e">
        <f t="shared" si="235"/>
        <v>#DIV/0!</v>
      </c>
      <c r="AA69" s="97" t="e">
        <f t="shared" si="235"/>
        <v>#DIV/0!</v>
      </c>
      <c r="AB69" s="97" t="e">
        <f t="shared" si="235"/>
        <v>#DIV/0!</v>
      </c>
      <c r="AC69" s="97" t="e">
        <f t="shared" si="235"/>
        <v>#DIV/0!</v>
      </c>
      <c r="AD69" s="97" t="e">
        <f t="shared" si="235"/>
        <v>#DIV/0!</v>
      </c>
      <c r="AE69" s="97" t="e">
        <f t="shared" si="235"/>
        <v>#DIV/0!</v>
      </c>
      <c r="AF69" s="97" t="e">
        <f t="shared" si="235"/>
        <v>#DIV/0!</v>
      </c>
      <c r="AG69" s="97" t="e">
        <f t="shared" si="235"/>
        <v>#DIV/0!</v>
      </c>
      <c r="AH69" s="97" t="e">
        <f t="shared" si="235"/>
        <v>#DIV/0!</v>
      </c>
      <c r="AI69" s="97" t="e">
        <f t="shared" si="235"/>
        <v>#DIV/0!</v>
      </c>
      <c r="AJ69" s="97" t="e">
        <f t="shared" si="235"/>
        <v>#DIV/0!</v>
      </c>
      <c r="AK69" s="97" t="e">
        <f t="shared" si="235"/>
        <v>#DIV/0!</v>
      </c>
    </row>
    <row r="70" spans="2:37" x14ac:dyDescent="0.15">
      <c r="B70" s="181" t="s">
        <v>8</v>
      </c>
      <c r="C70" s="177">
        <f>SUMIFS('caseload data'!E:E,'caseload data'!$A:$A,$B70,'caseload data'!$B:$B,"licence")</f>
        <v>0</v>
      </c>
      <c r="D70" s="177">
        <f>SUMIFS('caseload data'!F:F,'caseload data'!$A:$A,$B70,'caseload data'!$B:$B,"licence")</f>
        <v>0</v>
      </c>
      <c r="E70" s="177">
        <f>SUMIFS('caseload data'!G:G,'caseload data'!$A:$A,$B70,'caseload data'!$B:$B,"licence")</f>
        <v>0</v>
      </c>
      <c r="F70" s="177">
        <f>SUMIFS('caseload data'!H:H,'caseload data'!$A:$A,$B70,'caseload data'!$B:$B,"licence")</f>
        <v>0</v>
      </c>
      <c r="G70" s="177">
        <f>SUMIFS('caseload data'!I:I,'caseload data'!$A:$A,$B70,'caseload data'!$B:$B,"licence")</f>
        <v>0</v>
      </c>
      <c r="H70" s="177">
        <f>SUMIFS('caseload data'!J:J,'caseload data'!$A:$A,$B70,'caseload data'!$B:$B,"licence")</f>
        <v>0</v>
      </c>
      <c r="I70" s="177">
        <f>SUMIFS('caseload data'!K:K,'caseload data'!$A:$A,$B70,'caseload data'!$B:$B,"licence")</f>
        <v>0</v>
      </c>
      <c r="J70" s="177">
        <f>SUMIFS('caseload data'!L:L,'caseload data'!$A:$A,$B70,'caseload data'!$B:$B,"licence")</f>
        <v>0</v>
      </c>
      <c r="K70" s="177">
        <f>SUMIFS('caseload data'!M:M,'caseload data'!$A:$A,$B70,'caseload data'!$B:$B,"licence")</f>
        <v>0</v>
      </c>
      <c r="L70" s="177">
        <f>SUMIFS('caseload data'!N:N,'caseload data'!$A:$A,$B70,'caseload data'!$B:$B,"licence")</f>
        <v>0</v>
      </c>
      <c r="M70" s="177">
        <f>SUMIFS('caseload data'!O:O,'caseload data'!$A:$A,$B70,'caseload data'!$B:$B,"licence")</f>
        <v>0</v>
      </c>
      <c r="N70" s="177">
        <f>SUMIFS('caseload data'!P:P,'caseload data'!$A:$A,$B70,'caseload data'!$B:$B,"licence")</f>
        <v>0</v>
      </c>
      <c r="O70" s="177">
        <f>SUMIFS('caseload data'!Q:Q,'caseload data'!$A:$A,$B70,'caseload data'!$B:$B,"licence")</f>
        <v>0</v>
      </c>
      <c r="P70" s="177">
        <f>SUMIFS('caseload data'!R:R,'caseload data'!$A:$A,$B70,'caseload data'!$B:$B,"licence")</f>
        <v>0</v>
      </c>
      <c r="Q70" s="177">
        <f>SUMIFS('caseload data'!S:S,'caseload data'!$A:$A,$B70,'caseload data'!$B:$B,"licence")</f>
        <v>0</v>
      </c>
      <c r="R70" s="177">
        <f>SUMIFS('caseload data'!T:T,'caseload data'!$A:$A,$B70,'caseload data'!$B:$B,"licence")</f>
        <v>0</v>
      </c>
      <c r="S70" s="177">
        <f>SUMIFS('caseload data'!V:V,'caseload data'!$A:$A,B70,'caseload data'!$B:$B,"licence")</f>
        <v>0</v>
      </c>
      <c r="T70" s="95"/>
      <c r="U70" s="181" t="s">
        <v>8</v>
      </c>
      <c r="V70" s="97" t="e">
        <f>C70/$S$70</f>
        <v>#DIV/0!</v>
      </c>
      <c r="W70" s="97" t="e">
        <f t="shared" ref="W70:AK70" si="236">D70/$S$70</f>
        <v>#DIV/0!</v>
      </c>
      <c r="X70" s="97" t="e">
        <f t="shared" si="236"/>
        <v>#DIV/0!</v>
      </c>
      <c r="Y70" s="97" t="e">
        <f t="shared" si="236"/>
        <v>#DIV/0!</v>
      </c>
      <c r="Z70" s="97" t="e">
        <f t="shared" si="236"/>
        <v>#DIV/0!</v>
      </c>
      <c r="AA70" s="97" t="e">
        <f t="shared" si="236"/>
        <v>#DIV/0!</v>
      </c>
      <c r="AB70" s="97" t="e">
        <f t="shared" si="236"/>
        <v>#DIV/0!</v>
      </c>
      <c r="AC70" s="97" t="e">
        <f t="shared" si="236"/>
        <v>#DIV/0!</v>
      </c>
      <c r="AD70" s="97" t="e">
        <f t="shared" si="236"/>
        <v>#DIV/0!</v>
      </c>
      <c r="AE70" s="97" t="e">
        <f t="shared" si="236"/>
        <v>#DIV/0!</v>
      </c>
      <c r="AF70" s="97" t="e">
        <f t="shared" si="236"/>
        <v>#DIV/0!</v>
      </c>
      <c r="AG70" s="97" t="e">
        <f t="shared" si="236"/>
        <v>#DIV/0!</v>
      </c>
      <c r="AH70" s="97" t="e">
        <f t="shared" si="236"/>
        <v>#DIV/0!</v>
      </c>
      <c r="AI70" s="97" t="e">
        <f t="shared" si="236"/>
        <v>#DIV/0!</v>
      </c>
      <c r="AJ70" s="97" t="e">
        <f t="shared" si="236"/>
        <v>#DIV/0!</v>
      </c>
      <c r="AK70" s="97" t="e">
        <f t="shared" si="236"/>
        <v>#DIV/0!</v>
      </c>
    </row>
    <row r="71" spans="2:37" x14ac:dyDescent="0.15">
      <c r="B71" s="181" t="s">
        <v>9</v>
      </c>
      <c r="C71" s="177">
        <f>SUMIFS('caseload data'!E:E,'caseload data'!$A:$A,$B71,'caseload data'!$B:$B,"licence")</f>
        <v>0</v>
      </c>
      <c r="D71" s="177">
        <f>SUMIFS('caseload data'!F:F,'caseload data'!$A:$A,$B71,'caseload data'!$B:$B,"licence")</f>
        <v>0</v>
      </c>
      <c r="E71" s="177">
        <f>SUMIFS('caseload data'!G:G,'caseload data'!$A:$A,$B71,'caseload data'!$B:$B,"licence")</f>
        <v>0</v>
      </c>
      <c r="F71" s="177">
        <f>SUMIFS('caseload data'!H:H,'caseload data'!$A:$A,$B71,'caseload data'!$B:$B,"licence")</f>
        <v>0</v>
      </c>
      <c r="G71" s="177">
        <f>SUMIFS('caseload data'!I:I,'caseload data'!$A:$A,$B71,'caseload data'!$B:$B,"licence")</f>
        <v>0</v>
      </c>
      <c r="H71" s="177">
        <f>SUMIFS('caseload data'!J:J,'caseload data'!$A:$A,$B71,'caseload data'!$B:$B,"licence")</f>
        <v>0</v>
      </c>
      <c r="I71" s="177">
        <f>SUMIFS('caseload data'!K:K,'caseload data'!$A:$A,$B71,'caseload data'!$B:$B,"licence")</f>
        <v>0</v>
      </c>
      <c r="J71" s="177">
        <f>SUMIFS('caseload data'!L:L,'caseload data'!$A:$A,$B71,'caseload data'!$B:$B,"licence")</f>
        <v>0</v>
      </c>
      <c r="K71" s="177">
        <f>SUMIFS('caseload data'!M:M,'caseload data'!$A:$A,$B71,'caseload data'!$B:$B,"licence")</f>
        <v>0</v>
      </c>
      <c r="L71" s="177">
        <f>SUMIFS('caseload data'!N:N,'caseload data'!$A:$A,$B71,'caseload data'!$B:$B,"licence")</f>
        <v>0</v>
      </c>
      <c r="M71" s="177">
        <f>SUMIFS('caseload data'!O:O,'caseload data'!$A:$A,$B71,'caseload data'!$B:$B,"licence")</f>
        <v>0</v>
      </c>
      <c r="N71" s="177">
        <f>SUMIFS('caseload data'!P:P,'caseload data'!$A:$A,$B71,'caseload data'!$B:$B,"licence")</f>
        <v>0</v>
      </c>
      <c r="O71" s="177">
        <f>SUMIFS('caseload data'!Q:Q,'caseload data'!$A:$A,$B71,'caseload data'!$B:$B,"licence")</f>
        <v>0</v>
      </c>
      <c r="P71" s="177">
        <f>SUMIFS('caseload data'!R:R,'caseload data'!$A:$A,$B71,'caseload data'!$B:$B,"licence")</f>
        <v>0</v>
      </c>
      <c r="Q71" s="177">
        <f>SUMIFS('caseload data'!S:S,'caseload data'!$A:$A,$B71,'caseload data'!$B:$B,"licence")</f>
        <v>0</v>
      </c>
      <c r="R71" s="177">
        <f>SUMIFS('caseload data'!T:T,'caseload data'!$A:$A,$B71,'caseload data'!$B:$B,"licence")</f>
        <v>0</v>
      </c>
      <c r="S71" s="177">
        <f>SUMIFS('caseload data'!V:V,'caseload data'!$A:$A,B71,'caseload data'!$B:$B,"licence")</f>
        <v>0</v>
      </c>
      <c r="T71" s="95"/>
      <c r="U71" s="181" t="s">
        <v>9</v>
      </c>
      <c r="V71" s="97" t="e">
        <f>C71/$S$71</f>
        <v>#DIV/0!</v>
      </c>
      <c r="W71" s="97" t="e">
        <f t="shared" ref="W71:AK71" si="237">D71/$S$71</f>
        <v>#DIV/0!</v>
      </c>
      <c r="X71" s="97" t="e">
        <f t="shared" si="237"/>
        <v>#DIV/0!</v>
      </c>
      <c r="Y71" s="97" t="e">
        <f t="shared" si="237"/>
        <v>#DIV/0!</v>
      </c>
      <c r="Z71" s="97" t="e">
        <f t="shared" si="237"/>
        <v>#DIV/0!</v>
      </c>
      <c r="AA71" s="97" t="e">
        <f t="shared" si="237"/>
        <v>#DIV/0!</v>
      </c>
      <c r="AB71" s="97" t="e">
        <f t="shared" si="237"/>
        <v>#DIV/0!</v>
      </c>
      <c r="AC71" s="97" t="e">
        <f t="shared" si="237"/>
        <v>#DIV/0!</v>
      </c>
      <c r="AD71" s="97" t="e">
        <f t="shared" si="237"/>
        <v>#DIV/0!</v>
      </c>
      <c r="AE71" s="97" t="e">
        <f t="shared" si="237"/>
        <v>#DIV/0!</v>
      </c>
      <c r="AF71" s="97" t="e">
        <f t="shared" si="237"/>
        <v>#DIV/0!</v>
      </c>
      <c r="AG71" s="97" t="e">
        <f t="shared" si="237"/>
        <v>#DIV/0!</v>
      </c>
      <c r="AH71" s="97" t="e">
        <f t="shared" si="237"/>
        <v>#DIV/0!</v>
      </c>
      <c r="AI71" s="97" t="e">
        <f t="shared" si="237"/>
        <v>#DIV/0!</v>
      </c>
      <c r="AJ71" s="97" t="e">
        <f t="shared" si="237"/>
        <v>#DIV/0!</v>
      </c>
      <c r="AK71" s="97" t="e">
        <f t="shared" si="237"/>
        <v>#DIV/0!</v>
      </c>
    </row>
    <row r="72" spans="2:37" s="30" customFormat="1" x14ac:dyDescent="0.15">
      <c r="B72" s="181" t="s">
        <v>514</v>
      </c>
      <c r="C72" s="177">
        <f>SUMIFS('caseload data'!E:E,'caseload data'!$A:$A,$B72,'caseload data'!$B:$B,"licence")</f>
        <v>0</v>
      </c>
      <c r="D72" s="177">
        <f>SUMIFS('caseload data'!F:F,'caseload data'!$A:$A,$B72,'caseload data'!$B:$B,"licence")</f>
        <v>0</v>
      </c>
      <c r="E72" s="177">
        <f>SUMIFS('caseload data'!G:G,'caseload data'!$A:$A,$B72,'caseload data'!$B:$B,"licence")</f>
        <v>0</v>
      </c>
      <c r="F72" s="177">
        <f>SUMIFS('caseload data'!H:H,'caseload data'!$A:$A,$B72,'caseload data'!$B:$B,"licence")</f>
        <v>0</v>
      </c>
      <c r="G72" s="177">
        <f>SUMIFS('caseload data'!I:I,'caseload data'!$A:$A,$B72,'caseload data'!$B:$B,"licence")</f>
        <v>0</v>
      </c>
      <c r="H72" s="177">
        <f>SUMIFS('caseload data'!J:J,'caseload data'!$A:$A,$B72,'caseload data'!$B:$B,"licence")</f>
        <v>0</v>
      </c>
      <c r="I72" s="177">
        <f>SUMIFS('caseload data'!K:K,'caseload data'!$A:$A,$B72,'caseload data'!$B:$B,"licence")</f>
        <v>0</v>
      </c>
      <c r="J72" s="177">
        <f>SUMIFS('caseload data'!L:L,'caseload data'!$A:$A,$B72,'caseload data'!$B:$B,"licence")</f>
        <v>0</v>
      </c>
      <c r="K72" s="177">
        <f>SUMIFS('caseload data'!M:M,'caseload data'!$A:$A,$B72,'caseload data'!$B:$B,"licence")</f>
        <v>0</v>
      </c>
      <c r="L72" s="177">
        <f>SUMIFS('caseload data'!N:N,'caseload data'!$A:$A,$B72,'caseload data'!$B:$B,"licence")</f>
        <v>0</v>
      </c>
      <c r="M72" s="177">
        <f>SUMIFS('caseload data'!O:O,'caseload data'!$A:$A,$B72,'caseload data'!$B:$B,"licence")</f>
        <v>0</v>
      </c>
      <c r="N72" s="177">
        <f>SUMIFS('caseload data'!P:P,'caseload data'!$A:$A,$B72,'caseload data'!$B:$B,"licence")</f>
        <v>0</v>
      </c>
      <c r="O72" s="177">
        <f>SUMIFS('caseload data'!Q:Q,'caseload data'!$A:$A,$B72,'caseload data'!$B:$B,"licence")</f>
        <v>0</v>
      </c>
      <c r="P72" s="177">
        <f>SUMIFS('caseload data'!R:R,'caseload data'!$A:$A,$B72,'caseload data'!$B:$B,"licence")</f>
        <v>0</v>
      </c>
      <c r="Q72" s="177">
        <f>SUMIFS('caseload data'!S:S,'caseload data'!$A:$A,$B72,'caseload data'!$B:$B,"licence")</f>
        <v>0</v>
      </c>
      <c r="R72" s="177">
        <f>SUMIFS('caseload data'!T:T,'caseload data'!$A:$A,$B72,'caseload data'!$B:$B,"licence")</f>
        <v>0</v>
      </c>
      <c r="S72" s="177">
        <f>SUMIFS('caseload data'!V:V,'caseload data'!$A:$A,B72,'caseload data'!$B:$B,"licence")</f>
        <v>0</v>
      </c>
      <c r="T72" s="95"/>
      <c r="U72" s="181" t="s">
        <v>514</v>
      </c>
      <c r="V72" s="97" t="e">
        <f t="shared" ref="V72:V81" si="238">C72/$S72</f>
        <v>#DIV/0!</v>
      </c>
      <c r="W72" s="97" t="e">
        <f t="shared" ref="W72:W81" si="239">D72/$S72</f>
        <v>#DIV/0!</v>
      </c>
      <c r="X72" s="97" t="e">
        <f t="shared" ref="X72:X81" si="240">E72/$S72</f>
        <v>#DIV/0!</v>
      </c>
      <c r="Y72" s="97" t="e">
        <f t="shared" ref="Y72:Y81" si="241">F72/$S72</f>
        <v>#DIV/0!</v>
      </c>
      <c r="Z72" s="97" t="e">
        <f t="shared" ref="Z72:Z81" si="242">G72/$S72</f>
        <v>#DIV/0!</v>
      </c>
      <c r="AA72" s="97" t="e">
        <f t="shared" ref="AA72:AA81" si="243">H72/$S72</f>
        <v>#DIV/0!</v>
      </c>
      <c r="AB72" s="97" t="e">
        <f t="shared" ref="AB72:AB81" si="244">I72/$S72</f>
        <v>#DIV/0!</v>
      </c>
      <c r="AC72" s="97" t="e">
        <f t="shared" ref="AC72:AC81" si="245">J72/$S72</f>
        <v>#DIV/0!</v>
      </c>
      <c r="AD72" s="97" t="e">
        <f t="shared" ref="AD72:AD81" si="246">K72/$S72</f>
        <v>#DIV/0!</v>
      </c>
      <c r="AE72" s="97" t="e">
        <f t="shared" ref="AE72:AE81" si="247">L72/$S72</f>
        <v>#DIV/0!</v>
      </c>
      <c r="AF72" s="97" t="e">
        <f t="shared" ref="AF72:AF81" si="248">M72/$S72</f>
        <v>#DIV/0!</v>
      </c>
      <c r="AG72" s="97" t="e">
        <f t="shared" ref="AG72:AG81" si="249">N72/$S72</f>
        <v>#DIV/0!</v>
      </c>
      <c r="AH72" s="97" t="e">
        <f t="shared" ref="AH72:AH81" si="250">O72/$S72</f>
        <v>#DIV/0!</v>
      </c>
      <c r="AI72" s="97" t="e">
        <f t="shared" ref="AI72:AI81" si="251">P72/$S72</f>
        <v>#DIV/0!</v>
      </c>
      <c r="AJ72" s="97" t="e">
        <f t="shared" ref="AJ72:AJ81" si="252">Q72/$S72</f>
        <v>#DIV/0!</v>
      </c>
      <c r="AK72" s="97" t="e">
        <f t="shared" ref="AK72:AK81" si="253">R72/$S72</f>
        <v>#DIV/0!</v>
      </c>
    </row>
    <row r="73" spans="2:37" s="30" customFormat="1" x14ac:dyDescent="0.15">
      <c r="B73" s="181" t="s">
        <v>515</v>
      </c>
      <c r="C73" s="177">
        <f>SUMIFS('caseload data'!E:E,'caseload data'!$A:$A,$B73,'caseload data'!$B:$B,"licence")</f>
        <v>0</v>
      </c>
      <c r="D73" s="177">
        <f>SUMIFS('caseload data'!F:F,'caseload data'!$A:$A,$B73,'caseload data'!$B:$B,"licence")</f>
        <v>0</v>
      </c>
      <c r="E73" s="177">
        <f>SUMIFS('caseload data'!G:G,'caseload data'!$A:$A,$B73,'caseload data'!$B:$B,"licence")</f>
        <v>0</v>
      </c>
      <c r="F73" s="177">
        <f>SUMIFS('caseload data'!H:H,'caseload data'!$A:$A,$B73,'caseload data'!$B:$B,"licence")</f>
        <v>0</v>
      </c>
      <c r="G73" s="177">
        <f>SUMIFS('caseload data'!I:I,'caseload data'!$A:$A,$B73,'caseload data'!$B:$B,"licence")</f>
        <v>0</v>
      </c>
      <c r="H73" s="177">
        <f>SUMIFS('caseload data'!J:J,'caseload data'!$A:$A,$B73,'caseload data'!$B:$B,"licence")</f>
        <v>0</v>
      </c>
      <c r="I73" s="177">
        <f>SUMIFS('caseload data'!K:K,'caseload data'!$A:$A,$B73,'caseload data'!$B:$B,"licence")</f>
        <v>0</v>
      </c>
      <c r="J73" s="177">
        <f>SUMIFS('caseload data'!L:L,'caseload data'!$A:$A,$B73,'caseload data'!$B:$B,"licence")</f>
        <v>0</v>
      </c>
      <c r="K73" s="177">
        <f>SUMIFS('caseload data'!M:M,'caseload data'!$A:$A,$B73,'caseload data'!$B:$B,"licence")</f>
        <v>0</v>
      </c>
      <c r="L73" s="177">
        <f>SUMIFS('caseload data'!N:N,'caseload data'!$A:$A,$B73,'caseload data'!$B:$B,"licence")</f>
        <v>0</v>
      </c>
      <c r="M73" s="177">
        <f>SUMIFS('caseload data'!O:O,'caseload data'!$A:$A,$B73,'caseload data'!$B:$B,"licence")</f>
        <v>0</v>
      </c>
      <c r="N73" s="177">
        <f>SUMIFS('caseload data'!P:P,'caseload data'!$A:$A,$B73,'caseload data'!$B:$B,"licence")</f>
        <v>0</v>
      </c>
      <c r="O73" s="177">
        <f>SUMIFS('caseload data'!Q:Q,'caseload data'!$A:$A,$B73,'caseload data'!$B:$B,"licence")</f>
        <v>0</v>
      </c>
      <c r="P73" s="177">
        <f>SUMIFS('caseload data'!R:R,'caseload data'!$A:$A,$B73,'caseload data'!$B:$B,"licence")</f>
        <v>0</v>
      </c>
      <c r="Q73" s="177">
        <f>SUMIFS('caseload data'!S:S,'caseload data'!$A:$A,$B73,'caseload data'!$B:$B,"licence")</f>
        <v>0</v>
      </c>
      <c r="R73" s="177">
        <f>SUMIFS('caseload data'!T:T,'caseload data'!$A:$A,$B73,'caseload data'!$B:$B,"licence")</f>
        <v>0</v>
      </c>
      <c r="S73" s="177">
        <f>SUMIFS('caseload data'!V:V,'caseload data'!$A:$A,B73,'caseload data'!$B:$B,"licence")</f>
        <v>0</v>
      </c>
      <c r="T73" s="95"/>
      <c r="U73" s="181" t="s">
        <v>515</v>
      </c>
      <c r="V73" s="97" t="e">
        <f t="shared" si="238"/>
        <v>#DIV/0!</v>
      </c>
      <c r="W73" s="97" t="e">
        <f t="shared" si="239"/>
        <v>#DIV/0!</v>
      </c>
      <c r="X73" s="97" t="e">
        <f t="shared" si="240"/>
        <v>#DIV/0!</v>
      </c>
      <c r="Y73" s="97" t="e">
        <f t="shared" si="241"/>
        <v>#DIV/0!</v>
      </c>
      <c r="Z73" s="97" t="e">
        <f t="shared" si="242"/>
        <v>#DIV/0!</v>
      </c>
      <c r="AA73" s="97" t="e">
        <f t="shared" si="243"/>
        <v>#DIV/0!</v>
      </c>
      <c r="AB73" s="97" t="e">
        <f t="shared" si="244"/>
        <v>#DIV/0!</v>
      </c>
      <c r="AC73" s="97" t="e">
        <f t="shared" si="245"/>
        <v>#DIV/0!</v>
      </c>
      <c r="AD73" s="97" t="e">
        <f t="shared" si="246"/>
        <v>#DIV/0!</v>
      </c>
      <c r="AE73" s="97" t="e">
        <f t="shared" si="247"/>
        <v>#DIV/0!</v>
      </c>
      <c r="AF73" s="97" t="e">
        <f t="shared" si="248"/>
        <v>#DIV/0!</v>
      </c>
      <c r="AG73" s="97" t="e">
        <f t="shared" si="249"/>
        <v>#DIV/0!</v>
      </c>
      <c r="AH73" s="97" t="e">
        <f t="shared" si="250"/>
        <v>#DIV/0!</v>
      </c>
      <c r="AI73" s="97" t="e">
        <f t="shared" si="251"/>
        <v>#DIV/0!</v>
      </c>
      <c r="AJ73" s="97" t="e">
        <f t="shared" si="252"/>
        <v>#DIV/0!</v>
      </c>
      <c r="AK73" s="97" t="e">
        <f t="shared" si="253"/>
        <v>#DIV/0!</v>
      </c>
    </row>
    <row r="74" spans="2:37" s="30" customFormat="1" x14ac:dyDescent="0.15">
      <c r="B74" s="181" t="s">
        <v>516</v>
      </c>
      <c r="C74" s="177">
        <f>SUMIFS('caseload data'!E:E,'caseload data'!$A:$A,$B74,'caseload data'!$B:$B,"licence")</f>
        <v>0</v>
      </c>
      <c r="D74" s="177">
        <f>SUMIFS('caseload data'!F:F,'caseload data'!$A:$A,$B74,'caseload data'!$B:$B,"licence")</f>
        <v>0</v>
      </c>
      <c r="E74" s="177">
        <f>SUMIFS('caseload data'!G:G,'caseload data'!$A:$A,$B74,'caseload data'!$B:$B,"licence")</f>
        <v>0</v>
      </c>
      <c r="F74" s="177">
        <f>SUMIFS('caseload data'!H:H,'caseload data'!$A:$A,$B74,'caseload data'!$B:$B,"licence")</f>
        <v>0</v>
      </c>
      <c r="G74" s="177">
        <f>SUMIFS('caseload data'!I:I,'caseload data'!$A:$A,$B74,'caseload data'!$B:$B,"licence")</f>
        <v>0</v>
      </c>
      <c r="H74" s="177">
        <f>SUMIFS('caseload data'!J:J,'caseload data'!$A:$A,$B74,'caseload data'!$B:$B,"licence")</f>
        <v>0</v>
      </c>
      <c r="I74" s="177">
        <f>SUMIFS('caseload data'!K:K,'caseload data'!$A:$A,$B74,'caseload data'!$B:$B,"licence")</f>
        <v>0</v>
      </c>
      <c r="J74" s="177">
        <f>SUMIFS('caseload data'!L:L,'caseload data'!$A:$A,$B74,'caseload data'!$B:$B,"licence")</f>
        <v>0</v>
      </c>
      <c r="K74" s="177">
        <f>SUMIFS('caseload data'!M:M,'caseload data'!$A:$A,$B74,'caseload data'!$B:$B,"licence")</f>
        <v>0</v>
      </c>
      <c r="L74" s="177">
        <f>SUMIFS('caseload data'!N:N,'caseload data'!$A:$A,$B74,'caseload data'!$B:$B,"licence")</f>
        <v>0</v>
      </c>
      <c r="M74" s="177">
        <f>SUMIFS('caseload data'!O:O,'caseload data'!$A:$A,$B74,'caseload data'!$B:$B,"licence")</f>
        <v>0</v>
      </c>
      <c r="N74" s="177">
        <f>SUMIFS('caseload data'!P:P,'caseload data'!$A:$A,$B74,'caseload data'!$B:$B,"licence")</f>
        <v>0</v>
      </c>
      <c r="O74" s="177">
        <f>SUMIFS('caseload data'!Q:Q,'caseload data'!$A:$A,$B74,'caseload data'!$B:$B,"licence")</f>
        <v>0</v>
      </c>
      <c r="P74" s="177">
        <f>SUMIFS('caseload data'!R:R,'caseload data'!$A:$A,$B74,'caseload data'!$B:$B,"licence")</f>
        <v>0</v>
      </c>
      <c r="Q74" s="177">
        <f>SUMIFS('caseload data'!S:S,'caseload data'!$A:$A,$B74,'caseload data'!$B:$B,"licence")</f>
        <v>0</v>
      </c>
      <c r="R74" s="177">
        <f>SUMIFS('caseload data'!T:T,'caseload data'!$A:$A,$B74,'caseload data'!$B:$B,"licence")</f>
        <v>0</v>
      </c>
      <c r="S74" s="177">
        <f>SUMIFS('caseload data'!V:V,'caseload data'!$A:$A,B74,'caseload data'!$B:$B,"licence")</f>
        <v>0</v>
      </c>
      <c r="T74" s="95"/>
      <c r="U74" s="181" t="s">
        <v>516</v>
      </c>
      <c r="V74" s="97" t="e">
        <f t="shared" si="238"/>
        <v>#DIV/0!</v>
      </c>
      <c r="W74" s="97" t="e">
        <f t="shared" si="239"/>
        <v>#DIV/0!</v>
      </c>
      <c r="X74" s="97" t="e">
        <f t="shared" si="240"/>
        <v>#DIV/0!</v>
      </c>
      <c r="Y74" s="97" t="e">
        <f t="shared" si="241"/>
        <v>#DIV/0!</v>
      </c>
      <c r="Z74" s="97" t="e">
        <f t="shared" si="242"/>
        <v>#DIV/0!</v>
      </c>
      <c r="AA74" s="97" t="e">
        <f t="shared" si="243"/>
        <v>#DIV/0!</v>
      </c>
      <c r="AB74" s="97" t="e">
        <f t="shared" si="244"/>
        <v>#DIV/0!</v>
      </c>
      <c r="AC74" s="97" t="e">
        <f t="shared" si="245"/>
        <v>#DIV/0!</v>
      </c>
      <c r="AD74" s="97" t="e">
        <f t="shared" si="246"/>
        <v>#DIV/0!</v>
      </c>
      <c r="AE74" s="97" t="e">
        <f t="shared" si="247"/>
        <v>#DIV/0!</v>
      </c>
      <c r="AF74" s="97" t="e">
        <f t="shared" si="248"/>
        <v>#DIV/0!</v>
      </c>
      <c r="AG74" s="97" t="e">
        <f t="shared" si="249"/>
        <v>#DIV/0!</v>
      </c>
      <c r="AH74" s="97" t="e">
        <f t="shared" si="250"/>
        <v>#DIV/0!</v>
      </c>
      <c r="AI74" s="97" t="e">
        <f t="shared" si="251"/>
        <v>#DIV/0!</v>
      </c>
      <c r="AJ74" s="97" t="e">
        <f t="shared" si="252"/>
        <v>#DIV/0!</v>
      </c>
      <c r="AK74" s="97" t="e">
        <f t="shared" si="253"/>
        <v>#DIV/0!</v>
      </c>
    </row>
    <row r="75" spans="2:37" s="30" customFormat="1" x14ac:dyDescent="0.15">
      <c r="B75" s="181" t="s">
        <v>517</v>
      </c>
      <c r="C75" s="177">
        <f>SUMIFS('caseload data'!E:E,'caseload data'!$A:$A,$B75,'caseload data'!$B:$B,"licence")</f>
        <v>0</v>
      </c>
      <c r="D75" s="177">
        <f>SUMIFS('caseload data'!F:F,'caseload data'!$A:$A,$B75,'caseload data'!$B:$B,"licence")</f>
        <v>0</v>
      </c>
      <c r="E75" s="177">
        <f>SUMIFS('caseload data'!G:G,'caseload data'!$A:$A,$B75,'caseload data'!$B:$B,"licence")</f>
        <v>0</v>
      </c>
      <c r="F75" s="177">
        <f>SUMIFS('caseload data'!H:H,'caseload data'!$A:$A,$B75,'caseload data'!$B:$B,"licence")</f>
        <v>0</v>
      </c>
      <c r="G75" s="177">
        <f>SUMIFS('caseload data'!I:I,'caseload data'!$A:$A,$B75,'caseload data'!$B:$B,"licence")</f>
        <v>0</v>
      </c>
      <c r="H75" s="177">
        <f>SUMIFS('caseload data'!J:J,'caseload data'!$A:$A,$B75,'caseload data'!$B:$B,"licence")</f>
        <v>0</v>
      </c>
      <c r="I75" s="177">
        <f>SUMIFS('caseload data'!K:K,'caseload data'!$A:$A,$B75,'caseload data'!$B:$B,"licence")</f>
        <v>0</v>
      </c>
      <c r="J75" s="177">
        <f>SUMIFS('caseload data'!L:L,'caseload data'!$A:$A,$B75,'caseload data'!$B:$B,"licence")</f>
        <v>0</v>
      </c>
      <c r="K75" s="177">
        <f>SUMIFS('caseload data'!M:M,'caseload data'!$A:$A,$B75,'caseload data'!$B:$B,"licence")</f>
        <v>0</v>
      </c>
      <c r="L75" s="177">
        <f>SUMIFS('caseload data'!N:N,'caseload data'!$A:$A,$B75,'caseload data'!$B:$B,"licence")</f>
        <v>0</v>
      </c>
      <c r="M75" s="177">
        <f>SUMIFS('caseload data'!O:O,'caseload data'!$A:$A,$B75,'caseload data'!$B:$B,"licence")</f>
        <v>0</v>
      </c>
      <c r="N75" s="177">
        <f>SUMIFS('caseload data'!P:P,'caseload data'!$A:$A,$B75,'caseload data'!$B:$B,"licence")</f>
        <v>0</v>
      </c>
      <c r="O75" s="177">
        <f>SUMIFS('caseload data'!Q:Q,'caseload data'!$A:$A,$B75,'caseload data'!$B:$B,"licence")</f>
        <v>0</v>
      </c>
      <c r="P75" s="177">
        <f>SUMIFS('caseload data'!R:R,'caseload data'!$A:$A,$B75,'caseload data'!$B:$B,"licence")</f>
        <v>0</v>
      </c>
      <c r="Q75" s="177">
        <f>SUMIFS('caseload data'!S:S,'caseload data'!$A:$A,$B75,'caseload data'!$B:$B,"licence")</f>
        <v>0</v>
      </c>
      <c r="R75" s="177">
        <f>SUMIFS('caseload data'!T:T,'caseload data'!$A:$A,$B75,'caseload data'!$B:$B,"licence")</f>
        <v>0</v>
      </c>
      <c r="S75" s="177">
        <f>SUMIFS('caseload data'!V:V,'caseload data'!$A:$A,B75,'caseload data'!$B:$B,"licence")</f>
        <v>0</v>
      </c>
      <c r="T75" s="95"/>
      <c r="U75" s="181" t="s">
        <v>517</v>
      </c>
      <c r="V75" s="97" t="e">
        <f t="shared" si="238"/>
        <v>#DIV/0!</v>
      </c>
      <c r="W75" s="97" t="e">
        <f t="shared" si="239"/>
        <v>#DIV/0!</v>
      </c>
      <c r="X75" s="97" t="e">
        <f t="shared" si="240"/>
        <v>#DIV/0!</v>
      </c>
      <c r="Y75" s="97" t="e">
        <f t="shared" si="241"/>
        <v>#DIV/0!</v>
      </c>
      <c r="Z75" s="97" t="e">
        <f t="shared" si="242"/>
        <v>#DIV/0!</v>
      </c>
      <c r="AA75" s="97" t="e">
        <f t="shared" si="243"/>
        <v>#DIV/0!</v>
      </c>
      <c r="AB75" s="97" t="e">
        <f t="shared" si="244"/>
        <v>#DIV/0!</v>
      </c>
      <c r="AC75" s="97" t="e">
        <f t="shared" si="245"/>
        <v>#DIV/0!</v>
      </c>
      <c r="AD75" s="97" t="e">
        <f t="shared" si="246"/>
        <v>#DIV/0!</v>
      </c>
      <c r="AE75" s="97" t="e">
        <f t="shared" si="247"/>
        <v>#DIV/0!</v>
      </c>
      <c r="AF75" s="97" t="e">
        <f t="shared" si="248"/>
        <v>#DIV/0!</v>
      </c>
      <c r="AG75" s="97" t="e">
        <f t="shared" si="249"/>
        <v>#DIV/0!</v>
      </c>
      <c r="AH75" s="97" t="e">
        <f t="shared" si="250"/>
        <v>#DIV/0!</v>
      </c>
      <c r="AI75" s="97" t="e">
        <f t="shared" si="251"/>
        <v>#DIV/0!</v>
      </c>
      <c r="AJ75" s="97" t="e">
        <f t="shared" si="252"/>
        <v>#DIV/0!</v>
      </c>
      <c r="AK75" s="97" t="e">
        <f t="shared" si="253"/>
        <v>#DIV/0!</v>
      </c>
    </row>
    <row r="76" spans="2:37" s="30" customFormat="1" x14ac:dyDescent="0.15">
      <c r="B76" s="181" t="s">
        <v>518</v>
      </c>
      <c r="C76" s="177">
        <f>SUMIFS('caseload data'!E:E,'caseload data'!$A:$A,$B76,'caseload data'!$B:$B,"licence")</f>
        <v>0</v>
      </c>
      <c r="D76" s="177">
        <f>SUMIFS('caseload data'!F:F,'caseload data'!$A:$A,$B76,'caseload data'!$B:$B,"licence")</f>
        <v>0</v>
      </c>
      <c r="E76" s="177">
        <f>SUMIFS('caseload data'!G:G,'caseload data'!$A:$A,$B76,'caseload data'!$B:$B,"licence")</f>
        <v>0</v>
      </c>
      <c r="F76" s="177">
        <f>SUMIFS('caseload data'!H:H,'caseload data'!$A:$A,$B76,'caseload data'!$B:$B,"licence")</f>
        <v>0</v>
      </c>
      <c r="G76" s="177">
        <f>SUMIFS('caseload data'!I:I,'caseload data'!$A:$A,$B76,'caseload data'!$B:$B,"licence")</f>
        <v>0</v>
      </c>
      <c r="H76" s="177">
        <f>SUMIFS('caseload data'!J:J,'caseload data'!$A:$A,$B76,'caseload data'!$B:$B,"licence")</f>
        <v>0</v>
      </c>
      <c r="I76" s="177">
        <f>SUMIFS('caseload data'!K:K,'caseload data'!$A:$A,$B76,'caseload data'!$B:$B,"licence")</f>
        <v>0</v>
      </c>
      <c r="J76" s="177">
        <f>SUMIFS('caseload data'!L:L,'caseload data'!$A:$A,$B76,'caseload data'!$B:$B,"licence")</f>
        <v>0</v>
      </c>
      <c r="K76" s="177">
        <f>SUMIFS('caseload data'!M:M,'caseload data'!$A:$A,$B76,'caseload data'!$B:$B,"licence")</f>
        <v>0</v>
      </c>
      <c r="L76" s="177">
        <f>SUMIFS('caseload data'!N:N,'caseload data'!$A:$A,$B76,'caseload data'!$B:$B,"licence")</f>
        <v>0</v>
      </c>
      <c r="M76" s="177">
        <f>SUMIFS('caseload data'!O:O,'caseload data'!$A:$A,$B76,'caseload data'!$B:$B,"licence")</f>
        <v>0</v>
      </c>
      <c r="N76" s="177">
        <f>SUMIFS('caseload data'!P:P,'caseload data'!$A:$A,$B76,'caseload data'!$B:$B,"licence")</f>
        <v>0</v>
      </c>
      <c r="O76" s="177">
        <f>SUMIFS('caseload data'!Q:Q,'caseload data'!$A:$A,$B76,'caseload data'!$B:$B,"licence")</f>
        <v>0</v>
      </c>
      <c r="P76" s="177">
        <f>SUMIFS('caseload data'!R:R,'caseload data'!$A:$A,$B76,'caseload data'!$B:$B,"licence")</f>
        <v>0</v>
      </c>
      <c r="Q76" s="177">
        <f>SUMIFS('caseload data'!S:S,'caseload data'!$A:$A,$B76,'caseload data'!$B:$B,"licence")</f>
        <v>0</v>
      </c>
      <c r="R76" s="177">
        <f>SUMIFS('caseload data'!T:T,'caseload data'!$A:$A,$B76,'caseload data'!$B:$B,"licence")</f>
        <v>0</v>
      </c>
      <c r="S76" s="177">
        <f>SUMIFS('caseload data'!V:V,'caseload data'!$A:$A,B76,'caseload data'!$B:$B,"licence")</f>
        <v>0</v>
      </c>
      <c r="T76" s="95"/>
      <c r="U76" s="181" t="s">
        <v>518</v>
      </c>
      <c r="V76" s="97" t="e">
        <f t="shared" si="238"/>
        <v>#DIV/0!</v>
      </c>
      <c r="W76" s="97" t="e">
        <f t="shared" si="239"/>
        <v>#DIV/0!</v>
      </c>
      <c r="X76" s="97" t="e">
        <f t="shared" si="240"/>
        <v>#DIV/0!</v>
      </c>
      <c r="Y76" s="97" t="e">
        <f t="shared" si="241"/>
        <v>#DIV/0!</v>
      </c>
      <c r="Z76" s="97" t="e">
        <f t="shared" si="242"/>
        <v>#DIV/0!</v>
      </c>
      <c r="AA76" s="97" t="e">
        <f t="shared" si="243"/>
        <v>#DIV/0!</v>
      </c>
      <c r="AB76" s="97" t="e">
        <f t="shared" si="244"/>
        <v>#DIV/0!</v>
      </c>
      <c r="AC76" s="97" t="e">
        <f t="shared" si="245"/>
        <v>#DIV/0!</v>
      </c>
      <c r="AD76" s="97" t="e">
        <f t="shared" si="246"/>
        <v>#DIV/0!</v>
      </c>
      <c r="AE76" s="97" t="e">
        <f t="shared" si="247"/>
        <v>#DIV/0!</v>
      </c>
      <c r="AF76" s="97" t="e">
        <f t="shared" si="248"/>
        <v>#DIV/0!</v>
      </c>
      <c r="AG76" s="97" t="e">
        <f t="shared" si="249"/>
        <v>#DIV/0!</v>
      </c>
      <c r="AH76" s="97" t="e">
        <f t="shared" si="250"/>
        <v>#DIV/0!</v>
      </c>
      <c r="AI76" s="97" t="e">
        <f t="shared" si="251"/>
        <v>#DIV/0!</v>
      </c>
      <c r="AJ76" s="97" t="e">
        <f t="shared" si="252"/>
        <v>#DIV/0!</v>
      </c>
      <c r="AK76" s="97" t="e">
        <f t="shared" si="253"/>
        <v>#DIV/0!</v>
      </c>
    </row>
    <row r="77" spans="2:37" s="30" customFormat="1" x14ac:dyDescent="0.15">
      <c r="B77" s="181" t="s">
        <v>519</v>
      </c>
      <c r="C77" s="177">
        <f>SUMIFS('caseload data'!E:E,'caseload data'!$A:$A,$B77,'caseload data'!$B:$B,"licence")</f>
        <v>0</v>
      </c>
      <c r="D77" s="177">
        <f>SUMIFS('caseload data'!F:F,'caseload data'!$A:$A,$B77,'caseload data'!$B:$B,"licence")</f>
        <v>0</v>
      </c>
      <c r="E77" s="177">
        <f>SUMIFS('caseload data'!G:G,'caseload data'!$A:$A,$B77,'caseload data'!$B:$B,"licence")</f>
        <v>0</v>
      </c>
      <c r="F77" s="177">
        <f>SUMIFS('caseload data'!H:H,'caseload data'!$A:$A,$B77,'caseload data'!$B:$B,"licence")</f>
        <v>0</v>
      </c>
      <c r="G77" s="177">
        <f>SUMIFS('caseload data'!I:I,'caseload data'!$A:$A,$B77,'caseload data'!$B:$B,"licence")</f>
        <v>0</v>
      </c>
      <c r="H77" s="177">
        <f>SUMIFS('caseload data'!J:J,'caseload data'!$A:$A,$B77,'caseload data'!$B:$B,"licence")</f>
        <v>0</v>
      </c>
      <c r="I77" s="177">
        <f>SUMIFS('caseload data'!K:K,'caseload data'!$A:$A,$B77,'caseload data'!$B:$B,"licence")</f>
        <v>0</v>
      </c>
      <c r="J77" s="177">
        <f>SUMIFS('caseload data'!L:L,'caseload data'!$A:$A,$B77,'caseload data'!$B:$B,"licence")</f>
        <v>0</v>
      </c>
      <c r="K77" s="177">
        <f>SUMIFS('caseload data'!M:M,'caseload data'!$A:$A,$B77,'caseload data'!$B:$B,"licence")</f>
        <v>0</v>
      </c>
      <c r="L77" s="177">
        <f>SUMIFS('caseload data'!N:N,'caseload data'!$A:$A,$B77,'caseload data'!$B:$B,"licence")</f>
        <v>0</v>
      </c>
      <c r="M77" s="177">
        <f>SUMIFS('caseload data'!O:O,'caseload data'!$A:$A,$B77,'caseload data'!$B:$B,"licence")</f>
        <v>0</v>
      </c>
      <c r="N77" s="177">
        <f>SUMIFS('caseload data'!P:P,'caseload data'!$A:$A,$B77,'caseload data'!$B:$B,"licence")</f>
        <v>0</v>
      </c>
      <c r="O77" s="177">
        <f>SUMIFS('caseload data'!Q:Q,'caseload data'!$A:$A,$B77,'caseload data'!$B:$B,"licence")</f>
        <v>0</v>
      </c>
      <c r="P77" s="177">
        <f>SUMIFS('caseload data'!R:R,'caseload data'!$A:$A,$B77,'caseload data'!$B:$B,"licence")</f>
        <v>0</v>
      </c>
      <c r="Q77" s="177">
        <f>SUMIFS('caseload data'!S:S,'caseload data'!$A:$A,$B77,'caseload data'!$B:$B,"licence")</f>
        <v>0</v>
      </c>
      <c r="R77" s="177">
        <f>SUMIFS('caseload data'!T:T,'caseload data'!$A:$A,$B77,'caseload data'!$B:$B,"licence")</f>
        <v>0</v>
      </c>
      <c r="S77" s="177">
        <f>SUMIFS('caseload data'!V:V,'caseload data'!$A:$A,B77,'caseload data'!$B:$B,"licence")</f>
        <v>0</v>
      </c>
      <c r="T77" s="95"/>
      <c r="U77" s="181" t="s">
        <v>519</v>
      </c>
      <c r="V77" s="97" t="e">
        <f t="shared" si="238"/>
        <v>#DIV/0!</v>
      </c>
      <c r="W77" s="97" t="e">
        <f t="shared" si="239"/>
        <v>#DIV/0!</v>
      </c>
      <c r="X77" s="97" t="e">
        <f t="shared" si="240"/>
        <v>#DIV/0!</v>
      </c>
      <c r="Y77" s="97" t="e">
        <f t="shared" si="241"/>
        <v>#DIV/0!</v>
      </c>
      <c r="Z77" s="97" t="e">
        <f t="shared" si="242"/>
        <v>#DIV/0!</v>
      </c>
      <c r="AA77" s="97" t="e">
        <f t="shared" si="243"/>
        <v>#DIV/0!</v>
      </c>
      <c r="AB77" s="97" t="e">
        <f t="shared" si="244"/>
        <v>#DIV/0!</v>
      </c>
      <c r="AC77" s="97" t="e">
        <f t="shared" si="245"/>
        <v>#DIV/0!</v>
      </c>
      <c r="AD77" s="97" t="e">
        <f t="shared" si="246"/>
        <v>#DIV/0!</v>
      </c>
      <c r="AE77" s="97" t="e">
        <f t="shared" si="247"/>
        <v>#DIV/0!</v>
      </c>
      <c r="AF77" s="97" t="e">
        <f t="shared" si="248"/>
        <v>#DIV/0!</v>
      </c>
      <c r="AG77" s="97" t="e">
        <f t="shared" si="249"/>
        <v>#DIV/0!</v>
      </c>
      <c r="AH77" s="97" t="e">
        <f t="shared" si="250"/>
        <v>#DIV/0!</v>
      </c>
      <c r="AI77" s="97" t="e">
        <f t="shared" si="251"/>
        <v>#DIV/0!</v>
      </c>
      <c r="AJ77" s="97" t="e">
        <f t="shared" si="252"/>
        <v>#DIV/0!</v>
      </c>
      <c r="AK77" s="97" t="e">
        <f t="shared" si="253"/>
        <v>#DIV/0!</v>
      </c>
    </row>
    <row r="78" spans="2:37" s="30" customFormat="1" x14ac:dyDescent="0.15">
      <c r="B78" s="181" t="s">
        <v>520</v>
      </c>
      <c r="C78" s="177">
        <f>SUMIFS('caseload data'!E:E,'caseload data'!$A:$A,$B78,'caseload data'!$B:$B,"licence")</f>
        <v>0</v>
      </c>
      <c r="D78" s="177">
        <f>SUMIFS('caseload data'!F:F,'caseload data'!$A:$A,$B78,'caseload data'!$B:$B,"licence")</f>
        <v>0</v>
      </c>
      <c r="E78" s="177">
        <f>SUMIFS('caseload data'!G:G,'caseload data'!$A:$A,$B78,'caseload data'!$B:$B,"licence")</f>
        <v>0</v>
      </c>
      <c r="F78" s="177">
        <f>SUMIFS('caseload data'!H:H,'caseload data'!$A:$A,$B78,'caseload data'!$B:$B,"licence")</f>
        <v>0</v>
      </c>
      <c r="G78" s="177">
        <f>SUMIFS('caseload data'!I:I,'caseload data'!$A:$A,$B78,'caseload data'!$B:$B,"licence")</f>
        <v>0</v>
      </c>
      <c r="H78" s="177">
        <f>SUMIFS('caseload data'!J:J,'caseload data'!$A:$A,$B78,'caseload data'!$B:$B,"licence")</f>
        <v>0</v>
      </c>
      <c r="I78" s="177">
        <f>SUMIFS('caseload data'!K:K,'caseload data'!$A:$A,$B78,'caseload data'!$B:$B,"licence")</f>
        <v>0</v>
      </c>
      <c r="J78" s="177">
        <f>SUMIFS('caseload data'!L:L,'caseload data'!$A:$A,$B78,'caseload data'!$B:$B,"licence")</f>
        <v>0</v>
      </c>
      <c r="K78" s="177">
        <f>SUMIFS('caseload data'!M:M,'caseload data'!$A:$A,$B78,'caseload data'!$B:$B,"licence")</f>
        <v>0</v>
      </c>
      <c r="L78" s="177">
        <f>SUMIFS('caseload data'!N:N,'caseload data'!$A:$A,$B78,'caseload data'!$B:$B,"licence")</f>
        <v>0</v>
      </c>
      <c r="M78" s="177">
        <f>SUMIFS('caseload data'!O:O,'caseload data'!$A:$A,$B78,'caseload data'!$B:$B,"licence")</f>
        <v>0</v>
      </c>
      <c r="N78" s="177">
        <f>SUMIFS('caseload data'!P:P,'caseload data'!$A:$A,$B78,'caseload data'!$B:$B,"licence")</f>
        <v>0</v>
      </c>
      <c r="O78" s="177">
        <f>SUMIFS('caseload data'!Q:Q,'caseload data'!$A:$A,$B78,'caseload data'!$B:$B,"licence")</f>
        <v>0</v>
      </c>
      <c r="P78" s="177">
        <f>SUMIFS('caseload data'!R:R,'caseload data'!$A:$A,$B78,'caseload data'!$B:$B,"licence")</f>
        <v>0</v>
      </c>
      <c r="Q78" s="177">
        <f>SUMIFS('caseload data'!S:S,'caseload data'!$A:$A,$B78,'caseload data'!$B:$B,"licence")</f>
        <v>0</v>
      </c>
      <c r="R78" s="177">
        <f>SUMIFS('caseload data'!T:T,'caseload data'!$A:$A,$B78,'caseload data'!$B:$B,"licence")</f>
        <v>0</v>
      </c>
      <c r="S78" s="177">
        <f>SUMIFS('caseload data'!V:V,'caseload data'!$A:$A,B78,'caseload data'!$B:$B,"licence")</f>
        <v>0</v>
      </c>
      <c r="T78" s="95"/>
      <c r="U78" s="181" t="s">
        <v>520</v>
      </c>
      <c r="V78" s="97" t="e">
        <f t="shared" si="238"/>
        <v>#DIV/0!</v>
      </c>
      <c r="W78" s="97" t="e">
        <f t="shared" si="239"/>
        <v>#DIV/0!</v>
      </c>
      <c r="X78" s="97" t="e">
        <f t="shared" si="240"/>
        <v>#DIV/0!</v>
      </c>
      <c r="Y78" s="97" t="e">
        <f t="shared" si="241"/>
        <v>#DIV/0!</v>
      </c>
      <c r="Z78" s="97" t="e">
        <f t="shared" si="242"/>
        <v>#DIV/0!</v>
      </c>
      <c r="AA78" s="97" t="e">
        <f t="shared" si="243"/>
        <v>#DIV/0!</v>
      </c>
      <c r="AB78" s="97" t="e">
        <f t="shared" si="244"/>
        <v>#DIV/0!</v>
      </c>
      <c r="AC78" s="97" t="e">
        <f t="shared" si="245"/>
        <v>#DIV/0!</v>
      </c>
      <c r="AD78" s="97" t="e">
        <f t="shared" si="246"/>
        <v>#DIV/0!</v>
      </c>
      <c r="AE78" s="97" t="e">
        <f t="shared" si="247"/>
        <v>#DIV/0!</v>
      </c>
      <c r="AF78" s="97" t="e">
        <f t="shared" si="248"/>
        <v>#DIV/0!</v>
      </c>
      <c r="AG78" s="97" t="e">
        <f t="shared" si="249"/>
        <v>#DIV/0!</v>
      </c>
      <c r="AH78" s="97" t="e">
        <f t="shared" si="250"/>
        <v>#DIV/0!</v>
      </c>
      <c r="AI78" s="97" t="e">
        <f t="shared" si="251"/>
        <v>#DIV/0!</v>
      </c>
      <c r="AJ78" s="97" t="e">
        <f t="shared" si="252"/>
        <v>#DIV/0!</v>
      </c>
      <c r="AK78" s="97" t="e">
        <f t="shared" si="253"/>
        <v>#DIV/0!</v>
      </c>
    </row>
    <row r="79" spans="2:37" s="30" customFormat="1" x14ac:dyDescent="0.15">
      <c r="B79" s="181" t="s">
        <v>521</v>
      </c>
      <c r="C79" s="177">
        <f>SUMIFS('caseload data'!E:E,'caseload data'!$A:$A,$B79,'caseload data'!$B:$B,"licence")</f>
        <v>0</v>
      </c>
      <c r="D79" s="177">
        <f>SUMIFS('caseload data'!F:F,'caseload data'!$A:$A,$B79,'caseload data'!$B:$B,"licence")</f>
        <v>0</v>
      </c>
      <c r="E79" s="177">
        <f>SUMIFS('caseload data'!G:G,'caseload data'!$A:$A,$B79,'caseload data'!$B:$B,"licence")</f>
        <v>0</v>
      </c>
      <c r="F79" s="177">
        <f>SUMIFS('caseload data'!H:H,'caseload data'!$A:$A,$B79,'caseload data'!$B:$B,"licence")</f>
        <v>0</v>
      </c>
      <c r="G79" s="177">
        <f>SUMIFS('caseload data'!I:I,'caseload data'!$A:$A,$B79,'caseload data'!$B:$B,"licence")</f>
        <v>0</v>
      </c>
      <c r="H79" s="177">
        <f>SUMIFS('caseload data'!J:J,'caseload data'!$A:$A,$B79,'caseload data'!$B:$B,"licence")</f>
        <v>0</v>
      </c>
      <c r="I79" s="177">
        <f>SUMIFS('caseload data'!K:K,'caseload data'!$A:$A,$B79,'caseload data'!$B:$B,"licence")</f>
        <v>0</v>
      </c>
      <c r="J79" s="177">
        <f>SUMIFS('caseload data'!L:L,'caseload data'!$A:$A,$B79,'caseload data'!$B:$B,"licence")</f>
        <v>0</v>
      </c>
      <c r="K79" s="177">
        <f>SUMIFS('caseload data'!M:M,'caseload data'!$A:$A,$B79,'caseload data'!$B:$B,"licence")</f>
        <v>0</v>
      </c>
      <c r="L79" s="177">
        <f>SUMIFS('caseload data'!N:N,'caseload data'!$A:$A,$B79,'caseload data'!$B:$B,"licence")</f>
        <v>0</v>
      </c>
      <c r="M79" s="177">
        <f>SUMIFS('caseload data'!O:O,'caseload data'!$A:$A,$B79,'caseload data'!$B:$B,"licence")</f>
        <v>0</v>
      </c>
      <c r="N79" s="177">
        <f>SUMIFS('caseload data'!P:P,'caseload data'!$A:$A,$B79,'caseload data'!$B:$B,"licence")</f>
        <v>0</v>
      </c>
      <c r="O79" s="177">
        <f>SUMIFS('caseload data'!Q:Q,'caseload data'!$A:$A,$B79,'caseload data'!$B:$B,"licence")</f>
        <v>0</v>
      </c>
      <c r="P79" s="177">
        <f>SUMIFS('caseload data'!R:R,'caseload data'!$A:$A,$B79,'caseload data'!$B:$B,"licence")</f>
        <v>0</v>
      </c>
      <c r="Q79" s="177">
        <f>SUMIFS('caseload data'!S:S,'caseload data'!$A:$A,$B79,'caseload data'!$B:$B,"licence")</f>
        <v>0</v>
      </c>
      <c r="R79" s="177">
        <f>SUMIFS('caseload data'!T:T,'caseload data'!$A:$A,$B79,'caseload data'!$B:$B,"licence")</f>
        <v>0</v>
      </c>
      <c r="S79" s="177">
        <f>SUMIFS('caseload data'!V:V,'caseload data'!$A:$A,B79,'caseload data'!$B:$B,"licence")</f>
        <v>0</v>
      </c>
      <c r="T79" s="95"/>
      <c r="U79" s="181" t="s">
        <v>521</v>
      </c>
      <c r="V79" s="97" t="e">
        <f t="shared" si="238"/>
        <v>#DIV/0!</v>
      </c>
      <c r="W79" s="97" t="e">
        <f t="shared" si="239"/>
        <v>#DIV/0!</v>
      </c>
      <c r="X79" s="97" t="e">
        <f t="shared" si="240"/>
        <v>#DIV/0!</v>
      </c>
      <c r="Y79" s="97" t="e">
        <f t="shared" si="241"/>
        <v>#DIV/0!</v>
      </c>
      <c r="Z79" s="97" t="e">
        <f t="shared" si="242"/>
        <v>#DIV/0!</v>
      </c>
      <c r="AA79" s="97" t="e">
        <f t="shared" si="243"/>
        <v>#DIV/0!</v>
      </c>
      <c r="AB79" s="97" t="e">
        <f t="shared" si="244"/>
        <v>#DIV/0!</v>
      </c>
      <c r="AC79" s="97" t="e">
        <f t="shared" si="245"/>
        <v>#DIV/0!</v>
      </c>
      <c r="AD79" s="97" t="e">
        <f t="shared" si="246"/>
        <v>#DIV/0!</v>
      </c>
      <c r="AE79" s="97" t="e">
        <f t="shared" si="247"/>
        <v>#DIV/0!</v>
      </c>
      <c r="AF79" s="97" t="e">
        <f t="shared" si="248"/>
        <v>#DIV/0!</v>
      </c>
      <c r="AG79" s="97" t="e">
        <f t="shared" si="249"/>
        <v>#DIV/0!</v>
      </c>
      <c r="AH79" s="97" t="e">
        <f t="shared" si="250"/>
        <v>#DIV/0!</v>
      </c>
      <c r="AI79" s="97" t="e">
        <f t="shared" si="251"/>
        <v>#DIV/0!</v>
      </c>
      <c r="AJ79" s="97" t="e">
        <f t="shared" si="252"/>
        <v>#DIV/0!</v>
      </c>
      <c r="AK79" s="97" t="e">
        <f t="shared" si="253"/>
        <v>#DIV/0!</v>
      </c>
    </row>
    <row r="80" spans="2:37" s="30" customFormat="1" x14ac:dyDescent="0.15">
      <c r="B80" s="181" t="s">
        <v>522</v>
      </c>
      <c r="C80" s="177">
        <f>SUMIFS('caseload data'!E:E,'caseload data'!$A:$A,$B80,'caseload data'!$B:$B,"licence")</f>
        <v>0</v>
      </c>
      <c r="D80" s="177">
        <f>SUMIFS('caseload data'!F:F,'caseload data'!$A:$A,$B80,'caseload data'!$B:$B,"licence")</f>
        <v>0</v>
      </c>
      <c r="E80" s="177">
        <f>SUMIFS('caseload data'!G:G,'caseload data'!$A:$A,$B80,'caseload data'!$B:$B,"licence")</f>
        <v>0</v>
      </c>
      <c r="F80" s="177">
        <f>SUMIFS('caseload data'!H:H,'caseload data'!$A:$A,$B80,'caseload data'!$B:$B,"licence")</f>
        <v>0</v>
      </c>
      <c r="G80" s="177">
        <f>SUMIFS('caseload data'!I:I,'caseload data'!$A:$A,$B80,'caseload data'!$B:$B,"licence")</f>
        <v>0</v>
      </c>
      <c r="H80" s="177">
        <f>SUMIFS('caseload data'!J:J,'caseload data'!$A:$A,$B80,'caseload data'!$B:$B,"licence")</f>
        <v>0</v>
      </c>
      <c r="I80" s="177">
        <f>SUMIFS('caseload data'!K:K,'caseload data'!$A:$A,$B80,'caseload data'!$B:$B,"licence")</f>
        <v>0</v>
      </c>
      <c r="J80" s="177">
        <f>SUMIFS('caseload data'!L:L,'caseload data'!$A:$A,$B80,'caseload data'!$B:$B,"licence")</f>
        <v>0</v>
      </c>
      <c r="K80" s="177">
        <f>SUMIFS('caseload data'!M:M,'caseload data'!$A:$A,$B80,'caseload data'!$B:$B,"licence")</f>
        <v>0</v>
      </c>
      <c r="L80" s="177">
        <f>SUMIFS('caseload data'!N:N,'caseload data'!$A:$A,$B80,'caseload data'!$B:$B,"licence")</f>
        <v>0</v>
      </c>
      <c r="M80" s="177">
        <f>SUMIFS('caseload data'!O:O,'caseload data'!$A:$A,$B80,'caseload data'!$B:$B,"licence")</f>
        <v>0</v>
      </c>
      <c r="N80" s="177">
        <f>SUMIFS('caseload data'!P:P,'caseload data'!$A:$A,$B80,'caseload data'!$B:$B,"licence")</f>
        <v>0</v>
      </c>
      <c r="O80" s="177">
        <f>SUMIFS('caseload data'!Q:Q,'caseload data'!$A:$A,$B80,'caseload data'!$B:$B,"licence")</f>
        <v>0</v>
      </c>
      <c r="P80" s="177">
        <f>SUMIFS('caseload data'!R:R,'caseload data'!$A:$A,$B80,'caseload data'!$B:$B,"licence")</f>
        <v>0</v>
      </c>
      <c r="Q80" s="177">
        <f>SUMIFS('caseload data'!S:S,'caseload data'!$A:$A,$B80,'caseload data'!$B:$B,"licence")</f>
        <v>0</v>
      </c>
      <c r="R80" s="177">
        <f>SUMIFS('caseload data'!T:T,'caseload data'!$A:$A,$B80,'caseload data'!$B:$B,"licence")</f>
        <v>0</v>
      </c>
      <c r="S80" s="177">
        <f>SUMIFS('caseload data'!V:V,'caseload data'!$A:$A,B80,'caseload data'!$B:$B,"licence")</f>
        <v>0</v>
      </c>
      <c r="T80" s="95"/>
      <c r="U80" s="181" t="s">
        <v>522</v>
      </c>
      <c r="V80" s="97" t="e">
        <f t="shared" si="238"/>
        <v>#DIV/0!</v>
      </c>
      <c r="W80" s="97" t="e">
        <f t="shared" si="239"/>
        <v>#DIV/0!</v>
      </c>
      <c r="X80" s="97" t="e">
        <f t="shared" si="240"/>
        <v>#DIV/0!</v>
      </c>
      <c r="Y80" s="97" t="e">
        <f t="shared" si="241"/>
        <v>#DIV/0!</v>
      </c>
      <c r="Z80" s="97" t="e">
        <f t="shared" si="242"/>
        <v>#DIV/0!</v>
      </c>
      <c r="AA80" s="97" t="e">
        <f t="shared" si="243"/>
        <v>#DIV/0!</v>
      </c>
      <c r="AB80" s="97" t="e">
        <f t="shared" si="244"/>
        <v>#DIV/0!</v>
      </c>
      <c r="AC80" s="97" t="e">
        <f t="shared" si="245"/>
        <v>#DIV/0!</v>
      </c>
      <c r="AD80" s="97" t="e">
        <f t="shared" si="246"/>
        <v>#DIV/0!</v>
      </c>
      <c r="AE80" s="97" t="e">
        <f t="shared" si="247"/>
        <v>#DIV/0!</v>
      </c>
      <c r="AF80" s="97" t="e">
        <f t="shared" si="248"/>
        <v>#DIV/0!</v>
      </c>
      <c r="AG80" s="97" t="e">
        <f t="shared" si="249"/>
        <v>#DIV/0!</v>
      </c>
      <c r="AH80" s="97" t="e">
        <f t="shared" si="250"/>
        <v>#DIV/0!</v>
      </c>
      <c r="AI80" s="97" t="e">
        <f t="shared" si="251"/>
        <v>#DIV/0!</v>
      </c>
      <c r="AJ80" s="97" t="e">
        <f t="shared" si="252"/>
        <v>#DIV/0!</v>
      </c>
      <c r="AK80" s="97" t="e">
        <f t="shared" si="253"/>
        <v>#DIV/0!</v>
      </c>
    </row>
    <row r="81" spans="2:37" s="30" customFormat="1" x14ac:dyDescent="0.15">
      <c r="B81" s="181" t="s">
        <v>523</v>
      </c>
      <c r="C81" s="177">
        <f>SUMIFS('caseload data'!E:E,'caseload data'!$A:$A,$B81,'caseload data'!$B:$B,"licence")</f>
        <v>0</v>
      </c>
      <c r="D81" s="177">
        <f>SUMIFS('caseload data'!F:F,'caseload data'!$A:$A,$B81,'caseload data'!$B:$B,"licence")</f>
        <v>0</v>
      </c>
      <c r="E81" s="177">
        <f>SUMIFS('caseload data'!G:G,'caseload data'!$A:$A,$B81,'caseload data'!$B:$B,"licence")</f>
        <v>0</v>
      </c>
      <c r="F81" s="177">
        <f>SUMIFS('caseload data'!H:H,'caseload data'!$A:$A,$B81,'caseload data'!$B:$B,"licence")</f>
        <v>0</v>
      </c>
      <c r="G81" s="177">
        <f>SUMIFS('caseload data'!I:I,'caseload data'!$A:$A,$B81,'caseload data'!$B:$B,"licence")</f>
        <v>0</v>
      </c>
      <c r="H81" s="177">
        <f>SUMIFS('caseload data'!J:J,'caseload data'!$A:$A,$B81,'caseload data'!$B:$B,"licence")</f>
        <v>0</v>
      </c>
      <c r="I81" s="177">
        <f>SUMIFS('caseload data'!K:K,'caseload data'!$A:$A,$B81,'caseload data'!$B:$B,"licence")</f>
        <v>0</v>
      </c>
      <c r="J81" s="177">
        <f>SUMIFS('caseload data'!L:L,'caseload data'!$A:$A,$B81,'caseload data'!$B:$B,"licence")</f>
        <v>0</v>
      </c>
      <c r="K81" s="177">
        <f>SUMIFS('caseload data'!M:M,'caseload data'!$A:$A,$B81,'caseload data'!$B:$B,"licence")</f>
        <v>0</v>
      </c>
      <c r="L81" s="177">
        <f>SUMIFS('caseload data'!N:N,'caseload data'!$A:$A,$B81,'caseload data'!$B:$B,"licence")</f>
        <v>0</v>
      </c>
      <c r="M81" s="177">
        <f>SUMIFS('caseload data'!O:O,'caseload data'!$A:$A,$B81,'caseload data'!$B:$B,"licence")</f>
        <v>0</v>
      </c>
      <c r="N81" s="177">
        <f>SUMIFS('caseload data'!P:P,'caseload data'!$A:$A,$B81,'caseload data'!$B:$B,"licence")</f>
        <v>0</v>
      </c>
      <c r="O81" s="177">
        <f>SUMIFS('caseload data'!Q:Q,'caseload data'!$A:$A,$B81,'caseload data'!$B:$B,"licence")</f>
        <v>0</v>
      </c>
      <c r="P81" s="177">
        <f>SUMIFS('caseload data'!R:R,'caseload data'!$A:$A,$B81,'caseload data'!$B:$B,"licence")</f>
        <v>0</v>
      </c>
      <c r="Q81" s="177">
        <f>SUMIFS('caseload data'!S:S,'caseload data'!$A:$A,$B81,'caseload data'!$B:$B,"licence")</f>
        <v>0</v>
      </c>
      <c r="R81" s="177">
        <f>SUMIFS('caseload data'!T:T,'caseload data'!$A:$A,$B81,'caseload data'!$B:$B,"licence")</f>
        <v>0</v>
      </c>
      <c r="S81" s="177">
        <f>SUMIFS('caseload data'!V:V,'caseload data'!$A:$A,B81,'caseload data'!$B:$B,"licence")</f>
        <v>0</v>
      </c>
      <c r="T81" s="95"/>
      <c r="U81" s="181" t="s">
        <v>523</v>
      </c>
      <c r="V81" s="97" t="e">
        <f t="shared" si="238"/>
        <v>#DIV/0!</v>
      </c>
      <c r="W81" s="97" t="e">
        <f t="shared" si="239"/>
        <v>#DIV/0!</v>
      </c>
      <c r="X81" s="97" t="e">
        <f t="shared" si="240"/>
        <v>#DIV/0!</v>
      </c>
      <c r="Y81" s="97" t="e">
        <f t="shared" si="241"/>
        <v>#DIV/0!</v>
      </c>
      <c r="Z81" s="97" t="e">
        <f t="shared" si="242"/>
        <v>#DIV/0!</v>
      </c>
      <c r="AA81" s="97" t="e">
        <f t="shared" si="243"/>
        <v>#DIV/0!</v>
      </c>
      <c r="AB81" s="97" t="e">
        <f t="shared" si="244"/>
        <v>#DIV/0!</v>
      </c>
      <c r="AC81" s="97" t="e">
        <f t="shared" si="245"/>
        <v>#DIV/0!</v>
      </c>
      <c r="AD81" s="97" t="e">
        <f t="shared" si="246"/>
        <v>#DIV/0!</v>
      </c>
      <c r="AE81" s="97" t="e">
        <f t="shared" si="247"/>
        <v>#DIV/0!</v>
      </c>
      <c r="AF81" s="97" t="e">
        <f t="shared" si="248"/>
        <v>#DIV/0!</v>
      </c>
      <c r="AG81" s="97" t="e">
        <f t="shared" si="249"/>
        <v>#DIV/0!</v>
      </c>
      <c r="AH81" s="97" t="e">
        <f t="shared" si="250"/>
        <v>#DIV/0!</v>
      </c>
      <c r="AI81" s="97" t="e">
        <f t="shared" si="251"/>
        <v>#DIV/0!</v>
      </c>
      <c r="AJ81" s="97" t="e">
        <f t="shared" si="252"/>
        <v>#DIV/0!</v>
      </c>
      <c r="AK81" s="97" t="e">
        <f t="shared" si="253"/>
        <v>#DIV/0!</v>
      </c>
    </row>
    <row r="82" spans="2:37" x14ac:dyDescent="0.15">
      <c r="B82" s="143" t="s">
        <v>183</v>
      </c>
      <c r="C82" s="179">
        <f>SUMIF('caseload data'!$B:$B,"licence",'caseload data'!E:E)</f>
        <v>0</v>
      </c>
      <c r="D82" s="179">
        <f>SUMIF('caseload data'!$B:$B,"licence",'caseload data'!F:F)</f>
        <v>0</v>
      </c>
      <c r="E82" s="179">
        <f>SUMIF('caseload data'!$B:$B,"licence",'caseload data'!G:G)</f>
        <v>0</v>
      </c>
      <c r="F82" s="179">
        <f>SUMIF('caseload data'!$B:$B,"licence",'caseload data'!H:H)</f>
        <v>0</v>
      </c>
      <c r="G82" s="179">
        <f>SUMIF('caseload data'!$B:$B,"licence",'caseload data'!I:I)</f>
        <v>0</v>
      </c>
      <c r="H82" s="179">
        <f>SUMIF('caseload data'!$B:$B,"licence",'caseload data'!J:J)</f>
        <v>0</v>
      </c>
      <c r="I82" s="179">
        <f>SUMIF('caseload data'!$B:$B,"licence",'caseload data'!K:K)</f>
        <v>0</v>
      </c>
      <c r="J82" s="179">
        <f>SUMIF('caseload data'!$B:$B,"licence",'caseload data'!L:L)</f>
        <v>0</v>
      </c>
      <c r="K82" s="179">
        <f>SUMIF('caseload data'!$B:$B,"licence",'caseload data'!M:M)</f>
        <v>0</v>
      </c>
      <c r="L82" s="179">
        <f>SUMIF('caseload data'!$B:$B,"licence",'caseload data'!N:N)</f>
        <v>0</v>
      </c>
      <c r="M82" s="179">
        <f>SUMIF('caseload data'!$B:$B,"licence",'caseload data'!O:O)</f>
        <v>0</v>
      </c>
      <c r="N82" s="179">
        <f>SUMIF('caseload data'!$B:$B,"licence",'caseload data'!P:P)</f>
        <v>0</v>
      </c>
      <c r="O82" s="179">
        <f>SUMIF('caseload data'!$B:$B,"licence",'caseload data'!Q:Q)</f>
        <v>0</v>
      </c>
      <c r="P82" s="179">
        <f>SUMIF('caseload data'!$B:$B,"licence",'caseload data'!R:R)</f>
        <v>0</v>
      </c>
      <c r="Q82" s="179">
        <f>SUMIF('caseload data'!$B:$B,"licence",'caseload data'!S:S)</f>
        <v>0</v>
      </c>
      <c r="R82" s="179">
        <f>SUMIF('caseload data'!$B:$B,"licence",'caseload data'!T:T)</f>
        <v>0</v>
      </c>
      <c r="S82" s="179">
        <f>SUMIF('caseload data'!$B:$B,"licence",'caseload data'!V:V)</f>
        <v>0</v>
      </c>
      <c r="T82" s="95"/>
      <c r="U82" s="143" t="s">
        <v>183</v>
      </c>
      <c r="V82" s="148" t="e">
        <f>C82/$S$82</f>
        <v>#DIV/0!</v>
      </c>
      <c r="W82" s="148" t="e">
        <f t="shared" ref="W82:AK82" si="254">D82/$S$82</f>
        <v>#DIV/0!</v>
      </c>
      <c r="X82" s="148" t="e">
        <f t="shared" si="254"/>
        <v>#DIV/0!</v>
      </c>
      <c r="Y82" s="148" t="e">
        <f t="shared" si="254"/>
        <v>#DIV/0!</v>
      </c>
      <c r="Z82" s="148" t="e">
        <f t="shared" si="254"/>
        <v>#DIV/0!</v>
      </c>
      <c r="AA82" s="148" t="e">
        <f t="shared" si="254"/>
        <v>#DIV/0!</v>
      </c>
      <c r="AB82" s="148" t="e">
        <f t="shared" si="254"/>
        <v>#DIV/0!</v>
      </c>
      <c r="AC82" s="148" t="e">
        <f t="shared" si="254"/>
        <v>#DIV/0!</v>
      </c>
      <c r="AD82" s="148" t="e">
        <f t="shared" si="254"/>
        <v>#DIV/0!</v>
      </c>
      <c r="AE82" s="148" t="e">
        <f t="shared" si="254"/>
        <v>#DIV/0!</v>
      </c>
      <c r="AF82" s="148" t="e">
        <f t="shared" si="254"/>
        <v>#DIV/0!</v>
      </c>
      <c r="AG82" s="148" t="e">
        <f t="shared" si="254"/>
        <v>#DIV/0!</v>
      </c>
      <c r="AH82" s="148" t="e">
        <f t="shared" si="254"/>
        <v>#DIV/0!</v>
      </c>
      <c r="AI82" s="148" t="e">
        <f t="shared" si="254"/>
        <v>#DIV/0!</v>
      </c>
      <c r="AJ82" s="148" t="e">
        <f t="shared" si="254"/>
        <v>#DIV/0!</v>
      </c>
      <c r="AK82" s="148" t="e">
        <f t="shared" si="254"/>
        <v>#DIV/0!</v>
      </c>
    </row>
    <row r="84" spans="2:37" ht="16" x14ac:dyDescent="0.2">
      <c r="B84" s="30"/>
      <c r="C84" s="312" t="s">
        <v>492</v>
      </c>
      <c r="D84" s="313"/>
      <c r="E84" s="313"/>
      <c r="F84" s="313"/>
      <c r="G84" s="313"/>
      <c r="H84" s="313"/>
      <c r="I84" s="313"/>
      <c r="J84" s="313"/>
      <c r="K84" s="313"/>
      <c r="L84" s="313"/>
      <c r="M84" s="313"/>
      <c r="N84" s="313"/>
      <c r="O84" s="313"/>
      <c r="P84" s="313"/>
      <c r="Q84" s="313"/>
      <c r="R84" s="313"/>
      <c r="S84" s="357"/>
      <c r="T84" s="30"/>
      <c r="U84" s="30"/>
      <c r="V84" s="358" t="s">
        <v>493</v>
      </c>
      <c r="W84" s="358"/>
      <c r="X84" s="358"/>
      <c r="Y84" s="358"/>
      <c r="Z84" s="358"/>
      <c r="AA84" s="358"/>
      <c r="AB84" s="358"/>
    </row>
    <row r="85" spans="2:37" x14ac:dyDescent="0.15">
      <c r="B85" s="176"/>
      <c r="C85" s="58" t="s">
        <v>504</v>
      </c>
      <c r="D85" s="58" t="s">
        <v>503</v>
      </c>
      <c r="E85" s="58" t="s">
        <v>502</v>
      </c>
      <c r="F85" s="58" t="s">
        <v>501</v>
      </c>
      <c r="G85" s="58" t="s">
        <v>510</v>
      </c>
      <c r="H85" s="58" t="s">
        <v>176</v>
      </c>
      <c r="I85" s="58" t="s">
        <v>177</v>
      </c>
      <c r="J85" s="58" t="s">
        <v>505</v>
      </c>
      <c r="K85" s="58" t="s">
        <v>507</v>
      </c>
      <c r="L85" s="58" t="s">
        <v>178</v>
      </c>
      <c r="M85" s="58" t="s">
        <v>179</v>
      </c>
      <c r="N85" s="58" t="s">
        <v>506</v>
      </c>
      <c r="O85" s="58" t="s">
        <v>508</v>
      </c>
      <c r="P85" s="58" t="s">
        <v>180</v>
      </c>
      <c r="Q85" s="58" t="s">
        <v>181</v>
      </c>
      <c r="R85" s="58" t="s">
        <v>509</v>
      </c>
      <c r="S85" s="60" t="s">
        <v>183</v>
      </c>
      <c r="T85" s="95"/>
      <c r="U85" s="176"/>
      <c r="V85" s="58" t="s">
        <v>504</v>
      </c>
      <c r="W85" s="58" t="s">
        <v>503</v>
      </c>
      <c r="X85" s="58" t="s">
        <v>502</v>
      </c>
      <c r="Y85" s="58" t="s">
        <v>501</v>
      </c>
      <c r="Z85" s="58" t="s">
        <v>510</v>
      </c>
      <c r="AA85" s="58" t="s">
        <v>176</v>
      </c>
      <c r="AB85" s="58" t="s">
        <v>177</v>
      </c>
      <c r="AC85" s="58" t="s">
        <v>505</v>
      </c>
      <c r="AD85" s="58" t="s">
        <v>507</v>
      </c>
      <c r="AE85" s="58" t="s">
        <v>178</v>
      </c>
      <c r="AF85" s="58" t="s">
        <v>179</v>
      </c>
      <c r="AG85" s="58" t="s">
        <v>506</v>
      </c>
      <c r="AH85" s="58" t="s">
        <v>508</v>
      </c>
      <c r="AI85" s="58" t="s">
        <v>180</v>
      </c>
      <c r="AJ85" s="58" t="s">
        <v>181</v>
      </c>
      <c r="AK85" s="58" t="s">
        <v>509</v>
      </c>
    </row>
    <row r="86" spans="2:37" x14ac:dyDescent="0.15">
      <c r="B86" s="181" t="s">
        <v>4</v>
      </c>
      <c r="C86" s="177">
        <f>SUMIFS('caseload data'!E:E,'caseload data'!$A:$A,$B86,'caseload data'!$B:$B,"community")</f>
        <v>0</v>
      </c>
      <c r="D86" s="177">
        <f>SUMIFS('caseload data'!F:F,'caseload data'!$A:$A,$B86,'caseload data'!$B:$B,"community")</f>
        <v>0</v>
      </c>
      <c r="E86" s="177">
        <f>SUMIFS('caseload data'!G:G,'caseload data'!$A:$A,$B86,'caseload data'!$B:$B,"community")</f>
        <v>0</v>
      </c>
      <c r="F86" s="177">
        <f>SUMIFS('caseload data'!H:H,'caseload data'!$A:$A,$B86,'caseload data'!$B:$B,"community")</f>
        <v>0</v>
      </c>
      <c r="G86" s="177">
        <f>SUMIFS('caseload data'!I:I,'caseload data'!$A:$A,$B86,'caseload data'!$B:$B,"community")</f>
        <v>0</v>
      </c>
      <c r="H86" s="177">
        <f>SUMIFS('caseload data'!J:J,'caseload data'!$A:$A,$B86,'caseload data'!$B:$B,"community")</f>
        <v>0</v>
      </c>
      <c r="I86" s="177">
        <f>SUMIFS('caseload data'!K:K,'caseload data'!$A:$A,$B86,'caseload data'!$B:$B,"community")</f>
        <v>0</v>
      </c>
      <c r="J86" s="177">
        <f>SUMIFS('caseload data'!L:L,'caseload data'!$A:$A,$B86,'caseload data'!$B:$B,"community")</f>
        <v>0</v>
      </c>
      <c r="K86" s="177">
        <f>SUMIFS('caseload data'!M:M,'caseload data'!$A:$A,$B86,'caseload data'!$B:$B,"community")</f>
        <v>0</v>
      </c>
      <c r="L86" s="177">
        <f>SUMIFS('caseload data'!N:N,'caseload data'!$A:$A,$B86,'caseload data'!$B:$B,"community")</f>
        <v>0</v>
      </c>
      <c r="M86" s="177">
        <f>SUMIFS('caseload data'!O:O,'caseload data'!$A:$A,$B86,'caseload data'!$B:$B,"community")</f>
        <v>0</v>
      </c>
      <c r="N86" s="177">
        <f>SUMIFS('caseload data'!P:P,'caseload data'!$A:$A,$B86,'caseload data'!$B:$B,"community")</f>
        <v>0</v>
      </c>
      <c r="O86" s="177">
        <f>SUMIFS('caseload data'!Q:Q,'caseload data'!$A:$A,$B86,'caseload data'!$B:$B,"community")</f>
        <v>0</v>
      </c>
      <c r="P86" s="177">
        <f>SUMIFS('caseload data'!R:R,'caseload data'!$A:$A,$B86,'caseload data'!$B:$B,"community")</f>
        <v>0</v>
      </c>
      <c r="Q86" s="177">
        <f>SUMIFS('caseload data'!S:S,'caseload data'!$A:$A,$B86,'caseload data'!$B:$B,"community")</f>
        <v>0</v>
      </c>
      <c r="R86" s="177">
        <f>SUMIFS('caseload data'!T:T,'caseload data'!$A:$A,$B86,'caseload data'!$B:$B,"community")</f>
        <v>0</v>
      </c>
      <c r="S86" s="177">
        <f>SUMIFS('caseload data'!V:V,'caseload data'!$A:$A,B86,'caseload data'!$B:$B,"community")</f>
        <v>0</v>
      </c>
      <c r="T86" s="95"/>
      <c r="U86" s="181" t="s">
        <v>4</v>
      </c>
      <c r="V86" s="97" t="e">
        <f>C86/$S$86</f>
        <v>#DIV/0!</v>
      </c>
      <c r="W86" s="97" t="e">
        <f t="shared" ref="W86:AK86" si="255">D86/$S$86</f>
        <v>#DIV/0!</v>
      </c>
      <c r="X86" s="97" t="e">
        <f t="shared" si="255"/>
        <v>#DIV/0!</v>
      </c>
      <c r="Y86" s="97" t="e">
        <f t="shared" si="255"/>
        <v>#DIV/0!</v>
      </c>
      <c r="Z86" s="97" t="e">
        <f t="shared" si="255"/>
        <v>#DIV/0!</v>
      </c>
      <c r="AA86" s="97" t="e">
        <f t="shared" si="255"/>
        <v>#DIV/0!</v>
      </c>
      <c r="AB86" s="97" t="e">
        <f t="shared" si="255"/>
        <v>#DIV/0!</v>
      </c>
      <c r="AC86" s="97" t="e">
        <f t="shared" si="255"/>
        <v>#DIV/0!</v>
      </c>
      <c r="AD86" s="97" t="e">
        <f t="shared" si="255"/>
        <v>#DIV/0!</v>
      </c>
      <c r="AE86" s="97" t="e">
        <f t="shared" si="255"/>
        <v>#DIV/0!</v>
      </c>
      <c r="AF86" s="97" t="e">
        <f t="shared" si="255"/>
        <v>#DIV/0!</v>
      </c>
      <c r="AG86" s="97" t="e">
        <f t="shared" si="255"/>
        <v>#DIV/0!</v>
      </c>
      <c r="AH86" s="97" t="e">
        <f t="shared" si="255"/>
        <v>#DIV/0!</v>
      </c>
      <c r="AI86" s="97" t="e">
        <f t="shared" si="255"/>
        <v>#DIV/0!</v>
      </c>
      <c r="AJ86" s="97" t="e">
        <f t="shared" si="255"/>
        <v>#DIV/0!</v>
      </c>
      <c r="AK86" s="97" t="e">
        <f t="shared" si="255"/>
        <v>#DIV/0!</v>
      </c>
    </row>
    <row r="87" spans="2:37" x14ac:dyDescent="0.15">
      <c r="B87" s="181" t="s">
        <v>1014</v>
      </c>
      <c r="C87" s="177">
        <f>SUMIFS('caseload data'!E:E,'caseload data'!$A:$A,$B87,'caseload data'!$B:$B,"community")</f>
        <v>0</v>
      </c>
      <c r="D87" s="177">
        <f>SUMIFS('caseload data'!F:F,'caseload data'!$A:$A,$B87,'caseload data'!$B:$B,"community")</f>
        <v>0</v>
      </c>
      <c r="E87" s="177">
        <f>SUMIFS('caseload data'!G:G,'caseload data'!$A:$A,$B87,'caseload data'!$B:$B,"community")</f>
        <v>0</v>
      </c>
      <c r="F87" s="177">
        <f>SUMIFS('caseload data'!H:H,'caseload data'!$A:$A,$B87,'caseload data'!$B:$B,"community")</f>
        <v>0</v>
      </c>
      <c r="G87" s="177">
        <f>SUMIFS('caseload data'!I:I,'caseload data'!$A:$A,$B87,'caseload data'!$B:$B,"community")</f>
        <v>0</v>
      </c>
      <c r="H87" s="177">
        <f>SUMIFS('caseload data'!J:J,'caseload data'!$A:$A,$B87,'caseload data'!$B:$B,"community")</f>
        <v>0</v>
      </c>
      <c r="I87" s="177">
        <f>SUMIFS('caseload data'!K:K,'caseload data'!$A:$A,$B87,'caseload data'!$B:$B,"community")</f>
        <v>0</v>
      </c>
      <c r="J87" s="177">
        <f>SUMIFS('caseload data'!L:L,'caseload data'!$A:$A,$B87,'caseload data'!$B:$B,"community")</f>
        <v>0</v>
      </c>
      <c r="K87" s="177">
        <f>SUMIFS('caseload data'!M:M,'caseload data'!$A:$A,$B87,'caseload data'!$B:$B,"community")</f>
        <v>0</v>
      </c>
      <c r="L87" s="177">
        <f>SUMIFS('caseload data'!N:N,'caseload data'!$A:$A,$B87,'caseload data'!$B:$B,"community")</f>
        <v>0</v>
      </c>
      <c r="M87" s="177">
        <f>SUMIFS('caseload data'!O:O,'caseload data'!$A:$A,$B87,'caseload data'!$B:$B,"community")</f>
        <v>0</v>
      </c>
      <c r="N87" s="177">
        <f>SUMIFS('caseload data'!P:P,'caseload data'!$A:$A,$B87,'caseload data'!$B:$B,"community")</f>
        <v>0</v>
      </c>
      <c r="O87" s="177">
        <f>SUMIFS('caseload data'!Q:Q,'caseload data'!$A:$A,$B87,'caseload data'!$B:$B,"community")</f>
        <v>0</v>
      </c>
      <c r="P87" s="177">
        <f>SUMIFS('caseload data'!R:R,'caseload data'!$A:$A,$B87,'caseload data'!$B:$B,"community")</f>
        <v>0</v>
      </c>
      <c r="Q87" s="177">
        <f>SUMIFS('caseload data'!S:S,'caseload data'!$A:$A,$B87,'caseload data'!$B:$B,"community")</f>
        <v>0</v>
      </c>
      <c r="R87" s="177">
        <f>SUMIFS('caseload data'!T:T,'caseload data'!$A:$A,$B87,'caseload data'!$B:$B,"community")</f>
        <v>0</v>
      </c>
      <c r="S87" s="177">
        <f>SUMIFS('caseload data'!V:V,'caseload data'!$A:$A,B87,'caseload data'!$B:$B,"community")</f>
        <v>0</v>
      </c>
      <c r="T87" s="95"/>
      <c r="U87" s="181" t="s">
        <v>1014</v>
      </c>
      <c r="V87" s="97" t="e">
        <f>C87/$S$87</f>
        <v>#DIV/0!</v>
      </c>
      <c r="W87" s="97" t="e">
        <f t="shared" ref="W87:AK87" si="256">D87/$S$87</f>
        <v>#DIV/0!</v>
      </c>
      <c r="X87" s="97" t="e">
        <f t="shared" si="256"/>
        <v>#DIV/0!</v>
      </c>
      <c r="Y87" s="97" t="e">
        <f t="shared" si="256"/>
        <v>#DIV/0!</v>
      </c>
      <c r="Z87" s="97" t="e">
        <f t="shared" si="256"/>
        <v>#DIV/0!</v>
      </c>
      <c r="AA87" s="97" t="e">
        <f t="shared" si="256"/>
        <v>#DIV/0!</v>
      </c>
      <c r="AB87" s="97" t="e">
        <f t="shared" si="256"/>
        <v>#DIV/0!</v>
      </c>
      <c r="AC87" s="97" t="e">
        <f t="shared" si="256"/>
        <v>#DIV/0!</v>
      </c>
      <c r="AD87" s="97" t="e">
        <f t="shared" si="256"/>
        <v>#DIV/0!</v>
      </c>
      <c r="AE87" s="97" t="e">
        <f t="shared" si="256"/>
        <v>#DIV/0!</v>
      </c>
      <c r="AF87" s="97" t="e">
        <f t="shared" si="256"/>
        <v>#DIV/0!</v>
      </c>
      <c r="AG87" s="97" t="e">
        <f t="shared" si="256"/>
        <v>#DIV/0!</v>
      </c>
      <c r="AH87" s="97" t="e">
        <f t="shared" si="256"/>
        <v>#DIV/0!</v>
      </c>
      <c r="AI87" s="97" t="e">
        <f t="shared" si="256"/>
        <v>#DIV/0!</v>
      </c>
      <c r="AJ87" s="97" t="e">
        <f t="shared" si="256"/>
        <v>#DIV/0!</v>
      </c>
      <c r="AK87" s="97" t="e">
        <f t="shared" si="256"/>
        <v>#DIV/0!</v>
      </c>
    </row>
    <row r="88" spans="2:37" x14ac:dyDescent="0.15">
      <c r="B88" s="181" t="s">
        <v>5</v>
      </c>
      <c r="C88" s="177">
        <f>SUMIFS('caseload data'!E:E,'caseload data'!$A:$A,$B88,'caseload data'!$B:$B,"community")</f>
        <v>0</v>
      </c>
      <c r="D88" s="177">
        <f>SUMIFS('caseload data'!F:F,'caseload data'!$A:$A,$B88,'caseload data'!$B:$B,"community")</f>
        <v>0</v>
      </c>
      <c r="E88" s="177">
        <f>SUMIFS('caseload data'!G:G,'caseload data'!$A:$A,$B88,'caseload data'!$B:$B,"community")</f>
        <v>0</v>
      </c>
      <c r="F88" s="177">
        <f>SUMIFS('caseload data'!H:H,'caseload data'!$A:$A,$B88,'caseload data'!$B:$B,"community")</f>
        <v>0</v>
      </c>
      <c r="G88" s="177">
        <f>SUMIFS('caseload data'!I:I,'caseload data'!$A:$A,$B88,'caseload data'!$B:$B,"community")</f>
        <v>0</v>
      </c>
      <c r="H88" s="177">
        <f>SUMIFS('caseload data'!J:J,'caseload data'!$A:$A,$B88,'caseload data'!$B:$B,"community")</f>
        <v>0</v>
      </c>
      <c r="I88" s="177">
        <f>SUMIFS('caseload data'!K:K,'caseload data'!$A:$A,$B88,'caseload data'!$B:$B,"community")</f>
        <v>0</v>
      </c>
      <c r="J88" s="177">
        <f>SUMIFS('caseload data'!L:L,'caseload data'!$A:$A,$B88,'caseload data'!$B:$B,"community")</f>
        <v>0</v>
      </c>
      <c r="K88" s="177">
        <f>SUMIFS('caseload data'!M:M,'caseload data'!$A:$A,$B88,'caseload data'!$B:$B,"community")</f>
        <v>0</v>
      </c>
      <c r="L88" s="177">
        <f>SUMIFS('caseload data'!N:N,'caseload data'!$A:$A,$B88,'caseload data'!$B:$B,"community")</f>
        <v>0</v>
      </c>
      <c r="M88" s="177">
        <f>SUMIFS('caseload data'!O:O,'caseload data'!$A:$A,$B88,'caseload data'!$B:$B,"community")</f>
        <v>0</v>
      </c>
      <c r="N88" s="177">
        <f>SUMIFS('caseload data'!P:P,'caseload data'!$A:$A,$B88,'caseload data'!$B:$B,"community")</f>
        <v>0</v>
      </c>
      <c r="O88" s="177">
        <f>SUMIFS('caseload data'!Q:Q,'caseload data'!$A:$A,$B88,'caseload data'!$B:$B,"community")</f>
        <v>0</v>
      </c>
      <c r="P88" s="177">
        <f>SUMIFS('caseload data'!R:R,'caseload data'!$A:$A,$B88,'caseload data'!$B:$B,"community")</f>
        <v>0</v>
      </c>
      <c r="Q88" s="177">
        <f>SUMIFS('caseload data'!S:S,'caseload data'!$A:$A,$B88,'caseload data'!$B:$B,"community")</f>
        <v>0</v>
      </c>
      <c r="R88" s="177">
        <f>SUMIFS('caseload data'!T:T,'caseload data'!$A:$A,$B88,'caseload data'!$B:$B,"community")</f>
        <v>0</v>
      </c>
      <c r="S88" s="177">
        <f>SUMIFS('caseload data'!V:V,'caseload data'!$A:$A,B88,'caseload data'!$B:$B,"community")</f>
        <v>0</v>
      </c>
      <c r="T88" s="95"/>
      <c r="U88" s="181" t="s">
        <v>5</v>
      </c>
      <c r="V88" s="97" t="e">
        <f>C88/$S$88</f>
        <v>#DIV/0!</v>
      </c>
      <c r="W88" s="97" t="e">
        <f t="shared" ref="W88:AK88" si="257">D88/$S$88</f>
        <v>#DIV/0!</v>
      </c>
      <c r="X88" s="97" t="e">
        <f t="shared" si="257"/>
        <v>#DIV/0!</v>
      </c>
      <c r="Y88" s="97" t="e">
        <f t="shared" si="257"/>
        <v>#DIV/0!</v>
      </c>
      <c r="Z88" s="97" t="e">
        <f t="shared" si="257"/>
        <v>#DIV/0!</v>
      </c>
      <c r="AA88" s="97" t="e">
        <f t="shared" si="257"/>
        <v>#DIV/0!</v>
      </c>
      <c r="AB88" s="97" t="e">
        <f t="shared" si="257"/>
        <v>#DIV/0!</v>
      </c>
      <c r="AC88" s="97" t="e">
        <f t="shared" si="257"/>
        <v>#DIV/0!</v>
      </c>
      <c r="AD88" s="97" t="e">
        <f t="shared" si="257"/>
        <v>#DIV/0!</v>
      </c>
      <c r="AE88" s="97" t="e">
        <f t="shared" si="257"/>
        <v>#DIV/0!</v>
      </c>
      <c r="AF88" s="97" t="e">
        <f t="shared" si="257"/>
        <v>#DIV/0!</v>
      </c>
      <c r="AG88" s="97" t="e">
        <f t="shared" si="257"/>
        <v>#DIV/0!</v>
      </c>
      <c r="AH88" s="97" t="e">
        <f t="shared" si="257"/>
        <v>#DIV/0!</v>
      </c>
      <c r="AI88" s="97" t="e">
        <f t="shared" si="257"/>
        <v>#DIV/0!</v>
      </c>
      <c r="AJ88" s="97" t="e">
        <f t="shared" si="257"/>
        <v>#DIV/0!</v>
      </c>
      <c r="AK88" s="97" t="e">
        <f t="shared" si="257"/>
        <v>#DIV/0!</v>
      </c>
    </row>
    <row r="89" spans="2:37" s="30" customFormat="1" x14ac:dyDescent="0.15">
      <c r="B89" s="181" t="s">
        <v>6</v>
      </c>
      <c r="C89" s="177">
        <f>SUMIFS('caseload data'!E:E,'caseload data'!$A:$A,$B89,'caseload data'!$B:$B,"community")</f>
        <v>0</v>
      </c>
      <c r="D89" s="177">
        <f>SUMIFS('caseload data'!F:F,'caseload data'!$A:$A,$B89,'caseload data'!$B:$B,"community")</f>
        <v>0</v>
      </c>
      <c r="E89" s="177">
        <f>SUMIFS('caseload data'!G:G,'caseload data'!$A:$A,$B89,'caseload data'!$B:$B,"community")</f>
        <v>0</v>
      </c>
      <c r="F89" s="177">
        <f>SUMIFS('caseload data'!H:H,'caseload data'!$A:$A,$B89,'caseload data'!$B:$B,"community")</f>
        <v>0</v>
      </c>
      <c r="G89" s="177">
        <f>SUMIFS('caseload data'!I:I,'caseload data'!$A:$A,$B89,'caseload data'!$B:$B,"community")</f>
        <v>0</v>
      </c>
      <c r="H89" s="177">
        <f>SUMIFS('caseload data'!J:J,'caseload data'!$A:$A,$B89,'caseload data'!$B:$B,"community")</f>
        <v>0</v>
      </c>
      <c r="I89" s="177">
        <f>SUMIFS('caseload data'!K:K,'caseload data'!$A:$A,$B89,'caseload data'!$B:$B,"community")</f>
        <v>0</v>
      </c>
      <c r="J89" s="177">
        <f>SUMIFS('caseload data'!L:L,'caseload data'!$A:$A,$B89,'caseload data'!$B:$B,"community")</f>
        <v>0</v>
      </c>
      <c r="K89" s="177">
        <f>SUMIFS('caseload data'!M:M,'caseload data'!$A:$A,$B89,'caseload data'!$B:$B,"community")</f>
        <v>0</v>
      </c>
      <c r="L89" s="177">
        <f>SUMIFS('caseload data'!N:N,'caseload data'!$A:$A,$B89,'caseload data'!$B:$B,"community")</f>
        <v>0</v>
      </c>
      <c r="M89" s="177">
        <f>SUMIFS('caseload data'!O:O,'caseload data'!$A:$A,$B89,'caseload data'!$B:$B,"community")</f>
        <v>0</v>
      </c>
      <c r="N89" s="177">
        <f>SUMIFS('caseload data'!P:P,'caseload data'!$A:$A,$B89,'caseload data'!$B:$B,"community")</f>
        <v>0</v>
      </c>
      <c r="O89" s="177">
        <f>SUMIFS('caseload data'!Q:Q,'caseload data'!$A:$A,$B89,'caseload data'!$B:$B,"community")</f>
        <v>0</v>
      </c>
      <c r="P89" s="177">
        <f>SUMIFS('caseload data'!R:R,'caseload data'!$A:$A,$B89,'caseload data'!$B:$B,"community")</f>
        <v>0</v>
      </c>
      <c r="Q89" s="177">
        <f>SUMIFS('caseload data'!S:S,'caseload data'!$A:$A,$B89,'caseload data'!$B:$B,"community")</f>
        <v>0</v>
      </c>
      <c r="R89" s="177">
        <f>SUMIFS('caseload data'!T:T,'caseload data'!$A:$A,$B89,'caseload data'!$B:$B,"community")</f>
        <v>0</v>
      </c>
      <c r="S89" s="177">
        <f>SUMIFS('caseload data'!V:V,'caseload data'!$A:$A,B89,'caseload data'!$B:$B,"community")</f>
        <v>0</v>
      </c>
      <c r="T89" s="95"/>
      <c r="U89" s="181" t="s">
        <v>6</v>
      </c>
      <c r="V89" s="97" t="e">
        <f>C89/$S$89</f>
        <v>#DIV/0!</v>
      </c>
      <c r="W89" s="97" t="e">
        <f t="shared" ref="W89:AK89" si="258">D89/$S$89</f>
        <v>#DIV/0!</v>
      </c>
      <c r="X89" s="97" t="e">
        <f t="shared" si="258"/>
        <v>#DIV/0!</v>
      </c>
      <c r="Y89" s="97" t="e">
        <f t="shared" si="258"/>
        <v>#DIV/0!</v>
      </c>
      <c r="Z89" s="97" t="e">
        <f t="shared" si="258"/>
        <v>#DIV/0!</v>
      </c>
      <c r="AA89" s="97" t="e">
        <f t="shared" si="258"/>
        <v>#DIV/0!</v>
      </c>
      <c r="AB89" s="97" t="e">
        <f t="shared" si="258"/>
        <v>#DIV/0!</v>
      </c>
      <c r="AC89" s="97" t="e">
        <f t="shared" si="258"/>
        <v>#DIV/0!</v>
      </c>
      <c r="AD89" s="97" t="e">
        <f t="shared" si="258"/>
        <v>#DIV/0!</v>
      </c>
      <c r="AE89" s="97" t="e">
        <f t="shared" si="258"/>
        <v>#DIV/0!</v>
      </c>
      <c r="AF89" s="97" t="e">
        <f t="shared" si="258"/>
        <v>#DIV/0!</v>
      </c>
      <c r="AG89" s="97" t="e">
        <f t="shared" si="258"/>
        <v>#DIV/0!</v>
      </c>
      <c r="AH89" s="97" t="e">
        <f t="shared" si="258"/>
        <v>#DIV/0!</v>
      </c>
      <c r="AI89" s="97" t="e">
        <f t="shared" si="258"/>
        <v>#DIV/0!</v>
      </c>
      <c r="AJ89" s="97" t="e">
        <f t="shared" si="258"/>
        <v>#DIV/0!</v>
      </c>
      <c r="AK89" s="97" t="e">
        <f t="shared" si="258"/>
        <v>#DIV/0!</v>
      </c>
    </row>
    <row r="90" spans="2:37" s="30" customFormat="1" x14ac:dyDescent="0.15">
      <c r="B90" s="181" t="s">
        <v>376</v>
      </c>
      <c r="C90" s="177">
        <f>SUMIFS('caseload data'!E:E,'caseload data'!$A:$A,$B90,'caseload data'!$B:$B,"community")</f>
        <v>0</v>
      </c>
      <c r="D90" s="177">
        <f>SUMIFS('caseload data'!F:F,'caseload data'!$A:$A,$B90,'caseload data'!$B:$B,"community")</f>
        <v>0</v>
      </c>
      <c r="E90" s="177">
        <f>SUMIFS('caseload data'!G:G,'caseload data'!$A:$A,$B90,'caseload data'!$B:$B,"community")</f>
        <v>0</v>
      </c>
      <c r="F90" s="177">
        <f>SUMIFS('caseload data'!H:H,'caseload data'!$A:$A,$B90,'caseload data'!$B:$B,"community")</f>
        <v>0</v>
      </c>
      <c r="G90" s="177">
        <f>SUMIFS('caseload data'!I:I,'caseload data'!$A:$A,$B90,'caseload data'!$B:$B,"community")</f>
        <v>0</v>
      </c>
      <c r="H90" s="177">
        <f>SUMIFS('caseload data'!J:J,'caseload data'!$A:$A,$B90,'caseload data'!$B:$B,"community")</f>
        <v>0</v>
      </c>
      <c r="I90" s="177">
        <f>SUMIFS('caseload data'!K:K,'caseload data'!$A:$A,$B90,'caseload data'!$B:$B,"community")</f>
        <v>0</v>
      </c>
      <c r="J90" s="177">
        <f>SUMIFS('caseload data'!L:L,'caseload data'!$A:$A,$B90,'caseload data'!$B:$B,"community")</f>
        <v>0</v>
      </c>
      <c r="K90" s="177">
        <f>SUMIFS('caseload data'!M:M,'caseload data'!$A:$A,$B90,'caseload data'!$B:$B,"community")</f>
        <v>0</v>
      </c>
      <c r="L90" s="177">
        <f>SUMIFS('caseload data'!N:N,'caseload data'!$A:$A,$B90,'caseload data'!$B:$B,"community")</f>
        <v>0</v>
      </c>
      <c r="M90" s="177">
        <f>SUMIFS('caseload data'!O:O,'caseload data'!$A:$A,$B90,'caseload data'!$B:$B,"community")</f>
        <v>0</v>
      </c>
      <c r="N90" s="177">
        <f>SUMIFS('caseload data'!P:P,'caseload data'!$A:$A,$B90,'caseload data'!$B:$B,"community")</f>
        <v>0</v>
      </c>
      <c r="O90" s="177">
        <f>SUMIFS('caseload data'!Q:Q,'caseload data'!$A:$A,$B90,'caseload data'!$B:$B,"community")</f>
        <v>0</v>
      </c>
      <c r="P90" s="177">
        <f>SUMIFS('caseload data'!R:R,'caseload data'!$A:$A,$B90,'caseload data'!$B:$B,"community")</f>
        <v>0</v>
      </c>
      <c r="Q90" s="177">
        <f>SUMIFS('caseload data'!S:S,'caseload data'!$A:$A,$B90,'caseload data'!$B:$B,"community")</f>
        <v>0</v>
      </c>
      <c r="R90" s="177">
        <f>SUMIFS('caseload data'!T:T,'caseload data'!$A:$A,$B90,'caseload data'!$B:$B,"community")</f>
        <v>0</v>
      </c>
      <c r="S90" s="177">
        <f>SUMIFS('caseload data'!V:V,'caseload data'!$A:$A,B90,'caseload data'!$B:$B,"community")</f>
        <v>0</v>
      </c>
      <c r="T90" s="95"/>
      <c r="U90" s="181" t="s">
        <v>376</v>
      </c>
      <c r="V90" s="97" t="e">
        <f>C90/$S$90</f>
        <v>#DIV/0!</v>
      </c>
      <c r="W90" s="97" t="e">
        <f t="shared" ref="W90:AK90" si="259">D90/$S$90</f>
        <v>#DIV/0!</v>
      </c>
      <c r="X90" s="97" t="e">
        <f t="shared" si="259"/>
        <v>#DIV/0!</v>
      </c>
      <c r="Y90" s="97" t="e">
        <f t="shared" si="259"/>
        <v>#DIV/0!</v>
      </c>
      <c r="Z90" s="97" t="e">
        <f t="shared" si="259"/>
        <v>#DIV/0!</v>
      </c>
      <c r="AA90" s="97" t="e">
        <f t="shared" si="259"/>
        <v>#DIV/0!</v>
      </c>
      <c r="AB90" s="97" t="e">
        <f t="shared" si="259"/>
        <v>#DIV/0!</v>
      </c>
      <c r="AC90" s="97" t="e">
        <f t="shared" si="259"/>
        <v>#DIV/0!</v>
      </c>
      <c r="AD90" s="97" t="e">
        <f t="shared" si="259"/>
        <v>#DIV/0!</v>
      </c>
      <c r="AE90" s="97" t="e">
        <f t="shared" si="259"/>
        <v>#DIV/0!</v>
      </c>
      <c r="AF90" s="97" t="e">
        <f t="shared" si="259"/>
        <v>#DIV/0!</v>
      </c>
      <c r="AG90" s="97" t="e">
        <f t="shared" si="259"/>
        <v>#DIV/0!</v>
      </c>
      <c r="AH90" s="97" t="e">
        <f t="shared" si="259"/>
        <v>#DIV/0!</v>
      </c>
      <c r="AI90" s="97" t="e">
        <f t="shared" si="259"/>
        <v>#DIV/0!</v>
      </c>
      <c r="AJ90" s="97" t="e">
        <f t="shared" si="259"/>
        <v>#DIV/0!</v>
      </c>
      <c r="AK90" s="97" t="e">
        <f t="shared" si="259"/>
        <v>#DIV/0!</v>
      </c>
    </row>
    <row r="91" spans="2:37" x14ac:dyDescent="0.15">
      <c r="B91" s="181" t="s">
        <v>1130</v>
      </c>
      <c r="C91" s="177">
        <f>SUMIFS('caseload data'!E:E,'caseload data'!$A:$A,$B91,'caseload data'!$B:$B,"community")</f>
        <v>0</v>
      </c>
      <c r="D91" s="177">
        <f>SUMIFS('caseload data'!F:F,'caseload data'!$A:$A,$B91,'caseload data'!$B:$B,"community")</f>
        <v>0</v>
      </c>
      <c r="E91" s="177">
        <f>SUMIFS('caseload data'!G:G,'caseload data'!$A:$A,$B91,'caseload data'!$B:$B,"community")</f>
        <v>0</v>
      </c>
      <c r="F91" s="177">
        <f>SUMIFS('caseload data'!H:H,'caseload data'!$A:$A,$B91,'caseload data'!$B:$B,"community")</f>
        <v>0</v>
      </c>
      <c r="G91" s="177">
        <f>SUMIFS('caseload data'!I:I,'caseload data'!$A:$A,$B91,'caseload data'!$B:$B,"community")</f>
        <v>0</v>
      </c>
      <c r="H91" s="177">
        <f>SUMIFS('caseload data'!J:J,'caseload data'!$A:$A,$B91,'caseload data'!$B:$B,"community")</f>
        <v>0</v>
      </c>
      <c r="I91" s="177">
        <f>SUMIFS('caseload data'!K:K,'caseload data'!$A:$A,$B91,'caseload data'!$B:$B,"community")</f>
        <v>0</v>
      </c>
      <c r="J91" s="177">
        <f>SUMIFS('caseload data'!L:L,'caseload data'!$A:$A,$B91,'caseload data'!$B:$B,"community")</f>
        <v>0</v>
      </c>
      <c r="K91" s="177">
        <f>SUMIFS('caseload data'!M:M,'caseload data'!$A:$A,$B91,'caseload data'!$B:$B,"community")</f>
        <v>0</v>
      </c>
      <c r="L91" s="177">
        <f>SUMIFS('caseload data'!N:N,'caseload data'!$A:$A,$B91,'caseload data'!$B:$B,"community")</f>
        <v>0</v>
      </c>
      <c r="M91" s="177">
        <f>SUMIFS('caseload data'!O:O,'caseload data'!$A:$A,$B91,'caseload data'!$B:$B,"community")</f>
        <v>0</v>
      </c>
      <c r="N91" s="177">
        <f>SUMIFS('caseload data'!P:P,'caseload data'!$A:$A,$B91,'caseload data'!$B:$B,"community")</f>
        <v>0</v>
      </c>
      <c r="O91" s="177">
        <f>SUMIFS('caseload data'!Q:Q,'caseload data'!$A:$A,$B91,'caseload data'!$B:$B,"community")</f>
        <v>0</v>
      </c>
      <c r="P91" s="177">
        <f>SUMIFS('caseload data'!R:R,'caseload data'!$A:$A,$B91,'caseload data'!$B:$B,"community")</f>
        <v>0</v>
      </c>
      <c r="Q91" s="177">
        <f>SUMIFS('caseload data'!S:S,'caseload data'!$A:$A,$B91,'caseload data'!$B:$B,"community")</f>
        <v>0</v>
      </c>
      <c r="R91" s="177">
        <f>SUMIFS('caseload data'!T:T,'caseload data'!$A:$A,$B91,'caseload data'!$B:$B,"community")</f>
        <v>0</v>
      </c>
      <c r="S91" s="177">
        <f>SUMIFS('caseload data'!V:V,'caseload data'!$A:$A,B91,'caseload data'!$B:$B,"community")</f>
        <v>0</v>
      </c>
      <c r="T91" s="95"/>
      <c r="U91" s="181" t="s">
        <v>1130</v>
      </c>
      <c r="V91" s="97" t="e">
        <f>C91/$S$91</f>
        <v>#DIV/0!</v>
      </c>
      <c r="W91" s="97" t="e">
        <f t="shared" ref="W91:AK91" si="260">D91/$S$91</f>
        <v>#DIV/0!</v>
      </c>
      <c r="X91" s="97" t="e">
        <f t="shared" si="260"/>
        <v>#DIV/0!</v>
      </c>
      <c r="Y91" s="97" t="e">
        <f t="shared" si="260"/>
        <v>#DIV/0!</v>
      </c>
      <c r="Z91" s="97" t="e">
        <f t="shared" si="260"/>
        <v>#DIV/0!</v>
      </c>
      <c r="AA91" s="97" t="e">
        <f t="shared" si="260"/>
        <v>#DIV/0!</v>
      </c>
      <c r="AB91" s="97" t="e">
        <f t="shared" si="260"/>
        <v>#DIV/0!</v>
      </c>
      <c r="AC91" s="97" t="e">
        <f t="shared" si="260"/>
        <v>#DIV/0!</v>
      </c>
      <c r="AD91" s="97" t="e">
        <f t="shared" si="260"/>
        <v>#DIV/0!</v>
      </c>
      <c r="AE91" s="97" t="e">
        <f t="shared" si="260"/>
        <v>#DIV/0!</v>
      </c>
      <c r="AF91" s="97" t="e">
        <f t="shared" si="260"/>
        <v>#DIV/0!</v>
      </c>
      <c r="AG91" s="97" t="e">
        <f t="shared" si="260"/>
        <v>#DIV/0!</v>
      </c>
      <c r="AH91" s="97" t="e">
        <f t="shared" si="260"/>
        <v>#DIV/0!</v>
      </c>
      <c r="AI91" s="97" t="e">
        <f t="shared" si="260"/>
        <v>#DIV/0!</v>
      </c>
      <c r="AJ91" s="97" t="e">
        <f t="shared" si="260"/>
        <v>#DIV/0!</v>
      </c>
      <c r="AK91" s="97" t="e">
        <f t="shared" si="260"/>
        <v>#DIV/0!</v>
      </c>
    </row>
    <row r="92" spans="2:37" s="30" customFormat="1" x14ac:dyDescent="0.15">
      <c r="B92" s="181" t="s">
        <v>7</v>
      </c>
      <c r="C92" s="177">
        <f>SUMIFS('caseload data'!E:E,'caseload data'!$A:$A,$B92,'caseload data'!$B:$B,"community")</f>
        <v>0</v>
      </c>
      <c r="D92" s="177">
        <f>SUMIFS('caseload data'!F:F,'caseload data'!$A:$A,$B92,'caseload data'!$B:$B,"community")</f>
        <v>0</v>
      </c>
      <c r="E92" s="177">
        <f>SUMIFS('caseload data'!G:G,'caseload data'!$A:$A,$B92,'caseload data'!$B:$B,"community")</f>
        <v>0</v>
      </c>
      <c r="F92" s="177">
        <f>SUMIFS('caseload data'!H:H,'caseload data'!$A:$A,$B92,'caseload data'!$B:$B,"community")</f>
        <v>0</v>
      </c>
      <c r="G92" s="177">
        <f>SUMIFS('caseload data'!I:I,'caseload data'!$A:$A,$B92,'caseload data'!$B:$B,"community")</f>
        <v>0</v>
      </c>
      <c r="H92" s="177">
        <f>SUMIFS('caseload data'!J:J,'caseload data'!$A:$A,$B92,'caseload data'!$B:$B,"community")</f>
        <v>0</v>
      </c>
      <c r="I92" s="177">
        <f>SUMIFS('caseload data'!K:K,'caseload data'!$A:$A,$B92,'caseload data'!$B:$B,"community")</f>
        <v>0</v>
      </c>
      <c r="J92" s="177">
        <f>SUMIFS('caseload data'!L:L,'caseload data'!$A:$A,$B92,'caseload data'!$B:$B,"community")</f>
        <v>0</v>
      </c>
      <c r="K92" s="177">
        <f>SUMIFS('caseload data'!M:M,'caseload data'!$A:$A,$B92,'caseload data'!$B:$B,"community")</f>
        <v>0</v>
      </c>
      <c r="L92" s="177">
        <f>SUMIFS('caseload data'!N:N,'caseload data'!$A:$A,$B92,'caseload data'!$B:$B,"community")</f>
        <v>0</v>
      </c>
      <c r="M92" s="177">
        <f>SUMIFS('caseload data'!O:O,'caseload data'!$A:$A,$B92,'caseload data'!$B:$B,"community")</f>
        <v>0</v>
      </c>
      <c r="N92" s="177">
        <f>SUMIFS('caseload data'!P:P,'caseload data'!$A:$A,$B92,'caseload data'!$B:$B,"community")</f>
        <v>0</v>
      </c>
      <c r="O92" s="177">
        <f>SUMIFS('caseload data'!Q:Q,'caseload data'!$A:$A,$B92,'caseload data'!$B:$B,"community")</f>
        <v>0</v>
      </c>
      <c r="P92" s="177">
        <f>SUMIFS('caseload data'!R:R,'caseload data'!$A:$A,$B92,'caseload data'!$B:$B,"community")</f>
        <v>0</v>
      </c>
      <c r="Q92" s="177">
        <f>SUMIFS('caseload data'!S:S,'caseload data'!$A:$A,$B92,'caseload data'!$B:$B,"community")</f>
        <v>0</v>
      </c>
      <c r="R92" s="177">
        <f>SUMIFS('caseload data'!T:T,'caseload data'!$A:$A,$B92,'caseload data'!$B:$B,"community")</f>
        <v>0</v>
      </c>
      <c r="S92" s="177">
        <f>SUMIFS('caseload data'!V:V,'caseload data'!$A:$A,B92,'caseload data'!$B:$B,"community")</f>
        <v>0</v>
      </c>
      <c r="T92" s="95"/>
      <c r="U92" s="181" t="s">
        <v>7</v>
      </c>
      <c r="V92" s="97" t="e">
        <f>C92/$S$92</f>
        <v>#DIV/0!</v>
      </c>
      <c r="W92" s="97" t="e">
        <f t="shared" ref="W92:AK92" si="261">D92/$S$92</f>
        <v>#DIV/0!</v>
      </c>
      <c r="X92" s="97" t="e">
        <f t="shared" si="261"/>
        <v>#DIV/0!</v>
      </c>
      <c r="Y92" s="97" t="e">
        <f t="shared" si="261"/>
        <v>#DIV/0!</v>
      </c>
      <c r="Z92" s="97" t="e">
        <f t="shared" si="261"/>
        <v>#DIV/0!</v>
      </c>
      <c r="AA92" s="97" t="e">
        <f t="shared" si="261"/>
        <v>#DIV/0!</v>
      </c>
      <c r="AB92" s="97" t="e">
        <f t="shared" si="261"/>
        <v>#DIV/0!</v>
      </c>
      <c r="AC92" s="97" t="e">
        <f t="shared" si="261"/>
        <v>#DIV/0!</v>
      </c>
      <c r="AD92" s="97" t="e">
        <f t="shared" si="261"/>
        <v>#DIV/0!</v>
      </c>
      <c r="AE92" s="97" t="e">
        <f t="shared" si="261"/>
        <v>#DIV/0!</v>
      </c>
      <c r="AF92" s="97" t="e">
        <f t="shared" si="261"/>
        <v>#DIV/0!</v>
      </c>
      <c r="AG92" s="97" t="e">
        <f t="shared" si="261"/>
        <v>#DIV/0!</v>
      </c>
      <c r="AH92" s="97" t="e">
        <f t="shared" si="261"/>
        <v>#DIV/0!</v>
      </c>
      <c r="AI92" s="97" t="e">
        <f t="shared" si="261"/>
        <v>#DIV/0!</v>
      </c>
      <c r="AJ92" s="97" t="e">
        <f t="shared" si="261"/>
        <v>#DIV/0!</v>
      </c>
      <c r="AK92" s="97" t="e">
        <f t="shared" si="261"/>
        <v>#DIV/0!</v>
      </c>
    </row>
    <row r="93" spans="2:37" s="30" customFormat="1" x14ac:dyDescent="0.15">
      <c r="B93" s="181" t="s">
        <v>1132</v>
      </c>
      <c r="C93" s="177">
        <f>SUMIFS('caseload data'!E:E,'caseload data'!$A:$A,$B93,'caseload data'!$B:$B,"community")</f>
        <v>0</v>
      </c>
      <c r="D93" s="177">
        <f>SUMIFS('caseload data'!F:F,'caseload data'!$A:$A,$B93,'caseload data'!$B:$B,"community")</f>
        <v>0</v>
      </c>
      <c r="E93" s="177">
        <f>SUMIFS('caseload data'!G:G,'caseload data'!$A:$A,$B93,'caseload data'!$B:$B,"community")</f>
        <v>0</v>
      </c>
      <c r="F93" s="177">
        <f>SUMIFS('caseload data'!H:H,'caseload data'!$A:$A,$B93,'caseload data'!$B:$B,"community")</f>
        <v>0</v>
      </c>
      <c r="G93" s="177">
        <f>SUMIFS('caseload data'!I:I,'caseload data'!$A:$A,$B93,'caseload data'!$B:$B,"community")</f>
        <v>0</v>
      </c>
      <c r="H93" s="177">
        <f>SUMIFS('caseload data'!J:J,'caseload data'!$A:$A,$B93,'caseload data'!$B:$B,"community")</f>
        <v>0</v>
      </c>
      <c r="I93" s="177">
        <f>SUMIFS('caseload data'!K:K,'caseload data'!$A:$A,$B93,'caseload data'!$B:$B,"community")</f>
        <v>0</v>
      </c>
      <c r="J93" s="177">
        <f>SUMIFS('caseload data'!L:L,'caseload data'!$A:$A,$B93,'caseload data'!$B:$B,"community")</f>
        <v>0</v>
      </c>
      <c r="K93" s="177">
        <f>SUMIFS('caseload data'!M:M,'caseload data'!$A:$A,$B93,'caseload data'!$B:$B,"community")</f>
        <v>0</v>
      </c>
      <c r="L93" s="177">
        <f>SUMIFS('caseload data'!N:N,'caseload data'!$A:$A,$B93,'caseload data'!$B:$B,"community")</f>
        <v>0</v>
      </c>
      <c r="M93" s="177">
        <f>SUMIFS('caseload data'!O:O,'caseload data'!$A:$A,$B93,'caseload data'!$B:$B,"community")</f>
        <v>0</v>
      </c>
      <c r="N93" s="177">
        <f>SUMIFS('caseload data'!P:P,'caseload data'!$A:$A,$B93,'caseload data'!$B:$B,"community")</f>
        <v>0</v>
      </c>
      <c r="O93" s="177">
        <f>SUMIFS('caseload data'!Q:Q,'caseload data'!$A:$A,$B93,'caseload data'!$B:$B,"community")</f>
        <v>0</v>
      </c>
      <c r="P93" s="177">
        <f>SUMIFS('caseload data'!R:R,'caseload data'!$A:$A,$B93,'caseload data'!$B:$B,"community")</f>
        <v>0</v>
      </c>
      <c r="Q93" s="177">
        <f>SUMIFS('caseload data'!S:S,'caseload data'!$A:$A,$B93,'caseload data'!$B:$B,"community")</f>
        <v>0</v>
      </c>
      <c r="R93" s="177">
        <f>SUMIFS('caseload data'!T:T,'caseload data'!$A:$A,$B93,'caseload data'!$B:$B,"community")</f>
        <v>0</v>
      </c>
      <c r="S93" s="177">
        <f>SUMIFS('caseload data'!V:V,'caseload data'!$A:$A,B93,'caseload data'!$B:$B,"community")</f>
        <v>0</v>
      </c>
      <c r="T93" s="95"/>
      <c r="U93" s="181" t="s">
        <v>1132</v>
      </c>
      <c r="V93" s="97" t="e">
        <f t="shared" ref="V93:AK93" si="262">C93/$S$93</f>
        <v>#DIV/0!</v>
      </c>
      <c r="W93" s="97" t="e">
        <f t="shared" si="262"/>
        <v>#DIV/0!</v>
      </c>
      <c r="X93" s="97" t="e">
        <f t="shared" si="262"/>
        <v>#DIV/0!</v>
      </c>
      <c r="Y93" s="97" t="e">
        <f t="shared" si="262"/>
        <v>#DIV/0!</v>
      </c>
      <c r="Z93" s="97" t="e">
        <f t="shared" si="262"/>
        <v>#DIV/0!</v>
      </c>
      <c r="AA93" s="97" t="e">
        <f t="shared" si="262"/>
        <v>#DIV/0!</v>
      </c>
      <c r="AB93" s="97" t="e">
        <f t="shared" si="262"/>
        <v>#DIV/0!</v>
      </c>
      <c r="AC93" s="97" t="e">
        <f t="shared" si="262"/>
        <v>#DIV/0!</v>
      </c>
      <c r="AD93" s="97" t="e">
        <f t="shared" si="262"/>
        <v>#DIV/0!</v>
      </c>
      <c r="AE93" s="97" t="e">
        <f t="shared" si="262"/>
        <v>#DIV/0!</v>
      </c>
      <c r="AF93" s="97" t="e">
        <f t="shared" si="262"/>
        <v>#DIV/0!</v>
      </c>
      <c r="AG93" s="97" t="e">
        <f t="shared" si="262"/>
        <v>#DIV/0!</v>
      </c>
      <c r="AH93" s="97" t="e">
        <f t="shared" si="262"/>
        <v>#DIV/0!</v>
      </c>
      <c r="AI93" s="97" t="e">
        <f t="shared" si="262"/>
        <v>#DIV/0!</v>
      </c>
      <c r="AJ93" s="97" t="e">
        <f t="shared" si="262"/>
        <v>#DIV/0!</v>
      </c>
      <c r="AK93" s="97" t="e">
        <f t="shared" si="262"/>
        <v>#DIV/0!</v>
      </c>
    </row>
    <row r="94" spans="2:37" s="30" customFormat="1" x14ac:dyDescent="0.15">
      <c r="B94" s="181" t="s">
        <v>1217</v>
      </c>
      <c r="C94" s="177">
        <f>SUMIFS('caseload data'!E:E,'caseload data'!$A:$A,$B94,'caseload data'!$B:$B,"community")</f>
        <v>0</v>
      </c>
      <c r="D94" s="177">
        <f>SUMIFS('caseload data'!F:F,'caseload data'!$A:$A,$B94,'caseload data'!$B:$B,"community")</f>
        <v>0</v>
      </c>
      <c r="E94" s="177">
        <f>SUMIFS('caseload data'!G:G,'caseload data'!$A:$A,$B94,'caseload data'!$B:$B,"community")</f>
        <v>0</v>
      </c>
      <c r="F94" s="177">
        <f>SUMIFS('caseload data'!H:H,'caseload data'!$A:$A,$B94,'caseload data'!$B:$B,"community")</f>
        <v>0</v>
      </c>
      <c r="G94" s="177">
        <f>SUMIFS('caseload data'!I:I,'caseload data'!$A:$A,$B94,'caseload data'!$B:$B,"community")</f>
        <v>0</v>
      </c>
      <c r="H94" s="177">
        <f>SUMIFS('caseload data'!J:J,'caseload data'!$A:$A,$B94,'caseload data'!$B:$B,"community")</f>
        <v>0</v>
      </c>
      <c r="I94" s="177">
        <f>SUMIFS('caseload data'!K:K,'caseload data'!$A:$A,$B94,'caseload data'!$B:$B,"community")</f>
        <v>0</v>
      </c>
      <c r="J94" s="177">
        <f>SUMIFS('caseload data'!L:L,'caseload data'!$A:$A,$B94,'caseload data'!$B:$B,"community")</f>
        <v>0</v>
      </c>
      <c r="K94" s="177">
        <f>SUMIFS('caseload data'!M:M,'caseload data'!$A:$A,$B94,'caseload data'!$B:$B,"community")</f>
        <v>0</v>
      </c>
      <c r="L94" s="177">
        <f>SUMIFS('caseload data'!N:N,'caseload data'!$A:$A,$B94,'caseload data'!$B:$B,"community")</f>
        <v>0</v>
      </c>
      <c r="M94" s="177">
        <f>SUMIFS('caseload data'!O:O,'caseload data'!$A:$A,$B94,'caseload data'!$B:$B,"community")</f>
        <v>0</v>
      </c>
      <c r="N94" s="177">
        <f>SUMIFS('caseload data'!P:P,'caseload data'!$A:$A,$B94,'caseload data'!$B:$B,"community")</f>
        <v>0</v>
      </c>
      <c r="O94" s="177">
        <f>SUMIFS('caseload data'!Q:Q,'caseload data'!$A:$A,$B94,'caseload data'!$B:$B,"community")</f>
        <v>0</v>
      </c>
      <c r="P94" s="177">
        <f>SUMIFS('caseload data'!R:R,'caseload data'!$A:$A,$B94,'caseload data'!$B:$B,"community")</f>
        <v>0</v>
      </c>
      <c r="Q94" s="177">
        <f>SUMIFS('caseload data'!S:S,'caseload data'!$A:$A,$B94,'caseload data'!$B:$B,"community")</f>
        <v>0</v>
      </c>
      <c r="R94" s="177">
        <f>SUMIFS('caseload data'!T:T,'caseload data'!$A:$A,$B94,'caseload data'!$B:$B,"community")</f>
        <v>0</v>
      </c>
      <c r="S94" s="177">
        <f>SUMIFS('caseload data'!V:V,'caseload data'!$A:$A,B94,'caseload data'!$B:$B,"community")</f>
        <v>0</v>
      </c>
      <c r="T94" s="95"/>
      <c r="U94" s="181" t="s">
        <v>1217</v>
      </c>
      <c r="V94" s="97" t="e">
        <f t="shared" ref="V94:AK94" si="263">C94/$S$94</f>
        <v>#DIV/0!</v>
      </c>
      <c r="W94" s="97" t="e">
        <f t="shared" si="263"/>
        <v>#DIV/0!</v>
      </c>
      <c r="X94" s="97" t="e">
        <f t="shared" si="263"/>
        <v>#DIV/0!</v>
      </c>
      <c r="Y94" s="97" t="e">
        <f t="shared" si="263"/>
        <v>#DIV/0!</v>
      </c>
      <c r="Z94" s="97" t="e">
        <f t="shared" si="263"/>
        <v>#DIV/0!</v>
      </c>
      <c r="AA94" s="97" t="e">
        <f t="shared" si="263"/>
        <v>#DIV/0!</v>
      </c>
      <c r="AB94" s="97" t="e">
        <f t="shared" si="263"/>
        <v>#DIV/0!</v>
      </c>
      <c r="AC94" s="97" t="e">
        <f t="shared" si="263"/>
        <v>#DIV/0!</v>
      </c>
      <c r="AD94" s="97" t="e">
        <f t="shared" si="263"/>
        <v>#DIV/0!</v>
      </c>
      <c r="AE94" s="97" t="e">
        <f t="shared" si="263"/>
        <v>#DIV/0!</v>
      </c>
      <c r="AF94" s="97" t="e">
        <f t="shared" si="263"/>
        <v>#DIV/0!</v>
      </c>
      <c r="AG94" s="97" t="e">
        <f t="shared" si="263"/>
        <v>#DIV/0!</v>
      </c>
      <c r="AH94" s="97" t="e">
        <f t="shared" si="263"/>
        <v>#DIV/0!</v>
      </c>
      <c r="AI94" s="97" t="e">
        <f t="shared" si="263"/>
        <v>#DIV/0!</v>
      </c>
      <c r="AJ94" s="97" t="e">
        <f t="shared" si="263"/>
        <v>#DIV/0!</v>
      </c>
      <c r="AK94" s="97" t="e">
        <f t="shared" si="263"/>
        <v>#DIV/0!</v>
      </c>
    </row>
    <row r="95" spans="2:37" x14ac:dyDescent="0.15">
      <c r="B95" s="181" t="s">
        <v>382</v>
      </c>
      <c r="C95" s="177">
        <f>SUMIFS('caseload data'!E:E,'caseload data'!$A:$A,$B95,'caseload data'!$B:$B,"community")</f>
        <v>0</v>
      </c>
      <c r="D95" s="177">
        <f>SUMIFS('caseload data'!F:F,'caseload data'!$A:$A,$B95,'caseload data'!$B:$B,"community")</f>
        <v>0</v>
      </c>
      <c r="E95" s="177">
        <f>SUMIFS('caseload data'!G:G,'caseload data'!$A:$A,$B95,'caseload data'!$B:$B,"community")</f>
        <v>0</v>
      </c>
      <c r="F95" s="177">
        <f>SUMIFS('caseload data'!H:H,'caseload data'!$A:$A,$B95,'caseload data'!$B:$B,"community")</f>
        <v>0</v>
      </c>
      <c r="G95" s="177">
        <f>SUMIFS('caseload data'!I:I,'caseload data'!$A:$A,$B95,'caseload data'!$B:$B,"community")</f>
        <v>0</v>
      </c>
      <c r="H95" s="177">
        <f>SUMIFS('caseload data'!J:J,'caseload data'!$A:$A,$B95,'caseload data'!$B:$B,"community")</f>
        <v>0</v>
      </c>
      <c r="I95" s="177">
        <f>SUMIFS('caseload data'!K:K,'caseload data'!$A:$A,$B95,'caseload data'!$B:$B,"community")</f>
        <v>0</v>
      </c>
      <c r="J95" s="177">
        <f>SUMIFS('caseload data'!L:L,'caseload data'!$A:$A,$B95,'caseload data'!$B:$B,"community")</f>
        <v>0</v>
      </c>
      <c r="K95" s="177">
        <f>SUMIFS('caseload data'!M:M,'caseload data'!$A:$A,$B95,'caseload data'!$B:$B,"community")</f>
        <v>0</v>
      </c>
      <c r="L95" s="177">
        <f>SUMIFS('caseload data'!N:N,'caseload data'!$A:$A,$B95,'caseload data'!$B:$B,"community")</f>
        <v>0</v>
      </c>
      <c r="M95" s="177">
        <f>SUMIFS('caseload data'!O:O,'caseload data'!$A:$A,$B95,'caseload data'!$B:$B,"community")</f>
        <v>0</v>
      </c>
      <c r="N95" s="177">
        <f>SUMIFS('caseload data'!P:P,'caseload data'!$A:$A,$B95,'caseload data'!$B:$B,"community")</f>
        <v>0</v>
      </c>
      <c r="O95" s="177">
        <f>SUMIFS('caseload data'!Q:Q,'caseload data'!$A:$A,$B95,'caseload data'!$B:$B,"community")</f>
        <v>0</v>
      </c>
      <c r="P95" s="177">
        <f>SUMIFS('caseload data'!R:R,'caseload data'!$A:$A,$B95,'caseload data'!$B:$B,"community")</f>
        <v>0</v>
      </c>
      <c r="Q95" s="177">
        <f>SUMIFS('caseload data'!S:S,'caseload data'!$A:$A,$B95,'caseload data'!$B:$B,"community")</f>
        <v>0</v>
      </c>
      <c r="R95" s="177">
        <f>SUMIFS('caseload data'!T:T,'caseload data'!$A:$A,$B95,'caseload data'!$B:$B,"community")</f>
        <v>0</v>
      </c>
      <c r="S95" s="177">
        <f>SUMIFS('caseload data'!V:V,'caseload data'!$A:$A,B95,'caseload data'!$B:$B,"community")</f>
        <v>0</v>
      </c>
      <c r="T95" s="95"/>
      <c r="U95" s="181" t="s">
        <v>382</v>
      </c>
      <c r="V95" s="97" t="e">
        <f>C95/$S$95</f>
        <v>#DIV/0!</v>
      </c>
      <c r="W95" s="97" t="e">
        <f t="shared" ref="W95:AK95" si="264">D95/$S$95</f>
        <v>#DIV/0!</v>
      </c>
      <c r="X95" s="97" t="e">
        <f t="shared" si="264"/>
        <v>#DIV/0!</v>
      </c>
      <c r="Y95" s="97" t="e">
        <f t="shared" si="264"/>
        <v>#DIV/0!</v>
      </c>
      <c r="Z95" s="97" t="e">
        <f t="shared" si="264"/>
        <v>#DIV/0!</v>
      </c>
      <c r="AA95" s="97" t="e">
        <f t="shared" si="264"/>
        <v>#DIV/0!</v>
      </c>
      <c r="AB95" s="97" t="e">
        <f t="shared" si="264"/>
        <v>#DIV/0!</v>
      </c>
      <c r="AC95" s="97" t="e">
        <f t="shared" si="264"/>
        <v>#DIV/0!</v>
      </c>
      <c r="AD95" s="97" t="e">
        <f t="shared" si="264"/>
        <v>#DIV/0!</v>
      </c>
      <c r="AE95" s="97" t="e">
        <f t="shared" si="264"/>
        <v>#DIV/0!</v>
      </c>
      <c r="AF95" s="97" t="e">
        <f t="shared" si="264"/>
        <v>#DIV/0!</v>
      </c>
      <c r="AG95" s="97" t="e">
        <f t="shared" si="264"/>
        <v>#DIV/0!</v>
      </c>
      <c r="AH95" s="97" t="e">
        <f t="shared" si="264"/>
        <v>#DIV/0!</v>
      </c>
      <c r="AI95" s="97" t="e">
        <f t="shared" si="264"/>
        <v>#DIV/0!</v>
      </c>
      <c r="AJ95" s="97" t="e">
        <f t="shared" si="264"/>
        <v>#DIV/0!</v>
      </c>
      <c r="AK95" s="97" t="e">
        <f t="shared" si="264"/>
        <v>#DIV/0!</v>
      </c>
    </row>
    <row r="96" spans="2:37" x14ac:dyDescent="0.15">
      <c r="B96" s="181" t="s">
        <v>8</v>
      </c>
      <c r="C96" s="177">
        <f>SUMIFS('caseload data'!E:E,'caseload data'!$A:$A,$B96,'caseload data'!$B:$B,"community")</f>
        <v>0</v>
      </c>
      <c r="D96" s="177">
        <f>SUMIFS('caseload data'!F:F,'caseload data'!$A:$A,$B96,'caseload data'!$B:$B,"community")</f>
        <v>0</v>
      </c>
      <c r="E96" s="177">
        <f>SUMIFS('caseload data'!G:G,'caseload data'!$A:$A,$B96,'caseload data'!$B:$B,"community")</f>
        <v>0</v>
      </c>
      <c r="F96" s="177">
        <f>SUMIFS('caseload data'!H:H,'caseload data'!$A:$A,$B96,'caseload data'!$B:$B,"community")</f>
        <v>0</v>
      </c>
      <c r="G96" s="177">
        <f>SUMIFS('caseload data'!I:I,'caseload data'!$A:$A,$B96,'caseload data'!$B:$B,"community")</f>
        <v>0</v>
      </c>
      <c r="H96" s="177">
        <f>SUMIFS('caseload data'!J:J,'caseload data'!$A:$A,$B96,'caseload data'!$B:$B,"community")</f>
        <v>0</v>
      </c>
      <c r="I96" s="177">
        <f>SUMIFS('caseload data'!K:K,'caseload data'!$A:$A,$B96,'caseload data'!$B:$B,"community")</f>
        <v>0</v>
      </c>
      <c r="J96" s="177">
        <f>SUMIFS('caseload data'!L:L,'caseload data'!$A:$A,$B96,'caseload data'!$B:$B,"community")</f>
        <v>0</v>
      </c>
      <c r="K96" s="177">
        <f>SUMIFS('caseload data'!M:M,'caseload data'!$A:$A,$B96,'caseload data'!$B:$B,"community")</f>
        <v>0</v>
      </c>
      <c r="L96" s="177">
        <f>SUMIFS('caseload data'!N:N,'caseload data'!$A:$A,$B96,'caseload data'!$B:$B,"community")</f>
        <v>0</v>
      </c>
      <c r="M96" s="177">
        <f>SUMIFS('caseload data'!O:O,'caseload data'!$A:$A,$B96,'caseload data'!$B:$B,"community")</f>
        <v>0</v>
      </c>
      <c r="N96" s="177">
        <f>SUMIFS('caseload data'!P:P,'caseload data'!$A:$A,$B96,'caseload data'!$B:$B,"community")</f>
        <v>0</v>
      </c>
      <c r="O96" s="177">
        <f>SUMIFS('caseload data'!Q:Q,'caseload data'!$A:$A,$B96,'caseload data'!$B:$B,"community")</f>
        <v>0</v>
      </c>
      <c r="P96" s="177">
        <f>SUMIFS('caseload data'!R:R,'caseload data'!$A:$A,$B96,'caseload data'!$B:$B,"community")</f>
        <v>0</v>
      </c>
      <c r="Q96" s="177">
        <f>SUMIFS('caseload data'!S:S,'caseload data'!$A:$A,$B96,'caseload data'!$B:$B,"community")</f>
        <v>0</v>
      </c>
      <c r="R96" s="177">
        <f>SUMIFS('caseload data'!T:T,'caseload data'!$A:$A,$B96,'caseload data'!$B:$B,"community")</f>
        <v>0</v>
      </c>
      <c r="S96" s="177">
        <f>SUMIFS('caseload data'!V:V,'caseload data'!$A:$A,B96,'caseload data'!$B:$B,"community")</f>
        <v>0</v>
      </c>
      <c r="T96" s="95"/>
      <c r="U96" s="181" t="s">
        <v>8</v>
      </c>
      <c r="V96" s="97" t="e">
        <f>C96/$S$96</f>
        <v>#DIV/0!</v>
      </c>
      <c r="W96" s="97" t="e">
        <f t="shared" ref="W96:AK96" si="265">D96/$S$96</f>
        <v>#DIV/0!</v>
      </c>
      <c r="X96" s="97" t="e">
        <f t="shared" si="265"/>
        <v>#DIV/0!</v>
      </c>
      <c r="Y96" s="97" t="e">
        <f t="shared" si="265"/>
        <v>#DIV/0!</v>
      </c>
      <c r="Z96" s="97" t="e">
        <f t="shared" si="265"/>
        <v>#DIV/0!</v>
      </c>
      <c r="AA96" s="97" t="e">
        <f t="shared" si="265"/>
        <v>#DIV/0!</v>
      </c>
      <c r="AB96" s="97" t="e">
        <f t="shared" si="265"/>
        <v>#DIV/0!</v>
      </c>
      <c r="AC96" s="97" t="e">
        <f t="shared" si="265"/>
        <v>#DIV/0!</v>
      </c>
      <c r="AD96" s="97" t="e">
        <f t="shared" si="265"/>
        <v>#DIV/0!</v>
      </c>
      <c r="AE96" s="97" t="e">
        <f t="shared" si="265"/>
        <v>#DIV/0!</v>
      </c>
      <c r="AF96" s="97" t="e">
        <f t="shared" si="265"/>
        <v>#DIV/0!</v>
      </c>
      <c r="AG96" s="97" t="e">
        <f t="shared" si="265"/>
        <v>#DIV/0!</v>
      </c>
      <c r="AH96" s="97" t="e">
        <f t="shared" si="265"/>
        <v>#DIV/0!</v>
      </c>
      <c r="AI96" s="97" t="e">
        <f t="shared" si="265"/>
        <v>#DIV/0!</v>
      </c>
      <c r="AJ96" s="97" t="e">
        <f t="shared" si="265"/>
        <v>#DIV/0!</v>
      </c>
      <c r="AK96" s="97" t="e">
        <f t="shared" si="265"/>
        <v>#DIV/0!</v>
      </c>
    </row>
    <row r="97" spans="2:37" x14ac:dyDescent="0.15">
      <c r="B97" s="181" t="s">
        <v>9</v>
      </c>
      <c r="C97" s="177">
        <f>SUMIFS('caseload data'!E:E,'caseload data'!$A:$A,$B97,'caseload data'!$B:$B,"community")</f>
        <v>0</v>
      </c>
      <c r="D97" s="177">
        <f>SUMIFS('caseload data'!F:F,'caseload data'!$A:$A,$B97,'caseload data'!$B:$B,"community")</f>
        <v>0</v>
      </c>
      <c r="E97" s="177">
        <f>SUMIFS('caseload data'!G:G,'caseload data'!$A:$A,$B97,'caseload data'!$B:$B,"community")</f>
        <v>0</v>
      </c>
      <c r="F97" s="177">
        <f>SUMIFS('caseload data'!H:H,'caseload data'!$A:$A,$B97,'caseload data'!$B:$B,"community")</f>
        <v>0</v>
      </c>
      <c r="G97" s="177">
        <f>SUMIFS('caseload data'!I:I,'caseload data'!$A:$A,$B97,'caseload data'!$B:$B,"community")</f>
        <v>0</v>
      </c>
      <c r="H97" s="177">
        <f>SUMIFS('caseload data'!J:J,'caseload data'!$A:$A,$B97,'caseload data'!$B:$B,"community")</f>
        <v>0</v>
      </c>
      <c r="I97" s="177">
        <f>SUMIFS('caseload data'!K:K,'caseload data'!$A:$A,$B97,'caseload data'!$B:$B,"community")</f>
        <v>0</v>
      </c>
      <c r="J97" s="177">
        <f>SUMIFS('caseload data'!L:L,'caseload data'!$A:$A,$B97,'caseload data'!$B:$B,"community")</f>
        <v>0</v>
      </c>
      <c r="K97" s="177">
        <f>SUMIFS('caseload data'!M:M,'caseload data'!$A:$A,$B97,'caseload data'!$B:$B,"community")</f>
        <v>0</v>
      </c>
      <c r="L97" s="177">
        <f>SUMIFS('caseload data'!N:N,'caseload data'!$A:$A,$B97,'caseload data'!$B:$B,"community")</f>
        <v>0</v>
      </c>
      <c r="M97" s="177">
        <f>SUMIFS('caseload data'!O:O,'caseload data'!$A:$A,$B97,'caseload data'!$B:$B,"community")</f>
        <v>0</v>
      </c>
      <c r="N97" s="177">
        <f>SUMIFS('caseload data'!P:P,'caseload data'!$A:$A,$B97,'caseload data'!$B:$B,"community")</f>
        <v>0</v>
      </c>
      <c r="O97" s="177">
        <f>SUMIFS('caseload data'!Q:Q,'caseload data'!$A:$A,$B97,'caseload data'!$B:$B,"community")</f>
        <v>0</v>
      </c>
      <c r="P97" s="177">
        <f>SUMIFS('caseload data'!R:R,'caseload data'!$A:$A,$B97,'caseload data'!$B:$B,"community")</f>
        <v>0</v>
      </c>
      <c r="Q97" s="177">
        <f>SUMIFS('caseload data'!S:S,'caseload data'!$A:$A,$B97,'caseload data'!$B:$B,"community")</f>
        <v>0</v>
      </c>
      <c r="R97" s="177">
        <f>SUMIFS('caseload data'!T:T,'caseload data'!$A:$A,$B97,'caseload data'!$B:$B,"community")</f>
        <v>0</v>
      </c>
      <c r="S97" s="177">
        <f>SUMIFS('caseload data'!V:V,'caseload data'!$A:$A,B97,'caseload data'!$B:$B,"community")</f>
        <v>0</v>
      </c>
      <c r="T97" s="95"/>
      <c r="U97" s="181" t="s">
        <v>9</v>
      </c>
      <c r="V97" s="97" t="e">
        <f>C97/$S$97</f>
        <v>#DIV/0!</v>
      </c>
      <c r="W97" s="97" t="e">
        <f t="shared" ref="W97:AK97" si="266">D97/$S$97</f>
        <v>#DIV/0!</v>
      </c>
      <c r="X97" s="97" t="e">
        <f t="shared" si="266"/>
        <v>#DIV/0!</v>
      </c>
      <c r="Y97" s="97" t="e">
        <f t="shared" si="266"/>
        <v>#DIV/0!</v>
      </c>
      <c r="Z97" s="97" t="e">
        <f t="shared" si="266"/>
        <v>#DIV/0!</v>
      </c>
      <c r="AA97" s="97" t="e">
        <f t="shared" si="266"/>
        <v>#DIV/0!</v>
      </c>
      <c r="AB97" s="97" t="e">
        <f t="shared" si="266"/>
        <v>#DIV/0!</v>
      </c>
      <c r="AC97" s="97" t="e">
        <f t="shared" si="266"/>
        <v>#DIV/0!</v>
      </c>
      <c r="AD97" s="97" t="e">
        <f t="shared" si="266"/>
        <v>#DIV/0!</v>
      </c>
      <c r="AE97" s="97" t="e">
        <f t="shared" si="266"/>
        <v>#DIV/0!</v>
      </c>
      <c r="AF97" s="97" t="e">
        <f t="shared" si="266"/>
        <v>#DIV/0!</v>
      </c>
      <c r="AG97" s="97" t="e">
        <f t="shared" si="266"/>
        <v>#DIV/0!</v>
      </c>
      <c r="AH97" s="97" t="e">
        <f t="shared" si="266"/>
        <v>#DIV/0!</v>
      </c>
      <c r="AI97" s="97" t="e">
        <f t="shared" si="266"/>
        <v>#DIV/0!</v>
      </c>
      <c r="AJ97" s="97" t="e">
        <f t="shared" si="266"/>
        <v>#DIV/0!</v>
      </c>
      <c r="AK97" s="97" t="e">
        <f t="shared" si="266"/>
        <v>#DIV/0!</v>
      </c>
    </row>
    <row r="98" spans="2:37" s="30" customFormat="1" x14ac:dyDescent="0.15">
      <c r="B98" s="181" t="s">
        <v>514</v>
      </c>
      <c r="C98" s="177">
        <f>SUMIFS('caseload data'!E:E,'caseload data'!$A:$A,$B98,'caseload data'!$B:$B,"community")</f>
        <v>0</v>
      </c>
      <c r="D98" s="177">
        <f>SUMIFS('caseload data'!F:F,'caseload data'!$A:$A,$B98,'caseload data'!$B:$B,"community")</f>
        <v>0</v>
      </c>
      <c r="E98" s="177">
        <f>SUMIFS('caseload data'!G:G,'caseload data'!$A:$A,$B98,'caseload data'!$B:$B,"community")</f>
        <v>0</v>
      </c>
      <c r="F98" s="177">
        <f>SUMIFS('caseload data'!H:H,'caseload data'!$A:$A,$B98,'caseload data'!$B:$B,"community")</f>
        <v>0</v>
      </c>
      <c r="G98" s="177">
        <f>SUMIFS('caseload data'!I:I,'caseload data'!$A:$A,$B98,'caseload data'!$B:$B,"community")</f>
        <v>0</v>
      </c>
      <c r="H98" s="177">
        <f>SUMIFS('caseload data'!J:J,'caseload data'!$A:$A,$B98,'caseload data'!$B:$B,"community")</f>
        <v>0</v>
      </c>
      <c r="I98" s="177">
        <f>SUMIFS('caseload data'!K:K,'caseload data'!$A:$A,$B98,'caseload data'!$B:$B,"community")</f>
        <v>0</v>
      </c>
      <c r="J98" s="177">
        <f>SUMIFS('caseload data'!L:L,'caseload data'!$A:$A,$B98,'caseload data'!$B:$B,"community")</f>
        <v>0</v>
      </c>
      <c r="K98" s="177">
        <f>SUMIFS('caseload data'!M:M,'caseload data'!$A:$A,$B98,'caseload data'!$B:$B,"community")</f>
        <v>0</v>
      </c>
      <c r="L98" s="177">
        <f>SUMIFS('caseload data'!N:N,'caseload data'!$A:$A,$B98,'caseload data'!$B:$B,"community")</f>
        <v>0</v>
      </c>
      <c r="M98" s="177">
        <f>SUMIFS('caseload data'!O:O,'caseload data'!$A:$A,$B98,'caseload data'!$B:$B,"community")</f>
        <v>0</v>
      </c>
      <c r="N98" s="177">
        <f>SUMIFS('caseload data'!P:P,'caseload data'!$A:$A,$B98,'caseload data'!$B:$B,"community")</f>
        <v>0</v>
      </c>
      <c r="O98" s="177">
        <f>SUMIFS('caseload data'!Q:Q,'caseload data'!$A:$A,$B98,'caseload data'!$B:$B,"community")</f>
        <v>0</v>
      </c>
      <c r="P98" s="177">
        <f>SUMIFS('caseload data'!R:R,'caseload data'!$A:$A,$B98,'caseload data'!$B:$B,"community")</f>
        <v>0</v>
      </c>
      <c r="Q98" s="177">
        <f>SUMIFS('caseload data'!S:S,'caseload data'!$A:$A,$B98,'caseload data'!$B:$B,"community")</f>
        <v>0</v>
      </c>
      <c r="R98" s="177">
        <f>SUMIFS('caseload data'!T:T,'caseload data'!$A:$A,$B98,'caseload data'!$B:$B,"community")</f>
        <v>0</v>
      </c>
      <c r="S98" s="177">
        <f>SUMIFS('caseload data'!V:V,'caseload data'!$A:$A,B98,'caseload data'!$B:$B,"community")</f>
        <v>0</v>
      </c>
      <c r="T98" s="95"/>
      <c r="U98" s="181" t="s">
        <v>514</v>
      </c>
      <c r="V98" s="97" t="e">
        <f t="shared" ref="V98:V107" si="267">C98/$S98</f>
        <v>#DIV/0!</v>
      </c>
      <c r="W98" s="97" t="e">
        <f t="shared" ref="W98:W107" si="268">D98/$S98</f>
        <v>#DIV/0!</v>
      </c>
      <c r="X98" s="97" t="e">
        <f t="shared" ref="X98:X107" si="269">E98/$S98</f>
        <v>#DIV/0!</v>
      </c>
      <c r="Y98" s="97" t="e">
        <f t="shared" ref="Y98:Y107" si="270">F98/$S98</f>
        <v>#DIV/0!</v>
      </c>
      <c r="Z98" s="97" t="e">
        <f t="shared" ref="Z98:Z107" si="271">G98/$S98</f>
        <v>#DIV/0!</v>
      </c>
      <c r="AA98" s="97" t="e">
        <f t="shared" ref="AA98:AA107" si="272">H98/$S98</f>
        <v>#DIV/0!</v>
      </c>
      <c r="AB98" s="97" t="e">
        <f t="shared" ref="AB98:AB107" si="273">I98/$S98</f>
        <v>#DIV/0!</v>
      </c>
      <c r="AC98" s="97" t="e">
        <f t="shared" ref="AC98:AC107" si="274">J98/$S98</f>
        <v>#DIV/0!</v>
      </c>
      <c r="AD98" s="97" t="e">
        <f t="shared" ref="AD98:AD107" si="275">K98/$S98</f>
        <v>#DIV/0!</v>
      </c>
      <c r="AE98" s="97" t="e">
        <f t="shared" ref="AE98:AE107" si="276">L98/$S98</f>
        <v>#DIV/0!</v>
      </c>
      <c r="AF98" s="97" t="e">
        <f t="shared" ref="AF98:AF107" si="277">M98/$S98</f>
        <v>#DIV/0!</v>
      </c>
      <c r="AG98" s="97" t="e">
        <f t="shared" ref="AG98:AG107" si="278">N98/$S98</f>
        <v>#DIV/0!</v>
      </c>
      <c r="AH98" s="97" t="e">
        <f t="shared" ref="AH98:AH107" si="279">O98/$S98</f>
        <v>#DIV/0!</v>
      </c>
      <c r="AI98" s="97" t="e">
        <f t="shared" ref="AI98:AI107" si="280">P98/$S98</f>
        <v>#DIV/0!</v>
      </c>
      <c r="AJ98" s="97" t="e">
        <f t="shared" ref="AJ98:AJ107" si="281">Q98/$S98</f>
        <v>#DIV/0!</v>
      </c>
      <c r="AK98" s="97" t="e">
        <f t="shared" ref="AK98:AK107" si="282">R98/$S98</f>
        <v>#DIV/0!</v>
      </c>
    </row>
    <row r="99" spans="2:37" s="30" customFormat="1" x14ac:dyDescent="0.15">
      <c r="B99" s="181" t="s">
        <v>515</v>
      </c>
      <c r="C99" s="177">
        <f>SUMIFS('caseload data'!E:E,'caseload data'!$A:$A,$B99,'caseload data'!$B:$B,"community")</f>
        <v>0</v>
      </c>
      <c r="D99" s="177">
        <f>SUMIFS('caseload data'!F:F,'caseload data'!$A:$A,$B99,'caseload data'!$B:$B,"community")</f>
        <v>0</v>
      </c>
      <c r="E99" s="177">
        <f>SUMIFS('caseload data'!G:G,'caseload data'!$A:$A,$B99,'caseload data'!$B:$B,"community")</f>
        <v>0</v>
      </c>
      <c r="F99" s="177">
        <f>SUMIFS('caseload data'!H:H,'caseload data'!$A:$A,$B99,'caseload data'!$B:$B,"community")</f>
        <v>0</v>
      </c>
      <c r="G99" s="177">
        <f>SUMIFS('caseload data'!I:I,'caseload data'!$A:$A,$B99,'caseload data'!$B:$B,"community")</f>
        <v>0</v>
      </c>
      <c r="H99" s="177">
        <f>SUMIFS('caseload data'!J:J,'caseload data'!$A:$A,$B99,'caseload data'!$B:$B,"community")</f>
        <v>0</v>
      </c>
      <c r="I99" s="177">
        <f>SUMIFS('caseload data'!K:K,'caseload data'!$A:$A,$B99,'caseload data'!$B:$B,"community")</f>
        <v>0</v>
      </c>
      <c r="J99" s="177">
        <f>SUMIFS('caseload data'!L:L,'caseload data'!$A:$A,$B99,'caseload data'!$B:$B,"community")</f>
        <v>0</v>
      </c>
      <c r="K99" s="177">
        <f>SUMIFS('caseload data'!M:M,'caseload data'!$A:$A,$B99,'caseload data'!$B:$B,"community")</f>
        <v>0</v>
      </c>
      <c r="L99" s="177">
        <f>SUMIFS('caseload data'!N:N,'caseload data'!$A:$A,$B99,'caseload data'!$B:$B,"community")</f>
        <v>0</v>
      </c>
      <c r="M99" s="177">
        <f>SUMIFS('caseload data'!O:O,'caseload data'!$A:$A,$B99,'caseload data'!$B:$B,"community")</f>
        <v>0</v>
      </c>
      <c r="N99" s="177">
        <f>SUMIFS('caseload data'!P:P,'caseload data'!$A:$A,$B99,'caseload data'!$B:$B,"community")</f>
        <v>0</v>
      </c>
      <c r="O99" s="177">
        <f>SUMIFS('caseload data'!Q:Q,'caseload data'!$A:$A,$B99,'caseload data'!$B:$B,"community")</f>
        <v>0</v>
      </c>
      <c r="P99" s="177">
        <f>SUMIFS('caseload data'!R:R,'caseload data'!$A:$A,$B99,'caseload data'!$B:$B,"community")</f>
        <v>0</v>
      </c>
      <c r="Q99" s="177">
        <f>SUMIFS('caseload data'!S:S,'caseload data'!$A:$A,$B99,'caseload data'!$B:$B,"community")</f>
        <v>0</v>
      </c>
      <c r="R99" s="177">
        <f>SUMIFS('caseload data'!T:T,'caseload data'!$A:$A,$B99,'caseload data'!$B:$B,"community")</f>
        <v>0</v>
      </c>
      <c r="S99" s="177">
        <f>SUMIFS('caseload data'!V:V,'caseload data'!$A:$A,B99,'caseload data'!$B:$B,"community")</f>
        <v>0</v>
      </c>
      <c r="T99" s="95"/>
      <c r="U99" s="181" t="s">
        <v>515</v>
      </c>
      <c r="V99" s="97" t="e">
        <f t="shared" si="267"/>
        <v>#DIV/0!</v>
      </c>
      <c r="W99" s="97" t="e">
        <f t="shared" si="268"/>
        <v>#DIV/0!</v>
      </c>
      <c r="X99" s="97" t="e">
        <f t="shared" si="269"/>
        <v>#DIV/0!</v>
      </c>
      <c r="Y99" s="97" t="e">
        <f t="shared" si="270"/>
        <v>#DIV/0!</v>
      </c>
      <c r="Z99" s="97" t="e">
        <f t="shared" si="271"/>
        <v>#DIV/0!</v>
      </c>
      <c r="AA99" s="97" t="e">
        <f t="shared" si="272"/>
        <v>#DIV/0!</v>
      </c>
      <c r="AB99" s="97" t="e">
        <f t="shared" si="273"/>
        <v>#DIV/0!</v>
      </c>
      <c r="AC99" s="97" t="e">
        <f t="shared" si="274"/>
        <v>#DIV/0!</v>
      </c>
      <c r="AD99" s="97" t="e">
        <f t="shared" si="275"/>
        <v>#DIV/0!</v>
      </c>
      <c r="AE99" s="97" t="e">
        <f t="shared" si="276"/>
        <v>#DIV/0!</v>
      </c>
      <c r="AF99" s="97" t="e">
        <f t="shared" si="277"/>
        <v>#DIV/0!</v>
      </c>
      <c r="AG99" s="97" t="e">
        <f t="shared" si="278"/>
        <v>#DIV/0!</v>
      </c>
      <c r="AH99" s="97" t="e">
        <f t="shared" si="279"/>
        <v>#DIV/0!</v>
      </c>
      <c r="AI99" s="97" t="e">
        <f t="shared" si="280"/>
        <v>#DIV/0!</v>
      </c>
      <c r="AJ99" s="97" t="e">
        <f t="shared" si="281"/>
        <v>#DIV/0!</v>
      </c>
      <c r="AK99" s="97" t="e">
        <f t="shared" si="282"/>
        <v>#DIV/0!</v>
      </c>
    </row>
    <row r="100" spans="2:37" s="30" customFormat="1" x14ac:dyDescent="0.15">
      <c r="B100" s="181" t="s">
        <v>516</v>
      </c>
      <c r="C100" s="177">
        <f>SUMIFS('caseload data'!E:E,'caseload data'!$A:$A,$B100,'caseload data'!$B:$B,"community")</f>
        <v>0</v>
      </c>
      <c r="D100" s="177">
        <f>SUMIFS('caseload data'!F:F,'caseload data'!$A:$A,$B100,'caseload data'!$B:$B,"community")</f>
        <v>0</v>
      </c>
      <c r="E100" s="177">
        <f>SUMIFS('caseload data'!G:G,'caseload data'!$A:$A,$B100,'caseload data'!$B:$B,"community")</f>
        <v>0</v>
      </c>
      <c r="F100" s="177">
        <f>SUMIFS('caseload data'!H:H,'caseload data'!$A:$A,$B100,'caseload data'!$B:$B,"community")</f>
        <v>0</v>
      </c>
      <c r="G100" s="177">
        <f>SUMIFS('caseload data'!I:I,'caseload data'!$A:$A,$B100,'caseload data'!$B:$B,"community")</f>
        <v>0</v>
      </c>
      <c r="H100" s="177">
        <f>SUMIFS('caseload data'!J:J,'caseload data'!$A:$A,$B100,'caseload data'!$B:$B,"community")</f>
        <v>0</v>
      </c>
      <c r="I100" s="177">
        <f>SUMIFS('caseload data'!K:K,'caseload data'!$A:$A,$B100,'caseload data'!$B:$B,"community")</f>
        <v>0</v>
      </c>
      <c r="J100" s="177">
        <f>SUMIFS('caseload data'!L:L,'caseload data'!$A:$A,$B100,'caseload data'!$B:$B,"community")</f>
        <v>0</v>
      </c>
      <c r="K100" s="177">
        <f>SUMIFS('caseload data'!M:M,'caseload data'!$A:$A,$B100,'caseload data'!$B:$B,"community")</f>
        <v>0</v>
      </c>
      <c r="L100" s="177">
        <f>SUMIFS('caseload data'!N:N,'caseload data'!$A:$A,$B100,'caseload data'!$B:$B,"community")</f>
        <v>0</v>
      </c>
      <c r="M100" s="177">
        <f>SUMIFS('caseload data'!O:O,'caseload data'!$A:$A,$B100,'caseload data'!$B:$B,"community")</f>
        <v>0</v>
      </c>
      <c r="N100" s="177">
        <f>SUMIFS('caseload data'!P:P,'caseload data'!$A:$A,$B100,'caseload data'!$B:$B,"community")</f>
        <v>0</v>
      </c>
      <c r="O100" s="177">
        <f>SUMIFS('caseload data'!Q:Q,'caseload data'!$A:$A,$B100,'caseload data'!$B:$B,"community")</f>
        <v>0</v>
      </c>
      <c r="P100" s="177">
        <f>SUMIFS('caseload data'!R:R,'caseload data'!$A:$A,$B100,'caseload data'!$B:$B,"community")</f>
        <v>0</v>
      </c>
      <c r="Q100" s="177">
        <f>SUMIFS('caseload data'!S:S,'caseload data'!$A:$A,$B100,'caseload data'!$B:$B,"community")</f>
        <v>0</v>
      </c>
      <c r="R100" s="177">
        <f>SUMIFS('caseload data'!T:T,'caseload data'!$A:$A,$B100,'caseload data'!$B:$B,"community")</f>
        <v>0</v>
      </c>
      <c r="S100" s="177">
        <f>SUMIFS('caseload data'!V:V,'caseload data'!$A:$A,B100,'caseload data'!$B:$B,"community")</f>
        <v>0</v>
      </c>
      <c r="T100" s="95"/>
      <c r="U100" s="181" t="s">
        <v>516</v>
      </c>
      <c r="V100" s="97" t="e">
        <f t="shared" si="267"/>
        <v>#DIV/0!</v>
      </c>
      <c r="W100" s="97" t="e">
        <f t="shared" si="268"/>
        <v>#DIV/0!</v>
      </c>
      <c r="X100" s="97" t="e">
        <f t="shared" si="269"/>
        <v>#DIV/0!</v>
      </c>
      <c r="Y100" s="97" t="e">
        <f t="shared" si="270"/>
        <v>#DIV/0!</v>
      </c>
      <c r="Z100" s="97" t="e">
        <f t="shared" si="271"/>
        <v>#DIV/0!</v>
      </c>
      <c r="AA100" s="97" t="e">
        <f t="shared" si="272"/>
        <v>#DIV/0!</v>
      </c>
      <c r="AB100" s="97" t="e">
        <f t="shared" si="273"/>
        <v>#DIV/0!</v>
      </c>
      <c r="AC100" s="97" t="e">
        <f t="shared" si="274"/>
        <v>#DIV/0!</v>
      </c>
      <c r="AD100" s="97" t="e">
        <f t="shared" si="275"/>
        <v>#DIV/0!</v>
      </c>
      <c r="AE100" s="97" t="e">
        <f t="shared" si="276"/>
        <v>#DIV/0!</v>
      </c>
      <c r="AF100" s="97" t="e">
        <f t="shared" si="277"/>
        <v>#DIV/0!</v>
      </c>
      <c r="AG100" s="97" t="e">
        <f t="shared" si="278"/>
        <v>#DIV/0!</v>
      </c>
      <c r="AH100" s="97" t="e">
        <f t="shared" si="279"/>
        <v>#DIV/0!</v>
      </c>
      <c r="AI100" s="97" t="e">
        <f t="shared" si="280"/>
        <v>#DIV/0!</v>
      </c>
      <c r="AJ100" s="97" t="e">
        <f t="shared" si="281"/>
        <v>#DIV/0!</v>
      </c>
      <c r="AK100" s="97" t="e">
        <f t="shared" si="282"/>
        <v>#DIV/0!</v>
      </c>
    </row>
    <row r="101" spans="2:37" s="30" customFormat="1" x14ac:dyDescent="0.15">
      <c r="B101" s="181" t="s">
        <v>517</v>
      </c>
      <c r="C101" s="177">
        <f>SUMIFS('caseload data'!E:E,'caseload data'!$A:$A,$B101,'caseload data'!$B:$B,"community")</f>
        <v>0</v>
      </c>
      <c r="D101" s="177">
        <f>SUMIFS('caseload data'!F:F,'caseload data'!$A:$A,$B101,'caseload data'!$B:$B,"community")</f>
        <v>0</v>
      </c>
      <c r="E101" s="177">
        <f>SUMIFS('caseload data'!G:G,'caseload data'!$A:$A,$B101,'caseload data'!$B:$B,"community")</f>
        <v>0</v>
      </c>
      <c r="F101" s="177">
        <f>SUMIFS('caseload data'!H:H,'caseload data'!$A:$A,$B101,'caseload data'!$B:$B,"community")</f>
        <v>0</v>
      </c>
      <c r="G101" s="177">
        <f>SUMIFS('caseload data'!I:I,'caseload data'!$A:$A,$B101,'caseload data'!$B:$B,"community")</f>
        <v>0</v>
      </c>
      <c r="H101" s="177">
        <f>SUMIFS('caseload data'!J:J,'caseload data'!$A:$A,$B101,'caseload data'!$B:$B,"community")</f>
        <v>0</v>
      </c>
      <c r="I101" s="177">
        <f>SUMIFS('caseload data'!K:K,'caseload data'!$A:$A,$B101,'caseload data'!$B:$B,"community")</f>
        <v>0</v>
      </c>
      <c r="J101" s="177">
        <f>SUMIFS('caseload data'!L:L,'caseload data'!$A:$A,$B101,'caseload data'!$B:$B,"community")</f>
        <v>0</v>
      </c>
      <c r="K101" s="177">
        <f>SUMIFS('caseload data'!M:M,'caseload data'!$A:$A,$B101,'caseload data'!$B:$B,"community")</f>
        <v>0</v>
      </c>
      <c r="L101" s="177">
        <f>SUMIFS('caseload data'!N:N,'caseload data'!$A:$A,$B101,'caseload data'!$B:$B,"community")</f>
        <v>0</v>
      </c>
      <c r="M101" s="177">
        <f>SUMIFS('caseload data'!O:O,'caseload data'!$A:$A,$B101,'caseload data'!$B:$B,"community")</f>
        <v>0</v>
      </c>
      <c r="N101" s="177">
        <f>SUMIFS('caseload data'!P:P,'caseload data'!$A:$A,$B101,'caseload data'!$B:$B,"community")</f>
        <v>0</v>
      </c>
      <c r="O101" s="177">
        <f>SUMIFS('caseload data'!Q:Q,'caseload data'!$A:$A,$B101,'caseload data'!$B:$B,"community")</f>
        <v>0</v>
      </c>
      <c r="P101" s="177">
        <f>SUMIFS('caseload data'!R:R,'caseload data'!$A:$A,$B101,'caseload data'!$B:$B,"community")</f>
        <v>0</v>
      </c>
      <c r="Q101" s="177">
        <f>SUMIFS('caseload data'!S:S,'caseload data'!$A:$A,$B101,'caseload data'!$B:$B,"community")</f>
        <v>0</v>
      </c>
      <c r="R101" s="177">
        <f>SUMIFS('caseload data'!T:T,'caseload data'!$A:$A,$B101,'caseload data'!$B:$B,"community")</f>
        <v>0</v>
      </c>
      <c r="S101" s="177">
        <f>SUMIFS('caseload data'!V:V,'caseload data'!$A:$A,B101,'caseload data'!$B:$B,"community")</f>
        <v>0</v>
      </c>
      <c r="T101" s="95"/>
      <c r="U101" s="181" t="s">
        <v>517</v>
      </c>
      <c r="V101" s="97" t="e">
        <f t="shared" si="267"/>
        <v>#DIV/0!</v>
      </c>
      <c r="W101" s="97" t="e">
        <f t="shared" si="268"/>
        <v>#DIV/0!</v>
      </c>
      <c r="X101" s="97" t="e">
        <f t="shared" si="269"/>
        <v>#DIV/0!</v>
      </c>
      <c r="Y101" s="97" t="e">
        <f t="shared" si="270"/>
        <v>#DIV/0!</v>
      </c>
      <c r="Z101" s="97" t="e">
        <f t="shared" si="271"/>
        <v>#DIV/0!</v>
      </c>
      <c r="AA101" s="97" t="e">
        <f t="shared" si="272"/>
        <v>#DIV/0!</v>
      </c>
      <c r="AB101" s="97" t="e">
        <f t="shared" si="273"/>
        <v>#DIV/0!</v>
      </c>
      <c r="AC101" s="97" t="e">
        <f t="shared" si="274"/>
        <v>#DIV/0!</v>
      </c>
      <c r="AD101" s="97" t="e">
        <f t="shared" si="275"/>
        <v>#DIV/0!</v>
      </c>
      <c r="AE101" s="97" t="e">
        <f t="shared" si="276"/>
        <v>#DIV/0!</v>
      </c>
      <c r="AF101" s="97" t="e">
        <f t="shared" si="277"/>
        <v>#DIV/0!</v>
      </c>
      <c r="AG101" s="97" t="e">
        <f t="shared" si="278"/>
        <v>#DIV/0!</v>
      </c>
      <c r="AH101" s="97" t="e">
        <f t="shared" si="279"/>
        <v>#DIV/0!</v>
      </c>
      <c r="AI101" s="97" t="e">
        <f t="shared" si="280"/>
        <v>#DIV/0!</v>
      </c>
      <c r="AJ101" s="97" t="e">
        <f t="shared" si="281"/>
        <v>#DIV/0!</v>
      </c>
      <c r="AK101" s="97" t="e">
        <f t="shared" si="282"/>
        <v>#DIV/0!</v>
      </c>
    </row>
    <row r="102" spans="2:37" s="30" customFormat="1" x14ac:dyDescent="0.15">
      <c r="B102" s="181" t="s">
        <v>518</v>
      </c>
      <c r="C102" s="177">
        <f>SUMIFS('caseload data'!E:E,'caseload data'!$A:$A,$B102,'caseload data'!$B:$B,"community")</f>
        <v>0</v>
      </c>
      <c r="D102" s="177">
        <f>SUMIFS('caseload data'!F:F,'caseload data'!$A:$A,$B102,'caseload data'!$B:$B,"community")</f>
        <v>0</v>
      </c>
      <c r="E102" s="177">
        <f>SUMIFS('caseload data'!G:G,'caseload data'!$A:$A,$B102,'caseload data'!$B:$B,"community")</f>
        <v>0</v>
      </c>
      <c r="F102" s="177">
        <f>SUMIFS('caseload data'!H:H,'caseload data'!$A:$A,$B102,'caseload data'!$B:$B,"community")</f>
        <v>0</v>
      </c>
      <c r="G102" s="177">
        <f>SUMIFS('caseload data'!I:I,'caseload data'!$A:$A,$B102,'caseload data'!$B:$B,"community")</f>
        <v>0</v>
      </c>
      <c r="H102" s="177">
        <f>SUMIFS('caseload data'!J:J,'caseload data'!$A:$A,$B102,'caseload data'!$B:$B,"community")</f>
        <v>0</v>
      </c>
      <c r="I102" s="177">
        <f>SUMIFS('caseload data'!K:K,'caseload data'!$A:$A,$B102,'caseload data'!$B:$B,"community")</f>
        <v>0</v>
      </c>
      <c r="J102" s="177">
        <f>SUMIFS('caseload data'!L:L,'caseload data'!$A:$A,$B102,'caseload data'!$B:$B,"community")</f>
        <v>0</v>
      </c>
      <c r="K102" s="177">
        <f>SUMIFS('caseload data'!M:M,'caseload data'!$A:$A,$B102,'caseload data'!$B:$B,"community")</f>
        <v>0</v>
      </c>
      <c r="L102" s="177">
        <f>SUMIFS('caseload data'!N:N,'caseload data'!$A:$A,$B102,'caseload data'!$B:$B,"community")</f>
        <v>0</v>
      </c>
      <c r="M102" s="177">
        <f>SUMIFS('caseload data'!O:O,'caseload data'!$A:$A,$B102,'caseload data'!$B:$B,"community")</f>
        <v>0</v>
      </c>
      <c r="N102" s="177">
        <f>SUMIFS('caseload data'!P:P,'caseload data'!$A:$A,$B102,'caseload data'!$B:$B,"community")</f>
        <v>0</v>
      </c>
      <c r="O102" s="177">
        <f>SUMIFS('caseload data'!Q:Q,'caseload data'!$A:$A,$B102,'caseload data'!$B:$B,"community")</f>
        <v>0</v>
      </c>
      <c r="P102" s="177">
        <f>SUMIFS('caseload data'!R:R,'caseload data'!$A:$A,$B102,'caseload data'!$B:$B,"community")</f>
        <v>0</v>
      </c>
      <c r="Q102" s="177">
        <f>SUMIFS('caseload data'!S:S,'caseload data'!$A:$A,$B102,'caseload data'!$B:$B,"community")</f>
        <v>0</v>
      </c>
      <c r="R102" s="177">
        <f>SUMIFS('caseload data'!T:T,'caseload data'!$A:$A,$B102,'caseload data'!$B:$B,"community")</f>
        <v>0</v>
      </c>
      <c r="S102" s="177">
        <f>SUMIFS('caseload data'!V:V,'caseload data'!$A:$A,B102,'caseload data'!$B:$B,"community")</f>
        <v>0</v>
      </c>
      <c r="T102" s="95"/>
      <c r="U102" s="181" t="s">
        <v>518</v>
      </c>
      <c r="V102" s="97" t="e">
        <f t="shared" si="267"/>
        <v>#DIV/0!</v>
      </c>
      <c r="W102" s="97" t="e">
        <f t="shared" si="268"/>
        <v>#DIV/0!</v>
      </c>
      <c r="X102" s="97" t="e">
        <f t="shared" si="269"/>
        <v>#DIV/0!</v>
      </c>
      <c r="Y102" s="97" t="e">
        <f t="shared" si="270"/>
        <v>#DIV/0!</v>
      </c>
      <c r="Z102" s="97" t="e">
        <f t="shared" si="271"/>
        <v>#DIV/0!</v>
      </c>
      <c r="AA102" s="97" t="e">
        <f t="shared" si="272"/>
        <v>#DIV/0!</v>
      </c>
      <c r="AB102" s="97" t="e">
        <f t="shared" si="273"/>
        <v>#DIV/0!</v>
      </c>
      <c r="AC102" s="97" t="e">
        <f t="shared" si="274"/>
        <v>#DIV/0!</v>
      </c>
      <c r="AD102" s="97" t="e">
        <f t="shared" si="275"/>
        <v>#DIV/0!</v>
      </c>
      <c r="AE102" s="97" t="e">
        <f t="shared" si="276"/>
        <v>#DIV/0!</v>
      </c>
      <c r="AF102" s="97" t="e">
        <f t="shared" si="277"/>
        <v>#DIV/0!</v>
      </c>
      <c r="AG102" s="97" t="e">
        <f t="shared" si="278"/>
        <v>#DIV/0!</v>
      </c>
      <c r="AH102" s="97" t="e">
        <f t="shared" si="279"/>
        <v>#DIV/0!</v>
      </c>
      <c r="AI102" s="97" t="e">
        <f t="shared" si="280"/>
        <v>#DIV/0!</v>
      </c>
      <c r="AJ102" s="97" t="e">
        <f t="shared" si="281"/>
        <v>#DIV/0!</v>
      </c>
      <c r="AK102" s="97" t="e">
        <f t="shared" si="282"/>
        <v>#DIV/0!</v>
      </c>
    </row>
    <row r="103" spans="2:37" s="30" customFormat="1" x14ac:dyDescent="0.15">
      <c r="B103" s="181" t="s">
        <v>519</v>
      </c>
      <c r="C103" s="177">
        <f>SUMIFS('caseload data'!E:E,'caseload data'!$A:$A,$B103,'caseload data'!$B:$B,"community")</f>
        <v>0</v>
      </c>
      <c r="D103" s="177">
        <f>SUMIFS('caseload data'!F:F,'caseload data'!$A:$A,$B103,'caseload data'!$B:$B,"community")</f>
        <v>0</v>
      </c>
      <c r="E103" s="177">
        <f>SUMIFS('caseload data'!G:G,'caseload data'!$A:$A,$B103,'caseload data'!$B:$B,"community")</f>
        <v>0</v>
      </c>
      <c r="F103" s="177">
        <f>SUMIFS('caseload data'!H:H,'caseload data'!$A:$A,$B103,'caseload data'!$B:$B,"community")</f>
        <v>0</v>
      </c>
      <c r="G103" s="177">
        <f>SUMIFS('caseload data'!I:I,'caseload data'!$A:$A,$B103,'caseload data'!$B:$B,"community")</f>
        <v>0</v>
      </c>
      <c r="H103" s="177">
        <f>SUMIFS('caseload data'!J:J,'caseload data'!$A:$A,$B103,'caseload data'!$B:$B,"community")</f>
        <v>0</v>
      </c>
      <c r="I103" s="177">
        <f>SUMIFS('caseload data'!K:K,'caseload data'!$A:$A,$B103,'caseload data'!$B:$B,"community")</f>
        <v>0</v>
      </c>
      <c r="J103" s="177">
        <f>SUMIFS('caseload data'!L:L,'caseload data'!$A:$A,$B103,'caseload data'!$B:$B,"community")</f>
        <v>0</v>
      </c>
      <c r="K103" s="177">
        <f>SUMIFS('caseload data'!M:M,'caseload data'!$A:$A,$B103,'caseload data'!$B:$B,"community")</f>
        <v>0</v>
      </c>
      <c r="L103" s="177">
        <f>SUMIFS('caseload data'!N:N,'caseload data'!$A:$A,$B103,'caseload data'!$B:$B,"community")</f>
        <v>0</v>
      </c>
      <c r="M103" s="177">
        <f>SUMIFS('caseload data'!O:O,'caseload data'!$A:$A,$B103,'caseload data'!$B:$B,"community")</f>
        <v>0</v>
      </c>
      <c r="N103" s="177">
        <f>SUMIFS('caseload data'!P:P,'caseload data'!$A:$A,$B103,'caseload data'!$B:$B,"community")</f>
        <v>0</v>
      </c>
      <c r="O103" s="177">
        <f>SUMIFS('caseload data'!Q:Q,'caseload data'!$A:$A,$B103,'caseload data'!$B:$B,"community")</f>
        <v>0</v>
      </c>
      <c r="P103" s="177">
        <f>SUMIFS('caseload data'!R:R,'caseload data'!$A:$A,$B103,'caseload data'!$B:$B,"community")</f>
        <v>0</v>
      </c>
      <c r="Q103" s="177">
        <f>SUMIFS('caseload data'!S:S,'caseload data'!$A:$A,$B103,'caseload data'!$B:$B,"community")</f>
        <v>0</v>
      </c>
      <c r="R103" s="177">
        <f>SUMIFS('caseload data'!T:T,'caseload data'!$A:$A,$B103,'caseload data'!$B:$B,"community")</f>
        <v>0</v>
      </c>
      <c r="S103" s="177">
        <f>SUMIFS('caseload data'!V:V,'caseload data'!$A:$A,B103,'caseload data'!$B:$B,"community")</f>
        <v>0</v>
      </c>
      <c r="T103" s="95"/>
      <c r="U103" s="181" t="s">
        <v>519</v>
      </c>
      <c r="V103" s="97" t="e">
        <f t="shared" si="267"/>
        <v>#DIV/0!</v>
      </c>
      <c r="W103" s="97" t="e">
        <f t="shared" si="268"/>
        <v>#DIV/0!</v>
      </c>
      <c r="X103" s="97" t="e">
        <f t="shared" si="269"/>
        <v>#DIV/0!</v>
      </c>
      <c r="Y103" s="97" t="e">
        <f t="shared" si="270"/>
        <v>#DIV/0!</v>
      </c>
      <c r="Z103" s="97" t="e">
        <f t="shared" si="271"/>
        <v>#DIV/0!</v>
      </c>
      <c r="AA103" s="97" t="e">
        <f t="shared" si="272"/>
        <v>#DIV/0!</v>
      </c>
      <c r="AB103" s="97" t="e">
        <f t="shared" si="273"/>
        <v>#DIV/0!</v>
      </c>
      <c r="AC103" s="97" t="e">
        <f t="shared" si="274"/>
        <v>#DIV/0!</v>
      </c>
      <c r="AD103" s="97" t="e">
        <f t="shared" si="275"/>
        <v>#DIV/0!</v>
      </c>
      <c r="AE103" s="97" t="e">
        <f t="shared" si="276"/>
        <v>#DIV/0!</v>
      </c>
      <c r="AF103" s="97" t="e">
        <f t="shared" si="277"/>
        <v>#DIV/0!</v>
      </c>
      <c r="AG103" s="97" t="e">
        <f t="shared" si="278"/>
        <v>#DIV/0!</v>
      </c>
      <c r="AH103" s="97" t="e">
        <f t="shared" si="279"/>
        <v>#DIV/0!</v>
      </c>
      <c r="AI103" s="97" t="e">
        <f t="shared" si="280"/>
        <v>#DIV/0!</v>
      </c>
      <c r="AJ103" s="97" t="e">
        <f t="shared" si="281"/>
        <v>#DIV/0!</v>
      </c>
      <c r="AK103" s="97" t="e">
        <f t="shared" si="282"/>
        <v>#DIV/0!</v>
      </c>
    </row>
    <row r="104" spans="2:37" s="30" customFormat="1" x14ac:dyDescent="0.15">
      <c r="B104" s="181" t="s">
        <v>520</v>
      </c>
      <c r="C104" s="177">
        <f>SUMIFS('caseload data'!E:E,'caseload data'!$A:$A,$B104,'caseload data'!$B:$B,"community")</f>
        <v>0</v>
      </c>
      <c r="D104" s="177">
        <f>SUMIFS('caseload data'!F:F,'caseload data'!$A:$A,$B104,'caseload data'!$B:$B,"community")</f>
        <v>0</v>
      </c>
      <c r="E104" s="177">
        <f>SUMIFS('caseload data'!G:G,'caseload data'!$A:$A,$B104,'caseload data'!$B:$B,"community")</f>
        <v>0</v>
      </c>
      <c r="F104" s="177">
        <f>SUMIFS('caseload data'!H:H,'caseload data'!$A:$A,$B104,'caseload data'!$B:$B,"community")</f>
        <v>0</v>
      </c>
      <c r="G104" s="177">
        <f>SUMIFS('caseload data'!I:I,'caseload data'!$A:$A,$B104,'caseload data'!$B:$B,"community")</f>
        <v>0</v>
      </c>
      <c r="H104" s="177">
        <f>SUMIFS('caseload data'!J:J,'caseload data'!$A:$A,$B104,'caseload data'!$B:$B,"community")</f>
        <v>0</v>
      </c>
      <c r="I104" s="177">
        <f>SUMIFS('caseload data'!K:K,'caseload data'!$A:$A,$B104,'caseload data'!$B:$B,"community")</f>
        <v>0</v>
      </c>
      <c r="J104" s="177">
        <f>SUMIFS('caseload data'!L:L,'caseload data'!$A:$A,$B104,'caseload data'!$B:$B,"community")</f>
        <v>0</v>
      </c>
      <c r="K104" s="177">
        <f>SUMIFS('caseload data'!M:M,'caseload data'!$A:$A,$B104,'caseload data'!$B:$B,"community")</f>
        <v>0</v>
      </c>
      <c r="L104" s="177">
        <f>SUMIFS('caseload data'!N:N,'caseload data'!$A:$A,$B104,'caseload data'!$B:$B,"community")</f>
        <v>0</v>
      </c>
      <c r="M104" s="177">
        <f>SUMIFS('caseload data'!O:O,'caseload data'!$A:$A,$B104,'caseload data'!$B:$B,"community")</f>
        <v>0</v>
      </c>
      <c r="N104" s="177">
        <f>SUMIFS('caseload data'!P:P,'caseload data'!$A:$A,$B104,'caseload data'!$B:$B,"community")</f>
        <v>0</v>
      </c>
      <c r="O104" s="177">
        <f>SUMIFS('caseload data'!Q:Q,'caseload data'!$A:$A,$B104,'caseload data'!$B:$B,"community")</f>
        <v>0</v>
      </c>
      <c r="P104" s="177">
        <f>SUMIFS('caseload data'!R:R,'caseload data'!$A:$A,$B104,'caseload data'!$B:$B,"community")</f>
        <v>0</v>
      </c>
      <c r="Q104" s="177">
        <f>SUMIFS('caseload data'!S:S,'caseload data'!$A:$A,$B104,'caseload data'!$B:$B,"community")</f>
        <v>0</v>
      </c>
      <c r="R104" s="177">
        <f>SUMIFS('caseload data'!T:T,'caseload data'!$A:$A,$B104,'caseload data'!$B:$B,"community")</f>
        <v>0</v>
      </c>
      <c r="S104" s="177">
        <f>SUMIFS('caseload data'!V:V,'caseload data'!$A:$A,B104,'caseload data'!$B:$B,"community")</f>
        <v>0</v>
      </c>
      <c r="T104" s="95"/>
      <c r="U104" s="181" t="s">
        <v>520</v>
      </c>
      <c r="V104" s="97" t="e">
        <f t="shared" si="267"/>
        <v>#DIV/0!</v>
      </c>
      <c r="W104" s="97" t="e">
        <f t="shared" si="268"/>
        <v>#DIV/0!</v>
      </c>
      <c r="X104" s="97" t="e">
        <f t="shared" si="269"/>
        <v>#DIV/0!</v>
      </c>
      <c r="Y104" s="97" t="e">
        <f t="shared" si="270"/>
        <v>#DIV/0!</v>
      </c>
      <c r="Z104" s="97" t="e">
        <f t="shared" si="271"/>
        <v>#DIV/0!</v>
      </c>
      <c r="AA104" s="97" t="e">
        <f t="shared" si="272"/>
        <v>#DIV/0!</v>
      </c>
      <c r="AB104" s="97" t="e">
        <f t="shared" si="273"/>
        <v>#DIV/0!</v>
      </c>
      <c r="AC104" s="97" t="e">
        <f t="shared" si="274"/>
        <v>#DIV/0!</v>
      </c>
      <c r="AD104" s="97" t="e">
        <f t="shared" si="275"/>
        <v>#DIV/0!</v>
      </c>
      <c r="AE104" s="97" t="e">
        <f t="shared" si="276"/>
        <v>#DIV/0!</v>
      </c>
      <c r="AF104" s="97" t="e">
        <f t="shared" si="277"/>
        <v>#DIV/0!</v>
      </c>
      <c r="AG104" s="97" t="e">
        <f t="shared" si="278"/>
        <v>#DIV/0!</v>
      </c>
      <c r="AH104" s="97" t="e">
        <f t="shared" si="279"/>
        <v>#DIV/0!</v>
      </c>
      <c r="AI104" s="97" t="e">
        <f t="shared" si="280"/>
        <v>#DIV/0!</v>
      </c>
      <c r="AJ104" s="97" t="e">
        <f t="shared" si="281"/>
        <v>#DIV/0!</v>
      </c>
      <c r="AK104" s="97" t="e">
        <f t="shared" si="282"/>
        <v>#DIV/0!</v>
      </c>
    </row>
    <row r="105" spans="2:37" s="30" customFormat="1" x14ac:dyDescent="0.15">
      <c r="B105" s="181" t="s">
        <v>521</v>
      </c>
      <c r="C105" s="177">
        <f>SUMIFS('caseload data'!E:E,'caseload data'!$A:$A,$B105,'caseload data'!$B:$B,"community")</f>
        <v>0</v>
      </c>
      <c r="D105" s="177">
        <f>SUMIFS('caseload data'!F:F,'caseload data'!$A:$A,$B105,'caseload data'!$B:$B,"community")</f>
        <v>0</v>
      </c>
      <c r="E105" s="177">
        <f>SUMIFS('caseload data'!G:G,'caseload data'!$A:$A,$B105,'caseload data'!$B:$B,"community")</f>
        <v>0</v>
      </c>
      <c r="F105" s="177">
        <f>SUMIFS('caseload data'!H:H,'caseload data'!$A:$A,$B105,'caseload data'!$B:$B,"community")</f>
        <v>0</v>
      </c>
      <c r="G105" s="177">
        <f>SUMIFS('caseload data'!I:I,'caseload data'!$A:$A,$B105,'caseload data'!$B:$B,"community")</f>
        <v>0</v>
      </c>
      <c r="H105" s="177">
        <f>SUMIFS('caseload data'!J:J,'caseload data'!$A:$A,$B105,'caseload data'!$B:$B,"community")</f>
        <v>0</v>
      </c>
      <c r="I105" s="177">
        <f>SUMIFS('caseload data'!K:K,'caseload data'!$A:$A,$B105,'caseload data'!$B:$B,"community")</f>
        <v>0</v>
      </c>
      <c r="J105" s="177">
        <f>SUMIFS('caseload data'!L:L,'caseload data'!$A:$A,$B105,'caseload data'!$B:$B,"community")</f>
        <v>0</v>
      </c>
      <c r="K105" s="177">
        <f>SUMIFS('caseload data'!M:M,'caseload data'!$A:$A,$B105,'caseload data'!$B:$B,"community")</f>
        <v>0</v>
      </c>
      <c r="L105" s="177">
        <f>SUMIFS('caseload data'!N:N,'caseload data'!$A:$A,$B105,'caseload data'!$B:$B,"community")</f>
        <v>0</v>
      </c>
      <c r="M105" s="177">
        <f>SUMIFS('caseload data'!O:O,'caseload data'!$A:$A,$B105,'caseload data'!$B:$B,"community")</f>
        <v>0</v>
      </c>
      <c r="N105" s="177">
        <f>SUMIFS('caseload data'!P:P,'caseload data'!$A:$A,$B105,'caseload data'!$B:$B,"community")</f>
        <v>0</v>
      </c>
      <c r="O105" s="177">
        <f>SUMIFS('caseload data'!Q:Q,'caseload data'!$A:$A,$B105,'caseload data'!$B:$B,"community")</f>
        <v>0</v>
      </c>
      <c r="P105" s="177">
        <f>SUMIFS('caseload data'!R:R,'caseload data'!$A:$A,$B105,'caseload data'!$B:$B,"community")</f>
        <v>0</v>
      </c>
      <c r="Q105" s="177">
        <f>SUMIFS('caseload data'!S:S,'caseload data'!$A:$A,$B105,'caseload data'!$B:$B,"community")</f>
        <v>0</v>
      </c>
      <c r="R105" s="177">
        <f>SUMIFS('caseload data'!T:T,'caseload data'!$A:$A,$B105,'caseload data'!$B:$B,"community")</f>
        <v>0</v>
      </c>
      <c r="S105" s="177">
        <f>SUMIFS('caseload data'!V:V,'caseload data'!$A:$A,B105,'caseload data'!$B:$B,"community")</f>
        <v>0</v>
      </c>
      <c r="T105" s="95"/>
      <c r="U105" s="181" t="s">
        <v>521</v>
      </c>
      <c r="V105" s="97" t="e">
        <f t="shared" si="267"/>
        <v>#DIV/0!</v>
      </c>
      <c r="W105" s="97" t="e">
        <f t="shared" si="268"/>
        <v>#DIV/0!</v>
      </c>
      <c r="X105" s="97" t="e">
        <f t="shared" si="269"/>
        <v>#DIV/0!</v>
      </c>
      <c r="Y105" s="97" t="e">
        <f t="shared" si="270"/>
        <v>#DIV/0!</v>
      </c>
      <c r="Z105" s="97" t="e">
        <f t="shared" si="271"/>
        <v>#DIV/0!</v>
      </c>
      <c r="AA105" s="97" t="e">
        <f t="shared" si="272"/>
        <v>#DIV/0!</v>
      </c>
      <c r="AB105" s="97" t="e">
        <f t="shared" si="273"/>
        <v>#DIV/0!</v>
      </c>
      <c r="AC105" s="97" t="e">
        <f t="shared" si="274"/>
        <v>#DIV/0!</v>
      </c>
      <c r="AD105" s="97" t="e">
        <f t="shared" si="275"/>
        <v>#DIV/0!</v>
      </c>
      <c r="AE105" s="97" t="e">
        <f t="shared" si="276"/>
        <v>#DIV/0!</v>
      </c>
      <c r="AF105" s="97" t="e">
        <f t="shared" si="277"/>
        <v>#DIV/0!</v>
      </c>
      <c r="AG105" s="97" t="e">
        <f t="shared" si="278"/>
        <v>#DIV/0!</v>
      </c>
      <c r="AH105" s="97" t="e">
        <f t="shared" si="279"/>
        <v>#DIV/0!</v>
      </c>
      <c r="AI105" s="97" t="e">
        <f t="shared" si="280"/>
        <v>#DIV/0!</v>
      </c>
      <c r="AJ105" s="97" t="e">
        <f t="shared" si="281"/>
        <v>#DIV/0!</v>
      </c>
      <c r="AK105" s="97" t="e">
        <f t="shared" si="282"/>
        <v>#DIV/0!</v>
      </c>
    </row>
    <row r="106" spans="2:37" s="30" customFormat="1" x14ac:dyDescent="0.15">
      <c r="B106" s="181" t="s">
        <v>522</v>
      </c>
      <c r="C106" s="177">
        <f>SUMIFS('caseload data'!E:E,'caseload data'!$A:$A,$B106,'caseload data'!$B:$B,"community")</f>
        <v>0</v>
      </c>
      <c r="D106" s="177">
        <f>SUMIFS('caseload data'!F:F,'caseload data'!$A:$A,$B106,'caseload data'!$B:$B,"community")</f>
        <v>0</v>
      </c>
      <c r="E106" s="177">
        <f>SUMIFS('caseload data'!G:G,'caseload data'!$A:$A,$B106,'caseload data'!$B:$B,"community")</f>
        <v>0</v>
      </c>
      <c r="F106" s="177">
        <f>SUMIFS('caseload data'!H:H,'caseload data'!$A:$A,$B106,'caseload data'!$B:$B,"community")</f>
        <v>0</v>
      </c>
      <c r="G106" s="177">
        <f>SUMIFS('caseload data'!I:I,'caseload data'!$A:$A,$B106,'caseload data'!$B:$B,"community")</f>
        <v>0</v>
      </c>
      <c r="H106" s="177">
        <f>SUMIFS('caseload data'!J:J,'caseload data'!$A:$A,$B106,'caseload data'!$B:$B,"community")</f>
        <v>0</v>
      </c>
      <c r="I106" s="177">
        <f>SUMIFS('caseload data'!K:K,'caseload data'!$A:$A,$B106,'caseload data'!$B:$B,"community")</f>
        <v>0</v>
      </c>
      <c r="J106" s="177">
        <f>SUMIFS('caseload data'!L:L,'caseload data'!$A:$A,$B106,'caseload data'!$B:$B,"community")</f>
        <v>0</v>
      </c>
      <c r="K106" s="177">
        <f>SUMIFS('caseload data'!M:M,'caseload data'!$A:$A,$B106,'caseload data'!$B:$B,"community")</f>
        <v>0</v>
      </c>
      <c r="L106" s="177">
        <f>SUMIFS('caseload data'!N:N,'caseload data'!$A:$A,$B106,'caseload data'!$B:$B,"community")</f>
        <v>0</v>
      </c>
      <c r="M106" s="177">
        <f>SUMIFS('caseload data'!O:O,'caseload data'!$A:$A,$B106,'caseload data'!$B:$B,"community")</f>
        <v>0</v>
      </c>
      <c r="N106" s="177">
        <f>SUMIFS('caseload data'!P:P,'caseload data'!$A:$A,$B106,'caseload data'!$B:$B,"community")</f>
        <v>0</v>
      </c>
      <c r="O106" s="177">
        <f>SUMIFS('caseload data'!Q:Q,'caseload data'!$A:$A,$B106,'caseload data'!$B:$B,"community")</f>
        <v>0</v>
      </c>
      <c r="P106" s="177">
        <f>SUMIFS('caseload data'!R:R,'caseload data'!$A:$A,$B106,'caseload data'!$B:$B,"community")</f>
        <v>0</v>
      </c>
      <c r="Q106" s="177">
        <f>SUMIFS('caseload data'!S:S,'caseload data'!$A:$A,$B106,'caseload data'!$B:$B,"community")</f>
        <v>0</v>
      </c>
      <c r="R106" s="177">
        <f>SUMIFS('caseload data'!T:T,'caseload data'!$A:$A,$B106,'caseload data'!$B:$B,"community")</f>
        <v>0</v>
      </c>
      <c r="S106" s="177">
        <f>SUMIFS('caseload data'!V:V,'caseload data'!$A:$A,B106,'caseload data'!$B:$B,"community")</f>
        <v>0</v>
      </c>
      <c r="T106" s="95"/>
      <c r="U106" s="181" t="s">
        <v>522</v>
      </c>
      <c r="V106" s="97" t="e">
        <f t="shared" si="267"/>
        <v>#DIV/0!</v>
      </c>
      <c r="W106" s="97" t="e">
        <f t="shared" si="268"/>
        <v>#DIV/0!</v>
      </c>
      <c r="X106" s="97" t="e">
        <f t="shared" si="269"/>
        <v>#DIV/0!</v>
      </c>
      <c r="Y106" s="97" t="e">
        <f t="shared" si="270"/>
        <v>#DIV/0!</v>
      </c>
      <c r="Z106" s="97" t="e">
        <f t="shared" si="271"/>
        <v>#DIV/0!</v>
      </c>
      <c r="AA106" s="97" t="e">
        <f t="shared" si="272"/>
        <v>#DIV/0!</v>
      </c>
      <c r="AB106" s="97" t="e">
        <f t="shared" si="273"/>
        <v>#DIV/0!</v>
      </c>
      <c r="AC106" s="97" t="e">
        <f t="shared" si="274"/>
        <v>#DIV/0!</v>
      </c>
      <c r="AD106" s="97" t="e">
        <f t="shared" si="275"/>
        <v>#DIV/0!</v>
      </c>
      <c r="AE106" s="97" t="e">
        <f t="shared" si="276"/>
        <v>#DIV/0!</v>
      </c>
      <c r="AF106" s="97" t="e">
        <f t="shared" si="277"/>
        <v>#DIV/0!</v>
      </c>
      <c r="AG106" s="97" t="e">
        <f t="shared" si="278"/>
        <v>#DIV/0!</v>
      </c>
      <c r="AH106" s="97" t="e">
        <f t="shared" si="279"/>
        <v>#DIV/0!</v>
      </c>
      <c r="AI106" s="97" t="e">
        <f t="shared" si="280"/>
        <v>#DIV/0!</v>
      </c>
      <c r="AJ106" s="97" t="e">
        <f t="shared" si="281"/>
        <v>#DIV/0!</v>
      </c>
      <c r="AK106" s="97" t="e">
        <f t="shared" si="282"/>
        <v>#DIV/0!</v>
      </c>
    </row>
    <row r="107" spans="2:37" s="30" customFormat="1" x14ac:dyDescent="0.15">
      <c r="B107" s="181" t="s">
        <v>523</v>
      </c>
      <c r="C107" s="177">
        <f>SUMIFS('caseload data'!E:E,'caseload data'!$A:$A,$B107,'caseload data'!$B:$B,"community")</f>
        <v>0</v>
      </c>
      <c r="D107" s="177">
        <f>SUMIFS('caseload data'!F:F,'caseload data'!$A:$A,$B107,'caseload data'!$B:$B,"community")</f>
        <v>0</v>
      </c>
      <c r="E107" s="177">
        <f>SUMIFS('caseload data'!G:G,'caseload data'!$A:$A,$B107,'caseload data'!$B:$B,"community")</f>
        <v>0</v>
      </c>
      <c r="F107" s="177">
        <f>SUMIFS('caseload data'!H:H,'caseload data'!$A:$A,$B107,'caseload data'!$B:$B,"community")</f>
        <v>0</v>
      </c>
      <c r="G107" s="177">
        <f>SUMIFS('caseload data'!I:I,'caseload data'!$A:$A,$B107,'caseload data'!$B:$B,"community")</f>
        <v>0</v>
      </c>
      <c r="H107" s="177">
        <f>SUMIFS('caseload data'!J:J,'caseload data'!$A:$A,$B107,'caseload data'!$B:$B,"community")</f>
        <v>0</v>
      </c>
      <c r="I107" s="177">
        <f>SUMIFS('caseload data'!K:K,'caseload data'!$A:$A,$B107,'caseload data'!$B:$B,"community")</f>
        <v>0</v>
      </c>
      <c r="J107" s="177">
        <f>SUMIFS('caseload data'!L:L,'caseload data'!$A:$A,$B107,'caseload data'!$B:$B,"community")</f>
        <v>0</v>
      </c>
      <c r="K107" s="177">
        <f>SUMIFS('caseload data'!M:M,'caseload data'!$A:$A,$B107,'caseload data'!$B:$B,"community")</f>
        <v>0</v>
      </c>
      <c r="L107" s="177">
        <f>SUMIFS('caseload data'!N:N,'caseload data'!$A:$A,$B107,'caseload data'!$B:$B,"community")</f>
        <v>0</v>
      </c>
      <c r="M107" s="177">
        <f>SUMIFS('caseload data'!O:O,'caseload data'!$A:$A,$B107,'caseload data'!$B:$B,"community")</f>
        <v>0</v>
      </c>
      <c r="N107" s="177">
        <f>SUMIFS('caseload data'!P:P,'caseload data'!$A:$A,$B107,'caseload data'!$B:$B,"community")</f>
        <v>0</v>
      </c>
      <c r="O107" s="177">
        <f>SUMIFS('caseload data'!Q:Q,'caseload data'!$A:$A,$B107,'caseload data'!$B:$B,"community")</f>
        <v>0</v>
      </c>
      <c r="P107" s="177">
        <f>SUMIFS('caseload data'!R:R,'caseload data'!$A:$A,$B107,'caseload data'!$B:$B,"community")</f>
        <v>0</v>
      </c>
      <c r="Q107" s="177">
        <f>SUMIFS('caseload data'!S:S,'caseload data'!$A:$A,$B107,'caseload data'!$B:$B,"community")</f>
        <v>0</v>
      </c>
      <c r="R107" s="177">
        <f>SUMIFS('caseload data'!T:T,'caseload data'!$A:$A,$B107,'caseload data'!$B:$B,"community")</f>
        <v>0</v>
      </c>
      <c r="S107" s="177">
        <f>SUMIFS('caseload data'!V:V,'caseload data'!$A:$A,B107,'caseload data'!$B:$B,"community")</f>
        <v>0</v>
      </c>
      <c r="T107" s="95"/>
      <c r="U107" s="181" t="s">
        <v>523</v>
      </c>
      <c r="V107" s="97" t="e">
        <f t="shared" si="267"/>
        <v>#DIV/0!</v>
      </c>
      <c r="W107" s="97" t="e">
        <f t="shared" si="268"/>
        <v>#DIV/0!</v>
      </c>
      <c r="X107" s="97" t="e">
        <f t="shared" si="269"/>
        <v>#DIV/0!</v>
      </c>
      <c r="Y107" s="97" t="e">
        <f t="shared" si="270"/>
        <v>#DIV/0!</v>
      </c>
      <c r="Z107" s="97" t="e">
        <f t="shared" si="271"/>
        <v>#DIV/0!</v>
      </c>
      <c r="AA107" s="97" t="e">
        <f t="shared" si="272"/>
        <v>#DIV/0!</v>
      </c>
      <c r="AB107" s="97" t="e">
        <f t="shared" si="273"/>
        <v>#DIV/0!</v>
      </c>
      <c r="AC107" s="97" t="e">
        <f t="shared" si="274"/>
        <v>#DIV/0!</v>
      </c>
      <c r="AD107" s="97" t="e">
        <f t="shared" si="275"/>
        <v>#DIV/0!</v>
      </c>
      <c r="AE107" s="97" t="e">
        <f t="shared" si="276"/>
        <v>#DIV/0!</v>
      </c>
      <c r="AF107" s="97" t="e">
        <f t="shared" si="277"/>
        <v>#DIV/0!</v>
      </c>
      <c r="AG107" s="97" t="e">
        <f t="shared" si="278"/>
        <v>#DIV/0!</v>
      </c>
      <c r="AH107" s="97" t="e">
        <f t="shared" si="279"/>
        <v>#DIV/0!</v>
      </c>
      <c r="AI107" s="97" t="e">
        <f t="shared" si="280"/>
        <v>#DIV/0!</v>
      </c>
      <c r="AJ107" s="97" t="e">
        <f t="shared" si="281"/>
        <v>#DIV/0!</v>
      </c>
      <c r="AK107" s="97" t="e">
        <f t="shared" si="282"/>
        <v>#DIV/0!</v>
      </c>
    </row>
    <row r="108" spans="2:37" x14ac:dyDescent="0.15">
      <c r="B108" s="143" t="s">
        <v>183</v>
      </c>
      <c r="C108" s="179">
        <f>SUMIF('caseload data'!$B:$B,"community",'caseload data'!E:E)</f>
        <v>0</v>
      </c>
      <c r="D108" s="179">
        <f>SUMIF('caseload data'!$B:$B,"community",'caseload data'!F:F)</f>
        <v>0</v>
      </c>
      <c r="E108" s="179">
        <f>SUMIF('caseload data'!$B:$B,"community",'caseload data'!G:G)</f>
        <v>0</v>
      </c>
      <c r="F108" s="179">
        <f>SUMIF('caseload data'!$B:$B,"community",'caseload data'!H:H)</f>
        <v>0</v>
      </c>
      <c r="G108" s="179">
        <f>SUMIF('caseload data'!$B:$B,"community",'caseload data'!I:I)</f>
        <v>0</v>
      </c>
      <c r="H108" s="179">
        <f>SUMIF('caseload data'!$B:$B,"community",'caseload data'!J:J)</f>
        <v>0</v>
      </c>
      <c r="I108" s="179">
        <f>SUMIF('caseload data'!$B:$B,"community",'caseload data'!K:K)</f>
        <v>0</v>
      </c>
      <c r="J108" s="179">
        <f>SUMIF('caseload data'!$B:$B,"community",'caseload data'!L:L)</f>
        <v>0</v>
      </c>
      <c r="K108" s="179">
        <f>SUMIF('caseload data'!$B:$B,"community",'caseload data'!M:M)</f>
        <v>0</v>
      </c>
      <c r="L108" s="179">
        <f>SUMIF('caseload data'!$B:$B,"community",'caseload data'!N:N)</f>
        <v>0</v>
      </c>
      <c r="M108" s="179">
        <f>SUMIF('caseload data'!$B:$B,"community",'caseload data'!O:O)</f>
        <v>0</v>
      </c>
      <c r="N108" s="179">
        <f>SUMIF('caseload data'!$B:$B,"community",'caseload data'!P:P)</f>
        <v>0</v>
      </c>
      <c r="O108" s="179">
        <f>SUMIF('caseload data'!$B:$B,"community",'caseload data'!Q:Q)</f>
        <v>0</v>
      </c>
      <c r="P108" s="179">
        <f>SUMIF('caseload data'!$B:$B,"community",'caseload data'!R:R)</f>
        <v>0</v>
      </c>
      <c r="Q108" s="179">
        <f>SUMIF('caseload data'!$B:$B,"community",'caseload data'!S:S)</f>
        <v>0</v>
      </c>
      <c r="R108" s="179">
        <f>SUMIF('caseload data'!$B:$B,"community",'caseload data'!T:T)</f>
        <v>0</v>
      </c>
      <c r="S108" s="179">
        <f>SUMIF('caseload data'!$B:$B,"community",'caseload data'!V:V)</f>
        <v>0</v>
      </c>
      <c r="T108" s="95"/>
      <c r="U108" s="143" t="s">
        <v>183</v>
      </c>
      <c r="V108" s="148" t="e">
        <f>C108/$S$108</f>
        <v>#DIV/0!</v>
      </c>
      <c r="W108" s="148" t="e">
        <f t="shared" ref="W108:AK108" si="283">D108/$S$108</f>
        <v>#DIV/0!</v>
      </c>
      <c r="X108" s="148" t="e">
        <f t="shared" si="283"/>
        <v>#DIV/0!</v>
      </c>
      <c r="Y108" s="148" t="e">
        <f t="shared" si="283"/>
        <v>#DIV/0!</v>
      </c>
      <c r="Z108" s="148" t="e">
        <f t="shared" si="283"/>
        <v>#DIV/0!</v>
      </c>
      <c r="AA108" s="148" t="e">
        <f t="shared" si="283"/>
        <v>#DIV/0!</v>
      </c>
      <c r="AB108" s="148" t="e">
        <f t="shared" si="283"/>
        <v>#DIV/0!</v>
      </c>
      <c r="AC108" s="148" t="e">
        <f t="shared" si="283"/>
        <v>#DIV/0!</v>
      </c>
      <c r="AD108" s="148" t="e">
        <f t="shared" si="283"/>
        <v>#DIV/0!</v>
      </c>
      <c r="AE108" s="148" t="e">
        <f t="shared" si="283"/>
        <v>#DIV/0!</v>
      </c>
      <c r="AF108" s="148" t="e">
        <f t="shared" si="283"/>
        <v>#DIV/0!</v>
      </c>
      <c r="AG108" s="148" t="e">
        <f t="shared" si="283"/>
        <v>#DIV/0!</v>
      </c>
      <c r="AH108" s="148" t="e">
        <f t="shared" si="283"/>
        <v>#DIV/0!</v>
      </c>
      <c r="AI108" s="148" t="e">
        <f t="shared" si="283"/>
        <v>#DIV/0!</v>
      </c>
      <c r="AJ108" s="148" t="e">
        <f t="shared" si="283"/>
        <v>#DIV/0!</v>
      </c>
      <c r="AK108" s="148" t="e">
        <f t="shared" si="283"/>
        <v>#DIV/0!</v>
      </c>
    </row>
  </sheetData>
  <mergeCells count="10">
    <mergeCell ref="C58:S58"/>
    <mergeCell ref="C84:S84"/>
    <mergeCell ref="V31:AB31"/>
    <mergeCell ref="V58:AB58"/>
    <mergeCell ref="V84:AB84"/>
    <mergeCell ref="A1:AN1"/>
    <mergeCell ref="A2:AN2"/>
    <mergeCell ref="C4:S4"/>
    <mergeCell ref="V4:AB4"/>
    <mergeCell ref="C31:S3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1:AO76"/>
  <sheetViews>
    <sheetView showGridLines="0" zoomScale="70" zoomScaleNormal="70" workbookViewId="0">
      <selection activeCell="J5" sqref="J5"/>
    </sheetView>
  </sheetViews>
  <sheetFormatPr baseColWidth="10" defaultColWidth="8.83203125" defaultRowHeight="14" x14ac:dyDescent="0.15"/>
  <cols>
    <col min="1" max="1" width="2.5" style="30" customWidth="1"/>
    <col min="2" max="2" width="36.1640625" customWidth="1"/>
    <col min="4" max="12" width="8.83203125" style="30"/>
    <col min="20" max="20" width="33" customWidth="1"/>
  </cols>
  <sheetData>
    <row r="1" spans="1:41" s="30" customFormat="1" ht="63" customHeight="1" x14ac:dyDescent="0.15">
      <c r="A1" s="346" t="s">
        <v>453</v>
      </c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346"/>
      <c r="X1" s="346"/>
      <c r="Y1" s="346"/>
      <c r="Z1" s="346"/>
      <c r="AA1" s="346"/>
      <c r="AB1" s="346"/>
      <c r="AC1" s="346"/>
      <c r="AD1" s="346"/>
      <c r="AE1" s="346"/>
      <c r="AF1" s="346"/>
      <c r="AG1" s="346"/>
      <c r="AH1" s="346"/>
      <c r="AI1" s="346"/>
      <c r="AJ1" s="346"/>
      <c r="AK1" s="346"/>
      <c r="AL1" s="346"/>
      <c r="AM1" s="346"/>
      <c r="AN1" s="346"/>
      <c r="AO1" s="346"/>
    </row>
    <row r="2" spans="1:41" s="30" customFormat="1" ht="56.25" customHeight="1" x14ac:dyDescent="0.15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  <c r="AD2" s="301"/>
      <c r="AE2" s="301"/>
      <c r="AF2" s="301"/>
      <c r="AG2" s="301"/>
      <c r="AH2" s="301"/>
      <c r="AI2" s="301"/>
      <c r="AJ2" s="301"/>
      <c r="AK2" s="301"/>
      <c r="AL2" s="301"/>
      <c r="AM2" s="301"/>
      <c r="AN2" s="301"/>
      <c r="AO2" s="301"/>
    </row>
    <row r="3" spans="1:41" s="72" customFormat="1" ht="16" x14ac:dyDescent="0.15"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</row>
    <row r="4" spans="1:41" ht="28" x14ac:dyDescent="0.15">
      <c r="B4" s="184" t="s">
        <v>470</v>
      </c>
      <c r="C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</row>
    <row r="5" spans="1:41" s="30" customFormat="1" ht="15" x14ac:dyDescent="0.15">
      <c r="B5" s="78" t="s">
        <v>523</v>
      </c>
      <c r="P5" s="61"/>
      <c r="Q5" s="61"/>
    </row>
    <row r="6" spans="1:41" s="30" customFormat="1" x14ac:dyDescent="0.15">
      <c r="B6" s="70"/>
    </row>
    <row r="8" spans="1:41" ht="28.5" customHeight="1" x14ac:dyDescent="0.15">
      <c r="B8" s="182" t="str">
        <f>HLOOKUP($B$5,Region_Table,2,0)</f>
        <v>PSC - C05</v>
      </c>
      <c r="C8" s="359" t="s">
        <v>363</v>
      </c>
      <c r="D8" s="365"/>
      <c r="E8" s="365"/>
      <c r="F8" s="365"/>
      <c r="G8" s="365"/>
      <c r="H8" s="365"/>
      <c r="I8" s="365"/>
      <c r="J8" s="365"/>
      <c r="K8" s="365"/>
      <c r="L8" s="365"/>
      <c r="M8" s="360"/>
      <c r="N8" s="360"/>
      <c r="O8" s="361"/>
      <c r="P8" s="362">
        <f>SUMIF('caseload data'!C:C,'divisional &amp; regional caseload'!B8,'caseload data'!V:V)</f>
        <v>0</v>
      </c>
      <c r="Q8" s="363"/>
      <c r="R8" s="364"/>
      <c r="S8" s="183"/>
      <c r="T8" s="182" t="str">
        <f>HLOOKUP($B$5,Region_Table,3,0)</f>
        <v>West Yorkshire All Boroughs</v>
      </c>
      <c r="U8" s="359" t="s">
        <v>363</v>
      </c>
      <c r="V8" s="360"/>
      <c r="W8" s="360"/>
      <c r="X8" s="361"/>
      <c r="Y8" s="362">
        <f>SUMIF('caseload data'!C:C,'divisional &amp; regional caseload'!T8,'caseload data'!V:V)</f>
        <v>0</v>
      </c>
      <c r="Z8" s="366"/>
      <c r="AA8" s="367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</row>
    <row r="9" spans="1:41" x14ac:dyDescent="0.15">
      <c r="B9" s="127" t="s">
        <v>324</v>
      </c>
      <c r="C9" s="58" t="s">
        <v>504</v>
      </c>
      <c r="D9" s="58" t="s">
        <v>503</v>
      </c>
      <c r="E9" s="58" t="s">
        <v>502</v>
      </c>
      <c r="F9" s="58" t="s">
        <v>501</v>
      </c>
      <c r="G9" s="58" t="s">
        <v>510</v>
      </c>
      <c r="H9" s="58" t="s">
        <v>176</v>
      </c>
      <c r="I9" s="58" t="s">
        <v>177</v>
      </c>
      <c r="J9" s="58" t="s">
        <v>505</v>
      </c>
      <c r="K9" s="58" t="s">
        <v>507</v>
      </c>
      <c r="L9" s="58" t="s">
        <v>178</v>
      </c>
      <c r="M9" s="58" t="s">
        <v>179</v>
      </c>
      <c r="N9" s="58" t="s">
        <v>506</v>
      </c>
      <c r="O9" s="58" t="s">
        <v>508</v>
      </c>
      <c r="P9" s="58" t="s">
        <v>180</v>
      </c>
      <c r="Q9" s="58" t="s">
        <v>181</v>
      </c>
      <c r="R9" s="58" t="s">
        <v>509</v>
      </c>
      <c r="S9" s="183"/>
      <c r="T9" s="127" t="s">
        <v>324</v>
      </c>
      <c r="U9" s="58" t="s">
        <v>504</v>
      </c>
      <c r="V9" s="58" t="s">
        <v>503</v>
      </c>
      <c r="W9" s="58" t="s">
        <v>502</v>
      </c>
      <c r="X9" s="58" t="s">
        <v>501</v>
      </c>
      <c r="Y9" s="58" t="s">
        <v>510</v>
      </c>
      <c r="Z9" s="58" t="s">
        <v>176</v>
      </c>
      <c r="AA9" s="58" t="s">
        <v>177</v>
      </c>
      <c r="AB9" s="58" t="s">
        <v>505</v>
      </c>
      <c r="AC9" s="58" t="s">
        <v>507</v>
      </c>
      <c r="AD9" s="58" t="s">
        <v>178</v>
      </c>
      <c r="AE9" s="58" t="s">
        <v>179</v>
      </c>
      <c r="AF9" s="58" t="s">
        <v>506</v>
      </c>
      <c r="AG9" s="58" t="s">
        <v>508</v>
      </c>
      <c r="AH9" s="58" t="s">
        <v>180</v>
      </c>
      <c r="AI9" s="58" t="s">
        <v>181</v>
      </c>
      <c r="AJ9" s="58" t="s">
        <v>509</v>
      </c>
      <c r="AK9" s="30"/>
      <c r="AL9" s="30"/>
      <c r="AM9" s="30"/>
      <c r="AN9" s="30"/>
      <c r="AO9" s="30"/>
    </row>
    <row r="10" spans="1:41" x14ac:dyDescent="0.15">
      <c r="B10" s="129" t="s">
        <v>184</v>
      </c>
      <c r="C10" s="204">
        <f>SUMIFS('caseload data'!E:E,'caseload data'!$D:$D,"PO",'caseload data'!$C:$C,'divisional &amp; regional caseload'!$B$8)</f>
        <v>0</v>
      </c>
      <c r="D10" s="204">
        <f>SUMIFS('caseload data'!F:F,'caseload data'!$D:$D,"PO",'caseload data'!$C:$C,'divisional &amp; regional caseload'!$B$8)</f>
        <v>0</v>
      </c>
      <c r="E10" s="204">
        <f>SUMIFS('caseload data'!G:G,'caseload data'!$D:$D,"PO",'caseload data'!$C:$C,'divisional &amp; regional caseload'!$B$8)</f>
        <v>0</v>
      </c>
      <c r="F10" s="204">
        <f>SUMIFS('caseload data'!H:H,'caseload data'!$D:$D,"PO",'caseload data'!$C:$C,'divisional &amp; regional caseload'!$B$8)</f>
        <v>0</v>
      </c>
      <c r="G10" s="204">
        <f>SUMIFS('caseload data'!I:I,'caseload data'!$D:$D,"PO",'caseload data'!$C:$C,'divisional &amp; regional caseload'!$B$8)</f>
        <v>0</v>
      </c>
      <c r="H10" s="204">
        <f>SUMIFS('caseload data'!J:J,'caseload data'!$D:$D,"PO",'caseload data'!$C:$C,'divisional &amp; regional caseload'!$B$8)</f>
        <v>0</v>
      </c>
      <c r="I10" s="204">
        <f>SUMIFS('caseload data'!K:K,'caseload data'!$D:$D,"PO",'caseload data'!$C:$C,'divisional &amp; regional caseload'!$B$8)</f>
        <v>0</v>
      </c>
      <c r="J10" s="204">
        <f>SUMIFS('caseload data'!L:L,'caseload data'!$D:$D,"PO",'caseload data'!$C:$C,'divisional &amp; regional caseload'!$B$8)</f>
        <v>0</v>
      </c>
      <c r="K10" s="204">
        <f>SUMIFS('caseload data'!M:M,'caseload data'!$D:$D,"PO",'caseload data'!$C:$C,'divisional &amp; regional caseload'!$B$8)</f>
        <v>0</v>
      </c>
      <c r="L10" s="204">
        <f>SUMIFS('caseload data'!N:N,'caseload data'!$D:$D,"PO",'caseload data'!$C:$C,'divisional &amp; regional caseload'!$B$8)</f>
        <v>0</v>
      </c>
      <c r="M10" s="204">
        <f>SUMIFS('caseload data'!O:O,'caseload data'!$D:$D,"PO",'caseload data'!$C:$C,'divisional &amp; regional caseload'!$B$8)</f>
        <v>0</v>
      </c>
      <c r="N10" s="204">
        <f>SUMIFS('caseload data'!P:P,'caseload data'!$D:$D,"PO",'caseload data'!$C:$C,'divisional &amp; regional caseload'!$B$8)</f>
        <v>0</v>
      </c>
      <c r="O10" s="204">
        <f>SUMIFS('caseload data'!Q:Q,'caseload data'!$D:$D,"PO",'caseload data'!$C:$C,'divisional &amp; regional caseload'!$B$8)</f>
        <v>0</v>
      </c>
      <c r="P10" s="204">
        <f>SUMIFS('caseload data'!R:R,'caseload data'!$D:$D,"PO",'caseload data'!$C:$C,'divisional &amp; regional caseload'!$B$8)</f>
        <v>0</v>
      </c>
      <c r="Q10" s="204">
        <f>SUMIFS('caseload data'!S:S,'caseload data'!$D:$D,"PO",'caseload data'!$C:$C,'divisional &amp; regional caseload'!$B$8)</f>
        <v>0</v>
      </c>
      <c r="R10" s="204">
        <f>SUMIFS('caseload data'!T:T,'caseload data'!$D:$D,"PO",'caseload data'!$C:$C,'divisional &amp; regional caseload'!$B$8)</f>
        <v>0</v>
      </c>
      <c r="S10" s="183"/>
      <c r="T10" s="129" t="s">
        <v>184</v>
      </c>
      <c r="U10" s="204">
        <f>SUMIFS('caseload data'!E:E,'caseload data'!$D:$D,"PO",'caseload data'!$C:$C,'divisional &amp; regional caseload'!$T$8)</f>
        <v>0</v>
      </c>
      <c r="V10" s="204">
        <f>SUMIFS('caseload data'!F:F,'caseload data'!$D:$D,"PO",'caseload data'!$C:$C,'divisional &amp; regional caseload'!$T$8)</f>
        <v>0</v>
      </c>
      <c r="W10" s="204">
        <f>SUMIFS('caseload data'!G:G,'caseload data'!$D:$D,"PO",'caseload data'!$C:$C,'divisional &amp; regional caseload'!$T$8)</f>
        <v>0</v>
      </c>
      <c r="X10" s="204">
        <f>SUMIFS('caseload data'!H:H,'caseload data'!$D:$D,"PO",'caseload data'!$C:$C,'divisional &amp; regional caseload'!$T$8)</f>
        <v>0</v>
      </c>
      <c r="Y10" s="204">
        <f>SUMIFS('caseload data'!I:I,'caseload data'!$D:$D,"PO",'caseload data'!$C:$C,'divisional &amp; regional caseload'!$T$8)</f>
        <v>0</v>
      </c>
      <c r="Z10" s="204">
        <f>SUMIFS('caseload data'!J:J,'caseload data'!$D:$D,"PO",'caseload data'!$C:$C,'divisional &amp; regional caseload'!$T$8)</f>
        <v>0</v>
      </c>
      <c r="AA10" s="204">
        <f>SUMIFS('caseload data'!K:K,'caseload data'!$D:$D,"PO",'caseload data'!$C:$C,'divisional &amp; regional caseload'!$T$8)</f>
        <v>0</v>
      </c>
      <c r="AB10" s="204">
        <f>SUMIFS('caseload data'!L:L,'caseload data'!$D:$D,"PO",'caseload data'!$C:$C,'divisional &amp; regional caseload'!$T$8)</f>
        <v>0</v>
      </c>
      <c r="AC10" s="204">
        <f>SUMIFS('caseload data'!M:M,'caseload data'!$D:$D,"PO",'caseload data'!$C:$C,'divisional &amp; regional caseload'!$T$8)</f>
        <v>0</v>
      </c>
      <c r="AD10" s="204">
        <f>SUMIFS('caseload data'!N:N,'caseload data'!$D:$D,"PO",'caseload data'!$C:$C,'divisional &amp; regional caseload'!$T$8)</f>
        <v>0</v>
      </c>
      <c r="AE10" s="204">
        <f>SUMIFS('caseload data'!O:O,'caseload data'!$D:$D,"PO",'caseload data'!$C:$C,'divisional &amp; regional caseload'!$T$8)</f>
        <v>0</v>
      </c>
      <c r="AF10" s="204">
        <f>SUMIFS('caseload data'!P:P,'caseload data'!$D:$D,"PO",'caseload data'!$C:$C,'divisional &amp; regional caseload'!$T$8)</f>
        <v>0</v>
      </c>
      <c r="AG10" s="204">
        <f>SUMIFS('caseload data'!Q:Q,'caseload data'!$D:$D,"PO",'caseload data'!$C:$C,'divisional &amp; regional caseload'!$T$8)</f>
        <v>0</v>
      </c>
      <c r="AH10" s="204">
        <f>SUMIFS('caseload data'!R:R,'caseload data'!$D:$D,"PO",'caseload data'!$C:$C,'divisional &amp; regional caseload'!$T$8)</f>
        <v>0</v>
      </c>
      <c r="AI10" s="204">
        <f>SUMIFS('caseload data'!S:S,'caseload data'!$D:$D,"PO",'caseload data'!$C:$C,'divisional &amp; regional caseload'!$T$8)</f>
        <v>0</v>
      </c>
      <c r="AJ10" s="204">
        <f>SUMIFS('caseload data'!T:T,'caseload data'!$D:$D,"PO",'caseload data'!$C:$C,'divisional &amp; regional caseload'!$T$8)</f>
        <v>0</v>
      </c>
      <c r="AK10" s="30"/>
      <c r="AL10" s="30"/>
      <c r="AM10" s="30"/>
      <c r="AN10" s="30"/>
      <c r="AO10" s="30"/>
    </row>
    <row r="11" spans="1:41" x14ac:dyDescent="0.15">
      <c r="B11" s="130" t="s">
        <v>185</v>
      </c>
      <c r="C11" s="204">
        <f>SUMIFS('caseload data'!E:E,'caseload data'!$D:$D,"PSO",'caseload data'!$C:$C,'divisional &amp; regional caseload'!$B$8)</f>
        <v>0</v>
      </c>
      <c r="D11" s="204">
        <f>SUMIFS('caseload data'!F:F,'caseload data'!$D:$D,"PSO",'caseload data'!$C:$C,'divisional &amp; regional caseload'!$B$8)</f>
        <v>0</v>
      </c>
      <c r="E11" s="204">
        <f>SUMIFS('caseload data'!G:G,'caseload data'!$D:$D,"PSO",'caseload data'!$C:$C,'divisional &amp; regional caseload'!$B$8)</f>
        <v>0</v>
      </c>
      <c r="F11" s="204">
        <f>SUMIFS('caseload data'!H:H,'caseload data'!$D:$D,"PSO",'caseload data'!$C:$C,'divisional &amp; regional caseload'!$B$8)</f>
        <v>0</v>
      </c>
      <c r="G11" s="204">
        <f>SUMIFS('caseload data'!I:I,'caseload data'!$D:$D,"PSO",'caseload data'!$C:$C,'divisional &amp; regional caseload'!$B$8)</f>
        <v>0</v>
      </c>
      <c r="H11" s="204">
        <f>SUMIFS('caseload data'!J:J,'caseload data'!$D:$D,"PSO",'caseload data'!$C:$C,'divisional &amp; regional caseload'!$B$8)</f>
        <v>0</v>
      </c>
      <c r="I11" s="204">
        <f>SUMIFS('caseload data'!K:K,'caseload data'!$D:$D,"PSO",'caseload data'!$C:$C,'divisional &amp; regional caseload'!$B$8)</f>
        <v>0</v>
      </c>
      <c r="J11" s="204">
        <f>SUMIFS('caseload data'!L:L,'caseload data'!$D:$D,"PSO",'caseload data'!$C:$C,'divisional &amp; regional caseload'!$B$8)</f>
        <v>0</v>
      </c>
      <c r="K11" s="204">
        <f>SUMIFS('caseload data'!M:M,'caseload data'!$D:$D,"PSO",'caseload data'!$C:$C,'divisional &amp; regional caseload'!$B$8)</f>
        <v>0</v>
      </c>
      <c r="L11" s="204">
        <f>SUMIFS('caseload data'!N:N,'caseload data'!$D:$D,"PSO",'caseload data'!$C:$C,'divisional &amp; regional caseload'!$B$8)</f>
        <v>0</v>
      </c>
      <c r="M11" s="204">
        <f>SUMIFS('caseload data'!O:O,'caseload data'!$D:$D,"PSO",'caseload data'!$C:$C,'divisional &amp; regional caseload'!$B$8)</f>
        <v>0</v>
      </c>
      <c r="N11" s="204">
        <f>SUMIFS('caseload data'!P:P,'caseload data'!$D:$D,"PSO",'caseload data'!$C:$C,'divisional &amp; regional caseload'!$B$8)</f>
        <v>0</v>
      </c>
      <c r="O11" s="204">
        <f>SUMIFS('caseload data'!Q:Q,'caseload data'!$D:$D,"PSO",'caseload data'!$C:$C,'divisional &amp; regional caseload'!$B$8)</f>
        <v>0</v>
      </c>
      <c r="P11" s="204">
        <f>SUMIFS('caseload data'!R:R,'caseload data'!$D:$D,"PSO",'caseload data'!$C:$C,'divisional &amp; regional caseload'!$B$8)</f>
        <v>0</v>
      </c>
      <c r="Q11" s="204">
        <f>SUMIFS('caseload data'!S:S,'caseload data'!$D:$D,"PSO",'caseload data'!$C:$C,'divisional &amp; regional caseload'!$B$8)</f>
        <v>0</v>
      </c>
      <c r="R11" s="204">
        <f>SUMIFS('caseload data'!T:T,'caseload data'!$D:$D,"PSO",'caseload data'!$C:$C,'divisional &amp; regional caseload'!$B$8)</f>
        <v>0</v>
      </c>
      <c r="S11" s="183"/>
      <c r="T11" s="130" t="s">
        <v>185</v>
      </c>
      <c r="U11" s="204">
        <f>SUMIFS('caseload data'!E:E,'caseload data'!$D:$D,"PSO",'caseload data'!$C:$C,'divisional &amp; regional caseload'!$T$8)</f>
        <v>0</v>
      </c>
      <c r="V11" s="204">
        <f>SUMIFS('caseload data'!F:F,'caseload data'!$D:$D,"PSO",'caseload data'!$C:$C,'divisional &amp; regional caseload'!$T$8)</f>
        <v>0</v>
      </c>
      <c r="W11" s="204">
        <f>SUMIFS('caseload data'!G:G,'caseload data'!$D:$D,"PSO",'caseload data'!$C:$C,'divisional &amp; regional caseload'!$T$8)</f>
        <v>0</v>
      </c>
      <c r="X11" s="204">
        <f>SUMIFS('caseload data'!H:H,'caseload data'!$D:$D,"PSO",'caseload data'!$C:$C,'divisional &amp; regional caseload'!$T$8)</f>
        <v>0</v>
      </c>
      <c r="Y11" s="204">
        <f>SUMIFS('caseload data'!I:I,'caseload data'!$D:$D,"PSO",'caseload data'!$C:$C,'divisional &amp; regional caseload'!$T$8)</f>
        <v>0</v>
      </c>
      <c r="Z11" s="204">
        <f>SUMIFS('caseload data'!J:J,'caseload data'!$D:$D,"PSO",'caseload data'!$C:$C,'divisional &amp; regional caseload'!$T$8)</f>
        <v>0</v>
      </c>
      <c r="AA11" s="204">
        <f>SUMIFS('caseload data'!K:K,'caseload data'!$D:$D,"PSO",'caseload data'!$C:$C,'divisional &amp; regional caseload'!$T$8)</f>
        <v>0</v>
      </c>
      <c r="AB11" s="204">
        <f>SUMIFS('caseload data'!L:L,'caseload data'!$D:$D,"PSO",'caseload data'!$C:$C,'divisional &amp; regional caseload'!$T$8)</f>
        <v>0</v>
      </c>
      <c r="AC11" s="204">
        <f>SUMIFS('caseload data'!M:M,'caseload data'!$D:$D,"PSO",'caseload data'!$C:$C,'divisional &amp; regional caseload'!$T$8)</f>
        <v>0</v>
      </c>
      <c r="AD11" s="204">
        <f>SUMIFS('caseload data'!N:N,'caseload data'!$D:$D,"PSO",'caseload data'!$C:$C,'divisional &amp; regional caseload'!$T$8)</f>
        <v>0</v>
      </c>
      <c r="AE11" s="204">
        <f>SUMIFS('caseload data'!O:O,'caseload data'!$D:$D,"PSO",'caseload data'!$C:$C,'divisional &amp; regional caseload'!$T$8)</f>
        <v>0</v>
      </c>
      <c r="AF11" s="204">
        <f>SUMIFS('caseload data'!P:P,'caseload data'!$D:$D,"PSO",'caseload data'!$C:$C,'divisional &amp; regional caseload'!$T$8)</f>
        <v>0</v>
      </c>
      <c r="AG11" s="204">
        <f>SUMIFS('caseload data'!Q:Q,'caseload data'!$D:$D,"PSO",'caseload data'!$C:$C,'divisional &amp; regional caseload'!$T$8)</f>
        <v>0</v>
      </c>
      <c r="AH11" s="204">
        <f>SUMIFS('caseload data'!R:R,'caseload data'!$D:$D,"PSO",'caseload data'!$C:$C,'divisional &amp; regional caseload'!$T$8)</f>
        <v>0</v>
      </c>
      <c r="AI11" s="204">
        <f>SUMIFS('caseload data'!S:S,'caseload data'!$D:$D,"PSO",'caseload data'!$C:$C,'divisional &amp; regional caseload'!$T$8)</f>
        <v>0</v>
      </c>
      <c r="AJ11" s="204">
        <f>SUMIFS('caseload data'!T:T,'caseload data'!$D:$D,"PSO",'caseload data'!$C:$C,'divisional &amp; regional caseload'!$T$8)</f>
        <v>0</v>
      </c>
      <c r="AK11" s="30"/>
      <c r="AL11" s="30"/>
      <c r="AM11" s="30"/>
      <c r="AN11" s="30"/>
      <c r="AO11" s="30"/>
    </row>
    <row r="12" spans="1:41" x14ac:dyDescent="0.15">
      <c r="B12" s="130" t="s">
        <v>186</v>
      </c>
      <c r="C12" s="204">
        <f>SUMIFS('caseload data'!E:E,'caseload data'!$D:$D,"TPO",'caseload data'!$C:$C,'divisional &amp; regional caseload'!$B$8)</f>
        <v>0</v>
      </c>
      <c r="D12" s="204">
        <f>SUMIFS('caseload data'!F:F,'caseload data'!$D:$D,"TPO",'caseload data'!$C:$C,'divisional &amp; regional caseload'!$B$8)</f>
        <v>0</v>
      </c>
      <c r="E12" s="204">
        <f>SUMIFS('caseload data'!G:G,'caseload data'!$D:$D,"TPO",'caseload data'!$C:$C,'divisional &amp; regional caseload'!$B$8)</f>
        <v>0</v>
      </c>
      <c r="F12" s="204">
        <f>SUMIFS('caseload data'!H:H,'caseload data'!$D:$D,"TPO",'caseload data'!$C:$C,'divisional &amp; regional caseload'!$B$8)</f>
        <v>0</v>
      </c>
      <c r="G12" s="204">
        <f>SUMIFS('caseload data'!I:I,'caseload data'!$D:$D,"TPO",'caseload data'!$C:$C,'divisional &amp; regional caseload'!$B$8)</f>
        <v>0</v>
      </c>
      <c r="H12" s="204">
        <f>SUMIFS('caseload data'!J:J,'caseload data'!$D:$D,"TPO",'caseload data'!$C:$C,'divisional &amp; regional caseload'!$B$8)</f>
        <v>0</v>
      </c>
      <c r="I12" s="204">
        <f>SUMIFS('caseload data'!K:K,'caseload data'!$D:$D,"TPO",'caseload data'!$C:$C,'divisional &amp; regional caseload'!$B$8)</f>
        <v>0</v>
      </c>
      <c r="J12" s="204">
        <f>SUMIFS('caseload data'!L:L,'caseload data'!$D:$D,"TPO",'caseload data'!$C:$C,'divisional &amp; regional caseload'!$B$8)</f>
        <v>0</v>
      </c>
      <c r="K12" s="204">
        <f>SUMIFS('caseload data'!M:M,'caseload data'!$D:$D,"TPO",'caseload data'!$C:$C,'divisional &amp; regional caseload'!$B$8)</f>
        <v>0</v>
      </c>
      <c r="L12" s="204">
        <f>SUMIFS('caseload data'!N:N,'caseload data'!$D:$D,"TPO",'caseload data'!$C:$C,'divisional &amp; regional caseload'!$B$8)</f>
        <v>0</v>
      </c>
      <c r="M12" s="204">
        <f>SUMIFS('caseload data'!O:O,'caseload data'!$D:$D,"TPO",'caseload data'!$C:$C,'divisional &amp; regional caseload'!$B$8)</f>
        <v>0</v>
      </c>
      <c r="N12" s="204">
        <f>SUMIFS('caseload data'!P:P,'caseload data'!$D:$D,"TPO",'caseload data'!$C:$C,'divisional &amp; regional caseload'!$B$8)</f>
        <v>0</v>
      </c>
      <c r="O12" s="204">
        <f>SUMIFS('caseload data'!Q:Q,'caseload data'!$D:$D,"TPO",'caseload data'!$C:$C,'divisional &amp; regional caseload'!$B$8)</f>
        <v>0</v>
      </c>
      <c r="P12" s="204">
        <f>SUMIFS('caseload data'!R:R,'caseload data'!$D:$D,"TPO",'caseload data'!$C:$C,'divisional &amp; regional caseload'!$B$8)</f>
        <v>0</v>
      </c>
      <c r="Q12" s="204">
        <f>SUMIFS('caseload data'!S:S,'caseload data'!$D:$D,"TPO",'caseload data'!$C:$C,'divisional &amp; regional caseload'!$B$8)</f>
        <v>0</v>
      </c>
      <c r="R12" s="204">
        <f>SUMIFS('caseload data'!T:T,'caseload data'!$D:$D,"TPO",'caseload data'!$C:$C,'divisional &amp; regional caseload'!$B$8)</f>
        <v>0</v>
      </c>
      <c r="S12" s="183"/>
      <c r="T12" s="130" t="s">
        <v>186</v>
      </c>
      <c r="U12" s="204">
        <f>SUMIFS('caseload data'!E:E,'caseload data'!$D:$D,"TPO",'caseload data'!$C:$C,'divisional &amp; regional caseload'!$T$8)</f>
        <v>0</v>
      </c>
      <c r="V12" s="204">
        <f>SUMIFS('caseload data'!F:F,'caseload data'!$D:$D,"TPO",'caseload data'!$C:$C,'divisional &amp; regional caseload'!$T$8)</f>
        <v>0</v>
      </c>
      <c r="W12" s="204">
        <f>SUMIFS('caseload data'!G:G,'caseload data'!$D:$D,"TPO",'caseload data'!$C:$C,'divisional &amp; regional caseload'!$T$8)</f>
        <v>0</v>
      </c>
      <c r="X12" s="204">
        <f>SUMIFS('caseload data'!H:H,'caseload data'!$D:$D,"TPO",'caseload data'!$C:$C,'divisional &amp; regional caseload'!$T$8)</f>
        <v>0</v>
      </c>
      <c r="Y12" s="204">
        <f>SUMIFS('caseload data'!I:I,'caseload data'!$D:$D,"TPO",'caseload data'!$C:$C,'divisional &amp; regional caseload'!$T$8)</f>
        <v>0</v>
      </c>
      <c r="Z12" s="204">
        <f>SUMIFS('caseload data'!J:J,'caseload data'!$D:$D,"TPO",'caseload data'!$C:$C,'divisional &amp; regional caseload'!$T$8)</f>
        <v>0</v>
      </c>
      <c r="AA12" s="204">
        <f>SUMIFS('caseload data'!K:K,'caseload data'!$D:$D,"TPO",'caseload data'!$C:$C,'divisional &amp; regional caseload'!$T$8)</f>
        <v>0</v>
      </c>
      <c r="AB12" s="204">
        <f>SUMIFS('caseload data'!L:L,'caseload data'!$D:$D,"TPO",'caseload data'!$C:$C,'divisional &amp; regional caseload'!$T$8)</f>
        <v>0</v>
      </c>
      <c r="AC12" s="204">
        <f>SUMIFS('caseload data'!M:M,'caseload data'!$D:$D,"TPO",'caseload data'!$C:$C,'divisional &amp; regional caseload'!$T$8)</f>
        <v>0</v>
      </c>
      <c r="AD12" s="204">
        <f>SUMIFS('caseload data'!N:N,'caseload data'!$D:$D,"TPO",'caseload data'!$C:$C,'divisional &amp; regional caseload'!$T$8)</f>
        <v>0</v>
      </c>
      <c r="AE12" s="204">
        <f>SUMIFS('caseload data'!O:O,'caseload data'!$D:$D,"TPO",'caseload data'!$C:$C,'divisional &amp; regional caseload'!$T$8)</f>
        <v>0</v>
      </c>
      <c r="AF12" s="204">
        <f>SUMIFS('caseload data'!P:P,'caseload data'!$D:$D,"TPO",'caseload data'!$C:$C,'divisional &amp; regional caseload'!$T$8)</f>
        <v>0</v>
      </c>
      <c r="AG12" s="204">
        <f>SUMIFS('caseload data'!Q:Q,'caseload data'!$D:$D,"TPO",'caseload data'!$C:$C,'divisional &amp; regional caseload'!$T$8)</f>
        <v>0</v>
      </c>
      <c r="AH12" s="204">
        <f>SUMIFS('caseload data'!R:R,'caseload data'!$D:$D,"TPO",'caseload data'!$C:$C,'divisional &amp; regional caseload'!$T$8)</f>
        <v>0</v>
      </c>
      <c r="AI12" s="204">
        <f>SUMIFS('caseload data'!S:S,'caseload data'!$D:$D,"TPO",'caseload data'!$C:$C,'divisional &amp; regional caseload'!$T$8)</f>
        <v>0</v>
      </c>
      <c r="AJ12" s="204">
        <f>SUMIFS('caseload data'!T:T,'caseload data'!$D:$D,"TPO",'caseload data'!$C:$C,'divisional &amp; regional caseload'!$T$8)</f>
        <v>0</v>
      </c>
      <c r="AK12" s="30"/>
      <c r="AL12" s="30"/>
      <c r="AM12" s="30"/>
      <c r="AN12" s="30"/>
      <c r="AO12" s="30"/>
    </row>
    <row r="13" spans="1:41" s="30" customFormat="1" x14ac:dyDescent="0.15">
      <c r="B13" s="131" t="s">
        <v>187</v>
      </c>
      <c r="C13" s="204">
        <f>SUMIFS('caseload data'!E:E,'caseload data'!$D:$D,"SPO",'caseload data'!$C:$C,'divisional &amp; regional caseload'!$B$8)</f>
        <v>0</v>
      </c>
      <c r="D13" s="204">
        <f>SUMIFS('caseload data'!F:F,'caseload data'!$D:$D,"SPO",'caseload data'!$C:$C,'divisional &amp; regional caseload'!$B$8)</f>
        <v>0</v>
      </c>
      <c r="E13" s="204">
        <f>SUMIFS('caseload data'!G:G,'caseload data'!$D:$D,"SPO",'caseload data'!$C:$C,'divisional &amp; regional caseload'!$B$8)</f>
        <v>0</v>
      </c>
      <c r="F13" s="204">
        <f>SUMIFS('caseload data'!H:H,'caseload data'!$D:$D,"SPO",'caseload data'!$C:$C,'divisional &amp; regional caseload'!$B$8)</f>
        <v>0</v>
      </c>
      <c r="G13" s="204">
        <f>SUMIFS('caseload data'!I:I,'caseload data'!$D:$D,"SPO",'caseload data'!$C:$C,'divisional &amp; regional caseload'!$B$8)</f>
        <v>0</v>
      </c>
      <c r="H13" s="204">
        <f>SUMIFS('caseload data'!J:J,'caseload data'!$D:$D,"SPO",'caseload data'!$C:$C,'divisional &amp; regional caseload'!$B$8)</f>
        <v>0</v>
      </c>
      <c r="I13" s="204">
        <f>SUMIFS('caseload data'!K:K,'caseload data'!$D:$D,"SPO",'caseload data'!$C:$C,'divisional &amp; regional caseload'!$B$8)</f>
        <v>0</v>
      </c>
      <c r="J13" s="204">
        <f>SUMIFS('caseload data'!L:L,'caseload data'!$D:$D,"SPO",'caseload data'!$C:$C,'divisional &amp; regional caseload'!$B$8)</f>
        <v>0</v>
      </c>
      <c r="K13" s="204">
        <f>SUMIFS('caseload data'!M:M,'caseload data'!$D:$D,"SPO",'caseload data'!$C:$C,'divisional &amp; regional caseload'!$B$8)</f>
        <v>0</v>
      </c>
      <c r="L13" s="204">
        <f>SUMIFS('caseload data'!N:N,'caseload data'!$D:$D,"SPO",'caseload data'!$C:$C,'divisional &amp; regional caseload'!$B$8)</f>
        <v>0</v>
      </c>
      <c r="M13" s="204">
        <f>SUMIFS('caseload data'!O:O,'caseload data'!$D:$D,"SPO",'caseload data'!$C:$C,'divisional &amp; regional caseload'!$B$8)</f>
        <v>0</v>
      </c>
      <c r="N13" s="204">
        <f>SUMIFS('caseload data'!P:P,'caseload data'!$D:$D,"SPO",'caseload data'!$C:$C,'divisional &amp; regional caseload'!$B$8)</f>
        <v>0</v>
      </c>
      <c r="O13" s="204">
        <f>SUMIFS('caseload data'!Q:Q,'caseload data'!$D:$D,"SPO",'caseload data'!$C:$C,'divisional &amp; regional caseload'!$B$8)</f>
        <v>0</v>
      </c>
      <c r="P13" s="204">
        <f>SUMIFS('caseload data'!R:R,'caseload data'!$D:$D,"SPO",'caseload data'!$C:$C,'divisional &amp; regional caseload'!$B$8)</f>
        <v>0</v>
      </c>
      <c r="Q13" s="204">
        <f>SUMIFS('caseload data'!S:S,'caseload data'!$D:$D,"SPO",'caseload data'!$C:$C,'divisional &amp; regional caseload'!$B$8)</f>
        <v>0</v>
      </c>
      <c r="R13" s="204">
        <f>SUMIFS('caseload data'!T:T,'caseload data'!$D:$D,"SPO",'caseload data'!$C:$C,'divisional &amp; regional caseload'!$B$8)</f>
        <v>0</v>
      </c>
      <c r="S13" s="183"/>
      <c r="T13" s="131" t="s">
        <v>187</v>
      </c>
      <c r="U13" s="204">
        <f>SUMIFS('caseload data'!E:E,'caseload data'!$D:$D,"SPO",'caseload data'!$C:$C,'divisional &amp; regional caseload'!$T$8)</f>
        <v>0</v>
      </c>
      <c r="V13" s="204">
        <f>SUMIFS('caseload data'!F:F,'caseload data'!$D:$D,"SPO",'caseload data'!$C:$C,'divisional &amp; regional caseload'!$T$8)</f>
        <v>0</v>
      </c>
      <c r="W13" s="204">
        <f>SUMIFS('caseload data'!G:G,'caseload data'!$D:$D,"SPO",'caseload data'!$C:$C,'divisional &amp; regional caseload'!$T$8)</f>
        <v>0</v>
      </c>
      <c r="X13" s="204">
        <f>SUMIFS('caseload data'!H:H,'caseload data'!$D:$D,"SPO",'caseload data'!$C:$C,'divisional &amp; regional caseload'!$T$8)</f>
        <v>0</v>
      </c>
      <c r="Y13" s="204">
        <f>SUMIFS('caseload data'!I:I,'caseload data'!$D:$D,"SPO",'caseload data'!$C:$C,'divisional &amp; regional caseload'!$T$8)</f>
        <v>0</v>
      </c>
      <c r="Z13" s="204">
        <f>SUMIFS('caseload data'!J:J,'caseload data'!$D:$D,"SPO",'caseload data'!$C:$C,'divisional &amp; regional caseload'!$T$8)</f>
        <v>0</v>
      </c>
      <c r="AA13" s="204">
        <f>SUMIFS('caseload data'!K:K,'caseload data'!$D:$D,"SPO",'caseload data'!$C:$C,'divisional &amp; regional caseload'!$T$8)</f>
        <v>0</v>
      </c>
      <c r="AB13" s="204">
        <f>SUMIFS('caseload data'!L:L,'caseload data'!$D:$D,"SPO",'caseload data'!$C:$C,'divisional &amp; regional caseload'!$T$8)</f>
        <v>0</v>
      </c>
      <c r="AC13" s="204">
        <f>SUMIFS('caseload data'!M:M,'caseload data'!$D:$D,"SPO",'caseload data'!$C:$C,'divisional &amp; regional caseload'!$T$8)</f>
        <v>0</v>
      </c>
      <c r="AD13" s="204">
        <f>SUMIFS('caseload data'!N:N,'caseload data'!$D:$D,"SPO",'caseload data'!$C:$C,'divisional &amp; regional caseload'!$T$8)</f>
        <v>0</v>
      </c>
      <c r="AE13" s="204">
        <f>SUMIFS('caseload data'!O:O,'caseload data'!$D:$D,"SPO",'caseload data'!$C:$C,'divisional &amp; regional caseload'!$T$8)</f>
        <v>0</v>
      </c>
      <c r="AF13" s="204">
        <f>SUMIFS('caseload data'!P:P,'caseload data'!$D:$D,"SPO",'caseload data'!$C:$C,'divisional &amp; regional caseload'!$T$8)</f>
        <v>0</v>
      </c>
      <c r="AG13" s="204">
        <f>SUMIFS('caseload data'!Q:Q,'caseload data'!$D:$D,"SPO",'caseload data'!$C:$C,'divisional &amp; regional caseload'!$T$8)</f>
        <v>0</v>
      </c>
      <c r="AH13" s="204">
        <f>SUMIFS('caseload data'!R:R,'caseload data'!$D:$D,"SPO",'caseload data'!$C:$C,'divisional &amp; regional caseload'!$T$8)</f>
        <v>0</v>
      </c>
      <c r="AI13" s="204">
        <f>SUMIFS('caseload data'!S:S,'caseload data'!$D:$D,"SPO",'caseload data'!$C:$C,'divisional &amp; regional caseload'!$T$8)</f>
        <v>0</v>
      </c>
      <c r="AJ13" s="204">
        <f>SUMIFS('caseload data'!T:T,'caseload data'!$D:$D,"SPO",'caseload data'!$C:$C,'divisional &amp; regional caseload'!$T$8)</f>
        <v>0</v>
      </c>
    </row>
    <row r="14" spans="1:41" x14ac:dyDescent="0.15">
      <c r="B14" s="183"/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spans="1:41" ht="30" customHeight="1" x14ac:dyDescent="0.15">
      <c r="B15" s="182" t="str">
        <f>HLOOKUP($B$5,Region_Table,4,0)</f>
        <v>West Yorkshire CRC Cluster</v>
      </c>
      <c r="C15" s="359" t="s">
        <v>363</v>
      </c>
      <c r="D15" s="365"/>
      <c r="E15" s="365"/>
      <c r="F15" s="365"/>
      <c r="G15" s="365"/>
      <c r="H15" s="365"/>
      <c r="I15" s="365"/>
      <c r="J15" s="365"/>
      <c r="K15" s="365"/>
      <c r="L15" s="365"/>
      <c r="M15" s="360"/>
      <c r="N15" s="360"/>
      <c r="O15" s="361"/>
      <c r="P15" s="362">
        <f>SUMIF('caseload data'!$C:$C,'divisional &amp; regional caseload'!B15,'caseload data'!V:V)</f>
        <v>0</v>
      </c>
      <c r="Q15" s="363"/>
      <c r="R15" s="364"/>
      <c r="S15" s="183"/>
      <c r="T15" s="182">
        <f>HLOOKUP($B$5,Region_Table,5,0)</f>
        <v>0</v>
      </c>
      <c r="U15" s="359" t="s">
        <v>363</v>
      </c>
      <c r="V15" s="360"/>
      <c r="W15" s="360"/>
      <c r="X15" s="361"/>
      <c r="Y15" s="362">
        <f>SUMIF('caseload data'!$C:$C,'divisional &amp; regional caseload'!T15,'caseload data'!V:V)</f>
        <v>0</v>
      </c>
      <c r="Z15" s="363"/>
      <c r="AA15" s="364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spans="1:41" x14ac:dyDescent="0.15">
      <c r="B16" s="127" t="s">
        <v>324</v>
      </c>
      <c r="C16" s="58" t="s">
        <v>504</v>
      </c>
      <c r="D16" s="58" t="s">
        <v>503</v>
      </c>
      <c r="E16" s="58" t="s">
        <v>502</v>
      </c>
      <c r="F16" s="58" t="s">
        <v>501</v>
      </c>
      <c r="G16" s="58" t="s">
        <v>510</v>
      </c>
      <c r="H16" s="58" t="s">
        <v>176</v>
      </c>
      <c r="I16" s="58" t="s">
        <v>177</v>
      </c>
      <c r="J16" s="58" t="s">
        <v>505</v>
      </c>
      <c r="K16" s="58" t="s">
        <v>507</v>
      </c>
      <c r="L16" s="58" t="s">
        <v>178</v>
      </c>
      <c r="M16" s="58" t="s">
        <v>179</v>
      </c>
      <c r="N16" s="58" t="s">
        <v>506</v>
      </c>
      <c r="O16" s="58" t="s">
        <v>508</v>
      </c>
      <c r="P16" s="58" t="s">
        <v>180</v>
      </c>
      <c r="Q16" s="58" t="s">
        <v>181</v>
      </c>
      <c r="R16" s="58" t="s">
        <v>509</v>
      </c>
      <c r="S16" s="183"/>
      <c r="T16" s="127" t="s">
        <v>324</v>
      </c>
      <c r="U16" s="58" t="s">
        <v>504</v>
      </c>
      <c r="V16" s="58" t="s">
        <v>503</v>
      </c>
      <c r="W16" s="58" t="s">
        <v>502</v>
      </c>
      <c r="X16" s="58" t="s">
        <v>501</v>
      </c>
      <c r="Y16" s="58" t="s">
        <v>510</v>
      </c>
      <c r="Z16" s="58" t="s">
        <v>176</v>
      </c>
      <c r="AA16" s="58" t="s">
        <v>177</v>
      </c>
      <c r="AB16" s="58" t="s">
        <v>505</v>
      </c>
      <c r="AC16" s="58" t="s">
        <v>507</v>
      </c>
      <c r="AD16" s="58" t="s">
        <v>178</v>
      </c>
      <c r="AE16" s="58" t="s">
        <v>179</v>
      </c>
      <c r="AF16" s="58" t="s">
        <v>506</v>
      </c>
      <c r="AG16" s="58" t="s">
        <v>508</v>
      </c>
      <c r="AH16" s="58" t="s">
        <v>180</v>
      </c>
      <c r="AI16" s="58" t="s">
        <v>181</v>
      </c>
      <c r="AJ16" s="58" t="s">
        <v>509</v>
      </c>
      <c r="AK16" s="30"/>
      <c r="AL16" s="30"/>
      <c r="AM16" s="30"/>
      <c r="AN16" s="30"/>
      <c r="AO16" s="30"/>
    </row>
    <row r="17" spans="2:36" x14ac:dyDescent="0.15">
      <c r="B17" s="129" t="s">
        <v>184</v>
      </c>
      <c r="C17" s="204">
        <f>SUMIFS('caseload data'!E:E,'caseload data'!$D:$D,"PO",'caseload data'!$C:$C,'divisional &amp; regional caseload'!$B$15)</f>
        <v>0</v>
      </c>
      <c r="D17" s="204">
        <f>SUMIFS('caseload data'!F:F,'caseload data'!$D:$D,"PO",'caseload data'!$C:$C,'divisional &amp; regional caseload'!$B$15)</f>
        <v>0</v>
      </c>
      <c r="E17" s="204">
        <f>SUMIFS('caseload data'!G:G,'caseload data'!$D:$D,"PO",'caseload data'!$C:$C,'divisional &amp; regional caseload'!$B$15)</f>
        <v>0</v>
      </c>
      <c r="F17" s="204">
        <f>SUMIFS('caseload data'!H:H,'caseload data'!$D:$D,"PO",'caseload data'!$C:$C,'divisional &amp; regional caseload'!$B$15)</f>
        <v>0</v>
      </c>
      <c r="G17" s="204">
        <f>SUMIFS('caseload data'!I:I,'caseload data'!$D:$D,"PO",'caseload data'!$C:$C,'divisional &amp; regional caseload'!$B$15)</f>
        <v>0</v>
      </c>
      <c r="H17" s="204">
        <f>SUMIFS('caseload data'!J:J,'caseload data'!$D:$D,"PO",'caseload data'!$C:$C,'divisional &amp; regional caseload'!$B$15)</f>
        <v>0</v>
      </c>
      <c r="I17" s="204">
        <f>SUMIFS('caseload data'!K:K,'caseload data'!$D:$D,"PO",'caseload data'!$C:$C,'divisional &amp; regional caseload'!$B$15)</f>
        <v>0</v>
      </c>
      <c r="J17" s="204">
        <f>SUMIFS('caseload data'!L:L,'caseload data'!$D:$D,"PO",'caseload data'!$C:$C,'divisional &amp; regional caseload'!$B$15)</f>
        <v>0</v>
      </c>
      <c r="K17" s="204">
        <f>SUMIFS('caseload data'!M:M,'caseload data'!$D:$D,"PO",'caseload data'!$C:$C,'divisional &amp; regional caseload'!$B$15)</f>
        <v>0</v>
      </c>
      <c r="L17" s="204">
        <f>SUMIFS('caseload data'!N:N,'caseload data'!$D:$D,"PO",'caseload data'!$C:$C,'divisional &amp; regional caseload'!$B$15)</f>
        <v>0</v>
      </c>
      <c r="M17" s="204">
        <f>SUMIFS('caseload data'!O:O,'caseload data'!$D:$D,"PO",'caseload data'!$C:$C,'divisional &amp; regional caseload'!$B$15)</f>
        <v>0</v>
      </c>
      <c r="N17" s="204">
        <f>SUMIFS('caseload data'!P:P,'caseload data'!$D:$D,"PO",'caseload data'!$C:$C,'divisional &amp; regional caseload'!$B$15)</f>
        <v>0</v>
      </c>
      <c r="O17" s="204">
        <f>SUMIFS('caseload data'!Q:Q,'caseload data'!$D:$D,"PO",'caseload data'!$C:$C,'divisional &amp; regional caseload'!$B$15)</f>
        <v>0</v>
      </c>
      <c r="P17" s="204">
        <f>SUMIFS('caseload data'!R:R,'caseload data'!$D:$D,"PO",'caseload data'!$C:$C,'divisional &amp; regional caseload'!$B$15)</f>
        <v>0</v>
      </c>
      <c r="Q17" s="204">
        <f>SUMIFS('caseload data'!S:S,'caseload data'!$D:$D,"PO",'caseload data'!$C:$C,'divisional &amp; regional caseload'!$B$15)</f>
        <v>0</v>
      </c>
      <c r="R17" s="204">
        <f>SUMIFS('caseload data'!T:T,'caseload data'!$D:$D,"PO",'caseload data'!$C:$C,'divisional &amp; regional caseload'!$B$15)</f>
        <v>0</v>
      </c>
      <c r="S17" s="183"/>
      <c r="T17" s="129" t="s">
        <v>184</v>
      </c>
      <c r="U17" s="204">
        <f>SUMIFS('caseload data'!E:E,'caseload data'!$D:$D,"PO",'caseload data'!$C:$C,'divisional &amp; regional caseload'!$T$15)</f>
        <v>0</v>
      </c>
      <c r="V17" s="204">
        <f>SUMIFS('caseload data'!F:F,'caseload data'!$D:$D,"PO",'caseload data'!$C:$C,'divisional &amp; regional caseload'!$T$15)</f>
        <v>0</v>
      </c>
      <c r="W17" s="204">
        <f>SUMIFS('caseload data'!G:G,'caseload data'!$D:$D,"PO",'caseload data'!$C:$C,'divisional &amp; regional caseload'!$T$15)</f>
        <v>0</v>
      </c>
      <c r="X17" s="204">
        <f>SUMIFS('caseload data'!H:H,'caseload data'!$D:$D,"PO",'caseload data'!$C:$C,'divisional &amp; regional caseload'!$T$15)</f>
        <v>0</v>
      </c>
      <c r="Y17" s="204">
        <f>SUMIFS('caseload data'!I:I,'caseload data'!$D:$D,"PO",'caseload data'!$C:$C,'divisional &amp; regional caseload'!$T$15)</f>
        <v>0</v>
      </c>
      <c r="Z17" s="204">
        <f>SUMIFS('caseload data'!J:J,'caseload data'!$D:$D,"PO",'caseload data'!$C:$C,'divisional &amp; regional caseload'!$T$15)</f>
        <v>0</v>
      </c>
      <c r="AA17" s="204">
        <f>SUMIFS('caseload data'!K:K,'caseload data'!$D:$D,"PO",'caseload data'!$C:$C,'divisional &amp; regional caseload'!$T$15)</f>
        <v>0</v>
      </c>
      <c r="AB17" s="204">
        <f>SUMIFS('caseload data'!L:L,'caseload data'!$D:$D,"PO",'caseload data'!$C:$C,'divisional &amp; regional caseload'!$T$15)</f>
        <v>0</v>
      </c>
      <c r="AC17" s="204">
        <f>SUMIFS('caseload data'!M:M,'caseload data'!$D:$D,"PO",'caseload data'!$C:$C,'divisional &amp; regional caseload'!$T$15)</f>
        <v>0</v>
      </c>
      <c r="AD17" s="204">
        <f>SUMIFS('caseload data'!N:N,'caseload data'!$D:$D,"PO",'caseload data'!$C:$C,'divisional &amp; regional caseload'!$T$15)</f>
        <v>0</v>
      </c>
      <c r="AE17" s="204">
        <f>SUMIFS('caseload data'!O:O,'caseload data'!$D:$D,"PO",'caseload data'!$C:$C,'divisional &amp; regional caseload'!$T$15)</f>
        <v>0</v>
      </c>
      <c r="AF17" s="204">
        <f>SUMIFS('caseload data'!P:P,'caseload data'!$D:$D,"PO",'caseload data'!$C:$C,'divisional &amp; regional caseload'!$T$15)</f>
        <v>0</v>
      </c>
      <c r="AG17" s="204">
        <f>SUMIFS('caseload data'!Q:Q,'caseload data'!$D:$D,"PO",'caseload data'!$C:$C,'divisional &amp; regional caseload'!$T$15)</f>
        <v>0</v>
      </c>
      <c r="AH17" s="204">
        <f>SUMIFS('caseload data'!R:R,'caseload data'!$D:$D,"PO",'caseload data'!$C:$C,'divisional &amp; regional caseload'!$T$15)</f>
        <v>0</v>
      </c>
      <c r="AI17" s="204">
        <f>SUMIFS('caseload data'!S:S,'caseload data'!$D:$D,"PO",'caseload data'!$C:$C,'divisional &amp; regional caseload'!$T$15)</f>
        <v>0</v>
      </c>
      <c r="AJ17" s="204">
        <f>SUMIFS('caseload data'!T:T,'caseload data'!$D:$D,"PO",'caseload data'!$C:$C,'divisional &amp; regional caseload'!$T$15)</f>
        <v>0</v>
      </c>
    </row>
    <row r="18" spans="2:36" x14ac:dyDescent="0.15">
      <c r="B18" s="130" t="s">
        <v>185</v>
      </c>
      <c r="C18" s="204">
        <f>SUMIFS('caseload data'!E:E,'caseload data'!$D:$D,"PSO",'caseload data'!$C:$C,'divisional &amp; regional caseload'!$B$15)</f>
        <v>0</v>
      </c>
      <c r="D18" s="204">
        <f>SUMIFS('caseload data'!F:F,'caseload data'!$D:$D,"PSO",'caseload data'!$C:$C,'divisional &amp; regional caseload'!$B$15)</f>
        <v>0</v>
      </c>
      <c r="E18" s="204">
        <f>SUMIFS('caseload data'!G:G,'caseload data'!$D:$D,"PSO",'caseload data'!$C:$C,'divisional &amp; regional caseload'!$B$15)</f>
        <v>0</v>
      </c>
      <c r="F18" s="204">
        <f>SUMIFS('caseload data'!H:H,'caseload data'!$D:$D,"PSO",'caseload data'!$C:$C,'divisional &amp; regional caseload'!$B$15)</f>
        <v>0</v>
      </c>
      <c r="G18" s="204">
        <f>SUMIFS('caseload data'!I:I,'caseload data'!$D:$D,"PSO",'caseload data'!$C:$C,'divisional &amp; regional caseload'!$B$15)</f>
        <v>0</v>
      </c>
      <c r="H18" s="204">
        <f>SUMIFS('caseload data'!J:J,'caseload data'!$D:$D,"PSO",'caseload data'!$C:$C,'divisional &amp; regional caseload'!$B$15)</f>
        <v>0</v>
      </c>
      <c r="I18" s="204">
        <f>SUMIFS('caseload data'!K:K,'caseload data'!$D:$D,"PSO",'caseload data'!$C:$C,'divisional &amp; regional caseload'!$B$15)</f>
        <v>0</v>
      </c>
      <c r="J18" s="204">
        <f>SUMIFS('caseload data'!L:L,'caseload data'!$D:$D,"PSO",'caseload data'!$C:$C,'divisional &amp; regional caseload'!$B$15)</f>
        <v>0</v>
      </c>
      <c r="K18" s="204">
        <f>SUMIFS('caseload data'!M:M,'caseload data'!$D:$D,"PSO",'caseload data'!$C:$C,'divisional &amp; regional caseload'!$B$15)</f>
        <v>0</v>
      </c>
      <c r="L18" s="204">
        <f>SUMIFS('caseload data'!N:N,'caseload data'!$D:$D,"PSO",'caseload data'!$C:$C,'divisional &amp; regional caseload'!$B$15)</f>
        <v>0</v>
      </c>
      <c r="M18" s="204">
        <f>SUMIFS('caseload data'!O:O,'caseload data'!$D:$D,"PSO",'caseload data'!$C:$C,'divisional &amp; regional caseload'!$B$15)</f>
        <v>0</v>
      </c>
      <c r="N18" s="204">
        <f>SUMIFS('caseload data'!P:P,'caseload data'!$D:$D,"PSO",'caseload data'!$C:$C,'divisional &amp; regional caseload'!$B$15)</f>
        <v>0</v>
      </c>
      <c r="O18" s="204">
        <f>SUMIFS('caseload data'!Q:Q,'caseload data'!$D:$D,"PSO",'caseload data'!$C:$C,'divisional &amp; regional caseload'!$B$15)</f>
        <v>0</v>
      </c>
      <c r="P18" s="204">
        <f>SUMIFS('caseload data'!R:R,'caseload data'!$D:$D,"PSO",'caseload data'!$C:$C,'divisional &amp; regional caseload'!$B$15)</f>
        <v>0</v>
      </c>
      <c r="Q18" s="204">
        <f>SUMIFS('caseload data'!S:S,'caseload data'!$D:$D,"PSO",'caseload data'!$C:$C,'divisional &amp; regional caseload'!$B$15)</f>
        <v>0</v>
      </c>
      <c r="R18" s="204">
        <f>SUMIFS('caseload data'!T:T,'caseload data'!$D:$D,"PSO",'caseload data'!$C:$C,'divisional &amp; regional caseload'!$B$15)</f>
        <v>0</v>
      </c>
      <c r="S18" s="183"/>
      <c r="T18" s="130" t="s">
        <v>185</v>
      </c>
      <c r="U18" s="204">
        <f>SUMIFS('caseload data'!E:E,'caseload data'!$D:$D,"PSO",'caseload data'!$C:$C,'divisional &amp; regional caseload'!$T$15)</f>
        <v>0</v>
      </c>
      <c r="V18" s="204">
        <f>SUMIFS('caseload data'!F:F,'caseload data'!$D:$D,"PSO",'caseload data'!$C:$C,'divisional &amp; regional caseload'!$T$15)</f>
        <v>0</v>
      </c>
      <c r="W18" s="204">
        <f>SUMIFS('caseload data'!G:G,'caseload data'!$D:$D,"PSO",'caseload data'!$C:$C,'divisional &amp; regional caseload'!$T$15)</f>
        <v>0</v>
      </c>
      <c r="X18" s="204">
        <f>SUMIFS('caseload data'!H:H,'caseload data'!$D:$D,"PSO",'caseload data'!$C:$C,'divisional &amp; regional caseload'!$T$15)</f>
        <v>0</v>
      </c>
      <c r="Y18" s="204">
        <f>SUMIFS('caseload data'!I:I,'caseload data'!$D:$D,"PSO",'caseload data'!$C:$C,'divisional &amp; regional caseload'!$T$15)</f>
        <v>0</v>
      </c>
      <c r="Z18" s="204">
        <f>SUMIFS('caseload data'!J:J,'caseload data'!$D:$D,"PSO",'caseload data'!$C:$C,'divisional &amp; regional caseload'!$T$15)</f>
        <v>0</v>
      </c>
      <c r="AA18" s="204">
        <f>SUMIFS('caseload data'!K:K,'caseload data'!$D:$D,"PSO",'caseload data'!$C:$C,'divisional &amp; regional caseload'!$T$15)</f>
        <v>0</v>
      </c>
      <c r="AB18" s="204">
        <f>SUMIFS('caseload data'!L:L,'caseload data'!$D:$D,"PSO",'caseload data'!$C:$C,'divisional &amp; regional caseload'!$T$15)</f>
        <v>0</v>
      </c>
      <c r="AC18" s="204">
        <f>SUMIFS('caseload data'!M:M,'caseload data'!$D:$D,"PSO",'caseload data'!$C:$C,'divisional &amp; regional caseload'!$T$15)</f>
        <v>0</v>
      </c>
      <c r="AD18" s="204">
        <f>SUMIFS('caseload data'!N:N,'caseload data'!$D:$D,"PSO",'caseload data'!$C:$C,'divisional &amp; regional caseload'!$T$15)</f>
        <v>0</v>
      </c>
      <c r="AE18" s="204">
        <f>SUMIFS('caseload data'!O:O,'caseload data'!$D:$D,"PSO",'caseload data'!$C:$C,'divisional &amp; regional caseload'!$T$15)</f>
        <v>0</v>
      </c>
      <c r="AF18" s="204">
        <f>SUMIFS('caseload data'!P:P,'caseload data'!$D:$D,"PSO",'caseload data'!$C:$C,'divisional &amp; regional caseload'!$T$15)</f>
        <v>0</v>
      </c>
      <c r="AG18" s="204">
        <f>SUMIFS('caseload data'!Q:Q,'caseload data'!$D:$D,"PSO",'caseload data'!$C:$C,'divisional &amp; regional caseload'!$T$15)</f>
        <v>0</v>
      </c>
      <c r="AH18" s="204">
        <f>SUMIFS('caseload data'!R:R,'caseload data'!$D:$D,"PSO",'caseload data'!$C:$C,'divisional &amp; regional caseload'!$T$15)</f>
        <v>0</v>
      </c>
      <c r="AI18" s="204">
        <f>SUMIFS('caseload data'!S:S,'caseload data'!$D:$D,"PSO",'caseload data'!$C:$C,'divisional &amp; regional caseload'!$T$15)</f>
        <v>0</v>
      </c>
      <c r="AJ18" s="204">
        <f>SUMIFS('caseload data'!T:T,'caseload data'!$D:$D,"PSO",'caseload data'!$C:$C,'divisional &amp; regional caseload'!$T$15)</f>
        <v>0</v>
      </c>
    </row>
    <row r="19" spans="2:36" x14ac:dyDescent="0.15">
      <c r="B19" s="130" t="s">
        <v>186</v>
      </c>
      <c r="C19" s="204">
        <f>SUMIFS('caseload data'!E:E,'caseload data'!$D:$D,"TPO",'caseload data'!$C:$C,'divisional &amp; regional caseload'!$B$15)</f>
        <v>0</v>
      </c>
      <c r="D19" s="204">
        <f>SUMIFS('caseload data'!F:F,'caseload data'!$D:$D,"TPO",'caseload data'!$C:$C,'divisional &amp; regional caseload'!$B$15)</f>
        <v>0</v>
      </c>
      <c r="E19" s="204">
        <f>SUMIFS('caseload data'!G:G,'caseload data'!$D:$D,"TPO",'caseload data'!$C:$C,'divisional &amp; regional caseload'!$B$15)</f>
        <v>0</v>
      </c>
      <c r="F19" s="204">
        <f>SUMIFS('caseload data'!H:H,'caseload data'!$D:$D,"TPO",'caseload data'!$C:$C,'divisional &amp; regional caseload'!$B$15)</f>
        <v>0</v>
      </c>
      <c r="G19" s="204">
        <f>SUMIFS('caseload data'!I:I,'caseload data'!$D:$D,"TPO",'caseload data'!$C:$C,'divisional &amp; regional caseload'!$B$15)</f>
        <v>0</v>
      </c>
      <c r="H19" s="204">
        <f>SUMIFS('caseload data'!J:J,'caseload data'!$D:$D,"TPO",'caseload data'!$C:$C,'divisional &amp; regional caseload'!$B$15)</f>
        <v>0</v>
      </c>
      <c r="I19" s="204">
        <f>SUMIFS('caseload data'!K:K,'caseload data'!$D:$D,"TPO",'caseload data'!$C:$C,'divisional &amp; regional caseload'!$B$15)</f>
        <v>0</v>
      </c>
      <c r="J19" s="204">
        <f>SUMIFS('caseload data'!L:L,'caseload data'!$D:$D,"TPO",'caseload data'!$C:$C,'divisional &amp; regional caseload'!$B$15)</f>
        <v>0</v>
      </c>
      <c r="K19" s="204">
        <f>SUMIFS('caseload data'!M:M,'caseload data'!$D:$D,"TPO",'caseload data'!$C:$C,'divisional &amp; regional caseload'!$B$15)</f>
        <v>0</v>
      </c>
      <c r="L19" s="204">
        <f>SUMIFS('caseload data'!N:N,'caseload data'!$D:$D,"TPO",'caseload data'!$C:$C,'divisional &amp; regional caseload'!$B$15)</f>
        <v>0</v>
      </c>
      <c r="M19" s="204">
        <f>SUMIFS('caseload data'!O:O,'caseload data'!$D:$D,"TPO",'caseload data'!$C:$C,'divisional &amp; regional caseload'!$B$15)</f>
        <v>0</v>
      </c>
      <c r="N19" s="204">
        <f>SUMIFS('caseload data'!P:P,'caseload data'!$D:$D,"TPO",'caseload data'!$C:$C,'divisional &amp; regional caseload'!$B$15)</f>
        <v>0</v>
      </c>
      <c r="O19" s="204">
        <f>SUMIFS('caseload data'!Q:Q,'caseload data'!$D:$D,"TPO",'caseload data'!$C:$C,'divisional &amp; regional caseload'!$B$15)</f>
        <v>0</v>
      </c>
      <c r="P19" s="204">
        <f>SUMIFS('caseload data'!R:R,'caseload data'!$D:$D,"TPO",'caseload data'!$C:$C,'divisional &amp; regional caseload'!$B$15)</f>
        <v>0</v>
      </c>
      <c r="Q19" s="204">
        <f>SUMIFS('caseload data'!S:S,'caseload data'!$D:$D,"TPO",'caseload data'!$C:$C,'divisional &amp; regional caseload'!$B$15)</f>
        <v>0</v>
      </c>
      <c r="R19" s="204">
        <f>SUMIFS('caseload data'!T:T,'caseload data'!$D:$D,"TPO",'caseload data'!$C:$C,'divisional &amp; regional caseload'!$B$15)</f>
        <v>0</v>
      </c>
      <c r="S19" s="183"/>
      <c r="T19" s="130" t="s">
        <v>186</v>
      </c>
      <c r="U19" s="204">
        <f>SUMIFS('caseload data'!E:E,'caseload data'!$D:$D,"TPO",'caseload data'!$C:$C,'divisional &amp; regional caseload'!$T$15)</f>
        <v>0</v>
      </c>
      <c r="V19" s="204">
        <f>SUMIFS('caseload data'!F:F,'caseload data'!$D:$D,"TPO",'caseload data'!$C:$C,'divisional &amp; regional caseload'!$T$15)</f>
        <v>0</v>
      </c>
      <c r="W19" s="204">
        <f>SUMIFS('caseload data'!G:G,'caseload data'!$D:$D,"TPO",'caseload data'!$C:$C,'divisional &amp; regional caseload'!$T$15)</f>
        <v>0</v>
      </c>
      <c r="X19" s="204">
        <f>SUMIFS('caseload data'!H:H,'caseload data'!$D:$D,"TPO",'caseload data'!$C:$C,'divisional &amp; regional caseload'!$T$15)</f>
        <v>0</v>
      </c>
      <c r="Y19" s="204">
        <f>SUMIFS('caseload data'!I:I,'caseload data'!$D:$D,"TPO",'caseload data'!$C:$C,'divisional &amp; regional caseload'!$T$15)</f>
        <v>0</v>
      </c>
      <c r="Z19" s="204">
        <f>SUMIFS('caseload data'!J:J,'caseload data'!$D:$D,"TPO",'caseload data'!$C:$C,'divisional &amp; regional caseload'!$T$15)</f>
        <v>0</v>
      </c>
      <c r="AA19" s="204">
        <f>SUMIFS('caseload data'!K:K,'caseload data'!$D:$D,"TPO",'caseload data'!$C:$C,'divisional &amp; regional caseload'!$T$15)</f>
        <v>0</v>
      </c>
      <c r="AB19" s="204">
        <f>SUMIFS('caseload data'!L:L,'caseload data'!$D:$D,"TPO",'caseload data'!$C:$C,'divisional &amp; regional caseload'!$T$15)</f>
        <v>0</v>
      </c>
      <c r="AC19" s="204">
        <f>SUMIFS('caseload data'!M:M,'caseload data'!$D:$D,"TPO",'caseload data'!$C:$C,'divisional &amp; regional caseload'!$T$15)</f>
        <v>0</v>
      </c>
      <c r="AD19" s="204">
        <f>SUMIFS('caseload data'!N:N,'caseload data'!$D:$D,"TPO",'caseload data'!$C:$C,'divisional &amp; regional caseload'!$T$15)</f>
        <v>0</v>
      </c>
      <c r="AE19" s="204">
        <f>SUMIFS('caseload data'!O:O,'caseload data'!$D:$D,"TPO",'caseload data'!$C:$C,'divisional &amp; regional caseload'!$T$15)</f>
        <v>0</v>
      </c>
      <c r="AF19" s="204">
        <f>SUMIFS('caseload data'!P:P,'caseload data'!$D:$D,"TPO",'caseload data'!$C:$C,'divisional &amp; regional caseload'!$T$15)</f>
        <v>0</v>
      </c>
      <c r="AG19" s="204">
        <f>SUMIFS('caseload data'!Q:Q,'caseload data'!$D:$D,"TPO",'caseload data'!$C:$C,'divisional &amp; regional caseload'!$T$15)</f>
        <v>0</v>
      </c>
      <c r="AH19" s="204">
        <f>SUMIFS('caseload data'!R:R,'caseload data'!$D:$D,"TPO",'caseload data'!$C:$C,'divisional &amp; regional caseload'!$T$15)</f>
        <v>0</v>
      </c>
      <c r="AI19" s="204">
        <f>SUMIFS('caseload data'!S:S,'caseload data'!$D:$D,"TPO",'caseload data'!$C:$C,'divisional &amp; regional caseload'!$T$15)</f>
        <v>0</v>
      </c>
      <c r="AJ19" s="204">
        <f>SUMIFS('caseload data'!T:T,'caseload data'!$D:$D,"TPO",'caseload data'!$C:$C,'divisional &amp; regional caseload'!$T$15)</f>
        <v>0</v>
      </c>
    </row>
    <row r="20" spans="2:36" s="30" customFormat="1" x14ac:dyDescent="0.15">
      <c r="B20" s="131" t="s">
        <v>187</v>
      </c>
      <c r="C20" s="204">
        <f>SUMIFS('caseload data'!E:E,'caseload data'!$D:$D,"SPO",'caseload data'!$C:$C,'divisional &amp; regional caseload'!$B$15)</f>
        <v>0</v>
      </c>
      <c r="D20" s="204">
        <f>SUMIFS('caseload data'!F:F,'caseload data'!$D:$D,"SPO",'caseload data'!$C:$C,'divisional &amp; regional caseload'!$B$15)</f>
        <v>0</v>
      </c>
      <c r="E20" s="204">
        <f>SUMIFS('caseload data'!G:G,'caseload data'!$D:$D,"SPO",'caseload data'!$C:$C,'divisional &amp; regional caseload'!$B$15)</f>
        <v>0</v>
      </c>
      <c r="F20" s="204">
        <f>SUMIFS('caseload data'!H:H,'caseload data'!$D:$D,"SPO",'caseload data'!$C:$C,'divisional &amp; regional caseload'!$B$15)</f>
        <v>0</v>
      </c>
      <c r="G20" s="204">
        <f>SUMIFS('caseload data'!I:I,'caseload data'!$D:$D,"SPO",'caseload data'!$C:$C,'divisional &amp; regional caseload'!$B$15)</f>
        <v>0</v>
      </c>
      <c r="H20" s="204">
        <f>SUMIFS('caseload data'!J:J,'caseload data'!$D:$D,"SPO",'caseload data'!$C:$C,'divisional &amp; regional caseload'!$B$15)</f>
        <v>0</v>
      </c>
      <c r="I20" s="204">
        <f>SUMIFS('caseload data'!K:K,'caseload data'!$D:$D,"SPO",'caseload data'!$C:$C,'divisional &amp; regional caseload'!$B$15)</f>
        <v>0</v>
      </c>
      <c r="J20" s="204">
        <f>SUMIFS('caseload data'!L:L,'caseload data'!$D:$D,"SPO",'caseload data'!$C:$C,'divisional &amp; regional caseload'!$B$15)</f>
        <v>0</v>
      </c>
      <c r="K20" s="204">
        <f>SUMIFS('caseload data'!M:M,'caseload data'!$D:$D,"SPO",'caseload data'!$C:$C,'divisional &amp; regional caseload'!$B$15)</f>
        <v>0</v>
      </c>
      <c r="L20" s="204">
        <f>SUMIFS('caseload data'!N:N,'caseload data'!$D:$D,"SPO",'caseload data'!$C:$C,'divisional &amp; regional caseload'!$B$15)</f>
        <v>0</v>
      </c>
      <c r="M20" s="204">
        <f>SUMIFS('caseload data'!O:O,'caseload data'!$D:$D,"SPO",'caseload data'!$C:$C,'divisional &amp; regional caseload'!$B$15)</f>
        <v>0</v>
      </c>
      <c r="N20" s="204">
        <f>SUMIFS('caseload data'!P:P,'caseload data'!$D:$D,"SPO",'caseload data'!$C:$C,'divisional &amp; regional caseload'!$B$15)</f>
        <v>0</v>
      </c>
      <c r="O20" s="204">
        <f>SUMIFS('caseload data'!Q:Q,'caseload data'!$D:$D,"SPO",'caseload data'!$C:$C,'divisional &amp; regional caseload'!$B$15)</f>
        <v>0</v>
      </c>
      <c r="P20" s="204">
        <f>SUMIFS('caseload data'!R:R,'caseload data'!$D:$D,"SPO",'caseload data'!$C:$C,'divisional &amp; regional caseload'!$B$15)</f>
        <v>0</v>
      </c>
      <c r="Q20" s="204">
        <f>SUMIFS('caseload data'!S:S,'caseload data'!$D:$D,"SPO",'caseload data'!$C:$C,'divisional &amp; regional caseload'!$B$15)</f>
        <v>0</v>
      </c>
      <c r="R20" s="204">
        <f>SUMIFS('caseload data'!T:T,'caseload data'!$D:$D,"SPO",'caseload data'!$C:$C,'divisional &amp; regional caseload'!$B$15)</f>
        <v>0</v>
      </c>
      <c r="S20" s="183"/>
      <c r="T20" s="131" t="s">
        <v>187</v>
      </c>
      <c r="U20" s="204">
        <f>SUMIFS('caseload data'!E:E,'caseload data'!$D:$D,"SPO",'caseload data'!$C:$C,'divisional &amp; regional caseload'!$T$15)</f>
        <v>0</v>
      </c>
      <c r="V20" s="204">
        <f>SUMIFS('caseload data'!F:F,'caseload data'!$D:$D,"SPO",'caseload data'!$C:$C,'divisional &amp; regional caseload'!$T$15)</f>
        <v>0</v>
      </c>
      <c r="W20" s="204">
        <f>SUMIFS('caseload data'!G:G,'caseload data'!$D:$D,"SPO",'caseload data'!$C:$C,'divisional &amp; regional caseload'!$T$15)</f>
        <v>0</v>
      </c>
      <c r="X20" s="204">
        <f>SUMIFS('caseload data'!H:H,'caseload data'!$D:$D,"SPO",'caseload data'!$C:$C,'divisional &amp; regional caseload'!$T$15)</f>
        <v>0</v>
      </c>
      <c r="Y20" s="204">
        <f>SUMIFS('caseload data'!I:I,'caseload data'!$D:$D,"SPO",'caseload data'!$C:$C,'divisional &amp; regional caseload'!$T$15)</f>
        <v>0</v>
      </c>
      <c r="Z20" s="204">
        <f>SUMIFS('caseload data'!J:J,'caseload data'!$D:$D,"SPO",'caseload data'!$C:$C,'divisional &amp; regional caseload'!$T$15)</f>
        <v>0</v>
      </c>
      <c r="AA20" s="204">
        <f>SUMIFS('caseload data'!K:K,'caseload data'!$D:$D,"SPO",'caseload data'!$C:$C,'divisional &amp; regional caseload'!$T$15)</f>
        <v>0</v>
      </c>
      <c r="AB20" s="204">
        <f>SUMIFS('caseload data'!L:L,'caseload data'!$D:$D,"SPO",'caseload data'!$C:$C,'divisional &amp; regional caseload'!$T$15)</f>
        <v>0</v>
      </c>
      <c r="AC20" s="204">
        <f>SUMIFS('caseload data'!M:M,'caseload data'!$D:$D,"SPO",'caseload data'!$C:$C,'divisional &amp; regional caseload'!$T$15)</f>
        <v>0</v>
      </c>
      <c r="AD20" s="204">
        <f>SUMIFS('caseload data'!N:N,'caseload data'!$D:$D,"SPO",'caseload data'!$C:$C,'divisional &amp; regional caseload'!$T$15)</f>
        <v>0</v>
      </c>
      <c r="AE20" s="204">
        <f>SUMIFS('caseload data'!O:O,'caseload data'!$D:$D,"SPO",'caseload data'!$C:$C,'divisional &amp; regional caseload'!$T$15)</f>
        <v>0</v>
      </c>
      <c r="AF20" s="204">
        <f>SUMIFS('caseload data'!P:P,'caseload data'!$D:$D,"SPO",'caseload data'!$C:$C,'divisional &amp; regional caseload'!$T$15)</f>
        <v>0</v>
      </c>
      <c r="AG20" s="204">
        <f>SUMIFS('caseload data'!Q:Q,'caseload data'!$D:$D,"SPO",'caseload data'!$C:$C,'divisional &amp; regional caseload'!$T$15)</f>
        <v>0</v>
      </c>
      <c r="AH20" s="204">
        <f>SUMIFS('caseload data'!R:R,'caseload data'!$D:$D,"SPO",'caseload data'!$C:$C,'divisional &amp; regional caseload'!$T$15)</f>
        <v>0</v>
      </c>
      <c r="AI20" s="204">
        <f>SUMIFS('caseload data'!S:S,'caseload data'!$D:$D,"SPO",'caseload data'!$C:$C,'divisional &amp; regional caseload'!$T$15)</f>
        <v>0</v>
      </c>
      <c r="AJ20" s="204">
        <f>SUMIFS('caseload data'!T:T,'caseload data'!$D:$D,"SPO",'caseload data'!$C:$C,'divisional &amp; regional caseload'!$T$15)</f>
        <v>0</v>
      </c>
    </row>
    <row r="21" spans="2:36" x14ac:dyDescent="0.15">
      <c r="B21" s="183"/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</row>
    <row r="22" spans="2:36" ht="30.75" customHeight="1" x14ac:dyDescent="0.15">
      <c r="B22" s="182">
        <f>HLOOKUP($B$5,Region_Table,6,0)</f>
        <v>0</v>
      </c>
      <c r="C22" s="359" t="s">
        <v>363</v>
      </c>
      <c r="D22" s="365"/>
      <c r="E22" s="365"/>
      <c r="F22" s="365"/>
      <c r="G22" s="365"/>
      <c r="H22" s="365"/>
      <c r="I22" s="365"/>
      <c r="J22" s="365"/>
      <c r="K22" s="365"/>
      <c r="L22" s="365"/>
      <c r="M22" s="360"/>
      <c r="N22" s="360"/>
      <c r="O22" s="361"/>
      <c r="P22" s="362">
        <f>SUMIF('caseload data'!$C:$C,'divisional &amp; regional caseload'!B22,'caseload data'!V:V)</f>
        <v>0</v>
      </c>
      <c r="Q22" s="363"/>
      <c r="R22" s="364"/>
      <c r="S22" s="183"/>
      <c r="T22" s="182">
        <f>HLOOKUP($B$5,Region_Table,7,0)</f>
        <v>0</v>
      </c>
      <c r="U22" s="359" t="s">
        <v>363</v>
      </c>
      <c r="V22" s="360"/>
      <c r="W22" s="360"/>
      <c r="X22" s="361"/>
      <c r="Y22" s="362">
        <f>SUMIF('caseload data'!$C:$C,'divisional &amp; regional caseload'!T22,'caseload data'!V:V)</f>
        <v>0</v>
      </c>
      <c r="Z22" s="363"/>
      <c r="AA22" s="364"/>
    </row>
    <row r="23" spans="2:36" x14ac:dyDescent="0.15">
      <c r="B23" s="127" t="s">
        <v>324</v>
      </c>
      <c r="C23" s="58" t="s">
        <v>504</v>
      </c>
      <c r="D23" s="58" t="s">
        <v>503</v>
      </c>
      <c r="E23" s="58" t="s">
        <v>502</v>
      </c>
      <c r="F23" s="58" t="s">
        <v>501</v>
      </c>
      <c r="G23" s="58" t="s">
        <v>510</v>
      </c>
      <c r="H23" s="58" t="s">
        <v>176</v>
      </c>
      <c r="I23" s="58" t="s">
        <v>177</v>
      </c>
      <c r="J23" s="58" t="s">
        <v>505</v>
      </c>
      <c r="K23" s="58" t="s">
        <v>507</v>
      </c>
      <c r="L23" s="58" t="s">
        <v>178</v>
      </c>
      <c r="M23" s="58" t="s">
        <v>179</v>
      </c>
      <c r="N23" s="58" t="s">
        <v>506</v>
      </c>
      <c r="O23" s="58" t="s">
        <v>508</v>
      </c>
      <c r="P23" s="58" t="s">
        <v>180</v>
      </c>
      <c r="Q23" s="58" t="s">
        <v>181</v>
      </c>
      <c r="R23" s="58" t="s">
        <v>509</v>
      </c>
      <c r="S23" s="183"/>
      <c r="T23" s="127" t="s">
        <v>324</v>
      </c>
      <c r="U23" s="58" t="s">
        <v>504</v>
      </c>
      <c r="V23" s="58" t="s">
        <v>503</v>
      </c>
      <c r="W23" s="58" t="s">
        <v>502</v>
      </c>
      <c r="X23" s="58" t="s">
        <v>501</v>
      </c>
      <c r="Y23" s="58" t="s">
        <v>510</v>
      </c>
      <c r="Z23" s="58" t="s">
        <v>176</v>
      </c>
      <c r="AA23" s="58" t="s">
        <v>177</v>
      </c>
      <c r="AB23" s="58" t="s">
        <v>505</v>
      </c>
      <c r="AC23" s="58" t="s">
        <v>507</v>
      </c>
      <c r="AD23" s="58" t="s">
        <v>178</v>
      </c>
      <c r="AE23" s="58" t="s">
        <v>179</v>
      </c>
      <c r="AF23" s="58" t="s">
        <v>506</v>
      </c>
      <c r="AG23" s="58" t="s">
        <v>508</v>
      </c>
      <c r="AH23" s="58" t="s">
        <v>180</v>
      </c>
      <c r="AI23" s="58" t="s">
        <v>181</v>
      </c>
      <c r="AJ23" s="58" t="s">
        <v>509</v>
      </c>
    </row>
    <row r="24" spans="2:36" x14ac:dyDescent="0.15">
      <c r="B24" s="129" t="s">
        <v>184</v>
      </c>
      <c r="C24" s="204">
        <f>SUMIFS('caseload data'!E:E,'caseload data'!$D:$D,"PO",'caseload data'!$C:$C,'divisional &amp; regional caseload'!$B$22)</f>
        <v>0</v>
      </c>
      <c r="D24" s="204">
        <f>SUMIFS('caseload data'!F:F,'caseload data'!$D:$D,"PO",'caseload data'!$C:$C,'divisional &amp; regional caseload'!$B$22)</f>
        <v>0</v>
      </c>
      <c r="E24" s="204">
        <f>SUMIFS('caseload data'!G:G,'caseload data'!$D:$D,"PO",'caseload data'!$C:$C,'divisional &amp; regional caseload'!$B$22)</f>
        <v>0</v>
      </c>
      <c r="F24" s="204">
        <f>SUMIFS('caseload data'!H:H,'caseload data'!$D:$D,"PO",'caseload data'!$C:$C,'divisional &amp; regional caseload'!$B$22)</f>
        <v>0</v>
      </c>
      <c r="G24" s="204">
        <f>SUMIFS('caseload data'!I:I,'caseload data'!$D:$D,"PO",'caseload data'!$C:$C,'divisional &amp; regional caseload'!$B$22)</f>
        <v>0</v>
      </c>
      <c r="H24" s="204">
        <f>SUMIFS('caseload data'!J:J,'caseload data'!$D:$D,"PO",'caseload data'!$C:$C,'divisional &amp; regional caseload'!$B$22)</f>
        <v>0</v>
      </c>
      <c r="I24" s="204">
        <f>SUMIFS('caseload data'!K:K,'caseload data'!$D:$D,"PO",'caseload data'!$C:$C,'divisional &amp; regional caseload'!$B$22)</f>
        <v>0</v>
      </c>
      <c r="J24" s="204">
        <f>SUMIFS('caseload data'!L:L,'caseload data'!$D:$D,"PO",'caseload data'!$C:$C,'divisional &amp; regional caseload'!$B$22)</f>
        <v>0</v>
      </c>
      <c r="K24" s="204">
        <f>SUMIFS('caseload data'!M:M,'caseload data'!$D:$D,"PO",'caseload data'!$C:$C,'divisional &amp; regional caseload'!$B$22)</f>
        <v>0</v>
      </c>
      <c r="L24" s="204">
        <f>SUMIFS('caseload data'!N:N,'caseload data'!$D:$D,"PO",'caseload data'!$C:$C,'divisional &amp; regional caseload'!$B$22)</f>
        <v>0</v>
      </c>
      <c r="M24" s="204">
        <f>SUMIFS('caseload data'!O:O,'caseload data'!$D:$D,"PO",'caseload data'!$C:$C,'divisional &amp; regional caseload'!$B$22)</f>
        <v>0</v>
      </c>
      <c r="N24" s="204">
        <f>SUMIFS('caseload data'!P:P,'caseload data'!$D:$D,"PO",'caseload data'!$C:$C,'divisional &amp; regional caseload'!$B$22)</f>
        <v>0</v>
      </c>
      <c r="O24" s="204">
        <f>SUMIFS('caseload data'!Q:Q,'caseload data'!$D:$D,"PO",'caseload data'!$C:$C,'divisional &amp; regional caseload'!$B$22)</f>
        <v>0</v>
      </c>
      <c r="P24" s="204">
        <f>SUMIFS('caseload data'!R:R,'caseload data'!$D:$D,"PO",'caseload data'!$C:$C,'divisional &amp; regional caseload'!$B$22)</f>
        <v>0</v>
      </c>
      <c r="Q24" s="204">
        <f>SUMIFS('caseload data'!S:S,'caseload data'!$D:$D,"PO",'caseload data'!$C:$C,'divisional &amp; regional caseload'!$B$22)</f>
        <v>0</v>
      </c>
      <c r="R24" s="204">
        <f>SUMIFS('caseload data'!T:T,'caseload data'!$D:$D,"PO",'caseload data'!$C:$C,'divisional &amp; regional caseload'!$B$22)</f>
        <v>0</v>
      </c>
      <c r="S24" s="183"/>
      <c r="T24" s="129" t="s">
        <v>184</v>
      </c>
      <c r="U24" s="204">
        <f>SUMIFS('caseload data'!E:E,'caseload data'!$D:$D,"PO",'caseload data'!$C:$C,'divisional &amp; regional caseload'!$T$22)</f>
        <v>0</v>
      </c>
      <c r="V24" s="204">
        <f>SUMIFS('caseload data'!F:F,'caseload data'!$D:$D,"PO",'caseload data'!$C:$C,'divisional &amp; regional caseload'!$T$22)</f>
        <v>0</v>
      </c>
      <c r="W24" s="204">
        <f>SUMIFS('caseload data'!G:G,'caseload data'!$D:$D,"PO",'caseload data'!$C:$C,'divisional &amp; regional caseload'!$T$22)</f>
        <v>0</v>
      </c>
      <c r="X24" s="204">
        <f>SUMIFS('caseload data'!H:H,'caseload data'!$D:$D,"PO",'caseload data'!$C:$C,'divisional &amp; regional caseload'!$T$22)</f>
        <v>0</v>
      </c>
      <c r="Y24" s="204">
        <f>SUMIFS('caseload data'!I:I,'caseload data'!$D:$D,"PO",'caseload data'!$C:$C,'divisional &amp; regional caseload'!$T$22)</f>
        <v>0</v>
      </c>
      <c r="Z24" s="204">
        <f>SUMIFS('caseload data'!J:J,'caseload data'!$D:$D,"PO",'caseload data'!$C:$C,'divisional &amp; regional caseload'!$T$22)</f>
        <v>0</v>
      </c>
      <c r="AA24" s="204">
        <f>SUMIFS('caseload data'!K:K,'caseload data'!$D:$D,"PO",'caseload data'!$C:$C,'divisional &amp; regional caseload'!$T$22)</f>
        <v>0</v>
      </c>
      <c r="AB24" s="204">
        <f>SUMIFS('caseload data'!L:L,'caseload data'!$D:$D,"PO",'caseload data'!$C:$C,'divisional &amp; regional caseload'!$T$22)</f>
        <v>0</v>
      </c>
      <c r="AC24" s="204">
        <f>SUMIFS('caseload data'!M:M,'caseload data'!$D:$D,"PO",'caseload data'!$C:$C,'divisional &amp; regional caseload'!$T$22)</f>
        <v>0</v>
      </c>
      <c r="AD24" s="204">
        <f>SUMIFS('caseload data'!N:N,'caseload data'!$D:$D,"PO",'caseload data'!$C:$C,'divisional &amp; regional caseload'!$T$22)</f>
        <v>0</v>
      </c>
      <c r="AE24" s="204">
        <f>SUMIFS('caseload data'!O:O,'caseload data'!$D:$D,"PO",'caseload data'!$C:$C,'divisional &amp; regional caseload'!$T$22)</f>
        <v>0</v>
      </c>
      <c r="AF24" s="204">
        <f>SUMIFS('caseload data'!P:P,'caseload data'!$D:$D,"PO",'caseload data'!$C:$C,'divisional &amp; regional caseload'!$T$22)</f>
        <v>0</v>
      </c>
      <c r="AG24" s="204">
        <f>SUMIFS('caseload data'!Q:Q,'caseload data'!$D:$D,"PO",'caseload data'!$C:$C,'divisional &amp; regional caseload'!$T$22)</f>
        <v>0</v>
      </c>
      <c r="AH24" s="204">
        <f>SUMIFS('caseload data'!R:R,'caseload data'!$D:$D,"PO",'caseload data'!$C:$C,'divisional &amp; regional caseload'!$T$22)</f>
        <v>0</v>
      </c>
      <c r="AI24" s="204">
        <f>SUMIFS('caseload data'!S:S,'caseload data'!$D:$D,"PO",'caseload data'!$C:$C,'divisional &amp; regional caseload'!$T$22)</f>
        <v>0</v>
      </c>
      <c r="AJ24" s="204">
        <f>SUMIFS('caseload data'!T:T,'caseload data'!$D:$D,"PO",'caseload data'!$C:$C,'divisional &amp; regional caseload'!$T$22)</f>
        <v>0</v>
      </c>
    </row>
    <row r="25" spans="2:36" x14ac:dyDescent="0.15">
      <c r="B25" s="130" t="s">
        <v>185</v>
      </c>
      <c r="C25" s="204">
        <f>SUMIFS('caseload data'!E:E,'caseload data'!$D:$D,"PSO",'caseload data'!$C:$C,'divisional &amp; regional caseload'!$B$22)</f>
        <v>0</v>
      </c>
      <c r="D25" s="204">
        <f>SUMIFS('caseload data'!F:F,'caseload data'!$D:$D,"PSO",'caseload data'!$C:$C,'divisional &amp; regional caseload'!$B$22)</f>
        <v>0</v>
      </c>
      <c r="E25" s="204">
        <f>SUMIFS('caseload data'!G:G,'caseload data'!$D:$D,"PSO",'caseload data'!$C:$C,'divisional &amp; regional caseload'!$B$22)</f>
        <v>0</v>
      </c>
      <c r="F25" s="204">
        <f>SUMIFS('caseload data'!H:H,'caseload data'!$D:$D,"PSO",'caseload data'!$C:$C,'divisional &amp; regional caseload'!$B$22)</f>
        <v>0</v>
      </c>
      <c r="G25" s="204">
        <f>SUMIFS('caseload data'!I:I,'caseload data'!$D:$D,"PSO",'caseload data'!$C:$C,'divisional &amp; regional caseload'!$B$22)</f>
        <v>0</v>
      </c>
      <c r="H25" s="204">
        <f>SUMIFS('caseload data'!J:J,'caseload data'!$D:$D,"PSO",'caseload data'!$C:$C,'divisional &amp; regional caseload'!$B$22)</f>
        <v>0</v>
      </c>
      <c r="I25" s="204">
        <f>SUMIFS('caseload data'!K:K,'caseload data'!$D:$D,"PSO",'caseload data'!$C:$C,'divisional &amp; regional caseload'!$B$22)</f>
        <v>0</v>
      </c>
      <c r="J25" s="204">
        <f>SUMIFS('caseload data'!L:L,'caseload data'!$D:$D,"PSO",'caseload data'!$C:$C,'divisional &amp; regional caseload'!$B$22)</f>
        <v>0</v>
      </c>
      <c r="K25" s="204">
        <f>SUMIFS('caseload data'!M:M,'caseload data'!$D:$D,"PSO",'caseload data'!$C:$C,'divisional &amp; regional caseload'!$B$22)</f>
        <v>0</v>
      </c>
      <c r="L25" s="204">
        <f>SUMIFS('caseload data'!N:N,'caseload data'!$D:$D,"PSO",'caseload data'!$C:$C,'divisional &amp; regional caseload'!$B$22)</f>
        <v>0</v>
      </c>
      <c r="M25" s="204">
        <f>SUMIFS('caseload data'!O:O,'caseload data'!$D:$D,"PSO",'caseload data'!$C:$C,'divisional &amp; regional caseload'!$B$22)</f>
        <v>0</v>
      </c>
      <c r="N25" s="204">
        <f>SUMIFS('caseload data'!P:P,'caseload data'!$D:$D,"PSO",'caseload data'!$C:$C,'divisional &amp; regional caseload'!$B$22)</f>
        <v>0</v>
      </c>
      <c r="O25" s="204">
        <f>SUMIFS('caseload data'!Q:Q,'caseload data'!$D:$D,"PSO",'caseload data'!$C:$C,'divisional &amp; regional caseload'!$B$22)</f>
        <v>0</v>
      </c>
      <c r="P25" s="204">
        <f>SUMIFS('caseload data'!R:R,'caseload data'!$D:$D,"PSO",'caseload data'!$C:$C,'divisional &amp; regional caseload'!$B$22)</f>
        <v>0</v>
      </c>
      <c r="Q25" s="204">
        <f>SUMIFS('caseload data'!S:S,'caseload data'!$D:$D,"PSO",'caseload data'!$C:$C,'divisional &amp; regional caseload'!$B$22)</f>
        <v>0</v>
      </c>
      <c r="R25" s="204">
        <f>SUMIFS('caseload data'!T:T,'caseload data'!$D:$D,"PSO",'caseload data'!$C:$C,'divisional &amp; regional caseload'!$B$22)</f>
        <v>0</v>
      </c>
      <c r="S25" s="183"/>
      <c r="T25" s="130" t="s">
        <v>185</v>
      </c>
      <c r="U25" s="204">
        <f>SUMIFS('caseload data'!E:E,'caseload data'!$D:$D,"PSO",'caseload data'!$C:$C,'divisional &amp; regional caseload'!$T$22)</f>
        <v>0</v>
      </c>
      <c r="V25" s="204">
        <f>SUMIFS('caseload data'!F:F,'caseload data'!$D:$D,"PSO",'caseload data'!$C:$C,'divisional &amp; regional caseload'!$T$22)</f>
        <v>0</v>
      </c>
      <c r="W25" s="204">
        <f>SUMIFS('caseload data'!G:G,'caseload data'!$D:$D,"PSO",'caseload data'!$C:$C,'divisional &amp; regional caseload'!$T$22)</f>
        <v>0</v>
      </c>
      <c r="X25" s="204">
        <f>SUMIFS('caseload data'!H:H,'caseload data'!$D:$D,"PSO",'caseload data'!$C:$C,'divisional &amp; regional caseload'!$T$22)</f>
        <v>0</v>
      </c>
      <c r="Y25" s="204">
        <f>SUMIFS('caseload data'!I:I,'caseload data'!$D:$D,"PSO",'caseload data'!$C:$C,'divisional &amp; regional caseload'!$T$22)</f>
        <v>0</v>
      </c>
      <c r="Z25" s="204">
        <f>SUMIFS('caseload data'!J:J,'caseload data'!$D:$D,"PSO",'caseload data'!$C:$C,'divisional &amp; regional caseload'!$T$22)</f>
        <v>0</v>
      </c>
      <c r="AA25" s="204">
        <f>SUMIFS('caseload data'!K:K,'caseload data'!$D:$D,"PSO",'caseload data'!$C:$C,'divisional &amp; regional caseload'!$T$22)</f>
        <v>0</v>
      </c>
      <c r="AB25" s="204">
        <f>SUMIFS('caseload data'!L:L,'caseload data'!$D:$D,"PSO",'caseload data'!$C:$C,'divisional &amp; regional caseload'!$T$22)</f>
        <v>0</v>
      </c>
      <c r="AC25" s="204">
        <f>SUMIFS('caseload data'!M:M,'caseload data'!$D:$D,"PSO",'caseload data'!$C:$C,'divisional &amp; regional caseload'!$T$22)</f>
        <v>0</v>
      </c>
      <c r="AD25" s="204">
        <f>SUMIFS('caseload data'!N:N,'caseload data'!$D:$D,"PSO",'caseload data'!$C:$C,'divisional &amp; regional caseload'!$T$22)</f>
        <v>0</v>
      </c>
      <c r="AE25" s="204">
        <f>SUMIFS('caseload data'!O:O,'caseload data'!$D:$D,"PSO",'caseload data'!$C:$C,'divisional &amp; regional caseload'!$T$22)</f>
        <v>0</v>
      </c>
      <c r="AF25" s="204">
        <f>SUMIFS('caseload data'!P:P,'caseload data'!$D:$D,"PSO",'caseload data'!$C:$C,'divisional &amp; regional caseload'!$T$22)</f>
        <v>0</v>
      </c>
      <c r="AG25" s="204">
        <f>SUMIFS('caseload data'!Q:Q,'caseload data'!$D:$D,"PSO",'caseload data'!$C:$C,'divisional &amp; regional caseload'!$T$22)</f>
        <v>0</v>
      </c>
      <c r="AH25" s="204">
        <f>SUMIFS('caseload data'!R:R,'caseload data'!$D:$D,"PSO",'caseload data'!$C:$C,'divisional &amp; regional caseload'!$T$22)</f>
        <v>0</v>
      </c>
      <c r="AI25" s="204">
        <f>SUMIFS('caseload data'!S:S,'caseload data'!$D:$D,"PSO",'caseload data'!$C:$C,'divisional &amp; regional caseload'!$T$22)</f>
        <v>0</v>
      </c>
      <c r="AJ25" s="204">
        <f>SUMIFS('caseload data'!T:T,'caseload data'!$D:$D,"PSO",'caseload data'!$C:$C,'divisional &amp; regional caseload'!$T$22)</f>
        <v>0</v>
      </c>
    </row>
    <row r="26" spans="2:36" x14ac:dyDescent="0.15">
      <c r="B26" s="130" t="s">
        <v>186</v>
      </c>
      <c r="C26" s="204">
        <f>SUMIFS('caseload data'!E:E,'caseload data'!$D:$D,"TPO",'caseload data'!$C:$C,'divisional &amp; regional caseload'!$B$22)</f>
        <v>0</v>
      </c>
      <c r="D26" s="204">
        <f>SUMIFS('caseload data'!F:F,'caseload data'!$D:$D,"TPO",'caseload data'!$C:$C,'divisional &amp; regional caseload'!$B$22)</f>
        <v>0</v>
      </c>
      <c r="E26" s="204">
        <f>SUMIFS('caseload data'!G:G,'caseload data'!$D:$D,"TPO",'caseload data'!$C:$C,'divisional &amp; regional caseload'!$B$22)</f>
        <v>0</v>
      </c>
      <c r="F26" s="204">
        <f>SUMIFS('caseload data'!H:H,'caseload data'!$D:$D,"TPO",'caseload data'!$C:$C,'divisional &amp; regional caseload'!$B$22)</f>
        <v>0</v>
      </c>
      <c r="G26" s="204">
        <f>SUMIFS('caseload data'!I:I,'caseload data'!$D:$D,"TPO",'caseload data'!$C:$C,'divisional &amp; regional caseload'!$B$22)</f>
        <v>0</v>
      </c>
      <c r="H26" s="204">
        <f>SUMIFS('caseload data'!J:J,'caseload data'!$D:$D,"TPO",'caseload data'!$C:$C,'divisional &amp; regional caseload'!$B$22)</f>
        <v>0</v>
      </c>
      <c r="I26" s="204">
        <f>SUMIFS('caseload data'!K:K,'caseload data'!$D:$D,"TPO",'caseload data'!$C:$C,'divisional &amp; regional caseload'!$B$22)</f>
        <v>0</v>
      </c>
      <c r="J26" s="204">
        <f>SUMIFS('caseload data'!L:L,'caseload data'!$D:$D,"TPO",'caseload data'!$C:$C,'divisional &amp; regional caseload'!$B$22)</f>
        <v>0</v>
      </c>
      <c r="K26" s="204">
        <f>SUMIFS('caseload data'!M:M,'caseload data'!$D:$D,"TPO",'caseload data'!$C:$C,'divisional &amp; regional caseload'!$B$22)</f>
        <v>0</v>
      </c>
      <c r="L26" s="204">
        <f>SUMIFS('caseload data'!N:N,'caseload data'!$D:$D,"TPO",'caseload data'!$C:$C,'divisional &amp; regional caseload'!$B$22)</f>
        <v>0</v>
      </c>
      <c r="M26" s="204">
        <f>SUMIFS('caseload data'!O:O,'caseload data'!$D:$D,"TPO",'caseload data'!$C:$C,'divisional &amp; regional caseload'!$B$22)</f>
        <v>0</v>
      </c>
      <c r="N26" s="204">
        <f>SUMIFS('caseload data'!P:P,'caseload data'!$D:$D,"TPO",'caseload data'!$C:$C,'divisional &amp; regional caseload'!$B$22)</f>
        <v>0</v>
      </c>
      <c r="O26" s="204">
        <f>SUMIFS('caseload data'!Q:Q,'caseload data'!$D:$D,"TPO",'caseload data'!$C:$C,'divisional &amp; regional caseload'!$B$22)</f>
        <v>0</v>
      </c>
      <c r="P26" s="204">
        <f>SUMIFS('caseload data'!R:R,'caseload data'!$D:$D,"TPO",'caseload data'!$C:$C,'divisional &amp; regional caseload'!$B$22)</f>
        <v>0</v>
      </c>
      <c r="Q26" s="204">
        <f>SUMIFS('caseload data'!S:S,'caseload data'!$D:$D,"TPO",'caseload data'!$C:$C,'divisional &amp; regional caseload'!$B$22)</f>
        <v>0</v>
      </c>
      <c r="R26" s="204">
        <f>SUMIFS('caseload data'!T:T,'caseload data'!$D:$D,"TPO",'caseload data'!$C:$C,'divisional &amp; regional caseload'!$B$22)</f>
        <v>0</v>
      </c>
      <c r="S26" s="183"/>
      <c r="T26" s="130" t="s">
        <v>186</v>
      </c>
      <c r="U26" s="204">
        <f>SUMIFS('caseload data'!E:E,'caseload data'!$D:$D,"TPO",'caseload data'!$C:$C,'divisional &amp; regional caseload'!$T$22)</f>
        <v>0</v>
      </c>
      <c r="V26" s="204">
        <f>SUMIFS('caseload data'!F:F,'caseload data'!$D:$D,"TPO",'caseload data'!$C:$C,'divisional &amp; regional caseload'!$T$22)</f>
        <v>0</v>
      </c>
      <c r="W26" s="204">
        <f>SUMIFS('caseload data'!G:G,'caseload data'!$D:$D,"TPO",'caseload data'!$C:$C,'divisional &amp; regional caseload'!$T$22)</f>
        <v>0</v>
      </c>
      <c r="X26" s="204">
        <f>SUMIFS('caseload data'!H:H,'caseload data'!$D:$D,"TPO",'caseload data'!$C:$C,'divisional &amp; regional caseload'!$T$22)</f>
        <v>0</v>
      </c>
      <c r="Y26" s="204">
        <f>SUMIFS('caseload data'!I:I,'caseload data'!$D:$D,"TPO",'caseload data'!$C:$C,'divisional &amp; regional caseload'!$T$22)</f>
        <v>0</v>
      </c>
      <c r="Z26" s="204">
        <f>SUMIFS('caseload data'!J:J,'caseload data'!$D:$D,"TPO",'caseload data'!$C:$C,'divisional &amp; regional caseload'!$T$22)</f>
        <v>0</v>
      </c>
      <c r="AA26" s="204">
        <f>SUMIFS('caseload data'!K:K,'caseload data'!$D:$D,"TPO",'caseload data'!$C:$C,'divisional &amp; regional caseload'!$T$22)</f>
        <v>0</v>
      </c>
      <c r="AB26" s="204">
        <f>SUMIFS('caseload data'!L:L,'caseload data'!$D:$D,"TPO",'caseload data'!$C:$C,'divisional &amp; regional caseload'!$T$22)</f>
        <v>0</v>
      </c>
      <c r="AC26" s="204">
        <f>SUMIFS('caseload data'!M:M,'caseload data'!$D:$D,"TPO",'caseload data'!$C:$C,'divisional &amp; regional caseload'!$T$22)</f>
        <v>0</v>
      </c>
      <c r="AD26" s="204">
        <f>SUMIFS('caseload data'!N:N,'caseload data'!$D:$D,"TPO",'caseload data'!$C:$C,'divisional &amp; regional caseload'!$T$22)</f>
        <v>0</v>
      </c>
      <c r="AE26" s="204">
        <f>SUMIFS('caseload data'!O:O,'caseload data'!$D:$D,"TPO",'caseload data'!$C:$C,'divisional &amp; regional caseload'!$T$22)</f>
        <v>0</v>
      </c>
      <c r="AF26" s="204">
        <f>SUMIFS('caseload data'!P:P,'caseload data'!$D:$D,"TPO",'caseload data'!$C:$C,'divisional &amp; regional caseload'!$T$22)</f>
        <v>0</v>
      </c>
      <c r="AG26" s="204">
        <f>SUMIFS('caseload data'!Q:Q,'caseload data'!$D:$D,"TPO",'caseload data'!$C:$C,'divisional &amp; regional caseload'!$T$22)</f>
        <v>0</v>
      </c>
      <c r="AH26" s="204">
        <f>SUMIFS('caseload data'!R:R,'caseload data'!$D:$D,"TPO",'caseload data'!$C:$C,'divisional &amp; regional caseload'!$T$22)</f>
        <v>0</v>
      </c>
      <c r="AI26" s="204">
        <f>SUMIFS('caseload data'!S:S,'caseload data'!$D:$D,"TPO",'caseload data'!$C:$C,'divisional &amp; regional caseload'!$T$22)</f>
        <v>0</v>
      </c>
      <c r="AJ26" s="204">
        <f>SUMIFS('caseload data'!T:T,'caseload data'!$D:$D,"TPO",'caseload data'!$C:$C,'divisional &amp; regional caseload'!$T$22)</f>
        <v>0</v>
      </c>
    </row>
    <row r="27" spans="2:36" s="30" customFormat="1" x14ac:dyDescent="0.15">
      <c r="B27" s="131" t="s">
        <v>187</v>
      </c>
      <c r="C27" s="204">
        <f>SUMIFS('caseload data'!E:E,'caseload data'!$D:$D,"SPO",'caseload data'!$C:$C,'divisional &amp; regional caseload'!$B$22)</f>
        <v>0</v>
      </c>
      <c r="D27" s="204">
        <f>SUMIFS('caseload data'!F:F,'caseload data'!$D:$D,"SPO",'caseload data'!$C:$C,'divisional &amp; regional caseload'!$B$22)</f>
        <v>0</v>
      </c>
      <c r="E27" s="204">
        <f>SUMIFS('caseload data'!G:G,'caseload data'!$D:$D,"SPO",'caseload data'!$C:$C,'divisional &amp; regional caseload'!$B$22)</f>
        <v>0</v>
      </c>
      <c r="F27" s="204">
        <f>SUMIFS('caseload data'!H:H,'caseload data'!$D:$D,"SPO",'caseload data'!$C:$C,'divisional &amp; regional caseload'!$B$22)</f>
        <v>0</v>
      </c>
      <c r="G27" s="204">
        <f>SUMIFS('caseload data'!I:I,'caseload data'!$D:$D,"SPO",'caseload data'!$C:$C,'divisional &amp; regional caseload'!$B$22)</f>
        <v>0</v>
      </c>
      <c r="H27" s="204">
        <f>SUMIFS('caseload data'!J:J,'caseload data'!$D:$D,"SPO",'caseload data'!$C:$C,'divisional &amp; regional caseload'!$B$22)</f>
        <v>0</v>
      </c>
      <c r="I27" s="204">
        <f>SUMIFS('caseload data'!K:K,'caseload data'!$D:$D,"SPO",'caseload data'!$C:$C,'divisional &amp; regional caseload'!$B$22)</f>
        <v>0</v>
      </c>
      <c r="J27" s="204">
        <f>SUMIFS('caseload data'!L:L,'caseload data'!$D:$D,"SPO",'caseload data'!$C:$C,'divisional &amp; regional caseload'!$B$22)</f>
        <v>0</v>
      </c>
      <c r="K27" s="204">
        <f>SUMIFS('caseload data'!M:M,'caseload data'!$D:$D,"SPO",'caseload data'!$C:$C,'divisional &amp; regional caseload'!$B$22)</f>
        <v>0</v>
      </c>
      <c r="L27" s="204">
        <f>SUMIFS('caseload data'!N:N,'caseload data'!$D:$D,"SPO",'caseload data'!$C:$C,'divisional &amp; regional caseload'!$B$22)</f>
        <v>0</v>
      </c>
      <c r="M27" s="204">
        <f>SUMIFS('caseload data'!O:O,'caseload data'!$D:$D,"SPO",'caseload data'!$C:$C,'divisional &amp; regional caseload'!$B$22)</f>
        <v>0</v>
      </c>
      <c r="N27" s="204">
        <f>SUMIFS('caseload data'!P:P,'caseload data'!$D:$D,"SPO",'caseload data'!$C:$C,'divisional &amp; regional caseload'!$B$22)</f>
        <v>0</v>
      </c>
      <c r="O27" s="204">
        <f>SUMIFS('caseload data'!Q:Q,'caseload data'!$D:$D,"SPO",'caseload data'!$C:$C,'divisional &amp; regional caseload'!$B$22)</f>
        <v>0</v>
      </c>
      <c r="P27" s="204">
        <f>SUMIFS('caseload data'!R:R,'caseload data'!$D:$D,"SPO",'caseload data'!$C:$C,'divisional &amp; regional caseload'!$B$22)</f>
        <v>0</v>
      </c>
      <c r="Q27" s="204">
        <f>SUMIFS('caseload data'!S:S,'caseload data'!$D:$D,"SPO",'caseload data'!$C:$C,'divisional &amp; regional caseload'!$B$22)</f>
        <v>0</v>
      </c>
      <c r="R27" s="204">
        <f>SUMIFS('caseload data'!T:T,'caseload data'!$D:$D,"SPO",'caseload data'!$C:$C,'divisional &amp; regional caseload'!$B$22)</f>
        <v>0</v>
      </c>
      <c r="S27" s="183"/>
      <c r="T27" s="131" t="s">
        <v>187</v>
      </c>
      <c r="U27" s="204">
        <f>SUMIFS('caseload data'!E:E,'caseload data'!$D:$D,"SPO",'caseload data'!$C:$C,'divisional &amp; regional caseload'!$T$22)</f>
        <v>0</v>
      </c>
      <c r="V27" s="204">
        <f>SUMIFS('caseload data'!F:F,'caseload data'!$D:$D,"SPO",'caseload data'!$C:$C,'divisional &amp; regional caseload'!$T$22)</f>
        <v>0</v>
      </c>
      <c r="W27" s="204">
        <f>SUMIFS('caseload data'!G:G,'caseload data'!$D:$D,"SPO",'caseload data'!$C:$C,'divisional &amp; regional caseload'!$T$22)</f>
        <v>0</v>
      </c>
      <c r="X27" s="204">
        <f>SUMIFS('caseload data'!H:H,'caseload data'!$D:$D,"SPO",'caseload data'!$C:$C,'divisional &amp; regional caseload'!$T$22)</f>
        <v>0</v>
      </c>
      <c r="Y27" s="204">
        <f>SUMIFS('caseload data'!I:I,'caseload data'!$D:$D,"SPO",'caseload data'!$C:$C,'divisional &amp; regional caseload'!$T$22)</f>
        <v>0</v>
      </c>
      <c r="Z27" s="204">
        <f>SUMIFS('caseload data'!J:J,'caseload data'!$D:$D,"SPO",'caseload data'!$C:$C,'divisional &amp; regional caseload'!$T$22)</f>
        <v>0</v>
      </c>
      <c r="AA27" s="204">
        <f>SUMIFS('caseload data'!K:K,'caseload data'!$D:$D,"SPO",'caseload data'!$C:$C,'divisional &amp; regional caseload'!$T$22)</f>
        <v>0</v>
      </c>
      <c r="AB27" s="204">
        <f>SUMIFS('caseload data'!L:L,'caseload data'!$D:$D,"SPO",'caseload data'!$C:$C,'divisional &amp; regional caseload'!$T$22)</f>
        <v>0</v>
      </c>
      <c r="AC27" s="204">
        <f>SUMIFS('caseload data'!M:M,'caseload data'!$D:$D,"SPO",'caseload data'!$C:$C,'divisional &amp; regional caseload'!$T$22)</f>
        <v>0</v>
      </c>
      <c r="AD27" s="204">
        <f>SUMIFS('caseload data'!N:N,'caseload data'!$D:$D,"SPO",'caseload data'!$C:$C,'divisional &amp; regional caseload'!$T$22)</f>
        <v>0</v>
      </c>
      <c r="AE27" s="204">
        <f>SUMIFS('caseload data'!O:O,'caseload data'!$D:$D,"SPO",'caseload data'!$C:$C,'divisional &amp; regional caseload'!$T$22)</f>
        <v>0</v>
      </c>
      <c r="AF27" s="204">
        <f>SUMIFS('caseload data'!P:P,'caseload data'!$D:$D,"SPO",'caseload data'!$C:$C,'divisional &amp; regional caseload'!$T$22)</f>
        <v>0</v>
      </c>
      <c r="AG27" s="204">
        <f>SUMIFS('caseload data'!Q:Q,'caseload data'!$D:$D,"SPO",'caseload data'!$C:$C,'divisional &amp; regional caseload'!$T$22)</f>
        <v>0</v>
      </c>
      <c r="AH27" s="204">
        <f>SUMIFS('caseload data'!R:R,'caseload data'!$D:$D,"SPO",'caseload data'!$C:$C,'divisional &amp; regional caseload'!$T$22)</f>
        <v>0</v>
      </c>
      <c r="AI27" s="204">
        <f>SUMIFS('caseload data'!S:S,'caseload data'!$D:$D,"SPO",'caseload data'!$C:$C,'divisional &amp; regional caseload'!$T$22)</f>
        <v>0</v>
      </c>
      <c r="AJ27" s="204">
        <f>SUMIFS('caseload data'!T:T,'caseload data'!$D:$D,"SPO",'caseload data'!$C:$C,'divisional &amp; regional caseload'!$T$22)</f>
        <v>0</v>
      </c>
    </row>
    <row r="28" spans="2:36" x14ac:dyDescent="0.15">
      <c r="B28" s="183"/>
      <c r="C28" s="183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</row>
    <row r="29" spans="2:36" ht="29.25" customHeight="1" x14ac:dyDescent="0.15">
      <c r="B29" s="182">
        <f>HLOOKUP($B$5,Region_Table,8,0)</f>
        <v>0</v>
      </c>
      <c r="C29" s="359" t="s">
        <v>363</v>
      </c>
      <c r="D29" s="365"/>
      <c r="E29" s="365"/>
      <c r="F29" s="365"/>
      <c r="G29" s="365"/>
      <c r="H29" s="365"/>
      <c r="I29" s="365"/>
      <c r="J29" s="365"/>
      <c r="K29" s="365"/>
      <c r="L29" s="365"/>
      <c r="M29" s="360"/>
      <c r="N29" s="360"/>
      <c r="O29" s="361"/>
      <c r="P29" s="362">
        <f>SUMIF('caseload data'!$C:$C,'divisional &amp; regional caseload'!B29,'caseload data'!V:V)</f>
        <v>0</v>
      </c>
      <c r="Q29" s="363"/>
      <c r="R29" s="364"/>
      <c r="S29" s="183"/>
      <c r="T29" s="182">
        <f>HLOOKUP($B$5,Region_Table,9,0)</f>
        <v>0</v>
      </c>
      <c r="U29" s="359" t="s">
        <v>363</v>
      </c>
      <c r="V29" s="360"/>
      <c r="W29" s="360"/>
      <c r="X29" s="361"/>
      <c r="Y29" s="362">
        <f>SUMIF('caseload data'!$C:$C,'divisional &amp; regional caseload'!T29,'caseload data'!V:V)</f>
        <v>0</v>
      </c>
      <c r="Z29" s="363"/>
      <c r="AA29" s="364"/>
    </row>
    <row r="30" spans="2:36" x14ac:dyDescent="0.15">
      <c r="B30" s="127" t="s">
        <v>324</v>
      </c>
      <c r="C30" s="58" t="s">
        <v>504</v>
      </c>
      <c r="D30" s="58" t="s">
        <v>503</v>
      </c>
      <c r="E30" s="58" t="s">
        <v>502</v>
      </c>
      <c r="F30" s="58" t="s">
        <v>501</v>
      </c>
      <c r="G30" s="58" t="s">
        <v>510</v>
      </c>
      <c r="H30" s="58" t="s">
        <v>176</v>
      </c>
      <c r="I30" s="58" t="s">
        <v>177</v>
      </c>
      <c r="J30" s="58" t="s">
        <v>505</v>
      </c>
      <c r="K30" s="58" t="s">
        <v>507</v>
      </c>
      <c r="L30" s="58" t="s">
        <v>178</v>
      </c>
      <c r="M30" s="58" t="s">
        <v>179</v>
      </c>
      <c r="N30" s="58" t="s">
        <v>506</v>
      </c>
      <c r="O30" s="58" t="s">
        <v>508</v>
      </c>
      <c r="P30" s="58" t="s">
        <v>180</v>
      </c>
      <c r="Q30" s="58" t="s">
        <v>181</v>
      </c>
      <c r="R30" s="58" t="s">
        <v>509</v>
      </c>
      <c r="S30" s="183"/>
      <c r="T30" s="127" t="s">
        <v>324</v>
      </c>
      <c r="U30" s="58" t="s">
        <v>504</v>
      </c>
      <c r="V30" s="58" t="s">
        <v>503</v>
      </c>
      <c r="W30" s="58" t="s">
        <v>502</v>
      </c>
      <c r="X30" s="58" t="s">
        <v>501</v>
      </c>
      <c r="Y30" s="58" t="s">
        <v>510</v>
      </c>
      <c r="Z30" s="58" t="s">
        <v>176</v>
      </c>
      <c r="AA30" s="58" t="s">
        <v>177</v>
      </c>
      <c r="AB30" s="58" t="s">
        <v>505</v>
      </c>
      <c r="AC30" s="58" t="s">
        <v>507</v>
      </c>
      <c r="AD30" s="58" t="s">
        <v>178</v>
      </c>
      <c r="AE30" s="58" t="s">
        <v>179</v>
      </c>
      <c r="AF30" s="58" t="s">
        <v>506</v>
      </c>
      <c r="AG30" s="58" t="s">
        <v>508</v>
      </c>
      <c r="AH30" s="58" t="s">
        <v>180</v>
      </c>
      <c r="AI30" s="58" t="s">
        <v>181</v>
      </c>
      <c r="AJ30" s="58" t="s">
        <v>509</v>
      </c>
    </row>
    <row r="31" spans="2:36" x14ac:dyDescent="0.15">
      <c r="B31" s="129" t="s">
        <v>184</v>
      </c>
      <c r="C31" s="204">
        <f>SUMIFS('caseload data'!E:E,'caseload data'!$D:$D,"PO",'caseload data'!$C:$C,'divisional &amp; regional caseload'!$B$29)</f>
        <v>0</v>
      </c>
      <c r="D31" s="204">
        <f>SUMIFS('caseload data'!F:F,'caseload data'!$D:$D,"PO",'caseload data'!$C:$C,'divisional &amp; regional caseload'!$B$29)</f>
        <v>0</v>
      </c>
      <c r="E31" s="204">
        <f>SUMIFS('caseload data'!G:G,'caseload data'!$D:$D,"PO",'caseload data'!$C:$C,'divisional &amp; regional caseload'!$B$29)</f>
        <v>0</v>
      </c>
      <c r="F31" s="204">
        <f>SUMIFS('caseload data'!H:H,'caseload data'!$D:$D,"PO",'caseload data'!$C:$C,'divisional &amp; regional caseload'!$B$29)</f>
        <v>0</v>
      </c>
      <c r="G31" s="204">
        <f>SUMIFS('caseload data'!I:I,'caseload data'!$D:$D,"PO",'caseload data'!$C:$C,'divisional &amp; regional caseload'!$B$29)</f>
        <v>0</v>
      </c>
      <c r="H31" s="204">
        <f>SUMIFS('caseload data'!J:J,'caseload data'!$D:$D,"PO",'caseload data'!$C:$C,'divisional &amp; regional caseload'!$B$29)</f>
        <v>0</v>
      </c>
      <c r="I31" s="204">
        <f>SUMIFS('caseload data'!K:K,'caseload data'!$D:$D,"PO",'caseload data'!$C:$C,'divisional &amp; regional caseload'!$B$29)</f>
        <v>0</v>
      </c>
      <c r="J31" s="204">
        <f>SUMIFS('caseload data'!L:L,'caseload data'!$D:$D,"PO",'caseload data'!$C:$C,'divisional &amp; regional caseload'!$B$29)</f>
        <v>0</v>
      </c>
      <c r="K31" s="204">
        <f>SUMIFS('caseload data'!M:M,'caseload data'!$D:$D,"PO",'caseload data'!$C:$C,'divisional &amp; regional caseload'!$B$29)</f>
        <v>0</v>
      </c>
      <c r="L31" s="204">
        <f>SUMIFS('caseload data'!N:N,'caseload data'!$D:$D,"PO",'caseload data'!$C:$C,'divisional &amp; regional caseload'!$B$29)</f>
        <v>0</v>
      </c>
      <c r="M31" s="204">
        <f>SUMIFS('caseload data'!O:O,'caseload data'!$D:$D,"PO",'caseload data'!$C:$C,'divisional &amp; regional caseload'!$B$29)</f>
        <v>0</v>
      </c>
      <c r="N31" s="204">
        <f>SUMIFS('caseload data'!P:P,'caseload data'!$D:$D,"PO",'caseload data'!$C:$C,'divisional &amp; regional caseload'!$B$29)</f>
        <v>0</v>
      </c>
      <c r="O31" s="204">
        <f>SUMIFS('caseload data'!Q:Q,'caseload data'!$D:$D,"PO",'caseload data'!$C:$C,'divisional &amp; regional caseload'!$B$29)</f>
        <v>0</v>
      </c>
      <c r="P31" s="204">
        <f>SUMIFS('caseload data'!R:R,'caseload data'!$D:$D,"PO",'caseload data'!$C:$C,'divisional &amp; regional caseload'!$B$29)</f>
        <v>0</v>
      </c>
      <c r="Q31" s="204">
        <f>SUMIFS('caseload data'!S:S,'caseload data'!$D:$D,"PO",'caseload data'!$C:$C,'divisional &amp; regional caseload'!$B$29)</f>
        <v>0</v>
      </c>
      <c r="R31" s="204">
        <f>SUMIFS('caseload data'!T:T,'caseload data'!$D:$D,"PO",'caseload data'!$C:$C,'divisional &amp; regional caseload'!$B$29)</f>
        <v>0</v>
      </c>
      <c r="S31" s="183"/>
      <c r="T31" s="129" t="s">
        <v>184</v>
      </c>
      <c r="U31" s="204">
        <f>SUMIFS('caseload data'!E:E,'caseload data'!$D:$D,"PO",'caseload data'!$C:$C,'divisional &amp; regional caseload'!$T$29)</f>
        <v>0</v>
      </c>
      <c r="V31" s="204">
        <f>SUMIFS('caseload data'!F:F,'caseload data'!$D:$D,"PO",'caseload data'!$C:$C,'divisional &amp; regional caseload'!$T$29)</f>
        <v>0</v>
      </c>
      <c r="W31" s="204">
        <f>SUMIFS('caseload data'!G:G,'caseload data'!$D:$D,"PO",'caseload data'!$C:$C,'divisional &amp; regional caseload'!$T$29)</f>
        <v>0</v>
      </c>
      <c r="X31" s="204">
        <f>SUMIFS('caseload data'!H:H,'caseload data'!$D:$D,"PO",'caseload data'!$C:$C,'divisional &amp; regional caseload'!$T$29)</f>
        <v>0</v>
      </c>
      <c r="Y31" s="204">
        <f>SUMIFS('caseload data'!I:I,'caseload data'!$D:$D,"PO",'caseload data'!$C:$C,'divisional &amp; regional caseload'!$T$29)</f>
        <v>0</v>
      </c>
      <c r="Z31" s="204">
        <f>SUMIFS('caseload data'!J:J,'caseload data'!$D:$D,"PO",'caseload data'!$C:$C,'divisional &amp; regional caseload'!$T$29)</f>
        <v>0</v>
      </c>
      <c r="AA31" s="204">
        <f>SUMIFS('caseload data'!K:K,'caseload data'!$D:$D,"PO",'caseload data'!$C:$C,'divisional &amp; regional caseload'!$T$29)</f>
        <v>0</v>
      </c>
      <c r="AB31" s="204">
        <f>SUMIFS('caseload data'!L:L,'caseload data'!$D:$D,"PO",'caseload data'!$C:$C,'divisional &amp; regional caseload'!$T$29)</f>
        <v>0</v>
      </c>
      <c r="AC31" s="204">
        <f>SUMIFS('caseload data'!M:M,'caseload data'!$D:$D,"PO",'caseload data'!$C:$C,'divisional &amp; regional caseload'!$T$29)</f>
        <v>0</v>
      </c>
      <c r="AD31" s="204">
        <f>SUMIFS('caseload data'!N:N,'caseload data'!$D:$D,"PO",'caseload data'!$C:$C,'divisional &amp; regional caseload'!$T$29)</f>
        <v>0</v>
      </c>
      <c r="AE31" s="204">
        <f>SUMIFS('caseload data'!O:O,'caseload data'!$D:$D,"PO",'caseload data'!$C:$C,'divisional &amp; regional caseload'!$T$29)</f>
        <v>0</v>
      </c>
      <c r="AF31" s="204">
        <f>SUMIFS('caseload data'!P:P,'caseload data'!$D:$D,"PO",'caseload data'!$C:$C,'divisional &amp; regional caseload'!$T$29)</f>
        <v>0</v>
      </c>
      <c r="AG31" s="204">
        <f>SUMIFS('caseload data'!Q:Q,'caseload data'!$D:$D,"PO",'caseload data'!$C:$C,'divisional &amp; regional caseload'!$T$29)</f>
        <v>0</v>
      </c>
      <c r="AH31" s="204">
        <f>SUMIFS('caseload data'!R:R,'caseload data'!$D:$D,"PO",'caseload data'!$C:$C,'divisional &amp; regional caseload'!$T$29)</f>
        <v>0</v>
      </c>
      <c r="AI31" s="204">
        <f>SUMIFS('caseload data'!S:S,'caseload data'!$D:$D,"PO",'caseload data'!$C:$C,'divisional &amp; regional caseload'!$T$29)</f>
        <v>0</v>
      </c>
      <c r="AJ31" s="204">
        <f>SUMIFS('caseload data'!T:T,'caseload data'!$D:$D,"PO",'caseload data'!$C:$C,'divisional &amp; regional caseload'!$T$29)</f>
        <v>0</v>
      </c>
    </row>
    <row r="32" spans="2:36" x14ac:dyDescent="0.15">
      <c r="B32" s="130" t="s">
        <v>185</v>
      </c>
      <c r="C32" s="204">
        <f>SUMIFS('caseload data'!E:E,'caseload data'!$D:$D,"PSO",'caseload data'!$C:$C,'divisional &amp; regional caseload'!$B$29)</f>
        <v>0</v>
      </c>
      <c r="D32" s="204">
        <f>SUMIFS('caseload data'!F:F,'caseload data'!$D:$D,"PSO",'caseload data'!$C:$C,'divisional &amp; regional caseload'!$B$29)</f>
        <v>0</v>
      </c>
      <c r="E32" s="204">
        <f>SUMIFS('caseload data'!G:G,'caseload data'!$D:$D,"PSO",'caseload data'!$C:$C,'divisional &amp; regional caseload'!$B$29)</f>
        <v>0</v>
      </c>
      <c r="F32" s="204">
        <f>SUMIFS('caseload data'!H:H,'caseload data'!$D:$D,"PSO",'caseload data'!$C:$C,'divisional &amp; regional caseload'!$B$29)</f>
        <v>0</v>
      </c>
      <c r="G32" s="204">
        <f>SUMIFS('caseload data'!I:I,'caseload data'!$D:$D,"PSO",'caseload data'!$C:$C,'divisional &amp; regional caseload'!$B$29)</f>
        <v>0</v>
      </c>
      <c r="H32" s="204">
        <f>SUMIFS('caseload data'!J:J,'caseload data'!$D:$D,"PSO",'caseload data'!$C:$C,'divisional &amp; regional caseload'!$B$29)</f>
        <v>0</v>
      </c>
      <c r="I32" s="204">
        <f>SUMIFS('caseload data'!K:K,'caseload data'!$D:$D,"PSO",'caseload data'!$C:$C,'divisional &amp; regional caseload'!$B$29)</f>
        <v>0</v>
      </c>
      <c r="J32" s="204">
        <f>SUMIFS('caseload data'!L:L,'caseload data'!$D:$D,"PSO",'caseload data'!$C:$C,'divisional &amp; regional caseload'!$B$29)</f>
        <v>0</v>
      </c>
      <c r="K32" s="204">
        <f>SUMIFS('caseload data'!M:M,'caseload data'!$D:$D,"PSO",'caseload data'!$C:$C,'divisional &amp; regional caseload'!$B$29)</f>
        <v>0</v>
      </c>
      <c r="L32" s="204">
        <f>SUMIFS('caseload data'!N:N,'caseload data'!$D:$D,"PSO",'caseload data'!$C:$C,'divisional &amp; regional caseload'!$B$29)</f>
        <v>0</v>
      </c>
      <c r="M32" s="204">
        <f>SUMIFS('caseload data'!O:O,'caseload data'!$D:$D,"PSO",'caseload data'!$C:$C,'divisional &amp; regional caseload'!$B$29)</f>
        <v>0</v>
      </c>
      <c r="N32" s="204">
        <f>SUMIFS('caseload data'!P:P,'caseload data'!$D:$D,"PSO",'caseload data'!$C:$C,'divisional &amp; regional caseload'!$B$29)</f>
        <v>0</v>
      </c>
      <c r="O32" s="204">
        <f>SUMIFS('caseload data'!Q:Q,'caseload data'!$D:$D,"PSO",'caseload data'!$C:$C,'divisional &amp; regional caseload'!$B$29)</f>
        <v>0</v>
      </c>
      <c r="P32" s="204">
        <f>SUMIFS('caseload data'!R:R,'caseload data'!$D:$D,"PSO",'caseload data'!$C:$C,'divisional &amp; regional caseload'!$B$29)</f>
        <v>0</v>
      </c>
      <c r="Q32" s="204">
        <f>SUMIFS('caseload data'!S:S,'caseload data'!$D:$D,"PSO",'caseload data'!$C:$C,'divisional &amp; regional caseload'!$B$29)</f>
        <v>0</v>
      </c>
      <c r="R32" s="204">
        <f>SUMIFS('caseload data'!T:T,'caseload data'!$D:$D,"PSO",'caseload data'!$C:$C,'divisional &amp; regional caseload'!$B$29)</f>
        <v>0</v>
      </c>
      <c r="S32" s="183"/>
      <c r="T32" s="130" t="s">
        <v>185</v>
      </c>
      <c r="U32" s="204">
        <f>SUMIFS('caseload data'!E:E,'caseload data'!$D:$D,"PSO",'caseload data'!$C:$C,'divisional &amp; regional caseload'!$T$29)</f>
        <v>0</v>
      </c>
      <c r="V32" s="204">
        <f>SUMIFS('caseload data'!F:F,'caseload data'!$D:$D,"PSO",'caseload data'!$C:$C,'divisional &amp; regional caseload'!$T$29)</f>
        <v>0</v>
      </c>
      <c r="W32" s="204">
        <f>SUMIFS('caseload data'!G:G,'caseload data'!$D:$D,"PSO",'caseload data'!$C:$C,'divisional &amp; regional caseload'!$T$29)</f>
        <v>0</v>
      </c>
      <c r="X32" s="204">
        <f>SUMIFS('caseload data'!H:H,'caseload data'!$D:$D,"PSO",'caseload data'!$C:$C,'divisional &amp; regional caseload'!$T$29)</f>
        <v>0</v>
      </c>
      <c r="Y32" s="204">
        <f>SUMIFS('caseload data'!I:I,'caseload data'!$D:$D,"PSO",'caseload data'!$C:$C,'divisional &amp; regional caseload'!$T$29)</f>
        <v>0</v>
      </c>
      <c r="Z32" s="204">
        <f>SUMIFS('caseload data'!J:J,'caseload data'!$D:$D,"PSO",'caseload data'!$C:$C,'divisional &amp; regional caseload'!$T$29)</f>
        <v>0</v>
      </c>
      <c r="AA32" s="204">
        <f>SUMIFS('caseload data'!K:K,'caseload data'!$D:$D,"PSO",'caseload data'!$C:$C,'divisional &amp; regional caseload'!$T$29)</f>
        <v>0</v>
      </c>
      <c r="AB32" s="204">
        <f>SUMIFS('caseload data'!L:L,'caseload data'!$D:$D,"PSO",'caseload data'!$C:$C,'divisional &amp; regional caseload'!$T$29)</f>
        <v>0</v>
      </c>
      <c r="AC32" s="204">
        <f>SUMIFS('caseload data'!M:M,'caseload data'!$D:$D,"PSO",'caseload data'!$C:$C,'divisional &amp; regional caseload'!$T$29)</f>
        <v>0</v>
      </c>
      <c r="AD32" s="204">
        <f>SUMIFS('caseload data'!N:N,'caseload data'!$D:$D,"PSO",'caseload data'!$C:$C,'divisional &amp; regional caseload'!$T$29)</f>
        <v>0</v>
      </c>
      <c r="AE32" s="204">
        <f>SUMIFS('caseload data'!O:O,'caseload data'!$D:$D,"PSO",'caseload data'!$C:$C,'divisional &amp; regional caseload'!$T$29)</f>
        <v>0</v>
      </c>
      <c r="AF32" s="204">
        <f>SUMIFS('caseload data'!P:P,'caseload data'!$D:$D,"PSO",'caseload data'!$C:$C,'divisional &amp; regional caseload'!$T$29)</f>
        <v>0</v>
      </c>
      <c r="AG32" s="204">
        <f>SUMIFS('caseload data'!Q:Q,'caseload data'!$D:$D,"PSO",'caseload data'!$C:$C,'divisional &amp; regional caseload'!$T$29)</f>
        <v>0</v>
      </c>
      <c r="AH32" s="204">
        <f>SUMIFS('caseload data'!R:R,'caseload data'!$D:$D,"PSO",'caseload data'!$C:$C,'divisional &amp; regional caseload'!$T$29)</f>
        <v>0</v>
      </c>
      <c r="AI32" s="204">
        <f>SUMIFS('caseload data'!S:S,'caseload data'!$D:$D,"PSO",'caseload data'!$C:$C,'divisional &amp; regional caseload'!$T$29)</f>
        <v>0</v>
      </c>
      <c r="AJ32" s="204">
        <f>SUMIFS('caseload data'!T:T,'caseload data'!$D:$D,"PSO",'caseload data'!$C:$C,'divisional &amp; regional caseload'!$T$29)</f>
        <v>0</v>
      </c>
    </row>
    <row r="33" spans="2:36" x14ac:dyDescent="0.15">
      <c r="B33" s="130" t="s">
        <v>186</v>
      </c>
      <c r="C33" s="204">
        <f>SUMIFS('caseload data'!E:E,'caseload data'!$D:$D,"TPO",'caseload data'!$C:$C,'divisional &amp; regional caseload'!$B$29)</f>
        <v>0</v>
      </c>
      <c r="D33" s="204">
        <f>SUMIFS('caseload data'!F:F,'caseload data'!$D:$D,"TPO",'caseload data'!$C:$C,'divisional &amp; regional caseload'!$B$29)</f>
        <v>0</v>
      </c>
      <c r="E33" s="204">
        <f>SUMIFS('caseload data'!G:G,'caseload data'!$D:$D,"TPO",'caseload data'!$C:$C,'divisional &amp; regional caseload'!$B$29)</f>
        <v>0</v>
      </c>
      <c r="F33" s="204">
        <f>SUMIFS('caseload data'!H:H,'caseload data'!$D:$D,"TPO",'caseload data'!$C:$C,'divisional &amp; regional caseload'!$B$29)</f>
        <v>0</v>
      </c>
      <c r="G33" s="204">
        <f>SUMIFS('caseload data'!I:I,'caseload data'!$D:$D,"TPO",'caseload data'!$C:$C,'divisional &amp; regional caseload'!$B$29)</f>
        <v>0</v>
      </c>
      <c r="H33" s="204">
        <f>SUMIFS('caseload data'!J:J,'caseload data'!$D:$D,"TPO",'caseload data'!$C:$C,'divisional &amp; regional caseload'!$B$29)</f>
        <v>0</v>
      </c>
      <c r="I33" s="204">
        <f>SUMIFS('caseload data'!K:K,'caseload data'!$D:$D,"TPO",'caseload data'!$C:$C,'divisional &amp; regional caseload'!$B$29)</f>
        <v>0</v>
      </c>
      <c r="J33" s="204">
        <f>SUMIFS('caseload data'!L:L,'caseload data'!$D:$D,"TPO",'caseload data'!$C:$C,'divisional &amp; regional caseload'!$B$29)</f>
        <v>0</v>
      </c>
      <c r="K33" s="204">
        <f>SUMIFS('caseload data'!M:M,'caseload data'!$D:$D,"TPO",'caseload data'!$C:$C,'divisional &amp; regional caseload'!$B$29)</f>
        <v>0</v>
      </c>
      <c r="L33" s="204">
        <f>SUMIFS('caseload data'!N:N,'caseload data'!$D:$D,"TPO",'caseload data'!$C:$C,'divisional &amp; regional caseload'!$B$29)</f>
        <v>0</v>
      </c>
      <c r="M33" s="204">
        <f>SUMIFS('caseload data'!O:O,'caseload data'!$D:$D,"TPO",'caseload data'!$C:$C,'divisional &amp; regional caseload'!$B$29)</f>
        <v>0</v>
      </c>
      <c r="N33" s="204">
        <f>SUMIFS('caseload data'!P:P,'caseload data'!$D:$D,"TPO",'caseload data'!$C:$C,'divisional &amp; regional caseload'!$B$29)</f>
        <v>0</v>
      </c>
      <c r="O33" s="204">
        <f>SUMIFS('caseload data'!Q:Q,'caseload data'!$D:$D,"TPO",'caseload data'!$C:$C,'divisional &amp; regional caseload'!$B$29)</f>
        <v>0</v>
      </c>
      <c r="P33" s="204">
        <f>SUMIFS('caseload data'!R:R,'caseload data'!$D:$D,"TPO",'caseload data'!$C:$C,'divisional &amp; regional caseload'!$B$29)</f>
        <v>0</v>
      </c>
      <c r="Q33" s="204">
        <f>SUMIFS('caseload data'!S:S,'caseload data'!$D:$D,"TPO",'caseload data'!$C:$C,'divisional &amp; regional caseload'!$B$29)</f>
        <v>0</v>
      </c>
      <c r="R33" s="204">
        <f>SUMIFS('caseload data'!T:T,'caseload data'!$D:$D,"TPO",'caseload data'!$C:$C,'divisional &amp; regional caseload'!$B$29)</f>
        <v>0</v>
      </c>
      <c r="S33" s="183"/>
      <c r="T33" s="130" t="s">
        <v>186</v>
      </c>
      <c r="U33" s="204">
        <f>SUMIFS('caseload data'!E:E,'caseload data'!$D:$D,"TPO",'caseload data'!$C:$C,'divisional &amp; regional caseload'!$T$29)</f>
        <v>0</v>
      </c>
      <c r="V33" s="204">
        <f>SUMIFS('caseload data'!F:F,'caseload data'!$D:$D,"TPO",'caseload data'!$C:$C,'divisional &amp; regional caseload'!$T$29)</f>
        <v>0</v>
      </c>
      <c r="W33" s="204">
        <f>SUMIFS('caseload data'!G:G,'caseload data'!$D:$D,"TPO",'caseload data'!$C:$C,'divisional &amp; regional caseload'!$T$29)</f>
        <v>0</v>
      </c>
      <c r="X33" s="204">
        <f>SUMIFS('caseload data'!H:H,'caseload data'!$D:$D,"TPO",'caseload data'!$C:$C,'divisional &amp; regional caseload'!$T$29)</f>
        <v>0</v>
      </c>
      <c r="Y33" s="204">
        <f>SUMIFS('caseload data'!I:I,'caseload data'!$D:$D,"TPO",'caseload data'!$C:$C,'divisional &amp; regional caseload'!$T$29)</f>
        <v>0</v>
      </c>
      <c r="Z33" s="204">
        <f>SUMIFS('caseload data'!J:J,'caseload data'!$D:$D,"TPO",'caseload data'!$C:$C,'divisional &amp; regional caseload'!$T$29)</f>
        <v>0</v>
      </c>
      <c r="AA33" s="204">
        <f>SUMIFS('caseload data'!K:K,'caseload data'!$D:$D,"TPO",'caseload data'!$C:$C,'divisional &amp; regional caseload'!$T$29)</f>
        <v>0</v>
      </c>
      <c r="AB33" s="204">
        <f>SUMIFS('caseload data'!L:L,'caseload data'!$D:$D,"TPO",'caseload data'!$C:$C,'divisional &amp; regional caseload'!$T$29)</f>
        <v>0</v>
      </c>
      <c r="AC33" s="204">
        <f>SUMIFS('caseload data'!M:M,'caseload data'!$D:$D,"TPO",'caseload data'!$C:$C,'divisional &amp; regional caseload'!$T$29)</f>
        <v>0</v>
      </c>
      <c r="AD33" s="204">
        <f>SUMIFS('caseload data'!N:N,'caseload data'!$D:$D,"TPO",'caseload data'!$C:$C,'divisional &amp; regional caseload'!$T$29)</f>
        <v>0</v>
      </c>
      <c r="AE33" s="204">
        <f>SUMIFS('caseload data'!O:O,'caseload data'!$D:$D,"TPO",'caseload data'!$C:$C,'divisional &amp; regional caseload'!$T$29)</f>
        <v>0</v>
      </c>
      <c r="AF33" s="204">
        <f>SUMIFS('caseload data'!P:P,'caseload data'!$D:$D,"TPO",'caseload data'!$C:$C,'divisional &amp; regional caseload'!$T$29)</f>
        <v>0</v>
      </c>
      <c r="AG33" s="204">
        <f>SUMIFS('caseload data'!Q:Q,'caseload data'!$D:$D,"TPO",'caseload data'!$C:$C,'divisional &amp; regional caseload'!$T$29)</f>
        <v>0</v>
      </c>
      <c r="AH33" s="204">
        <f>SUMIFS('caseload data'!R:R,'caseload data'!$D:$D,"TPO",'caseload data'!$C:$C,'divisional &amp; regional caseload'!$T$29)</f>
        <v>0</v>
      </c>
      <c r="AI33" s="204">
        <f>SUMIFS('caseload data'!S:S,'caseload data'!$D:$D,"TPO",'caseload data'!$C:$C,'divisional &amp; regional caseload'!$T$29)</f>
        <v>0</v>
      </c>
      <c r="AJ33" s="204">
        <f>SUMIFS('caseload data'!T:T,'caseload data'!$D:$D,"TPO",'caseload data'!$C:$C,'divisional &amp; regional caseload'!$T$29)</f>
        <v>0</v>
      </c>
    </row>
    <row r="34" spans="2:36" s="30" customFormat="1" x14ac:dyDescent="0.15">
      <c r="B34" s="131" t="s">
        <v>187</v>
      </c>
      <c r="C34" s="204">
        <f>SUMIFS('caseload data'!E:E,'caseload data'!$D:$D,"SPO",'caseload data'!$C:$C,'divisional &amp; regional caseload'!$B$29)</f>
        <v>0</v>
      </c>
      <c r="D34" s="204">
        <f>SUMIFS('caseload data'!F:F,'caseload data'!$D:$D,"SPO",'caseload data'!$C:$C,'divisional &amp; regional caseload'!$B$29)</f>
        <v>0</v>
      </c>
      <c r="E34" s="204">
        <f>SUMIFS('caseload data'!G:G,'caseload data'!$D:$D,"SPO",'caseload data'!$C:$C,'divisional &amp; regional caseload'!$B$29)</f>
        <v>0</v>
      </c>
      <c r="F34" s="204">
        <f>SUMIFS('caseload data'!H:H,'caseload data'!$D:$D,"SPO",'caseload data'!$C:$C,'divisional &amp; regional caseload'!$B$29)</f>
        <v>0</v>
      </c>
      <c r="G34" s="204">
        <f>SUMIFS('caseload data'!I:I,'caseload data'!$D:$D,"SPO",'caseload data'!$C:$C,'divisional &amp; regional caseload'!$B$29)</f>
        <v>0</v>
      </c>
      <c r="H34" s="204">
        <f>SUMIFS('caseload data'!J:J,'caseload data'!$D:$D,"SPO",'caseload data'!$C:$C,'divisional &amp; regional caseload'!$B$29)</f>
        <v>0</v>
      </c>
      <c r="I34" s="204">
        <f>SUMIFS('caseload data'!K:K,'caseload data'!$D:$D,"SPO",'caseload data'!$C:$C,'divisional &amp; regional caseload'!$B$29)</f>
        <v>0</v>
      </c>
      <c r="J34" s="204">
        <f>SUMIFS('caseload data'!L:L,'caseload data'!$D:$D,"SPO",'caseload data'!$C:$C,'divisional &amp; regional caseload'!$B$29)</f>
        <v>0</v>
      </c>
      <c r="K34" s="204">
        <f>SUMIFS('caseload data'!M:M,'caseload data'!$D:$D,"SPO",'caseload data'!$C:$C,'divisional &amp; regional caseload'!$B$29)</f>
        <v>0</v>
      </c>
      <c r="L34" s="204">
        <f>SUMIFS('caseload data'!N:N,'caseload data'!$D:$D,"SPO",'caseload data'!$C:$C,'divisional &amp; regional caseload'!$B$29)</f>
        <v>0</v>
      </c>
      <c r="M34" s="204">
        <f>SUMIFS('caseload data'!O:O,'caseload data'!$D:$D,"SPO",'caseload data'!$C:$C,'divisional &amp; regional caseload'!$B$29)</f>
        <v>0</v>
      </c>
      <c r="N34" s="204">
        <f>SUMIFS('caseload data'!P:P,'caseload data'!$D:$D,"SPO",'caseload data'!$C:$C,'divisional &amp; regional caseload'!$B$29)</f>
        <v>0</v>
      </c>
      <c r="O34" s="204">
        <f>SUMIFS('caseload data'!Q:Q,'caseload data'!$D:$D,"SPO",'caseload data'!$C:$C,'divisional &amp; regional caseload'!$B$29)</f>
        <v>0</v>
      </c>
      <c r="P34" s="204">
        <f>SUMIFS('caseload data'!R:R,'caseload data'!$D:$D,"SPO",'caseload data'!$C:$C,'divisional &amp; regional caseload'!$B$29)</f>
        <v>0</v>
      </c>
      <c r="Q34" s="204">
        <f>SUMIFS('caseload data'!S:S,'caseload data'!$D:$D,"SPO",'caseload data'!$C:$C,'divisional &amp; regional caseload'!$B$29)</f>
        <v>0</v>
      </c>
      <c r="R34" s="204">
        <f>SUMIFS('caseload data'!T:T,'caseload data'!$D:$D,"SPO",'caseload data'!$C:$C,'divisional &amp; regional caseload'!$B$29)</f>
        <v>0</v>
      </c>
      <c r="S34" s="183"/>
      <c r="T34" s="131" t="s">
        <v>187</v>
      </c>
      <c r="U34" s="204">
        <f>SUMIFS('caseload data'!E:E,'caseload data'!$D:$D,"SPO",'caseload data'!$C:$C,'divisional &amp; regional caseload'!$T$29)</f>
        <v>0</v>
      </c>
      <c r="V34" s="204">
        <f>SUMIFS('caseload data'!F:F,'caseload data'!$D:$D,"SPO",'caseload data'!$C:$C,'divisional &amp; regional caseload'!$T$29)</f>
        <v>0</v>
      </c>
      <c r="W34" s="204">
        <f>SUMIFS('caseload data'!G:G,'caseload data'!$D:$D,"SPO",'caseload data'!$C:$C,'divisional &amp; regional caseload'!$T$29)</f>
        <v>0</v>
      </c>
      <c r="X34" s="204">
        <f>SUMIFS('caseload data'!H:H,'caseload data'!$D:$D,"SPO",'caseload data'!$C:$C,'divisional &amp; regional caseload'!$T$29)</f>
        <v>0</v>
      </c>
      <c r="Y34" s="204">
        <f>SUMIFS('caseload data'!I:I,'caseload data'!$D:$D,"SPO",'caseload data'!$C:$C,'divisional &amp; regional caseload'!$T$29)</f>
        <v>0</v>
      </c>
      <c r="Z34" s="204">
        <f>SUMIFS('caseload data'!J:J,'caseload data'!$D:$D,"SPO",'caseload data'!$C:$C,'divisional &amp; regional caseload'!$T$29)</f>
        <v>0</v>
      </c>
      <c r="AA34" s="204">
        <f>SUMIFS('caseload data'!K:K,'caseload data'!$D:$D,"SPO",'caseload data'!$C:$C,'divisional &amp; regional caseload'!$T$29)</f>
        <v>0</v>
      </c>
      <c r="AB34" s="204">
        <f>SUMIFS('caseload data'!L:L,'caseload data'!$D:$D,"SPO",'caseload data'!$C:$C,'divisional &amp; regional caseload'!$T$29)</f>
        <v>0</v>
      </c>
      <c r="AC34" s="204">
        <f>SUMIFS('caseload data'!M:M,'caseload data'!$D:$D,"SPO",'caseload data'!$C:$C,'divisional &amp; regional caseload'!$T$29)</f>
        <v>0</v>
      </c>
      <c r="AD34" s="204">
        <f>SUMIFS('caseload data'!N:N,'caseload data'!$D:$D,"SPO",'caseload data'!$C:$C,'divisional &amp; regional caseload'!$T$29)</f>
        <v>0</v>
      </c>
      <c r="AE34" s="204">
        <f>SUMIFS('caseload data'!O:O,'caseload data'!$D:$D,"SPO",'caseload data'!$C:$C,'divisional &amp; regional caseload'!$T$29)</f>
        <v>0</v>
      </c>
      <c r="AF34" s="204">
        <f>SUMIFS('caseload data'!P:P,'caseload data'!$D:$D,"SPO",'caseload data'!$C:$C,'divisional &amp; regional caseload'!$T$29)</f>
        <v>0</v>
      </c>
      <c r="AG34" s="204">
        <f>SUMIFS('caseload data'!Q:Q,'caseload data'!$D:$D,"SPO",'caseload data'!$C:$C,'divisional &amp; regional caseload'!$T$29)</f>
        <v>0</v>
      </c>
      <c r="AH34" s="204">
        <f>SUMIFS('caseload data'!R:R,'caseload data'!$D:$D,"SPO",'caseload data'!$C:$C,'divisional &amp; regional caseload'!$T$29)</f>
        <v>0</v>
      </c>
      <c r="AI34" s="204">
        <f>SUMIFS('caseload data'!S:S,'caseload data'!$D:$D,"SPO",'caseload data'!$C:$C,'divisional &amp; regional caseload'!$T$29)</f>
        <v>0</v>
      </c>
      <c r="AJ34" s="204">
        <f>SUMIFS('caseload data'!T:T,'caseload data'!$D:$D,"SPO",'caseload data'!$C:$C,'divisional &amp; regional caseload'!$T$29)</f>
        <v>0</v>
      </c>
    </row>
    <row r="35" spans="2:36" x14ac:dyDescent="0.15">
      <c r="B35" s="183"/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</row>
    <row r="36" spans="2:36" ht="27.75" customHeight="1" x14ac:dyDescent="0.15">
      <c r="B36" s="182">
        <f>HLOOKUP($B$5,Region_Table,10,0)</f>
        <v>0</v>
      </c>
      <c r="C36" s="359" t="s">
        <v>364</v>
      </c>
      <c r="D36" s="365"/>
      <c r="E36" s="365"/>
      <c r="F36" s="365"/>
      <c r="G36" s="365"/>
      <c r="H36" s="365"/>
      <c r="I36" s="365"/>
      <c r="J36" s="365"/>
      <c r="K36" s="365"/>
      <c r="L36" s="365"/>
      <c r="M36" s="360"/>
      <c r="N36" s="360"/>
      <c r="O36" s="361"/>
      <c r="P36" s="362">
        <f>SUMIF('caseload data'!$C:$C,'divisional &amp; regional caseload'!B36,'caseload data'!V:V)</f>
        <v>0</v>
      </c>
      <c r="Q36" s="363"/>
      <c r="R36" s="364"/>
      <c r="S36" s="183"/>
      <c r="T36" s="182">
        <f>HLOOKUP($B$5,Region_Table,11,0)</f>
        <v>0</v>
      </c>
      <c r="U36" s="359" t="s">
        <v>363</v>
      </c>
      <c r="V36" s="360"/>
      <c r="W36" s="360"/>
      <c r="X36" s="361"/>
      <c r="Y36" s="362">
        <f>SUMIF('caseload data'!$C:$C,'divisional &amp; regional caseload'!T36,'caseload data'!V:V)</f>
        <v>0</v>
      </c>
      <c r="Z36" s="363"/>
      <c r="AA36" s="364"/>
    </row>
    <row r="37" spans="2:36" x14ac:dyDescent="0.15">
      <c r="B37" s="127" t="s">
        <v>324</v>
      </c>
      <c r="C37" s="58" t="s">
        <v>504</v>
      </c>
      <c r="D37" s="58" t="s">
        <v>503</v>
      </c>
      <c r="E37" s="58" t="s">
        <v>502</v>
      </c>
      <c r="F37" s="58" t="s">
        <v>501</v>
      </c>
      <c r="G37" s="58" t="s">
        <v>510</v>
      </c>
      <c r="H37" s="58" t="s">
        <v>176</v>
      </c>
      <c r="I37" s="58" t="s">
        <v>177</v>
      </c>
      <c r="J37" s="58" t="s">
        <v>505</v>
      </c>
      <c r="K37" s="58" t="s">
        <v>507</v>
      </c>
      <c r="L37" s="58" t="s">
        <v>178</v>
      </c>
      <c r="M37" s="58" t="s">
        <v>179</v>
      </c>
      <c r="N37" s="58" t="s">
        <v>506</v>
      </c>
      <c r="O37" s="58" t="s">
        <v>508</v>
      </c>
      <c r="P37" s="58" t="s">
        <v>180</v>
      </c>
      <c r="Q37" s="58" t="s">
        <v>181</v>
      </c>
      <c r="R37" s="58" t="s">
        <v>509</v>
      </c>
      <c r="S37" s="183"/>
      <c r="T37" s="127" t="s">
        <v>324</v>
      </c>
      <c r="U37" s="58" t="s">
        <v>504</v>
      </c>
      <c r="V37" s="58" t="s">
        <v>503</v>
      </c>
      <c r="W37" s="58" t="s">
        <v>502</v>
      </c>
      <c r="X37" s="58" t="s">
        <v>501</v>
      </c>
      <c r="Y37" s="58" t="s">
        <v>510</v>
      </c>
      <c r="Z37" s="58" t="s">
        <v>176</v>
      </c>
      <c r="AA37" s="58" t="s">
        <v>177</v>
      </c>
      <c r="AB37" s="58" t="s">
        <v>505</v>
      </c>
      <c r="AC37" s="58" t="s">
        <v>507</v>
      </c>
      <c r="AD37" s="58" t="s">
        <v>178</v>
      </c>
      <c r="AE37" s="58" t="s">
        <v>179</v>
      </c>
      <c r="AF37" s="58" t="s">
        <v>506</v>
      </c>
      <c r="AG37" s="58" t="s">
        <v>508</v>
      </c>
      <c r="AH37" s="58" t="s">
        <v>180</v>
      </c>
      <c r="AI37" s="58" t="s">
        <v>181</v>
      </c>
      <c r="AJ37" s="58" t="s">
        <v>509</v>
      </c>
    </row>
    <row r="38" spans="2:36" x14ac:dyDescent="0.15">
      <c r="B38" s="129" t="s">
        <v>184</v>
      </c>
      <c r="C38" s="204">
        <f>SUMIFS('caseload data'!E:E,'caseload data'!$D:$D,"PO",'caseload data'!$C:$C,'divisional &amp; regional caseload'!$B$36)</f>
        <v>0</v>
      </c>
      <c r="D38" s="204">
        <f>SUMIFS('caseload data'!F:F,'caseload data'!$D:$D,"PO",'caseload data'!$C:$C,'divisional &amp; regional caseload'!$B$36)</f>
        <v>0</v>
      </c>
      <c r="E38" s="204">
        <f>SUMIFS('caseload data'!G:G,'caseload data'!$D:$D,"PO",'caseload data'!$C:$C,'divisional &amp; regional caseload'!$B$36)</f>
        <v>0</v>
      </c>
      <c r="F38" s="204">
        <f>SUMIFS('caseload data'!H:H,'caseload data'!$D:$D,"PO",'caseload data'!$C:$C,'divisional &amp; regional caseload'!$B$36)</f>
        <v>0</v>
      </c>
      <c r="G38" s="204">
        <f>SUMIFS('caseload data'!I:I,'caseload data'!$D:$D,"PO",'caseload data'!$C:$C,'divisional &amp; regional caseload'!$B$36)</f>
        <v>0</v>
      </c>
      <c r="H38" s="204">
        <f>SUMIFS('caseload data'!J:J,'caseload data'!$D:$D,"PO",'caseload data'!$C:$C,'divisional &amp; regional caseload'!$B$36)</f>
        <v>0</v>
      </c>
      <c r="I38" s="204">
        <f>SUMIFS('caseload data'!K:K,'caseload data'!$D:$D,"PO",'caseload data'!$C:$C,'divisional &amp; regional caseload'!$B$36)</f>
        <v>0</v>
      </c>
      <c r="J38" s="204">
        <f>SUMIFS('caseload data'!L:L,'caseload data'!$D:$D,"PO",'caseload data'!$C:$C,'divisional &amp; regional caseload'!$B$36)</f>
        <v>0</v>
      </c>
      <c r="K38" s="204">
        <f>SUMIFS('caseload data'!M:M,'caseload data'!$D:$D,"PO",'caseload data'!$C:$C,'divisional &amp; regional caseload'!$B$36)</f>
        <v>0</v>
      </c>
      <c r="L38" s="204">
        <f>SUMIFS('caseload data'!N:N,'caseload data'!$D:$D,"PO",'caseload data'!$C:$C,'divisional &amp; regional caseload'!$B$36)</f>
        <v>0</v>
      </c>
      <c r="M38" s="204">
        <f>SUMIFS('caseload data'!O:O,'caseload data'!$D:$D,"PO",'caseload data'!$C:$C,'divisional &amp; regional caseload'!$B$36)</f>
        <v>0</v>
      </c>
      <c r="N38" s="204">
        <f>SUMIFS('caseload data'!P:P,'caseload data'!$D:$D,"PO",'caseload data'!$C:$C,'divisional &amp; regional caseload'!$B$36)</f>
        <v>0</v>
      </c>
      <c r="O38" s="204">
        <f>SUMIFS('caseload data'!Q:Q,'caseload data'!$D:$D,"PO",'caseload data'!$C:$C,'divisional &amp; regional caseload'!$B$36)</f>
        <v>0</v>
      </c>
      <c r="P38" s="204">
        <f>SUMIFS('caseload data'!R:R,'caseload data'!$D:$D,"PO",'caseload data'!$C:$C,'divisional &amp; regional caseload'!$B$36)</f>
        <v>0</v>
      </c>
      <c r="Q38" s="204">
        <f>SUMIFS('caseload data'!S:S,'caseload data'!$D:$D,"PO",'caseload data'!$C:$C,'divisional &amp; regional caseload'!$B$36)</f>
        <v>0</v>
      </c>
      <c r="R38" s="204">
        <f>SUMIFS('caseload data'!T:T,'caseload data'!$D:$D,"PO",'caseload data'!$C:$C,'divisional &amp; regional caseload'!$B$36)</f>
        <v>0</v>
      </c>
      <c r="S38" s="183"/>
      <c r="T38" s="129" t="s">
        <v>184</v>
      </c>
      <c r="U38" s="204">
        <f>SUMIFS('caseload data'!E:E,'caseload data'!$D:$D,"PO",'caseload data'!$C:$C,'divisional &amp; regional caseload'!$T$36)</f>
        <v>0</v>
      </c>
      <c r="V38" s="204">
        <f>SUMIFS('caseload data'!F:F,'caseload data'!$D:$D,"PO",'caseload data'!$C:$C,'divisional &amp; regional caseload'!$T$36)</f>
        <v>0</v>
      </c>
      <c r="W38" s="204">
        <f>SUMIFS('caseload data'!G:G,'caseload data'!$D:$D,"PO",'caseload data'!$C:$C,'divisional &amp; regional caseload'!$T$36)</f>
        <v>0</v>
      </c>
      <c r="X38" s="204">
        <f>SUMIFS('caseload data'!H:H,'caseload data'!$D:$D,"PO",'caseload data'!$C:$C,'divisional &amp; regional caseload'!$T$36)</f>
        <v>0</v>
      </c>
      <c r="Y38" s="204">
        <f>SUMIFS('caseload data'!I:I,'caseload data'!$D:$D,"PO",'caseload data'!$C:$C,'divisional &amp; regional caseload'!$T$36)</f>
        <v>0</v>
      </c>
      <c r="Z38" s="204">
        <f>SUMIFS('caseload data'!J:J,'caseload data'!$D:$D,"PO",'caseload data'!$C:$C,'divisional &amp; regional caseload'!$T$36)</f>
        <v>0</v>
      </c>
      <c r="AA38" s="204">
        <f>SUMIFS('caseload data'!K:K,'caseload data'!$D:$D,"PO",'caseload data'!$C:$C,'divisional &amp; regional caseload'!$T$36)</f>
        <v>0</v>
      </c>
      <c r="AB38" s="204">
        <f>SUMIFS('caseload data'!L:L,'caseload data'!$D:$D,"PO",'caseload data'!$C:$C,'divisional &amp; regional caseload'!$T$36)</f>
        <v>0</v>
      </c>
      <c r="AC38" s="204">
        <f>SUMIFS('caseload data'!M:M,'caseload data'!$D:$D,"PO",'caseload data'!$C:$C,'divisional &amp; regional caseload'!$T$36)</f>
        <v>0</v>
      </c>
      <c r="AD38" s="204">
        <f>SUMIFS('caseload data'!N:N,'caseload data'!$D:$D,"PO",'caseload data'!$C:$C,'divisional &amp; regional caseload'!$T$36)</f>
        <v>0</v>
      </c>
      <c r="AE38" s="204">
        <f>SUMIFS('caseload data'!O:O,'caseload data'!$D:$D,"PO",'caseload data'!$C:$C,'divisional &amp; regional caseload'!$T$36)</f>
        <v>0</v>
      </c>
      <c r="AF38" s="204">
        <f>SUMIFS('caseload data'!P:P,'caseload data'!$D:$D,"PO",'caseload data'!$C:$C,'divisional &amp; regional caseload'!$T$36)</f>
        <v>0</v>
      </c>
      <c r="AG38" s="204">
        <f>SUMIFS('caseload data'!Q:Q,'caseload data'!$D:$D,"PO",'caseload data'!$C:$C,'divisional &amp; regional caseload'!$T$36)</f>
        <v>0</v>
      </c>
      <c r="AH38" s="204">
        <f>SUMIFS('caseload data'!R:R,'caseload data'!$D:$D,"PO",'caseload data'!$C:$C,'divisional &amp; regional caseload'!$T$36)</f>
        <v>0</v>
      </c>
      <c r="AI38" s="204">
        <f>SUMIFS('caseload data'!S:S,'caseload data'!$D:$D,"PO",'caseload data'!$C:$C,'divisional &amp; regional caseload'!$T$36)</f>
        <v>0</v>
      </c>
      <c r="AJ38" s="204">
        <f>SUMIFS('caseload data'!T:T,'caseload data'!$D:$D,"PO",'caseload data'!$C:$C,'divisional &amp; regional caseload'!$T$36)</f>
        <v>0</v>
      </c>
    </row>
    <row r="39" spans="2:36" x14ac:dyDescent="0.15">
      <c r="B39" s="130" t="s">
        <v>185</v>
      </c>
      <c r="C39" s="204">
        <f>SUMIFS('caseload data'!E:E,'caseload data'!$D:$D,"PSO",'caseload data'!$C:$C,'divisional &amp; regional caseload'!$B$36)</f>
        <v>0</v>
      </c>
      <c r="D39" s="204">
        <f>SUMIFS('caseload data'!F:F,'caseload data'!$D:$D,"PSO",'caseload data'!$C:$C,'divisional &amp; regional caseload'!$B$36)</f>
        <v>0</v>
      </c>
      <c r="E39" s="204">
        <f>SUMIFS('caseload data'!G:G,'caseload data'!$D:$D,"PSO",'caseload data'!$C:$C,'divisional &amp; regional caseload'!$B$36)</f>
        <v>0</v>
      </c>
      <c r="F39" s="204">
        <f>SUMIFS('caseload data'!H:H,'caseload data'!$D:$D,"PSO",'caseload data'!$C:$C,'divisional &amp; regional caseload'!$B$36)</f>
        <v>0</v>
      </c>
      <c r="G39" s="204">
        <f>SUMIFS('caseload data'!I:I,'caseload data'!$D:$D,"PSO",'caseload data'!$C:$C,'divisional &amp; regional caseload'!$B$36)</f>
        <v>0</v>
      </c>
      <c r="H39" s="204">
        <f>SUMIFS('caseload data'!J:J,'caseload data'!$D:$D,"PSO",'caseload data'!$C:$C,'divisional &amp; regional caseload'!$B$36)</f>
        <v>0</v>
      </c>
      <c r="I39" s="204">
        <f>SUMIFS('caseload data'!K:K,'caseload data'!$D:$D,"PSO",'caseload data'!$C:$C,'divisional &amp; regional caseload'!$B$36)</f>
        <v>0</v>
      </c>
      <c r="J39" s="204">
        <f>SUMIFS('caseload data'!L:L,'caseload data'!$D:$D,"PSO",'caseload data'!$C:$C,'divisional &amp; regional caseload'!$B$36)</f>
        <v>0</v>
      </c>
      <c r="K39" s="204">
        <f>SUMIFS('caseload data'!M:M,'caseload data'!$D:$D,"PSO",'caseload data'!$C:$C,'divisional &amp; regional caseload'!$B$36)</f>
        <v>0</v>
      </c>
      <c r="L39" s="204">
        <f>SUMIFS('caseload data'!N:N,'caseload data'!$D:$D,"PSO",'caseload data'!$C:$C,'divisional &amp; regional caseload'!$B$36)</f>
        <v>0</v>
      </c>
      <c r="M39" s="204">
        <f>SUMIFS('caseload data'!O:O,'caseload data'!$D:$D,"PSO",'caseload data'!$C:$C,'divisional &amp; regional caseload'!$B$36)</f>
        <v>0</v>
      </c>
      <c r="N39" s="204">
        <f>SUMIFS('caseload data'!P:P,'caseload data'!$D:$D,"PSO",'caseload data'!$C:$C,'divisional &amp; regional caseload'!$B$36)</f>
        <v>0</v>
      </c>
      <c r="O39" s="204">
        <f>SUMIFS('caseload data'!Q:Q,'caseload data'!$D:$D,"PSO",'caseload data'!$C:$C,'divisional &amp; regional caseload'!$B$36)</f>
        <v>0</v>
      </c>
      <c r="P39" s="204">
        <f>SUMIFS('caseload data'!R:R,'caseload data'!$D:$D,"PSO",'caseload data'!$C:$C,'divisional &amp; regional caseload'!$B$36)</f>
        <v>0</v>
      </c>
      <c r="Q39" s="204">
        <f>SUMIFS('caseload data'!S:S,'caseload data'!$D:$D,"PSO",'caseload data'!$C:$C,'divisional &amp; regional caseload'!$B$36)</f>
        <v>0</v>
      </c>
      <c r="R39" s="204">
        <f>SUMIFS('caseload data'!T:T,'caseload data'!$D:$D,"PSO",'caseload data'!$C:$C,'divisional &amp; regional caseload'!$B$36)</f>
        <v>0</v>
      </c>
      <c r="S39" s="183"/>
      <c r="T39" s="130" t="s">
        <v>185</v>
      </c>
      <c r="U39" s="204">
        <f>SUMIFS('caseload data'!E:E,'caseload data'!$D:$D,"PSO",'caseload data'!$C:$C,'divisional &amp; regional caseload'!$T$36)</f>
        <v>0</v>
      </c>
      <c r="V39" s="204">
        <f>SUMIFS('caseload data'!F:F,'caseload data'!$D:$D,"PSO",'caseload data'!$C:$C,'divisional &amp; regional caseload'!$T$36)</f>
        <v>0</v>
      </c>
      <c r="W39" s="204">
        <f>SUMIFS('caseload data'!G:G,'caseload data'!$D:$D,"PSO",'caseload data'!$C:$C,'divisional &amp; regional caseload'!$T$36)</f>
        <v>0</v>
      </c>
      <c r="X39" s="204">
        <f>SUMIFS('caseload data'!H:H,'caseload data'!$D:$D,"PSO",'caseload data'!$C:$C,'divisional &amp; regional caseload'!$T$36)</f>
        <v>0</v>
      </c>
      <c r="Y39" s="204">
        <f>SUMIFS('caseload data'!I:I,'caseload data'!$D:$D,"PSO",'caseload data'!$C:$C,'divisional &amp; regional caseload'!$T$36)</f>
        <v>0</v>
      </c>
      <c r="Z39" s="204">
        <f>SUMIFS('caseload data'!J:J,'caseload data'!$D:$D,"PSO",'caseload data'!$C:$C,'divisional &amp; regional caseload'!$T$36)</f>
        <v>0</v>
      </c>
      <c r="AA39" s="204">
        <f>SUMIFS('caseload data'!K:K,'caseload data'!$D:$D,"PSO",'caseload data'!$C:$C,'divisional &amp; regional caseload'!$T$36)</f>
        <v>0</v>
      </c>
      <c r="AB39" s="204">
        <f>SUMIFS('caseload data'!L:L,'caseload data'!$D:$D,"PSO",'caseload data'!$C:$C,'divisional &amp; regional caseload'!$T$36)</f>
        <v>0</v>
      </c>
      <c r="AC39" s="204">
        <f>SUMIFS('caseload data'!M:M,'caseload data'!$D:$D,"PSO",'caseload data'!$C:$C,'divisional &amp; regional caseload'!$T$36)</f>
        <v>0</v>
      </c>
      <c r="AD39" s="204">
        <f>SUMIFS('caseload data'!N:N,'caseload data'!$D:$D,"PSO",'caseload data'!$C:$C,'divisional &amp; regional caseload'!$T$36)</f>
        <v>0</v>
      </c>
      <c r="AE39" s="204">
        <f>SUMIFS('caseload data'!O:O,'caseload data'!$D:$D,"PSO",'caseload data'!$C:$C,'divisional &amp; regional caseload'!$T$36)</f>
        <v>0</v>
      </c>
      <c r="AF39" s="204">
        <f>SUMIFS('caseload data'!P:P,'caseload data'!$D:$D,"PSO",'caseload data'!$C:$C,'divisional &amp; regional caseload'!$T$36)</f>
        <v>0</v>
      </c>
      <c r="AG39" s="204">
        <f>SUMIFS('caseload data'!Q:Q,'caseload data'!$D:$D,"PSO",'caseload data'!$C:$C,'divisional &amp; regional caseload'!$T$36)</f>
        <v>0</v>
      </c>
      <c r="AH39" s="204">
        <f>SUMIFS('caseload data'!R:R,'caseload data'!$D:$D,"PSO",'caseload data'!$C:$C,'divisional &amp; regional caseload'!$T$36)</f>
        <v>0</v>
      </c>
      <c r="AI39" s="204">
        <f>SUMIFS('caseload data'!S:S,'caseload data'!$D:$D,"PSO",'caseload data'!$C:$C,'divisional &amp; regional caseload'!$T$36)</f>
        <v>0</v>
      </c>
      <c r="AJ39" s="204">
        <f>SUMIFS('caseload data'!T:T,'caseload data'!$D:$D,"PSO",'caseload data'!$C:$C,'divisional &amp; regional caseload'!$T$36)</f>
        <v>0</v>
      </c>
    </row>
    <row r="40" spans="2:36" x14ac:dyDescent="0.15">
      <c r="B40" s="130" t="s">
        <v>186</v>
      </c>
      <c r="C40" s="204">
        <f>SUMIFS('caseload data'!E:E,'caseload data'!$D:$D,"TPO",'caseload data'!$C:$C,'divisional &amp; regional caseload'!$B$36)</f>
        <v>0</v>
      </c>
      <c r="D40" s="204">
        <f>SUMIFS('caseload data'!F:F,'caseload data'!$D:$D,"TPO",'caseload data'!$C:$C,'divisional &amp; regional caseload'!$B$36)</f>
        <v>0</v>
      </c>
      <c r="E40" s="204">
        <f>SUMIFS('caseload data'!G:G,'caseload data'!$D:$D,"TPO",'caseload data'!$C:$C,'divisional &amp; regional caseload'!$B$36)</f>
        <v>0</v>
      </c>
      <c r="F40" s="204">
        <f>SUMIFS('caseload data'!H:H,'caseload data'!$D:$D,"TPO",'caseload data'!$C:$C,'divisional &amp; regional caseload'!$B$36)</f>
        <v>0</v>
      </c>
      <c r="G40" s="204">
        <f>SUMIFS('caseload data'!I:I,'caseload data'!$D:$D,"TPO",'caseload data'!$C:$C,'divisional &amp; regional caseload'!$B$36)</f>
        <v>0</v>
      </c>
      <c r="H40" s="204">
        <f>SUMIFS('caseload data'!J:J,'caseload data'!$D:$D,"TPO",'caseload data'!$C:$C,'divisional &amp; regional caseload'!$B$36)</f>
        <v>0</v>
      </c>
      <c r="I40" s="204">
        <f>SUMIFS('caseload data'!K:K,'caseload data'!$D:$D,"TPO",'caseload data'!$C:$C,'divisional &amp; regional caseload'!$B$36)</f>
        <v>0</v>
      </c>
      <c r="J40" s="204">
        <f>SUMIFS('caseload data'!L:L,'caseload data'!$D:$D,"TPO",'caseload data'!$C:$C,'divisional &amp; regional caseload'!$B$36)</f>
        <v>0</v>
      </c>
      <c r="K40" s="204">
        <f>SUMIFS('caseload data'!M:M,'caseload data'!$D:$D,"TPO",'caseload data'!$C:$C,'divisional &amp; regional caseload'!$B$36)</f>
        <v>0</v>
      </c>
      <c r="L40" s="204">
        <f>SUMIFS('caseload data'!N:N,'caseload data'!$D:$D,"TPO",'caseload data'!$C:$C,'divisional &amp; regional caseload'!$B$36)</f>
        <v>0</v>
      </c>
      <c r="M40" s="204">
        <f>SUMIFS('caseload data'!O:O,'caseload data'!$D:$D,"TPO",'caseload data'!$C:$C,'divisional &amp; regional caseload'!$B$36)</f>
        <v>0</v>
      </c>
      <c r="N40" s="204">
        <f>SUMIFS('caseload data'!P:P,'caseload data'!$D:$D,"TPO",'caseload data'!$C:$C,'divisional &amp; regional caseload'!$B$36)</f>
        <v>0</v>
      </c>
      <c r="O40" s="204">
        <f>SUMIFS('caseload data'!Q:Q,'caseload data'!$D:$D,"TPO",'caseload data'!$C:$C,'divisional &amp; regional caseload'!$B$36)</f>
        <v>0</v>
      </c>
      <c r="P40" s="204">
        <f>SUMIFS('caseload data'!R:R,'caseload data'!$D:$D,"TPO",'caseload data'!$C:$C,'divisional &amp; regional caseload'!$B$36)</f>
        <v>0</v>
      </c>
      <c r="Q40" s="204">
        <f>SUMIFS('caseload data'!S:S,'caseload data'!$D:$D,"TPO",'caseload data'!$C:$C,'divisional &amp; regional caseload'!$B$36)</f>
        <v>0</v>
      </c>
      <c r="R40" s="204">
        <f>SUMIFS('caseload data'!T:T,'caseload data'!$D:$D,"TPO",'caseload data'!$C:$C,'divisional &amp; regional caseload'!$B$36)</f>
        <v>0</v>
      </c>
      <c r="S40" s="183"/>
      <c r="T40" s="130" t="s">
        <v>186</v>
      </c>
      <c r="U40" s="204">
        <f>SUMIFS('caseload data'!E:E,'caseload data'!$D:$D,"TPO",'caseload data'!$C:$C,'divisional &amp; regional caseload'!$T$36)</f>
        <v>0</v>
      </c>
      <c r="V40" s="204">
        <f>SUMIFS('caseload data'!F:F,'caseload data'!$D:$D,"TPO",'caseload data'!$C:$C,'divisional &amp; regional caseload'!$T$36)</f>
        <v>0</v>
      </c>
      <c r="W40" s="204">
        <f>SUMIFS('caseload data'!G:G,'caseload data'!$D:$D,"TPO",'caseload data'!$C:$C,'divisional &amp; regional caseload'!$T$36)</f>
        <v>0</v>
      </c>
      <c r="X40" s="204">
        <f>SUMIFS('caseload data'!H:H,'caseload data'!$D:$D,"TPO",'caseload data'!$C:$C,'divisional &amp; regional caseload'!$T$36)</f>
        <v>0</v>
      </c>
      <c r="Y40" s="204">
        <f>SUMIFS('caseload data'!I:I,'caseload data'!$D:$D,"TPO",'caseload data'!$C:$C,'divisional &amp; regional caseload'!$T$36)</f>
        <v>0</v>
      </c>
      <c r="Z40" s="204">
        <f>SUMIFS('caseload data'!J:J,'caseload data'!$D:$D,"TPO",'caseload data'!$C:$C,'divisional &amp; regional caseload'!$T$36)</f>
        <v>0</v>
      </c>
      <c r="AA40" s="204">
        <f>SUMIFS('caseload data'!K:K,'caseload data'!$D:$D,"TPO",'caseload data'!$C:$C,'divisional &amp; regional caseload'!$T$36)</f>
        <v>0</v>
      </c>
      <c r="AB40" s="204">
        <f>SUMIFS('caseload data'!L:L,'caseload data'!$D:$D,"TPO",'caseload data'!$C:$C,'divisional &amp; regional caseload'!$T$36)</f>
        <v>0</v>
      </c>
      <c r="AC40" s="204">
        <f>SUMIFS('caseload data'!M:M,'caseload data'!$D:$D,"TPO",'caseload data'!$C:$C,'divisional &amp; regional caseload'!$T$36)</f>
        <v>0</v>
      </c>
      <c r="AD40" s="204">
        <f>SUMIFS('caseload data'!N:N,'caseload data'!$D:$D,"TPO",'caseload data'!$C:$C,'divisional &amp; regional caseload'!$T$36)</f>
        <v>0</v>
      </c>
      <c r="AE40" s="204">
        <f>SUMIFS('caseload data'!O:O,'caseload data'!$D:$D,"TPO",'caseload data'!$C:$C,'divisional &amp; regional caseload'!$T$36)</f>
        <v>0</v>
      </c>
      <c r="AF40" s="204">
        <f>SUMIFS('caseload data'!P:P,'caseload data'!$D:$D,"TPO",'caseload data'!$C:$C,'divisional &amp; regional caseload'!$T$36)</f>
        <v>0</v>
      </c>
      <c r="AG40" s="204">
        <f>SUMIFS('caseload data'!Q:Q,'caseload data'!$D:$D,"TPO",'caseload data'!$C:$C,'divisional &amp; regional caseload'!$T$36)</f>
        <v>0</v>
      </c>
      <c r="AH40" s="204">
        <f>SUMIFS('caseload data'!R:R,'caseload data'!$D:$D,"TPO",'caseload data'!$C:$C,'divisional &amp; regional caseload'!$T$36)</f>
        <v>0</v>
      </c>
      <c r="AI40" s="204">
        <f>SUMIFS('caseload data'!S:S,'caseload data'!$D:$D,"TPO",'caseload data'!$C:$C,'divisional &amp; regional caseload'!$T$36)</f>
        <v>0</v>
      </c>
      <c r="AJ40" s="204">
        <f>SUMIFS('caseload data'!T:T,'caseload data'!$D:$D,"TPO",'caseload data'!$C:$C,'divisional &amp; regional caseload'!$T$36)</f>
        <v>0</v>
      </c>
    </row>
    <row r="41" spans="2:36" s="30" customFormat="1" x14ac:dyDescent="0.15">
      <c r="B41" s="131" t="s">
        <v>187</v>
      </c>
      <c r="C41" s="204">
        <f>SUMIFS('caseload data'!E:E,'caseload data'!$D:$D,"SPO",'caseload data'!$C:$C,'divisional &amp; regional caseload'!$B$36)</f>
        <v>0</v>
      </c>
      <c r="D41" s="204">
        <f>SUMIFS('caseload data'!F:F,'caseload data'!$D:$D,"SPO",'caseload data'!$C:$C,'divisional &amp; regional caseload'!$B$36)</f>
        <v>0</v>
      </c>
      <c r="E41" s="204">
        <f>SUMIFS('caseload data'!G:G,'caseload data'!$D:$D,"SPO",'caseload data'!$C:$C,'divisional &amp; regional caseload'!$B$36)</f>
        <v>0</v>
      </c>
      <c r="F41" s="204">
        <f>SUMIFS('caseload data'!H:H,'caseload data'!$D:$D,"SPO",'caseload data'!$C:$C,'divisional &amp; regional caseload'!$B$36)</f>
        <v>0</v>
      </c>
      <c r="G41" s="204">
        <f>SUMIFS('caseload data'!I:I,'caseload data'!$D:$D,"SPO",'caseload data'!$C:$C,'divisional &amp; regional caseload'!$B$36)</f>
        <v>0</v>
      </c>
      <c r="H41" s="204">
        <f>SUMIFS('caseload data'!J:J,'caseload data'!$D:$D,"SPO",'caseload data'!$C:$C,'divisional &amp; regional caseload'!$B$36)</f>
        <v>0</v>
      </c>
      <c r="I41" s="204">
        <f>SUMIFS('caseload data'!K:K,'caseload data'!$D:$D,"SPO",'caseload data'!$C:$C,'divisional &amp; regional caseload'!$B$36)</f>
        <v>0</v>
      </c>
      <c r="J41" s="204">
        <f>SUMIFS('caseload data'!L:L,'caseload data'!$D:$D,"SPO",'caseload data'!$C:$C,'divisional &amp; regional caseload'!$B$36)</f>
        <v>0</v>
      </c>
      <c r="K41" s="204">
        <f>SUMIFS('caseload data'!M:M,'caseload data'!$D:$D,"SPO",'caseload data'!$C:$C,'divisional &amp; regional caseload'!$B$36)</f>
        <v>0</v>
      </c>
      <c r="L41" s="204">
        <f>SUMIFS('caseload data'!N:N,'caseload data'!$D:$D,"SPO",'caseload data'!$C:$C,'divisional &amp; regional caseload'!$B$36)</f>
        <v>0</v>
      </c>
      <c r="M41" s="204">
        <f>SUMIFS('caseload data'!O:O,'caseload data'!$D:$D,"SPO",'caseload data'!$C:$C,'divisional &amp; regional caseload'!$B$36)</f>
        <v>0</v>
      </c>
      <c r="N41" s="204">
        <f>SUMIFS('caseload data'!P:P,'caseload data'!$D:$D,"SPO",'caseload data'!$C:$C,'divisional &amp; regional caseload'!$B$36)</f>
        <v>0</v>
      </c>
      <c r="O41" s="204">
        <f>SUMIFS('caseload data'!Q:Q,'caseload data'!$D:$D,"SPO",'caseload data'!$C:$C,'divisional &amp; regional caseload'!$B$36)</f>
        <v>0</v>
      </c>
      <c r="P41" s="204">
        <f>SUMIFS('caseload data'!R:R,'caseload data'!$D:$D,"SPO",'caseload data'!$C:$C,'divisional &amp; regional caseload'!$B$36)</f>
        <v>0</v>
      </c>
      <c r="Q41" s="204">
        <f>SUMIFS('caseload data'!S:S,'caseload data'!$D:$D,"SPO",'caseload data'!$C:$C,'divisional &amp; regional caseload'!$B$36)</f>
        <v>0</v>
      </c>
      <c r="R41" s="204">
        <f>SUMIFS('caseload data'!T:T,'caseload data'!$D:$D,"SPO",'caseload data'!$C:$C,'divisional &amp; regional caseload'!$B$36)</f>
        <v>0</v>
      </c>
      <c r="S41" s="183"/>
      <c r="T41" s="131" t="s">
        <v>187</v>
      </c>
      <c r="U41" s="204">
        <f>SUMIFS('caseload data'!E:E,'caseload data'!$D:$D,"SPO",'caseload data'!$C:$C,'divisional &amp; regional caseload'!$T$36)</f>
        <v>0</v>
      </c>
      <c r="V41" s="204">
        <f>SUMIFS('caseload data'!F:F,'caseload data'!$D:$D,"SPO",'caseload data'!$C:$C,'divisional &amp; regional caseload'!$T$36)</f>
        <v>0</v>
      </c>
      <c r="W41" s="204">
        <f>SUMIFS('caseload data'!G:G,'caseload data'!$D:$D,"SPO",'caseload data'!$C:$C,'divisional &amp; regional caseload'!$T$36)</f>
        <v>0</v>
      </c>
      <c r="X41" s="204">
        <f>SUMIFS('caseload data'!H:H,'caseload data'!$D:$D,"SPO",'caseload data'!$C:$C,'divisional &amp; regional caseload'!$T$36)</f>
        <v>0</v>
      </c>
      <c r="Y41" s="204">
        <f>SUMIFS('caseload data'!I:I,'caseload data'!$D:$D,"SPO",'caseload data'!$C:$C,'divisional &amp; regional caseload'!$T$36)</f>
        <v>0</v>
      </c>
      <c r="Z41" s="204">
        <f>SUMIFS('caseload data'!J:J,'caseload data'!$D:$D,"SPO",'caseload data'!$C:$C,'divisional &amp; regional caseload'!$T$36)</f>
        <v>0</v>
      </c>
      <c r="AA41" s="204">
        <f>SUMIFS('caseload data'!K:K,'caseload data'!$D:$D,"SPO",'caseload data'!$C:$C,'divisional &amp; regional caseload'!$T$36)</f>
        <v>0</v>
      </c>
      <c r="AB41" s="204">
        <f>SUMIFS('caseload data'!L:L,'caseload data'!$D:$D,"SPO",'caseload data'!$C:$C,'divisional &amp; regional caseload'!$T$36)</f>
        <v>0</v>
      </c>
      <c r="AC41" s="204">
        <f>SUMIFS('caseload data'!M:M,'caseload data'!$D:$D,"SPO",'caseload data'!$C:$C,'divisional &amp; regional caseload'!$T$36)</f>
        <v>0</v>
      </c>
      <c r="AD41" s="204">
        <f>SUMIFS('caseload data'!N:N,'caseload data'!$D:$D,"SPO",'caseload data'!$C:$C,'divisional &amp; regional caseload'!$T$36)</f>
        <v>0</v>
      </c>
      <c r="AE41" s="204">
        <f>SUMIFS('caseload data'!O:O,'caseload data'!$D:$D,"SPO",'caseload data'!$C:$C,'divisional &amp; regional caseload'!$T$36)</f>
        <v>0</v>
      </c>
      <c r="AF41" s="204">
        <f>SUMIFS('caseload data'!P:P,'caseload data'!$D:$D,"SPO",'caseload data'!$C:$C,'divisional &amp; regional caseload'!$T$36)</f>
        <v>0</v>
      </c>
      <c r="AG41" s="204">
        <f>SUMIFS('caseload data'!Q:Q,'caseload data'!$D:$D,"SPO",'caseload data'!$C:$C,'divisional &amp; regional caseload'!$T$36)</f>
        <v>0</v>
      </c>
      <c r="AH41" s="204">
        <f>SUMIFS('caseload data'!R:R,'caseload data'!$D:$D,"SPO",'caseload data'!$C:$C,'divisional &amp; regional caseload'!$T$36)</f>
        <v>0</v>
      </c>
      <c r="AI41" s="204">
        <f>SUMIFS('caseload data'!S:S,'caseload data'!$D:$D,"SPO",'caseload data'!$C:$C,'divisional &amp; regional caseload'!$T$36)</f>
        <v>0</v>
      </c>
      <c r="AJ41" s="204">
        <f>SUMIFS('caseload data'!T:T,'caseload data'!$D:$D,"SPO",'caseload data'!$C:$C,'divisional &amp; regional caseload'!$T$36)</f>
        <v>0</v>
      </c>
    </row>
    <row r="42" spans="2:36" x14ac:dyDescent="0.15">
      <c r="B42" s="183"/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</row>
    <row r="43" spans="2:36" ht="29.25" customHeight="1" x14ac:dyDescent="0.15">
      <c r="B43" s="182">
        <f>HLOOKUP($B$5,Region_Table,12,0)</f>
        <v>0</v>
      </c>
      <c r="C43" s="359" t="s">
        <v>365</v>
      </c>
      <c r="D43" s="365"/>
      <c r="E43" s="365"/>
      <c r="F43" s="365"/>
      <c r="G43" s="365"/>
      <c r="H43" s="365"/>
      <c r="I43" s="365"/>
      <c r="J43" s="365"/>
      <c r="K43" s="365"/>
      <c r="L43" s="365"/>
      <c r="M43" s="360"/>
      <c r="N43" s="360"/>
      <c r="O43" s="361"/>
      <c r="P43" s="362">
        <f>SUMIF('caseload data'!$C:$C,'divisional &amp; regional caseload'!B43,'caseload data'!V:V)</f>
        <v>0</v>
      </c>
      <c r="Q43" s="363"/>
      <c r="R43" s="364"/>
      <c r="S43" s="183"/>
      <c r="T43" s="182">
        <f>HLOOKUP($B$5,Region_Table,13,0)</f>
        <v>0</v>
      </c>
      <c r="U43" s="359" t="s">
        <v>363</v>
      </c>
      <c r="V43" s="360"/>
      <c r="W43" s="360"/>
      <c r="X43" s="361"/>
      <c r="Y43" s="362">
        <f>SUMIF('caseload data'!$C:$C,'divisional &amp; regional caseload'!T43,'caseload data'!V:V)</f>
        <v>0</v>
      </c>
      <c r="Z43" s="363"/>
      <c r="AA43" s="364"/>
    </row>
    <row r="44" spans="2:36" x14ac:dyDescent="0.15">
      <c r="B44" s="127" t="s">
        <v>324</v>
      </c>
      <c r="C44" s="58" t="s">
        <v>504</v>
      </c>
      <c r="D44" s="58" t="s">
        <v>503</v>
      </c>
      <c r="E44" s="58" t="s">
        <v>502</v>
      </c>
      <c r="F44" s="58" t="s">
        <v>501</v>
      </c>
      <c r="G44" s="58" t="s">
        <v>510</v>
      </c>
      <c r="H44" s="58" t="s">
        <v>176</v>
      </c>
      <c r="I44" s="58" t="s">
        <v>177</v>
      </c>
      <c r="J44" s="58" t="s">
        <v>505</v>
      </c>
      <c r="K44" s="58" t="s">
        <v>507</v>
      </c>
      <c r="L44" s="58" t="s">
        <v>178</v>
      </c>
      <c r="M44" s="58" t="s">
        <v>179</v>
      </c>
      <c r="N44" s="58" t="s">
        <v>506</v>
      </c>
      <c r="O44" s="58" t="s">
        <v>508</v>
      </c>
      <c r="P44" s="58" t="s">
        <v>180</v>
      </c>
      <c r="Q44" s="58" t="s">
        <v>181</v>
      </c>
      <c r="R44" s="58" t="s">
        <v>509</v>
      </c>
      <c r="S44" s="183"/>
      <c r="T44" s="127" t="s">
        <v>324</v>
      </c>
      <c r="U44" s="58" t="s">
        <v>504</v>
      </c>
      <c r="V44" s="58" t="s">
        <v>503</v>
      </c>
      <c r="W44" s="58" t="s">
        <v>502</v>
      </c>
      <c r="X44" s="58" t="s">
        <v>501</v>
      </c>
      <c r="Y44" s="58" t="s">
        <v>510</v>
      </c>
      <c r="Z44" s="58" t="s">
        <v>176</v>
      </c>
      <c r="AA44" s="58" t="s">
        <v>177</v>
      </c>
      <c r="AB44" s="58" t="s">
        <v>505</v>
      </c>
      <c r="AC44" s="58" t="s">
        <v>507</v>
      </c>
      <c r="AD44" s="58" t="s">
        <v>178</v>
      </c>
      <c r="AE44" s="58" t="s">
        <v>179</v>
      </c>
      <c r="AF44" s="58" t="s">
        <v>506</v>
      </c>
      <c r="AG44" s="58" t="s">
        <v>508</v>
      </c>
      <c r="AH44" s="58" t="s">
        <v>180</v>
      </c>
      <c r="AI44" s="58" t="s">
        <v>181</v>
      </c>
      <c r="AJ44" s="58" t="s">
        <v>509</v>
      </c>
    </row>
    <row r="45" spans="2:36" x14ac:dyDescent="0.15">
      <c r="B45" s="129" t="s">
        <v>184</v>
      </c>
      <c r="C45" s="204">
        <f>SUMIFS('caseload data'!E:E,'caseload data'!$D:$D,"PO",'caseload data'!$C:$C,'divisional &amp; regional caseload'!$B$43)</f>
        <v>0</v>
      </c>
      <c r="D45" s="204">
        <f>SUMIFS('caseload data'!F:F,'caseload data'!$D:$D,"PO",'caseload data'!$C:$C,'divisional &amp; regional caseload'!$B$43)</f>
        <v>0</v>
      </c>
      <c r="E45" s="204">
        <f>SUMIFS('caseload data'!G:G,'caseload data'!$D:$D,"PO",'caseload data'!$C:$C,'divisional &amp; regional caseload'!$B$43)</f>
        <v>0</v>
      </c>
      <c r="F45" s="204">
        <f>SUMIFS('caseload data'!H:H,'caseload data'!$D:$D,"PO",'caseload data'!$C:$C,'divisional &amp; regional caseload'!$B$43)</f>
        <v>0</v>
      </c>
      <c r="G45" s="204">
        <f>SUMIFS('caseload data'!I:I,'caseload data'!$D:$D,"PO",'caseload data'!$C:$C,'divisional &amp; regional caseload'!$B$43)</f>
        <v>0</v>
      </c>
      <c r="H45" s="204">
        <f>SUMIFS('caseload data'!J:J,'caseload data'!$D:$D,"PO",'caseload data'!$C:$C,'divisional &amp; regional caseload'!$B$43)</f>
        <v>0</v>
      </c>
      <c r="I45" s="204">
        <f>SUMIFS('caseload data'!K:K,'caseload data'!$D:$D,"PO",'caseload data'!$C:$C,'divisional &amp; regional caseload'!$B$43)</f>
        <v>0</v>
      </c>
      <c r="J45" s="204">
        <f>SUMIFS('caseload data'!L:L,'caseload data'!$D:$D,"PO",'caseload data'!$C:$C,'divisional &amp; regional caseload'!$B$43)</f>
        <v>0</v>
      </c>
      <c r="K45" s="204">
        <f>SUMIFS('caseload data'!M:M,'caseload data'!$D:$D,"PO",'caseload data'!$C:$C,'divisional &amp; regional caseload'!$B$43)</f>
        <v>0</v>
      </c>
      <c r="L45" s="204">
        <f>SUMIFS('caseload data'!N:N,'caseload data'!$D:$D,"PO",'caseload data'!$C:$C,'divisional &amp; regional caseload'!$B$43)</f>
        <v>0</v>
      </c>
      <c r="M45" s="204">
        <f>SUMIFS('caseload data'!O:O,'caseload data'!$D:$D,"PO",'caseload data'!$C:$C,'divisional &amp; regional caseload'!$B$43)</f>
        <v>0</v>
      </c>
      <c r="N45" s="204">
        <f>SUMIFS('caseload data'!P:P,'caseload data'!$D:$D,"PO",'caseload data'!$C:$C,'divisional &amp; regional caseload'!$B$43)</f>
        <v>0</v>
      </c>
      <c r="O45" s="204">
        <f>SUMIFS('caseload data'!Q:Q,'caseload data'!$D:$D,"PO",'caseload data'!$C:$C,'divisional &amp; regional caseload'!$B$43)</f>
        <v>0</v>
      </c>
      <c r="P45" s="204">
        <f>SUMIFS('caseload data'!R:R,'caseload data'!$D:$D,"PO",'caseload data'!$C:$C,'divisional &amp; regional caseload'!$B$43)</f>
        <v>0</v>
      </c>
      <c r="Q45" s="204">
        <f>SUMIFS('caseload data'!S:S,'caseload data'!$D:$D,"PO",'caseload data'!$C:$C,'divisional &amp; regional caseload'!$B$43)</f>
        <v>0</v>
      </c>
      <c r="R45" s="204">
        <f>SUMIFS('caseload data'!T:T,'caseload data'!$D:$D,"PO",'caseload data'!$C:$C,'divisional &amp; regional caseload'!$B$43)</f>
        <v>0</v>
      </c>
      <c r="S45" s="183"/>
      <c r="T45" s="129" t="s">
        <v>184</v>
      </c>
      <c r="U45" s="204">
        <f>SUMIFS('caseload data'!E:E,'caseload data'!$D:$D,"PO",'caseload data'!$C:$C,'divisional &amp; regional caseload'!$T$43)</f>
        <v>0</v>
      </c>
      <c r="V45" s="204">
        <f>SUMIFS('caseload data'!F:F,'caseload data'!$D:$D,"PO",'caseload data'!$C:$C,'divisional &amp; regional caseload'!$T$43)</f>
        <v>0</v>
      </c>
      <c r="W45" s="204">
        <f>SUMIFS('caseload data'!G:G,'caseload data'!$D:$D,"PO",'caseload data'!$C:$C,'divisional &amp; regional caseload'!$T$43)</f>
        <v>0</v>
      </c>
      <c r="X45" s="204">
        <f>SUMIFS('caseload data'!H:H,'caseload data'!$D:$D,"PO",'caseload data'!$C:$C,'divisional &amp; regional caseload'!$T$43)</f>
        <v>0</v>
      </c>
      <c r="Y45" s="204">
        <f>SUMIFS('caseload data'!I:I,'caseload data'!$D:$D,"PO",'caseload data'!$C:$C,'divisional &amp; regional caseload'!$T$43)</f>
        <v>0</v>
      </c>
      <c r="Z45" s="204">
        <f>SUMIFS('caseload data'!J:J,'caseload data'!$D:$D,"PO",'caseload data'!$C:$C,'divisional &amp; regional caseload'!$T$43)</f>
        <v>0</v>
      </c>
      <c r="AA45" s="204">
        <f>SUMIFS('caseload data'!K:K,'caseload data'!$D:$D,"PO",'caseload data'!$C:$C,'divisional &amp; regional caseload'!$T$43)</f>
        <v>0</v>
      </c>
      <c r="AB45" s="204">
        <f>SUMIFS('caseload data'!L:L,'caseload data'!$D:$D,"PO",'caseload data'!$C:$C,'divisional &amp; regional caseload'!$T$43)</f>
        <v>0</v>
      </c>
      <c r="AC45" s="204">
        <f>SUMIFS('caseload data'!M:M,'caseload data'!$D:$D,"PO",'caseload data'!$C:$C,'divisional &amp; regional caseload'!$T$43)</f>
        <v>0</v>
      </c>
      <c r="AD45" s="204">
        <f>SUMIFS('caseload data'!N:N,'caseload data'!$D:$D,"PO",'caseload data'!$C:$C,'divisional &amp; regional caseload'!$T$43)</f>
        <v>0</v>
      </c>
      <c r="AE45" s="204">
        <f>SUMIFS('caseload data'!O:O,'caseload data'!$D:$D,"PO",'caseload data'!$C:$C,'divisional &amp; regional caseload'!$T$43)</f>
        <v>0</v>
      </c>
      <c r="AF45" s="204">
        <f>SUMIFS('caseload data'!P:P,'caseload data'!$D:$D,"PO",'caseload data'!$C:$C,'divisional &amp; regional caseload'!$T$43)</f>
        <v>0</v>
      </c>
      <c r="AG45" s="204">
        <f>SUMIFS('caseload data'!Q:Q,'caseload data'!$D:$D,"PO",'caseload data'!$C:$C,'divisional &amp; regional caseload'!$T$43)</f>
        <v>0</v>
      </c>
      <c r="AH45" s="204">
        <f>SUMIFS('caseload data'!R:R,'caseload data'!$D:$D,"PO",'caseload data'!$C:$C,'divisional &amp; regional caseload'!$T$43)</f>
        <v>0</v>
      </c>
      <c r="AI45" s="204">
        <f>SUMIFS('caseload data'!S:S,'caseload data'!$D:$D,"PO",'caseload data'!$C:$C,'divisional &amp; regional caseload'!$T$43)</f>
        <v>0</v>
      </c>
      <c r="AJ45" s="204">
        <f>SUMIFS('caseload data'!T:T,'caseload data'!$D:$D,"PO",'caseload data'!$C:$C,'divisional &amp; regional caseload'!$T$43)</f>
        <v>0</v>
      </c>
    </row>
    <row r="46" spans="2:36" x14ac:dyDescent="0.15">
      <c r="B46" s="130" t="s">
        <v>185</v>
      </c>
      <c r="C46" s="204">
        <f>SUMIFS('caseload data'!E:E,'caseload data'!$D:$D,"PSO",'caseload data'!$C:$C,'divisional &amp; regional caseload'!$B$43)</f>
        <v>0</v>
      </c>
      <c r="D46" s="204">
        <f>SUMIFS('caseload data'!F:F,'caseload data'!$D:$D,"PSO",'caseload data'!$C:$C,'divisional &amp; regional caseload'!$B$43)</f>
        <v>0</v>
      </c>
      <c r="E46" s="204">
        <f>SUMIFS('caseload data'!G:G,'caseload data'!$D:$D,"PSO",'caseload data'!$C:$C,'divisional &amp; regional caseload'!$B$43)</f>
        <v>0</v>
      </c>
      <c r="F46" s="204">
        <f>SUMIFS('caseload data'!H:H,'caseload data'!$D:$D,"PSO",'caseload data'!$C:$C,'divisional &amp; regional caseload'!$B$43)</f>
        <v>0</v>
      </c>
      <c r="G46" s="204">
        <f>SUMIFS('caseload data'!I:I,'caseload data'!$D:$D,"PSO",'caseload data'!$C:$C,'divisional &amp; regional caseload'!$B$43)</f>
        <v>0</v>
      </c>
      <c r="H46" s="204">
        <f>SUMIFS('caseload data'!J:J,'caseload data'!$D:$D,"PSO",'caseload data'!$C:$C,'divisional &amp; regional caseload'!$B$43)</f>
        <v>0</v>
      </c>
      <c r="I46" s="204">
        <f>SUMIFS('caseload data'!K:K,'caseload data'!$D:$D,"PSO",'caseload data'!$C:$C,'divisional &amp; regional caseload'!$B$43)</f>
        <v>0</v>
      </c>
      <c r="J46" s="204">
        <f>SUMIFS('caseload data'!L:L,'caseload data'!$D:$D,"PSO",'caseload data'!$C:$C,'divisional &amp; regional caseload'!$B$43)</f>
        <v>0</v>
      </c>
      <c r="K46" s="204">
        <f>SUMIFS('caseload data'!M:M,'caseload data'!$D:$D,"PSO",'caseload data'!$C:$C,'divisional &amp; regional caseload'!$B$43)</f>
        <v>0</v>
      </c>
      <c r="L46" s="204">
        <f>SUMIFS('caseload data'!N:N,'caseload data'!$D:$D,"PSO",'caseload data'!$C:$C,'divisional &amp; regional caseload'!$B$43)</f>
        <v>0</v>
      </c>
      <c r="M46" s="204">
        <f>SUMIFS('caseload data'!O:O,'caseload data'!$D:$D,"PSO",'caseload data'!$C:$C,'divisional &amp; regional caseload'!$B$43)</f>
        <v>0</v>
      </c>
      <c r="N46" s="204">
        <f>SUMIFS('caseload data'!P:P,'caseload data'!$D:$D,"PSO",'caseload data'!$C:$C,'divisional &amp; regional caseload'!$B$43)</f>
        <v>0</v>
      </c>
      <c r="O46" s="204">
        <f>SUMIFS('caseload data'!Q:Q,'caseload data'!$D:$D,"PSO",'caseload data'!$C:$C,'divisional &amp; regional caseload'!$B$43)</f>
        <v>0</v>
      </c>
      <c r="P46" s="204">
        <f>SUMIFS('caseload data'!R:R,'caseload data'!$D:$D,"PSO",'caseload data'!$C:$C,'divisional &amp; regional caseload'!$B$43)</f>
        <v>0</v>
      </c>
      <c r="Q46" s="204">
        <f>SUMIFS('caseload data'!S:S,'caseload data'!$D:$D,"PSO",'caseload data'!$C:$C,'divisional &amp; regional caseload'!$B$43)</f>
        <v>0</v>
      </c>
      <c r="R46" s="204">
        <f>SUMIFS('caseload data'!T:T,'caseload data'!$D:$D,"PSO",'caseload data'!$C:$C,'divisional &amp; regional caseload'!$B$43)</f>
        <v>0</v>
      </c>
      <c r="S46" s="183"/>
      <c r="T46" s="130" t="s">
        <v>185</v>
      </c>
      <c r="U46" s="204">
        <f>SUMIFS('caseload data'!E:E,'caseload data'!$D:$D,"PSO",'caseload data'!$C:$C,'divisional &amp; regional caseload'!$T$43)</f>
        <v>0</v>
      </c>
      <c r="V46" s="204">
        <f>SUMIFS('caseload data'!F:F,'caseload data'!$D:$D,"PSO",'caseload data'!$C:$C,'divisional &amp; regional caseload'!$T$43)</f>
        <v>0</v>
      </c>
      <c r="W46" s="204">
        <f>SUMIFS('caseload data'!G:G,'caseload data'!$D:$D,"PSO",'caseload data'!$C:$C,'divisional &amp; regional caseload'!$T$43)</f>
        <v>0</v>
      </c>
      <c r="X46" s="204">
        <f>SUMIFS('caseload data'!H:H,'caseload data'!$D:$D,"PSO",'caseload data'!$C:$C,'divisional &amp; regional caseload'!$T$43)</f>
        <v>0</v>
      </c>
      <c r="Y46" s="204">
        <f>SUMIFS('caseload data'!I:I,'caseload data'!$D:$D,"PSO",'caseload data'!$C:$C,'divisional &amp; regional caseload'!$T$43)</f>
        <v>0</v>
      </c>
      <c r="Z46" s="204">
        <f>SUMIFS('caseload data'!J:J,'caseload data'!$D:$D,"PSO",'caseload data'!$C:$C,'divisional &amp; regional caseload'!$T$43)</f>
        <v>0</v>
      </c>
      <c r="AA46" s="204">
        <f>SUMIFS('caseload data'!K:K,'caseload data'!$D:$D,"PSO",'caseload data'!$C:$C,'divisional &amp; regional caseload'!$T$43)</f>
        <v>0</v>
      </c>
      <c r="AB46" s="204">
        <f>SUMIFS('caseload data'!L:L,'caseload data'!$D:$D,"PSO",'caseload data'!$C:$C,'divisional &amp; regional caseload'!$T$43)</f>
        <v>0</v>
      </c>
      <c r="AC46" s="204">
        <f>SUMIFS('caseload data'!M:M,'caseload data'!$D:$D,"PSO",'caseload data'!$C:$C,'divisional &amp; regional caseload'!$T$43)</f>
        <v>0</v>
      </c>
      <c r="AD46" s="204">
        <f>SUMIFS('caseload data'!N:N,'caseload data'!$D:$D,"PSO",'caseload data'!$C:$C,'divisional &amp; regional caseload'!$T$43)</f>
        <v>0</v>
      </c>
      <c r="AE46" s="204">
        <f>SUMIFS('caseload data'!O:O,'caseload data'!$D:$D,"PSO",'caseload data'!$C:$C,'divisional &amp; regional caseload'!$T$43)</f>
        <v>0</v>
      </c>
      <c r="AF46" s="204">
        <f>SUMIFS('caseload data'!P:P,'caseload data'!$D:$D,"PSO",'caseload data'!$C:$C,'divisional &amp; regional caseload'!$T$43)</f>
        <v>0</v>
      </c>
      <c r="AG46" s="204">
        <f>SUMIFS('caseload data'!Q:Q,'caseload data'!$D:$D,"PSO",'caseload data'!$C:$C,'divisional &amp; regional caseload'!$T$43)</f>
        <v>0</v>
      </c>
      <c r="AH46" s="204">
        <f>SUMIFS('caseload data'!R:R,'caseload data'!$D:$D,"PSO",'caseload data'!$C:$C,'divisional &amp; regional caseload'!$T$43)</f>
        <v>0</v>
      </c>
      <c r="AI46" s="204">
        <f>SUMIFS('caseload data'!S:S,'caseload data'!$D:$D,"PSO",'caseload data'!$C:$C,'divisional &amp; regional caseload'!$T$43)</f>
        <v>0</v>
      </c>
      <c r="AJ46" s="204">
        <f>SUMIFS('caseload data'!T:T,'caseload data'!$D:$D,"PSO",'caseload data'!$C:$C,'divisional &amp; regional caseload'!$T$43)</f>
        <v>0</v>
      </c>
    </row>
    <row r="47" spans="2:36" x14ac:dyDescent="0.15">
      <c r="B47" s="130" t="s">
        <v>186</v>
      </c>
      <c r="C47" s="204">
        <f>SUMIFS('caseload data'!E:E,'caseload data'!$D:$D,"TPO",'caseload data'!$C:$C,'divisional &amp; regional caseload'!$B$43)</f>
        <v>0</v>
      </c>
      <c r="D47" s="204">
        <f>SUMIFS('caseload data'!F:F,'caseload data'!$D:$D,"TPO",'caseload data'!$C:$C,'divisional &amp; regional caseload'!$B$43)</f>
        <v>0</v>
      </c>
      <c r="E47" s="204">
        <f>SUMIFS('caseload data'!G:G,'caseload data'!$D:$D,"TPO",'caseload data'!$C:$C,'divisional &amp; regional caseload'!$B$43)</f>
        <v>0</v>
      </c>
      <c r="F47" s="204">
        <f>SUMIFS('caseload data'!H:H,'caseload data'!$D:$D,"TPO",'caseload data'!$C:$C,'divisional &amp; regional caseload'!$B$43)</f>
        <v>0</v>
      </c>
      <c r="G47" s="204">
        <f>SUMIFS('caseload data'!I:I,'caseload data'!$D:$D,"TPO",'caseload data'!$C:$C,'divisional &amp; regional caseload'!$B$43)</f>
        <v>0</v>
      </c>
      <c r="H47" s="204">
        <f>SUMIFS('caseload data'!J:J,'caseload data'!$D:$D,"TPO",'caseload data'!$C:$C,'divisional &amp; regional caseload'!$B$43)</f>
        <v>0</v>
      </c>
      <c r="I47" s="204">
        <f>SUMIFS('caseload data'!K:K,'caseload data'!$D:$D,"TPO",'caseload data'!$C:$C,'divisional &amp; regional caseload'!$B$43)</f>
        <v>0</v>
      </c>
      <c r="J47" s="204">
        <f>SUMIFS('caseload data'!L:L,'caseload data'!$D:$D,"TPO",'caseload data'!$C:$C,'divisional &amp; regional caseload'!$B$43)</f>
        <v>0</v>
      </c>
      <c r="K47" s="204">
        <f>SUMIFS('caseload data'!M:M,'caseload data'!$D:$D,"TPO",'caseload data'!$C:$C,'divisional &amp; regional caseload'!$B$43)</f>
        <v>0</v>
      </c>
      <c r="L47" s="204">
        <f>SUMIFS('caseload data'!N:N,'caseload data'!$D:$D,"TPO",'caseload data'!$C:$C,'divisional &amp; regional caseload'!$B$43)</f>
        <v>0</v>
      </c>
      <c r="M47" s="204">
        <f>SUMIFS('caseload data'!O:O,'caseload data'!$D:$D,"TPO",'caseload data'!$C:$C,'divisional &amp; regional caseload'!$B$43)</f>
        <v>0</v>
      </c>
      <c r="N47" s="204">
        <f>SUMIFS('caseload data'!P:P,'caseload data'!$D:$D,"TPO",'caseload data'!$C:$C,'divisional &amp; regional caseload'!$B$43)</f>
        <v>0</v>
      </c>
      <c r="O47" s="204">
        <f>SUMIFS('caseload data'!Q:Q,'caseload data'!$D:$D,"TPO",'caseload data'!$C:$C,'divisional &amp; regional caseload'!$B$43)</f>
        <v>0</v>
      </c>
      <c r="P47" s="204">
        <f>SUMIFS('caseload data'!R:R,'caseload data'!$D:$D,"TPO",'caseload data'!$C:$C,'divisional &amp; regional caseload'!$B$43)</f>
        <v>0</v>
      </c>
      <c r="Q47" s="204">
        <f>SUMIFS('caseload data'!S:S,'caseload data'!$D:$D,"TPO",'caseload data'!$C:$C,'divisional &amp; regional caseload'!$B$43)</f>
        <v>0</v>
      </c>
      <c r="R47" s="204">
        <f>SUMIFS('caseload data'!T:T,'caseload data'!$D:$D,"TPO",'caseload data'!$C:$C,'divisional &amp; regional caseload'!$B$43)</f>
        <v>0</v>
      </c>
      <c r="S47" s="183"/>
      <c r="T47" s="130" t="s">
        <v>186</v>
      </c>
      <c r="U47" s="204">
        <f>SUMIFS('caseload data'!E:E,'caseload data'!$D:$D,"TPO",'caseload data'!$C:$C,'divisional &amp; regional caseload'!$T$43)</f>
        <v>0</v>
      </c>
      <c r="V47" s="204">
        <f>SUMIFS('caseload data'!F:F,'caseload data'!$D:$D,"TPO",'caseload data'!$C:$C,'divisional &amp; regional caseload'!$T$43)</f>
        <v>0</v>
      </c>
      <c r="W47" s="204">
        <f>SUMIFS('caseload data'!G:G,'caseload data'!$D:$D,"TPO",'caseload data'!$C:$C,'divisional &amp; regional caseload'!$T$43)</f>
        <v>0</v>
      </c>
      <c r="X47" s="204">
        <f>SUMIFS('caseload data'!H:H,'caseload data'!$D:$D,"TPO",'caseload data'!$C:$C,'divisional &amp; regional caseload'!$T$43)</f>
        <v>0</v>
      </c>
      <c r="Y47" s="204">
        <f>SUMIFS('caseload data'!I:I,'caseload data'!$D:$D,"TPO",'caseload data'!$C:$C,'divisional &amp; regional caseload'!$T$43)</f>
        <v>0</v>
      </c>
      <c r="Z47" s="204">
        <f>SUMIFS('caseload data'!J:J,'caseload data'!$D:$D,"TPO",'caseload data'!$C:$C,'divisional &amp; regional caseload'!$T$43)</f>
        <v>0</v>
      </c>
      <c r="AA47" s="204">
        <f>SUMIFS('caseload data'!K:K,'caseload data'!$D:$D,"TPO",'caseload data'!$C:$C,'divisional &amp; regional caseload'!$T$43)</f>
        <v>0</v>
      </c>
      <c r="AB47" s="204">
        <f>SUMIFS('caseload data'!L:L,'caseload data'!$D:$D,"TPO",'caseload data'!$C:$C,'divisional &amp; regional caseload'!$T$43)</f>
        <v>0</v>
      </c>
      <c r="AC47" s="204">
        <f>SUMIFS('caseload data'!M:M,'caseload data'!$D:$D,"TPO",'caseload data'!$C:$C,'divisional &amp; regional caseload'!$T$43)</f>
        <v>0</v>
      </c>
      <c r="AD47" s="204">
        <f>SUMIFS('caseload data'!N:N,'caseload data'!$D:$D,"TPO",'caseload data'!$C:$C,'divisional &amp; regional caseload'!$T$43)</f>
        <v>0</v>
      </c>
      <c r="AE47" s="204">
        <f>SUMIFS('caseload data'!O:O,'caseload data'!$D:$D,"TPO",'caseload data'!$C:$C,'divisional &amp; regional caseload'!$T$43)</f>
        <v>0</v>
      </c>
      <c r="AF47" s="204">
        <f>SUMIFS('caseload data'!P:P,'caseload data'!$D:$D,"TPO",'caseload data'!$C:$C,'divisional &amp; regional caseload'!$T$43)</f>
        <v>0</v>
      </c>
      <c r="AG47" s="204">
        <f>SUMIFS('caseload data'!Q:Q,'caseload data'!$D:$D,"TPO",'caseload data'!$C:$C,'divisional &amp; regional caseload'!$T$43)</f>
        <v>0</v>
      </c>
      <c r="AH47" s="204">
        <f>SUMIFS('caseload data'!R:R,'caseload data'!$D:$D,"TPO",'caseload data'!$C:$C,'divisional &amp; regional caseload'!$T$43)</f>
        <v>0</v>
      </c>
      <c r="AI47" s="204">
        <f>SUMIFS('caseload data'!S:S,'caseload data'!$D:$D,"TPO",'caseload data'!$C:$C,'divisional &amp; regional caseload'!$T$43)</f>
        <v>0</v>
      </c>
      <c r="AJ47" s="204">
        <f>SUMIFS('caseload data'!T:T,'caseload data'!$D:$D,"TPO",'caseload data'!$C:$C,'divisional &amp; regional caseload'!$T$43)</f>
        <v>0</v>
      </c>
    </row>
    <row r="48" spans="2:36" s="30" customFormat="1" x14ac:dyDescent="0.15">
      <c r="B48" s="131" t="s">
        <v>187</v>
      </c>
      <c r="C48" s="204">
        <f>SUMIFS('caseload data'!E:E,'caseload data'!$D:$D,"SPO",'caseload data'!$C:$C,'divisional &amp; regional caseload'!$B$43)</f>
        <v>0</v>
      </c>
      <c r="D48" s="204">
        <f>SUMIFS('caseload data'!F:F,'caseload data'!$D:$D,"SPO",'caseload data'!$C:$C,'divisional &amp; regional caseload'!$B$43)</f>
        <v>0</v>
      </c>
      <c r="E48" s="204">
        <f>SUMIFS('caseload data'!G:G,'caseload data'!$D:$D,"SPO",'caseload data'!$C:$C,'divisional &amp; regional caseload'!$B$43)</f>
        <v>0</v>
      </c>
      <c r="F48" s="204">
        <f>SUMIFS('caseload data'!H:H,'caseload data'!$D:$D,"SPO",'caseload data'!$C:$C,'divisional &amp; regional caseload'!$B$43)</f>
        <v>0</v>
      </c>
      <c r="G48" s="204">
        <f>SUMIFS('caseload data'!I:I,'caseload data'!$D:$D,"SPO",'caseload data'!$C:$C,'divisional &amp; regional caseload'!$B$43)</f>
        <v>0</v>
      </c>
      <c r="H48" s="204">
        <f>SUMIFS('caseload data'!J:J,'caseload data'!$D:$D,"SPO",'caseload data'!$C:$C,'divisional &amp; regional caseload'!$B$43)</f>
        <v>0</v>
      </c>
      <c r="I48" s="204">
        <f>SUMIFS('caseload data'!K:K,'caseload data'!$D:$D,"SPO",'caseload data'!$C:$C,'divisional &amp; regional caseload'!$B$43)</f>
        <v>0</v>
      </c>
      <c r="J48" s="204">
        <f>SUMIFS('caseload data'!L:L,'caseload data'!$D:$D,"SPO",'caseload data'!$C:$C,'divisional &amp; regional caseload'!$B$43)</f>
        <v>0</v>
      </c>
      <c r="K48" s="204">
        <f>SUMIFS('caseload data'!M:M,'caseload data'!$D:$D,"SPO",'caseload data'!$C:$C,'divisional &amp; regional caseload'!$B$43)</f>
        <v>0</v>
      </c>
      <c r="L48" s="204">
        <f>SUMIFS('caseload data'!N:N,'caseload data'!$D:$D,"SPO",'caseload data'!$C:$C,'divisional &amp; regional caseload'!$B$43)</f>
        <v>0</v>
      </c>
      <c r="M48" s="204">
        <f>SUMIFS('caseload data'!O:O,'caseload data'!$D:$D,"SPO",'caseload data'!$C:$C,'divisional &amp; regional caseload'!$B$43)</f>
        <v>0</v>
      </c>
      <c r="N48" s="204">
        <f>SUMIFS('caseload data'!P:P,'caseload data'!$D:$D,"SPO",'caseload data'!$C:$C,'divisional &amp; regional caseload'!$B$43)</f>
        <v>0</v>
      </c>
      <c r="O48" s="204">
        <f>SUMIFS('caseload data'!Q:Q,'caseload data'!$D:$D,"SPO",'caseload data'!$C:$C,'divisional &amp; regional caseload'!$B$43)</f>
        <v>0</v>
      </c>
      <c r="P48" s="204">
        <f>SUMIFS('caseload data'!R:R,'caseload data'!$D:$D,"SPO",'caseload data'!$C:$C,'divisional &amp; regional caseload'!$B$43)</f>
        <v>0</v>
      </c>
      <c r="Q48" s="204">
        <f>SUMIFS('caseload data'!S:S,'caseload data'!$D:$D,"SPO",'caseload data'!$C:$C,'divisional &amp; regional caseload'!$B$43)</f>
        <v>0</v>
      </c>
      <c r="R48" s="204">
        <f>SUMIFS('caseload data'!T:T,'caseload data'!$D:$D,"SPO",'caseload data'!$C:$C,'divisional &amp; regional caseload'!$B$43)</f>
        <v>0</v>
      </c>
      <c r="S48" s="183"/>
      <c r="T48" s="131" t="s">
        <v>187</v>
      </c>
      <c r="U48" s="204">
        <f>SUMIFS('caseload data'!E:E,'caseload data'!$D:$D,"SPO",'caseload data'!$C:$C,'divisional &amp; regional caseload'!$T$43)</f>
        <v>0</v>
      </c>
      <c r="V48" s="204">
        <f>SUMIFS('caseload data'!F:F,'caseload data'!$D:$D,"SPO",'caseload data'!$C:$C,'divisional &amp; regional caseload'!$T$43)</f>
        <v>0</v>
      </c>
      <c r="W48" s="204">
        <f>SUMIFS('caseload data'!G:G,'caseload data'!$D:$D,"SPO",'caseload data'!$C:$C,'divisional &amp; regional caseload'!$T$43)</f>
        <v>0</v>
      </c>
      <c r="X48" s="204">
        <f>SUMIFS('caseload data'!H:H,'caseload data'!$D:$D,"SPO",'caseload data'!$C:$C,'divisional &amp; regional caseload'!$T$43)</f>
        <v>0</v>
      </c>
      <c r="Y48" s="204">
        <f>SUMIFS('caseload data'!I:I,'caseload data'!$D:$D,"SPO",'caseload data'!$C:$C,'divisional &amp; regional caseload'!$T$43)</f>
        <v>0</v>
      </c>
      <c r="Z48" s="204">
        <f>SUMIFS('caseload data'!J:J,'caseload data'!$D:$D,"SPO",'caseload data'!$C:$C,'divisional &amp; regional caseload'!$T$43)</f>
        <v>0</v>
      </c>
      <c r="AA48" s="204">
        <f>SUMIFS('caseload data'!K:K,'caseload data'!$D:$D,"SPO",'caseload data'!$C:$C,'divisional &amp; regional caseload'!$T$43)</f>
        <v>0</v>
      </c>
      <c r="AB48" s="204">
        <f>SUMIFS('caseload data'!L:L,'caseload data'!$D:$D,"SPO",'caseload data'!$C:$C,'divisional &amp; regional caseload'!$T$43)</f>
        <v>0</v>
      </c>
      <c r="AC48" s="204">
        <f>SUMIFS('caseload data'!M:M,'caseload data'!$D:$D,"SPO",'caseload data'!$C:$C,'divisional &amp; regional caseload'!$T$43)</f>
        <v>0</v>
      </c>
      <c r="AD48" s="204">
        <f>SUMIFS('caseload data'!N:N,'caseload data'!$D:$D,"SPO",'caseload data'!$C:$C,'divisional &amp; regional caseload'!$T$43)</f>
        <v>0</v>
      </c>
      <c r="AE48" s="204">
        <f>SUMIFS('caseload data'!O:O,'caseload data'!$D:$D,"SPO",'caseload data'!$C:$C,'divisional &amp; regional caseload'!$T$43)</f>
        <v>0</v>
      </c>
      <c r="AF48" s="204">
        <f>SUMIFS('caseload data'!P:P,'caseload data'!$D:$D,"SPO",'caseload data'!$C:$C,'divisional &amp; regional caseload'!$T$43)</f>
        <v>0</v>
      </c>
      <c r="AG48" s="204">
        <f>SUMIFS('caseload data'!Q:Q,'caseload data'!$D:$D,"SPO",'caseload data'!$C:$C,'divisional &amp; regional caseload'!$T$43)</f>
        <v>0</v>
      </c>
      <c r="AH48" s="204">
        <f>SUMIFS('caseload data'!R:R,'caseload data'!$D:$D,"SPO",'caseload data'!$C:$C,'divisional &amp; regional caseload'!$T$43)</f>
        <v>0</v>
      </c>
      <c r="AI48" s="204">
        <f>SUMIFS('caseload data'!S:S,'caseload data'!$D:$D,"SPO",'caseload data'!$C:$C,'divisional &amp; regional caseload'!$T$43)</f>
        <v>0</v>
      </c>
      <c r="AJ48" s="204">
        <f>SUMIFS('caseload data'!T:T,'caseload data'!$D:$D,"SPO",'caseload data'!$C:$C,'divisional &amp; regional caseload'!$T$43)</f>
        <v>0</v>
      </c>
    </row>
    <row r="49" spans="2:36" x14ac:dyDescent="0.15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</row>
    <row r="50" spans="2:36" ht="30" customHeight="1" x14ac:dyDescent="0.15">
      <c r="B50" s="182">
        <f>HLOOKUP($B$5,Region_Table,14,0)</f>
        <v>0</v>
      </c>
      <c r="C50" s="359" t="s">
        <v>363</v>
      </c>
      <c r="D50" s="365"/>
      <c r="E50" s="365"/>
      <c r="F50" s="365"/>
      <c r="G50" s="365"/>
      <c r="H50" s="365"/>
      <c r="I50" s="365"/>
      <c r="J50" s="365"/>
      <c r="K50" s="365"/>
      <c r="L50" s="365"/>
      <c r="M50" s="360"/>
      <c r="N50" s="360"/>
      <c r="O50" s="361"/>
      <c r="P50" s="362">
        <f>SUMIF('caseload data'!$C:$C,'divisional &amp; regional caseload'!B50,'caseload data'!V:V)</f>
        <v>0</v>
      </c>
      <c r="Q50" s="363"/>
      <c r="R50" s="364"/>
      <c r="S50" s="183"/>
      <c r="T50" s="182">
        <f>HLOOKUP($B$5,Region_Table,15,0)</f>
        <v>0</v>
      </c>
      <c r="U50" s="359" t="s">
        <v>363</v>
      </c>
      <c r="V50" s="360"/>
      <c r="W50" s="360"/>
      <c r="X50" s="361"/>
      <c r="Y50" s="362">
        <f>SUMIF('caseload data'!$C:$C,'divisional &amp; regional caseload'!T50,'caseload data'!V:V)</f>
        <v>0</v>
      </c>
      <c r="Z50" s="363"/>
      <c r="AA50" s="364"/>
    </row>
    <row r="51" spans="2:36" x14ac:dyDescent="0.15">
      <c r="B51" s="127" t="s">
        <v>324</v>
      </c>
      <c r="C51" s="58" t="s">
        <v>504</v>
      </c>
      <c r="D51" s="58" t="s">
        <v>503</v>
      </c>
      <c r="E51" s="58" t="s">
        <v>502</v>
      </c>
      <c r="F51" s="58" t="s">
        <v>501</v>
      </c>
      <c r="G51" s="58" t="s">
        <v>510</v>
      </c>
      <c r="H51" s="58" t="s">
        <v>176</v>
      </c>
      <c r="I51" s="58" t="s">
        <v>177</v>
      </c>
      <c r="J51" s="58" t="s">
        <v>505</v>
      </c>
      <c r="K51" s="58" t="s">
        <v>507</v>
      </c>
      <c r="L51" s="58" t="s">
        <v>178</v>
      </c>
      <c r="M51" s="58" t="s">
        <v>179</v>
      </c>
      <c r="N51" s="58" t="s">
        <v>506</v>
      </c>
      <c r="O51" s="58" t="s">
        <v>508</v>
      </c>
      <c r="P51" s="58" t="s">
        <v>180</v>
      </c>
      <c r="Q51" s="58" t="s">
        <v>181</v>
      </c>
      <c r="R51" s="58" t="s">
        <v>509</v>
      </c>
      <c r="S51" s="183"/>
      <c r="T51" s="127" t="s">
        <v>324</v>
      </c>
      <c r="U51" s="58" t="s">
        <v>504</v>
      </c>
      <c r="V51" s="58" t="s">
        <v>503</v>
      </c>
      <c r="W51" s="58" t="s">
        <v>502</v>
      </c>
      <c r="X51" s="58" t="s">
        <v>501</v>
      </c>
      <c r="Y51" s="58" t="s">
        <v>510</v>
      </c>
      <c r="Z51" s="58" t="s">
        <v>176</v>
      </c>
      <c r="AA51" s="58" t="s">
        <v>177</v>
      </c>
      <c r="AB51" s="58" t="s">
        <v>505</v>
      </c>
      <c r="AC51" s="58" t="s">
        <v>507</v>
      </c>
      <c r="AD51" s="58" t="s">
        <v>178</v>
      </c>
      <c r="AE51" s="58" t="s">
        <v>179</v>
      </c>
      <c r="AF51" s="58" t="s">
        <v>506</v>
      </c>
      <c r="AG51" s="58" t="s">
        <v>508</v>
      </c>
      <c r="AH51" s="58" t="s">
        <v>180</v>
      </c>
      <c r="AI51" s="58" t="s">
        <v>181</v>
      </c>
      <c r="AJ51" s="58" t="s">
        <v>509</v>
      </c>
    </row>
    <row r="52" spans="2:36" x14ac:dyDescent="0.15">
      <c r="B52" s="129" t="s">
        <v>184</v>
      </c>
      <c r="C52" s="204">
        <f>SUMIFS('caseload data'!E:E,'caseload data'!$D:$D,"PO",'caseload data'!$C:$C,'divisional &amp; regional caseload'!$B$50)</f>
        <v>0</v>
      </c>
      <c r="D52" s="204">
        <f>SUMIFS('caseload data'!F:F,'caseload data'!$D:$D,"PO",'caseload data'!$C:$C,'divisional &amp; regional caseload'!$B$50)</f>
        <v>0</v>
      </c>
      <c r="E52" s="204">
        <f>SUMIFS('caseload data'!G:G,'caseload data'!$D:$D,"PO",'caseload data'!$C:$C,'divisional &amp; regional caseload'!$B$50)</f>
        <v>0</v>
      </c>
      <c r="F52" s="204">
        <f>SUMIFS('caseload data'!H:H,'caseload data'!$D:$D,"PO",'caseload data'!$C:$C,'divisional &amp; regional caseload'!$B$50)</f>
        <v>0</v>
      </c>
      <c r="G52" s="204">
        <f>SUMIFS('caseload data'!I:I,'caseload data'!$D:$D,"PO",'caseload data'!$C:$C,'divisional &amp; regional caseload'!$B$50)</f>
        <v>0</v>
      </c>
      <c r="H52" s="204">
        <f>SUMIFS('caseload data'!J:J,'caseload data'!$D:$D,"PO",'caseload data'!$C:$C,'divisional &amp; regional caseload'!$B$50)</f>
        <v>0</v>
      </c>
      <c r="I52" s="204">
        <f>SUMIFS('caseload data'!K:K,'caseload data'!$D:$D,"PO",'caseload data'!$C:$C,'divisional &amp; regional caseload'!$B$50)</f>
        <v>0</v>
      </c>
      <c r="J52" s="204">
        <f>SUMIFS('caseload data'!L:L,'caseload data'!$D:$D,"PO",'caseload data'!$C:$C,'divisional &amp; regional caseload'!$B$50)</f>
        <v>0</v>
      </c>
      <c r="K52" s="204">
        <f>SUMIFS('caseload data'!M:M,'caseload data'!$D:$D,"PO",'caseload data'!$C:$C,'divisional &amp; regional caseload'!$B$50)</f>
        <v>0</v>
      </c>
      <c r="L52" s="204">
        <f>SUMIFS('caseload data'!N:N,'caseload data'!$D:$D,"PO",'caseload data'!$C:$C,'divisional &amp; regional caseload'!$B$50)</f>
        <v>0</v>
      </c>
      <c r="M52" s="204">
        <f>SUMIFS('caseload data'!O:O,'caseload data'!$D:$D,"PO",'caseload data'!$C:$C,'divisional &amp; regional caseload'!$B$50)</f>
        <v>0</v>
      </c>
      <c r="N52" s="204">
        <f>SUMIFS('caseload data'!P:P,'caseload data'!$D:$D,"PO",'caseload data'!$C:$C,'divisional &amp; regional caseload'!$B$50)</f>
        <v>0</v>
      </c>
      <c r="O52" s="204">
        <f>SUMIFS('caseload data'!Q:Q,'caseload data'!$D:$D,"PO",'caseload data'!$C:$C,'divisional &amp; regional caseload'!$B$50)</f>
        <v>0</v>
      </c>
      <c r="P52" s="204">
        <f>SUMIFS('caseload data'!R:R,'caseload data'!$D:$D,"PO",'caseload data'!$C:$C,'divisional &amp; regional caseload'!$B$50)</f>
        <v>0</v>
      </c>
      <c r="Q52" s="204">
        <f>SUMIFS('caseload data'!S:S,'caseload data'!$D:$D,"PO",'caseload data'!$C:$C,'divisional &amp; regional caseload'!$B$50)</f>
        <v>0</v>
      </c>
      <c r="R52" s="204">
        <f>SUMIFS('caseload data'!T:T,'caseload data'!$D:$D,"PO",'caseload data'!$C:$C,'divisional &amp; regional caseload'!$B$50)</f>
        <v>0</v>
      </c>
      <c r="S52" s="183"/>
      <c r="T52" s="129" t="s">
        <v>184</v>
      </c>
      <c r="U52" s="204">
        <f>SUMIFS('caseload data'!E:E,'caseload data'!$D:$D,"PO",'caseload data'!$C:$C,'divisional &amp; regional caseload'!$T$50)</f>
        <v>0</v>
      </c>
      <c r="V52" s="204">
        <f>SUMIFS('caseload data'!F:F,'caseload data'!$D:$D,"PO",'caseload data'!$C:$C,'divisional &amp; regional caseload'!$T$50)</f>
        <v>0</v>
      </c>
      <c r="W52" s="204">
        <f>SUMIFS('caseload data'!G:G,'caseload data'!$D:$D,"PO",'caseload data'!$C:$C,'divisional &amp; regional caseload'!$T$50)</f>
        <v>0</v>
      </c>
      <c r="X52" s="204">
        <f>SUMIFS('caseload data'!H:H,'caseload data'!$D:$D,"PO",'caseload data'!$C:$C,'divisional &amp; regional caseload'!$T$50)</f>
        <v>0</v>
      </c>
      <c r="Y52" s="204">
        <f>SUMIFS('caseload data'!I:I,'caseload data'!$D:$D,"PO",'caseload data'!$C:$C,'divisional &amp; regional caseload'!$T$50)</f>
        <v>0</v>
      </c>
      <c r="Z52" s="204">
        <f>SUMIFS('caseload data'!J:J,'caseload data'!$D:$D,"PO",'caseload data'!$C:$C,'divisional &amp; regional caseload'!$T$50)</f>
        <v>0</v>
      </c>
      <c r="AA52" s="204">
        <f>SUMIFS('caseload data'!K:K,'caseload data'!$D:$D,"PO",'caseload data'!$C:$C,'divisional &amp; regional caseload'!$T$50)</f>
        <v>0</v>
      </c>
      <c r="AB52" s="204">
        <f>SUMIFS('caseload data'!L:L,'caseload data'!$D:$D,"PO",'caseload data'!$C:$C,'divisional &amp; regional caseload'!$T$50)</f>
        <v>0</v>
      </c>
      <c r="AC52" s="204">
        <f>SUMIFS('caseload data'!M:M,'caseload data'!$D:$D,"PO",'caseload data'!$C:$C,'divisional &amp; regional caseload'!$T$50)</f>
        <v>0</v>
      </c>
      <c r="AD52" s="204">
        <f>SUMIFS('caseload data'!N:N,'caseload data'!$D:$D,"PO",'caseload data'!$C:$C,'divisional &amp; regional caseload'!$T$50)</f>
        <v>0</v>
      </c>
      <c r="AE52" s="204">
        <f>SUMIFS('caseload data'!O:O,'caseload data'!$D:$D,"PO",'caseload data'!$C:$C,'divisional &amp; regional caseload'!$T$50)</f>
        <v>0</v>
      </c>
      <c r="AF52" s="204">
        <f>SUMIFS('caseload data'!P:P,'caseload data'!$D:$D,"PO",'caseload data'!$C:$C,'divisional &amp; regional caseload'!$T$50)</f>
        <v>0</v>
      </c>
      <c r="AG52" s="204">
        <f>SUMIFS('caseload data'!Q:Q,'caseload data'!$D:$D,"PO",'caseload data'!$C:$C,'divisional &amp; regional caseload'!$T$50)</f>
        <v>0</v>
      </c>
      <c r="AH52" s="204">
        <f>SUMIFS('caseload data'!R:R,'caseload data'!$D:$D,"PO",'caseload data'!$C:$C,'divisional &amp; regional caseload'!$T$50)</f>
        <v>0</v>
      </c>
      <c r="AI52" s="204">
        <f>SUMIFS('caseload data'!S:S,'caseload data'!$D:$D,"PO",'caseload data'!$C:$C,'divisional &amp; regional caseload'!$T$50)</f>
        <v>0</v>
      </c>
      <c r="AJ52" s="204">
        <f>SUMIFS('caseload data'!T:T,'caseload data'!$D:$D,"PO",'caseload data'!$C:$C,'divisional &amp; regional caseload'!$T$50)</f>
        <v>0</v>
      </c>
    </row>
    <row r="53" spans="2:36" x14ac:dyDescent="0.15">
      <c r="B53" s="130" t="s">
        <v>185</v>
      </c>
      <c r="C53" s="204">
        <f>SUMIFS('caseload data'!E:E,'caseload data'!$D:$D,"PSO",'caseload data'!$C:$C,'divisional &amp; regional caseload'!$B$50)</f>
        <v>0</v>
      </c>
      <c r="D53" s="204">
        <f>SUMIFS('caseload data'!F:F,'caseload data'!$D:$D,"PSO",'caseload data'!$C:$C,'divisional &amp; regional caseload'!$B$50)</f>
        <v>0</v>
      </c>
      <c r="E53" s="204">
        <f>SUMIFS('caseload data'!G:G,'caseload data'!$D:$D,"PSO",'caseload data'!$C:$C,'divisional &amp; regional caseload'!$B$50)</f>
        <v>0</v>
      </c>
      <c r="F53" s="204">
        <f>SUMIFS('caseload data'!H:H,'caseload data'!$D:$D,"PSO",'caseload data'!$C:$C,'divisional &amp; regional caseload'!$B$50)</f>
        <v>0</v>
      </c>
      <c r="G53" s="204">
        <f>SUMIFS('caseload data'!I:I,'caseload data'!$D:$D,"PSO",'caseload data'!$C:$C,'divisional &amp; regional caseload'!$B$50)</f>
        <v>0</v>
      </c>
      <c r="H53" s="204">
        <f>SUMIFS('caseload data'!J:J,'caseload data'!$D:$D,"PSO",'caseload data'!$C:$C,'divisional &amp; regional caseload'!$B$50)</f>
        <v>0</v>
      </c>
      <c r="I53" s="204">
        <f>SUMIFS('caseload data'!K:K,'caseload data'!$D:$D,"PSO",'caseload data'!$C:$C,'divisional &amp; regional caseload'!$B$50)</f>
        <v>0</v>
      </c>
      <c r="J53" s="204">
        <f>SUMIFS('caseload data'!L:L,'caseload data'!$D:$D,"PSO",'caseload data'!$C:$C,'divisional &amp; regional caseload'!$B$50)</f>
        <v>0</v>
      </c>
      <c r="K53" s="204">
        <f>SUMIFS('caseload data'!M:M,'caseload data'!$D:$D,"PSO",'caseload data'!$C:$C,'divisional &amp; regional caseload'!$B$50)</f>
        <v>0</v>
      </c>
      <c r="L53" s="204">
        <f>SUMIFS('caseload data'!N:N,'caseload data'!$D:$D,"PSO",'caseload data'!$C:$C,'divisional &amp; regional caseload'!$B$50)</f>
        <v>0</v>
      </c>
      <c r="M53" s="204">
        <f>SUMIFS('caseload data'!O:O,'caseload data'!$D:$D,"PSO",'caseload data'!$C:$C,'divisional &amp; regional caseload'!$B$50)</f>
        <v>0</v>
      </c>
      <c r="N53" s="204">
        <f>SUMIFS('caseload data'!P:P,'caseload data'!$D:$D,"PSO",'caseload data'!$C:$C,'divisional &amp; regional caseload'!$B$50)</f>
        <v>0</v>
      </c>
      <c r="O53" s="204">
        <f>SUMIFS('caseload data'!Q:Q,'caseload data'!$D:$D,"PSO",'caseload data'!$C:$C,'divisional &amp; regional caseload'!$B$50)</f>
        <v>0</v>
      </c>
      <c r="P53" s="204">
        <f>SUMIFS('caseload data'!R:R,'caseload data'!$D:$D,"PSO",'caseload data'!$C:$C,'divisional &amp; regional caseload'!$B$50)</f>
        <v>0</v>
      </c>
      <c r="Q53" s="204">
        <f>SUMIFS('caseload data'!S:S,'caseload data'!$D:$D,"PSO",'caseload data'!$C:$C,'divisional &amp; regional caseload'!$B$50)</f>
        <v>0</v>
      </c>
      <c r="R53" s="204">
        <f>SUMIFS('caseload data'!T:T,'caseload data'!$D:$D,"PSO",'caseload data'!$C:$C,'divisional &amp; regional caseload'!$B$50)</f>
        <v>0</v>
      </c>
      <c r="S53" s="183"/>
      <c r="T53" s="130" t="s">
        <v>185</v>
      </c>
      <c r="U53" s="204">
        <f>SUMIFS('caseload data'!E:E,'caseload data'!$D:$D,"PSO",'caseload data'!$C:$C,'divisional &amp; regional caseload'!$T$50)</f>
        <v>0</v>
      </c>
      <c r="V53" s="204">
        <f>SUMIFS('caseload data'!F:F,'caseload data'!$D:$D,"PSO",'caseload data'!$C:$C,'divisional &amp; regional caseload'!$T$50)</f>
        <v>0</v>
      </c>
      <c r="W53" s="204">
        <f>SUMIFS('caseload data'!G:G,'caseload data'!$D:$D,"PSO",'caseload data'!$C:$C,'divisional &amp; regional caseload'!$T$50)</f>
        <v>0</v>
      </c>
      <c r="X53" s="204">
        <f>SUMIFS('caseload data'!H:H,'caseload data'!$D:$D,"PSO",'caseload data'!$C:$C,'divisional &amp; regional caseload'!$T$50)</f>
        <v>0</v>
      </c>
      <c r="Y53" s="204">
        <f>SUMIFS('caseload data'!I:I,'caseload data'!$D:$D,"PSO",'caseload data'!$C:$C,'divisional &amp; regional caseload'!$T$50)</f>
        <v>0</v>
      </c>
      <c r="Z53" s="204">
        <f>SUMIFS('caseload data'!J:J,'caseload data'!$D:$D,"PSO",'caseload data'!$C:$C,'divisional &amp; regional caseload'!$T$50)</f>
        <v>0</v>
      </c>
      <c r="AA53" s="204">
        <f>SUMIFS('caseload data'!K:K,'caseload data'!$D:$D,"PSO",'caseload data'!$C:$C,'divisional &amp; regional caseload'!$T$50)</f>
        <v>0</v>
      </c>
      <c r="AB53" s="204">
        <f>SUMIFS('caseload data'!L:L,'caseload data'!$D:$D,"PSO",'caseload data'!$C:$C,'divisional &amp; regional caseload'!$T$50)</f>
        <v>0</v>
      </c>
      <c r="AC53" s="204">
        <f>SUMIFS('caseload data'!M:M,'caseload data'!$D:$D,"PSO",'caseload data'!$C:$C,'divisional &amp; regional caseload'!$T$50)</f>
        <v>0</v>
      </c>
      <c r="AD53" s="204">
        <f>SUMIFS('caseload data'!N:N,'caseload data'!$D:$D,"PSO",'caseload data'!$C:$C,'divisional &amp; regional caseload'!$T$50)</f>
        <v>0</v>
      </c>
      <c r="AE53" s="204">
        <f>SUMIFS('caseload data'!O:O,'caseload data'!$D:$D,"PSO",'caseload data'!$C:$C,'divisional &amp; regional caseload'!$T$50)</f>
        <v>0</v>
      </c>
      <c r="AF53" s="204">
        <f>SUMIFS('caseload data'!P:P,'caseload data'!$D:$D,"PSO",'caseload data'!$C:$C,'divisional &amp; regional caseload'!$T$50)</f>
        <v>0</v>
      </c>
      <c r="AG53" s="204">
        <f>SUMIFS('caseload data'!Q:Q,'caseload data'!$D:$D,"PSO",'caseload data'!$C:$C,'divisional &amp; regional caseload'!$T$50)</f>
        <v>0</v>
      </c>
      <c r="AH53" s="204">
        <f>SUMIFS('caseload data'!R:R,'caseload data'!$D:$D,"PSO",'caseload data'!$C:$C,'divisional &amp; regional caseload'!$T$50)</f>
        <v>0</v>
      </c>
      <c r="AI53" s="204">
        <f>SUMIFS('caseload data'!S:S,'caseload data'!$D:$D,"PSO",'caseload data'!$C:$C,'divisional &amp; regional caseload'!$T$50)</f>
        <v>0</v>
      </c>
      <c r="AJ53" s="204">
        <f>SUMIFS('caseload data'!T:T,'caseload data'!$D:$D,"PSO",'caseload data'!$C:$C,'divisional &amp; regional caseload'!$T$50)</f>
        <v>0</v>
      </c>
    </row>
    <row r="54" spans="2:36" x14ac:dyDescent="0.15">
      <c r="B54" s="130" t="s">
        <v>186</v>
      </c>
      <c r="C54" s="204">
        <f>SUMIFS('caseload data'!E:E,'caseload data'!$D:$D,"TPO",'caseload data'!$C:$C,'divisional &amp; regional caseload'!$B$50)</f>
        <v>0</v>
      </c>
      <c r="D54" s="204">
        <f>SUMIFS('caseload data'!F:F,'caseload data'!$D:$D,"TPO",'caseload data'!$C:$C,'divisional &amp; regional caseload'!$B$50)</f>
        <v>0</v>
      </c>
      <c r="E54" s="204">
        <f>SUMIFS('caseload data'!G:G,'caseload data'!$D:$D,"TPO",'caseload data'!$C:$C,'divisional &amp; regional caseload'!$B$50)</f>
        <v>0</v>
      </c>
      <c r="F54" s="204">
        <f>SUMIFS('caseload data'!H:H,'caseload data'!$D:$D,"TPO",'caseload data'!$C:$C,'divisional &amp; regional caseload'!$B$50)</f>
        <v>0</v>
      </c>
      <c r="G54" s="204">
        <f>SUMIFS('caseload data'!I:I,'caseload data'!$D:$D,"TPO",'caseload data'!$C:$C,'divisional &amp; regional caseload'!$B$50)</f>
        <v>0</v>
      </c>
      <c r="H54" s="204">
        <f>SUMIFS('caseload data'!J:J,'caseload data'!$D:$D,"TPO",'caseload data'!$C:$C,'divisional &amp; regional caseload'!$B$50)</f>
        <v>0</v>
      </c>
      <c r="I54" s="204">
        <f>SUMIFS('caseload data'!K:K,'caseload data'!$D:$D,"TPO",'caseload data'!$C:$C,'divisional &amp; regional caseload'!$B$50)</f>
        <v>0</v>
      </c>
      <c r="J54" s="204">
        <f>SUMIFS('caseload data'!L:L,'caseload data'!$D:$D,"TPO",'caseload data'!$C:$C,'divisional &amp; regional caseload'!$B$50)</f>
        <v>0</v>
      </c>
      <c r="K54" s="204">
        <f>SUMIFS('caseload data'!M:M,'caseload data'!$D:$D,"TPO",'caseload data'!$C:$C,'divisional &amp; regional caseload'!$B$50)</f>
        <v>0</v>
      </c>
      <c r="L54" s="204">
        <f>SUMIFS('caseload data'!N:N,'caseload data'!$D:$D,"TPO",'caseload data'!$C:$C,'divisional &amp; regional caseload'!$B$50)</f>
        <v>0</v>
      </c>
      <c r="M54" s="204">
        <f>SUMIFS('caseload data'!O:O,'caseload data'!$D:$D,"TPO",'caseload data'!$C:$C,'divisional &amp; regional caseload'!$B$50)</f>
        <v>0</v>
      </c>
      <c r="N54" s="204">
        <f>SUMIFS('caseload data'!P:P,'caseload data'!$D:$D,"TPO",'caseload data'!$C:$C,'divisional &amp; regional caseload'!$B$50)</f>
        <v>0</v>
      </c>
      <c r="O54" s="204">
        <f>SUMIFS('caseload data'!Q:Q,'caseload data'!$D:$D,"TPO",'caseload data'!$C:$C,'divisional &amp; regional caseload'!$B$50)</f>
        <v>0</v>
      </c>
      <c r="P54" s="204">
        <f>SUMIFS('caseload data'!R:R,'caseload data'!$D:$D,"TPO",'caseload data'!$C:$C,'divisional &amp; regional caseload'!$B$50)</f>
        <v>0</v>
      </c>
      <c r="Q54" s="204">
        <f>SUMIFS('caseload data'!S:S,'caseload data'!$D:$D,"TPO",'caseload data'!$C:$C,'divisional &amp; regional caseload'!$B$50)</f>
        <v>0</v>
      </c>
      <c r="R54" s="204">
        <f>SUMIFS('caseload data'!T:T,'caseload data'!$D:$D,"TPO",'caseload data'!$C:$C,'divisional &amp; regional caseload'!$B$50)</f>
        <v>0</v>
      </c>
      <c r="S54" s="183"/>
      <c r="T54" s="130" t="s">
        <v>186</v>
      </c>
      <c r="U54" s="204">
        <f>SUMIFS('caseload data'!E:E,'caseload data'!$D:$D,"TPO",'caseload data'!$C:$C,'divisional &amp; regional caseload'!$T$50)</f>
        <v>0</v>
      </c>
      <c r="V54" s="204">
        <f>SUMIFS('caseload data'!F:F,'caseload data'!$D:$D,"TPO",'caseload data'!$C:$C,'divisional &amp; regional caseload'!$T$50)</f>
        <v>0</v>
      </c>
      <c r="W54" s="204">
        <f>SUMIFS('caseload data'!G:G,'caseload data'!$D:$D,"TPO",'caseload data'!$C:$C,'divisional &amp; regional caseload'!$T$50)</f>
        <v>0</v>
      </c>
      <c r="X54" s="204">
        <f>SUMIFS('caseload data'!H:H,'caseload data'!$D:$D,"TPO",'caseload data'!$C:$C,'divisional &amp; regional caseload'!$T$50)</f>
        <v>0</v>
      </c>
      <c r="Y54" s="204">
        <f>SUMIFS('caseload data'!I:I,'caseload data'!$D:$D,"TPO",'caseload data'!$C:$C,'divisional &amp; regional caseload'!$T$50)</f>
        <v>0</v>
      </c>
      <c r="Z54" s="204">
        <f>SUMIFS('caseload data'!J:J,'caseload data'!$D:$D,"TPO",'caseload data'!$C:$C,'divisional &amp; regional caseload'!$T$50)</f>
        <v>0</v>
      </c>
      <c r="AA54" s="204">
        <f>SUMIFS('caseload data'!K:K,'caseload data'!$D:$D,"TPO",'caseload data'!$C:$C,'divisional &amp; regional caseload'!$T$50)</f>
        <v>0</v>
      </c>
      <c r="AB54" s="204">
        <f>SUMIFS('caseload data'!L:L,'caseload data'!$D:$D,"TPO",'caseload data'!$C:$C,'divisional &amp; regional caseload'!$T$50)</f>
        <v>0</v>
      </c>
      <c r="AC54" s="204">
        <f>SUMIFS('caseload data'!M:M,'caseload data'!$D:$D,"TPO",'caseload data'!$C:$C,'divisional &amp; regional caseload'!$T$50)</f>
        <v>0</v>
      </c>
      <c r="AD54" s="204">
        <f>SUMIFS('caseload data'!N:N,'caseload data'!$D:$D,"TPO",'caseload data'!$C:$C,'divisional &amp; regional caseload'!$T$50)</f>
        <v>0</v>
      </c>
      <c r="AE54" s="204">
        <f>SUMIFS('caseload data'!O:O,'caseload data'!$D:$D,"TPO",'caseload data'!$C:$C,'divisional &amp; regional caseload'!$T$50)</f>
        <v>0</v>
      </c>
      <c r="AF54" s="204">
        <f>SUMIFS('caseload data'!P:P,'caseload data'!$D:$D,"TPO",'caseload data'!$C:$C,'divisional &amp; regional caseload'!$T$50)</f>
        <v>0</v>
      </c>
      <c r="AG54" s="204">
        <f>SUMIFS('caseload data'!Q:Q,'caseload data'!$D:$D,"TPO",'caseload data'!$C:$C,'divisional &amp; regional caseload'!$T$50)</f>
        <v>0</v>
      </c>
      <c r="AH54" s="204">
        <f>SUMIFS('caseload data'!R:R,'caseload data'!$D:$D,"TPO",'caseload data'!$C:$C,'divisional &amp; regional caseload'!$T$50)</f>
        <v>0</v>
      </c>
      <c r="AI54" s="204">
        <f>SUMIFS('caseload data'!S:S,'caseload data'!$D:$D,"TPO",'caseload data'!$C:$C,'divisional &amp; regional caseload'!$T$50)</f>
        <v>0</v>
      </c>
      <c r="AJ54" s="204">
        <f>SUMIFS('caseload data'!T:T,'caseload data'!$D:$D,"TPO",'caseload data'!$C:$C,'divisional &amp; regional caseload'!$T$50)</f>
        <v>0</v>
      </c>
    </row>
    <row r="55" spans="2:36" s="30" customFormat="1" x14ac:dyDescent="0.15">
      <c r="B55" s="131" t="s">
        <v>187</v>
      </c>
      <c r="C55" s="204">
        <f>SUMIFS('caseload data'!E:E,'caseload data'!$D:$D,"SPO",'caseload data'!$C:$C,'divisional &amp; regional caseload'!$B$50)</f>
        <v>0</v>
      </c>
      <c r="D55" s="204">
        <f>SUMIFS('caseload data'!F:F,'caseload data'!$D:$D,"SPO",'caseload data'!$C:$C,'divisional &amp; regional caseload'!$B$50)</f>
        <v>0</v>
      </c>
      <c r="E55" s="204">
        <f>SUMIFS('caseload data'!G:G,'caseload data'!$D:$D,"SPO",'caseload data'!$C:$C,'divisional &amp; regional caseload'!$B$50)</f>
        <v>0</v>
      </c>
      <c r="F55" s="204">
        <f>SUMIFS('caseload data'!H:H,'caseload data'!$D:$D,"SPO",'caseload data'!$C:$C,'divisional &amp; regional caseload'!$B$50)</f>
        <v>0</v>
      </c>
      <c r="G55" s="204">
        <f>SUMIFS('caseload data'!I:I,'caseload data'!$D:$D,"SPO",'caseload data'!$C:$C,'divisional &amp; regional caseload'!$B$50)</f>
        <v>0</v>
      </c>
      <c r="H55" s="204">
        <f>SUMIFS('caseload data'!J:J,'caseload data'!$D:$D,"SPO",'caseload data'!$C:$C,'divisional &amp; regional caseload'!$B$50)</f>
        <v>0</v>
      </c>
      <c r="I55" s="204">
        <f>SUMIFS('caseload data'!K:K,'caseload data'!$D:$D,"SPO",'caseload data'!$C:$C,'divisional &amp; regional caseload'!$B$50)</f>
        <v>0</v>
      </c>
      <c r="J55" s="204">
        <f>SUMIFS('caseload data'!L:L,'caseload data'!$D:$D,"SPO",'caseload data'!$C:$C,'divisional &amp; regional caseload'!$B$50)</f>
        <v>0</v>
      </c>
      <c r="K55" s="204">
        <f>SUMIFS('caseload data'!M:M,'caseload data'!$D:$D,"SPO",'caseload data'!$C:$C,'divisional &amp; regional caseload'!$B$50)</f>
        <v>0</v>
      </c>
      <c r="L55" s="204">
        <f>SUMIFS('caseload data'!N:N,'caseload data'!$D:$D,"SPO",'caseload data'!$C:$C,'divisional &amp; regional caseload'!$B$50)</f>
        <v>0</v>
      </c>
      <c r="M55" s="204">
        <f>SUMIFS('caseload data'!O:O,'caseload data'!$D:$D,"SPO",'caseload data'!$C:$C,'divisional &amp; regional caseload'!$B$50)</f>
        <v>0</v>
      </c>
      <c r="N55" s="204">
        <f>SUMIFS('caseload data'!P:P,'caseload data'!$D:$D,"SPO",'caseload data'!$C:$C,'divisional &amp; regional caseload'!$B$50)</f>
        <v>0</v>
      </c>
      <c r="O55" s="204">
        <f>SUMIFS('caseload data'!Q:Q,'caseload data'!$D:$D,"SPO",'caseload data'!$C:$C,'divisional &amp; regional caseload'!$B$50)</f>
        <v>0</v>
      </c>
      <c r="P55" s="204">
        <f>SUMIFS('caseload data'!R:R,'caseload data'!$D:$D,"SPO",'caseload data'!$C:$C,'divisional &amp; regional caseload'!$B$50)</f>
        <v>0</v>
      </c>
      <c r="Q55" s="204">
        <f>SUMIFS('caseload data'!S:S,'caseload data'!$D:$D,"SPO",'caseload data'!$C:$C,'divisional &amp; regional caseload'!$B$50)</f>
        <v>0</v>
      </c>
      <c r="R55" s="204">
        <f>SUMIFS('caseload data'!T:T,'caseload data'!$D:$D,"SPO",'caseload data'!$C:$C,'divisional &amp; regional caseload'!$B$50)</f>
        <v>0</v>
      </c>
      <c r="S55" s="183"/>
      <c r="T55" s="131" t="s">
        <v>187</v>
      </c>
      <c r="U55" s="204">
        <f>SUMIFS('caseload data'!E:E,'caseload data'!$D:$D,"SPO",'caseload data'!$C:$C,'divisional &amp; regional caseload'!$T$50)</f>
        <v>0</v>
      </c>
      <c r="V55" s="204">
        <f>SUMIFS('caseload data'!F:F,'caseload data'!$D:$D,"SPO",'caseload data'!$C:$C,'divisional &amp; regional caseload'!$T$50)</f>
        <v>0</v>
      </c>
      <c r="W55" s="204">
        <f>SUMIFS('caseload data'!G:G,'caseload data'!$D:$D,"SPO",'caseload data'!$C:$C,'divisional &amp; regional caseload'!$T$50)</f>
        <v>0</v>
      </c>
      <c r="X55" s="204">
        <f>SUMIFS('caseload data'!H:H,'caseload data'!$D:$D,"SPO",'caseload data'!$C:$C,'divisional &amp; regional caseload'!$T$50)</f>
        <v>0</v>
      </c>
      <c r="Y55" s="204">
        <f>SUMIFS('caseload data'!I:I,'caseload data'!$D:$D,"SPO",'caseload data'!$C:$C,'divisional &amp; regional caseload'!$T$50)</f>
        <v>0</v>
      </c>
      <c r="Z55" s="204">
        <f>SUMIFS('caseload data'!J:J,'caseload data'!$D:$D,"SPO",'caseload data'!$C:$C,'divisional &amp; regional caseload'!$T$50)</f>
        <v>0</v>
      </c>
      <c r="AA55" s="204">
        <f>SUMIFS('caseload data'!K:K,'caseload data'!$D:$D,"SPO",'caseload data'!$C:$C,'divisional &amp; regional caseload'!$T$50)</f>
        <v>0</v>
      </c>
      <c r="AB55" s="204">
        <f>SUMIFS('caseload data'!L:L,'caseload data'!$D:$D,"SPO",'caseload data'!$C:$C,'divisional &amp; regional caseload'!$T$50)</f>
        <v>0</v>
      </c>
      <c r="AC55" s="204">
        <f>SUMIFS('caseload data'!M:M,'caseload data'!$D:$D,"SPO",'caseload data'!$C:$C,'divisional &amp; regional caseload'!$T$50)</f>
        <v>0</v>
      </c>
      <c r="AD55" s="204">
        <f>SUMIFS('caseload data'!N:N,'caseload data'!$D:$D,"SPO",'caseload data'!$C:$C,'divisional &amp; regional caseload'!$T$50)</f>
        <v>0</v>
      </c>
      <c r="AE55" s="204">
        <f>SUMIFS('caseload data'!O:O,'caseload data'!$D:$D,"SPO",'caseload data'!$C:$C,'divisional &amp; regional caseload'!$T$50)</f>
        <v>0</v>
      </c>
      <c r="AF55" s="204">
        <f>SUMIFS('caseload data'!P:P,'caseload data'!$D:$D,"SPO",'caseload data'!$C:$C,'divisional &amp; regional caseload'!$T$50)</f>
        <v>0</v>
      </c>
      <c r="AG55" s="204">
        <f>SUMIFS('caseload data'!Q:Q,'caseload data'!$D:$D,"SPO",'caseload data'!$C:$C,'divisional &amp; regional caseload'!$T$50)</f>
        <v>0</v>
      </c>
      <c r="AH55" s="204">
        <f>SUMIFS('caseload data'!R:R,'caseload data'!$D:$D,"SPO",'caseload data'!$C:$C,'divisional &amp; regional caseload'!$T$50)</f>
        <v>0</v>
      </c>
      <c r="AI55" s="204">
        <f>SUMIFS('caseload data'!S:S,'caseload data'!$D:$D,"SPO",'caseload data'!$C:$C,'divisional &amp; regional caseload'!$T$50)</f>
        <v>0</v>
      </c>
      <c r="AJ55" s="204">
        <f>SUMIFS('caseload data'!T:T,'caseload data'!$D:$D,"SPO",'caseload data'!$C:$C,'divisional &amp; regional caseload'!$T$50)</f>
        <v>0</v>
      </c>
    </row>
    <row r="56" spans="2:36" x14ac:dyDescent="0.15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</row>
    <row r="57" spans="2:36" ht="28.5" customHeight="1" x14ac:dyDescent="0.15">
      <c r="B57" s="182">
        <f>HLOOKUP($B$5,Region_Table,16,0)</f>
        <v>0</v>
      </c>
      <c r="C57" s="359" t="s">
        <v>363</v>
      </c>
      <c r="D57" s="365"/>
      <c r="E57" s="365"/>
      <c r="F57" s="365"/>
      <c r="G57" s="365"/>
      <c r="H57" s="365"/>
      <c r="I57" s="365"/>
      <c r="J57" s="365"/>
      <c r="K57" s="365"/>
      <c r="L57" s="365"/>
      <c r="M57" s="360"/>
      <c r="N57" s="360"/>
      <c r="O57" s="361"/>
      <c r="P57" s="362">
        <f>SUMIF('caseload data'!$C:$C,'divisional &amp; regional caseload'!B57,'caseload data'!V:V)</f>
        <v>0</v>
      </c>
      <c r="Q57" s="363"/>
      <c r="R57" s="364"/>
      <c r="S57" s="183"/>
      <c r="T57" s="182">
        <f>HLOOKUP($B$5,Region_Table,17,0)</f>
        <v>0</v>
      </c>
      <c r="U57" s="359" t="s">
        <v>363</v>
      </c>
      <c r="V57" s="360"/>
      <c r="W57" s="360"/>
      <c r="X57" s="361"/>
      <c r="Y57" s="362">
        <f>SUMIF('caseload data'!$C:$C,'divisional &amp; regional caseload'!T57,'caseload data'!V:V)</f>
        <v>0</v>
      </c>
      <c r="Z57" s="363"/>
      <c r="AA57" s="364"/>
    </row>
    <row r="58" spans="2:36" x14ac:dyDescent="0.15">
      <c r="B58" s="127" t="s">
        <v>324</v>
      </c>
      <c r="C58" s="58" t="s">
        <v>504</v>
      </c>
      <c r="D58" s="58" t="s">
        <v>503</v>
      </c>
      <c r="E58" s="58" t="s">
        <v>502</v>
      </c>
      <c r="F58" s="58" t="s">
        <v>501</v>
      </c>
      <c r="G58" s="58" t="s">
        <v>510</v>
      </c>
      <c r="H58" s="58" t="s">
        <v>176</v>
      </c>
      <c r="I58" s="58" t="s">
        <v>177</v>
      </c>
      <c r="J58" s="58" t="s">
        <v>505</v>
      </c>
      <c r="K58" s="58" t="s">
        <v>507</v>
      </c>
      <c r="L58" s="58" t="s">
        <v>178</v>
      </c>
      <c r="M58" s="58" t="s">
        <v>179</v>
      </c>
      <c r="N58" s="58" t="s">
        <v>506</v>
      </c>
      <c r="O58" s="58" t="s">
        <v>508</v>
      </c>
      <c r="P58" s="58" t="s">
        <v>180</v>
      </c>
      <c r="Q58" s="58" t="s">
        <v>181</v>
      </c>
      <c r="R58" s="58" t="s">
        <v>509</v>
      </c>
      <c r="S58" s="183"/>
      <c r="T58" s="127" t="s">
        <v>324</v>
      </c>
      <c r="U58" s="58" t="s">
        <v>504</v>
      </c>
      <c r="V58" s="58" t="s">
        <v>503</v>
      </c>
      <c r="W58" s="58" t="s">
        <v>502</v>
      </c>
      <c r="X58" s="58" t="s">
        <v>501</v>
      </c>
      <c r="Y58" s="58" t="s">
        <v>510</v>
      </c>
      <c r="Z58" s="58" t="s">
        <v>176</v>
      </c>
      <c r="AA58" s="58" t="s">
        <v>177</v>
      </c>
      <c r="AB58" s="58" t="s">
        <v>505</v>
      </c>
      <c r="AC58" s="58" t="s">
        <v>507</v>
      </c>
      <c r="AD58" s="58" t="s">
        <v>178</v>
      </c>
      <c r="AE58" s="58" t="s">
        <v>179</v>
      </c>
      <c r="AF58" s="58" t="s">
        <v>506</v>
      </c>
      <c r="AG58" s="58" t="s">
        <v>508</v>
      </c>
      <c r="AH58" s="58" t="s">
        <v>180</v>
      </c>
      <c r="AI58" s="58" t="s">
        <v>181</v>
      </c>
      <c r="AJ58" s="58" t="s">
        <v>509</v>
      </c>
    </row>
    <row r="59" spans="2:36" x14ac:dyDescent="0.15">
      <c r="B59" s="129" t="s">
        <v>184</v>
      </c>
      <c r="C59" s="204">
        <f>SUMIFS('caseload data'!E:E,'caseload data'!$D:$D,"PO",'caseload data'!$C:$C,'divisional &amp; regional caseload'!$B$57)</f>
        <v>0</v>
      </c>
      <c r="D59" s="204">
        <f>SUMIFS('caseload data'!F:F,'caseload data'!$D:$D,"PO",'caseload data'!$C:$C,'divisional &amp; regional caseload'!$B$57)</f>
        <v>0</v>
      </c>
      <c r="E59" s="204">
        <f>SUMIFS('caseload data'!G:G,'caseload data'!$D:$D,"PO",'caseload data'!$C:$C,'divisional &amp; regional caseload'!$B$57)</f>
        <v>0</v>
      </c>
      <c r="F59" s="204">
        <f>SUMIFS('caseload data'!H:H,'caseload data'!$D:$D,"PO",'caseload data'!$C:$C,'divisional &amp; regional caseload'!$B$57)</f>
        <v>0</v>
      </c>
      <c r="G59" s="204">
        <f>SUMIFS('caseload data'!I:I,'caseload data'!$D:$D,"PO",'caseload data'!$C:$C,'divisional &amp; regional caseload'!$B$57)</f>
        <v>0</v>
      </c>
      <c r="H59" s="204">
        <f>SUMIFS('caseload data'!J:J,'caseload data'!$D:$D,"PO",'caseload data'!$C:$C,'divisional &amp; regional caseload'!$B$57)</f>
        <v>0</v>
      </c>
      <c r="I59" s="204">
        <f>SUMIFS('caseload data'!K:K,'caseload data'!$D:$D,"PO",'caseload data'!$C:$C,'divisional &amp; regional caseload'!$B$57)</f>
        <v>0</v>
      </c>
      <c r="J59" s="204">
        <f>SUMIFS('caseload data'!L:L,'caseload data'!$D:$D,"PO",'caseload data'!$C:$C,'divisional &amp; regional caseload'!$B$57)</f>
        <v>0</v>
      </c>
      <c r="K59" s="204">
        <f>SUMIFS('caseload data'!M:M,'caseload data'!$D:$D,"PO",'caseload data'!$C:$C,'divisional &amp; regional caseload'!$B$57)</f>
        <v>0</v>
      </c>
      <c r="L59" s="204">
        <f>SUMIFS('caseload data'!N:N,'caseload data'!$D:$D,"PO",'caseload data'!$C:$C,'divisional &amp; regional caseload'!$B$57)</f>
        <v>0</v>
      </c>
      <c r="M59" s="204">
        <f>SUMIFS('caseload data'!O:O,'caseload data'!$D:$D,"PO",'caseload data'!$C:$C,'divisional &amp; regional caseload'!$B$57)</f>
        <v>0</v>
      </c>
      <c r="N59" s="204">
        <f>SUMIFS('caseload data'!P:P,'caseload data'!$D:$D,"PO",'caseload data'!$C:$C,'divisional &amp; regional caseload'!$B$57)</f>
        <v>0</v>
      </c>
      <c r="O59" s="204">
        <f>SUMIFS('caseload data'!Q:Q,'caseload data'!$D:$D,"PO",'caseload data'!$C:$C,'divisional &amp; regional caseload'!$B$57)</f>
        <v>0</v>
      </c>
      <c r="P59" s="204">
        <f>SUMIFS('caseload data'!R:R,'caseload data'!$D:$D,"PO",'caseload data'!$C:$C,'divisional &amp; regional caseload'!$B$57)</f>
        <v>0</v>
      </c>
      <c r="Q59" s="204">
        <f>SUMIFS('caseload data'!S:S,'caseload data'!$D:$D,"PO",'caseload data'!$C:$C,'divisional &amp; regional caseload'!$B$57)</f>
        <v>0</v>
      </c>
      <c r="R59" s="204">
        <f>SUMIFS('caseload data'!T:T,'caseload data'!$D:$D,"PO",'caseload data'!$C:$C,'divisional &amp; regional caseload'!$B$57)</f>
        <v>0</v>
      </c>
      <c r="S59" s="183"/>
      <c r="T59" s="129" t="s">
        <v>184</v>
      </c>
      <c r="U59" s="204">
        <f>SUMIFS('caseload data'!E:E,'caseload data'!$D:$D,"PO",'caseload data'!$C:$C,'divisional &amp; regional caseload'!$T$57)</f>
        <v>0</v>
      </c>
      <c r="V59" s="204">
        <f>SUMIFS('caseload data'!F:F,'caseload data'!$D:$D,"PO",'caseload data'!$C:$C,'divisional &amp; regional caseload'!$T$57)</f>
        <v>0</v>
      </c>
      <c r="W59" s="204">
        <f>SUMIFS('caseload data'!G:G,'caseload data'!$D:$D,"PO",'caseload data'!$C:$C,'divisional &amp; regional caseload'!$T$57)</f>
        <v>0</v>
      </c>
      <c r="X59" s="204">
        <f>SUMIFS('caseload data'!H:H,'caseload data'!$D:$D,"PO",'caseload data'!$C:$C,'divisional &amp; regional caseload'!$T$57)</f>
        <v>0</v>
      </c>
      <c r="Y59" s="204">
        <f>SUMIFS('caseload data'!I:I,'caseload data'!$D:$D,"PO",'caseload data'!$C:$C,'divisional &amp; regional caseload'!$T$57)</f>
        <v>0</v>
      </c>
      <c r="Z59" s="204">
        <f>SUMIFS('caseload data'!J:J,'caseload data'!$D:$D,"PO",'caseload data'!$C:$C,'divisional &amp; regional caseload'!$T$57)</f>
        <v>0</v>
      </c>
      <c r="AA59" s="204">
        <f>SUMIFS('caseload data'!K:K,'caseload data'!$D:$D,"PO",'caseload data'!$C:$C,'divisional &amp; regional caseload'!$T$57)</f>
        <v>0</v>
      </c>
      <c r="AB59" s="204">
        <f>SUMIFS('caseload data'!L:L,'caseload data'!$D:$D,"PO",'caseload data'!$C:$C,'divisional &amp; regional caseload'!$T$57)</f>
        <v>0</v>
      </c>
      <c r="AC59" s="204">
        <f>SUMIFS('caseload data'!M:M,'caseload data'!$D:$D,"PO",'caseload data'!$C:$C,'divisional &amp; regional caseload'!$T$57)</f>
        <v>0</v>
      </c>
      <c r="AD59" s="204">
        <f>SUMIFS('caseload data'!N:N,'caseload data'!$D:$D,"PO",'caseload data'!$C:$C,'divisional &amp; regional caseload'!$T$57)</f>
        <v>0</v>
      </c>
      <c r="AE59" s="204">
        <f>SUMIFS('caseload data'!O:O,'caseload data'!$D:$D,"PO",'caseload data'!$C:$C,'divisional &amp; regional caseload'!$T$57)</f>
        <v>0</v>
      </c>
      <c r="AF59" s="204">
        <f>SUMIFS('caseload data'!P:P,'caseload data'!$D:$D,"PO",'caseload data'!$C:$C,'divisional &amp; regional caseload'!$T$57)</f>
        <v>0</v>
      </c>
      <c r="AG59" s="204">
        <f>SUMIFS('caseload data'!Q:Q,'caseload data'!$D:$D,"PO",'caseload data'!$C:$C,'divisional &amp; regional caseload'!$T$57)</f>
        <v>0</v>
      </c>
      <c r="AH59" s="204">
        <f>SUMIFS('caseload data'!R:R,'caseload data'!$D:$D,"PO",'caseload data'!$C:$C,'divisional &amp; regional caseload'!$T$57)</f>
        <v>0</v>
      </c>
      <c r="AI59" s="204">
        <f>SUMIFS('caseload data'!S:S,'caseload data'!$D:$D,"PO",'caseload data'!$C:$C,'divisional &amp; regional caseload'!$T$57)</f>
        <v>0</v>
      </c>
      <c r="AJ59" s="204">
        <f>SUMIFS('caseload data'!T:T,'caseload data'!$D:$D,"PO",'caseload data'!$C:$C,'divisional &amp; regional caseload'!$T$57)</f>
        <v>0</v>
      </c>
    </row>
    <row r="60" spans="2:36" x14ac:dyDescent="0.15">
      <c r="B60" s="130" t="s">
        <v>185</v>
      </c>
      <c r="C60" s="204">
        <f>SUMIFS('caseload data'!E:E,'caseload data'!$D:$D,"PSO",'caseload data'!$C:$C,'divisional &amp; regional caseload'!$B$57)</f>
        <v>0</v>
      </c>
      <c r="D60" s="204">
        <f>SUMIFS('caseload data'!F:F,'caseload data'!$D:$D,"PSO",'caseload data'!$C:$C,'divisional &amp; regional caseload'!$B$57)</f>
        <v>0</v>
      </c>
      <c r="E60" s="204">
        <f>SUMIFS('caseload data'!G:G,'caseload data'!$D:$D,"PSO",'caseload data'!$C:$C,'divisional &amp; regional caseload'!$B$57)</f>
        <v>0</v>
      </c>
      <c r="F60" s="204">
        <f>SUMIFS('caseload data'!H:H,'caseload data'!$D:$D,"PSO",'caseload data'!$C:$C,'divisional &amp; regional caseload'!$B$57)</f>
        <v>0</v>
      </c>
      <c r="G60" s="204">
        <f>SUMIFS('caseload data'!I:I,'caseload data'!$D:$D,"PSO",'caseload data'!$C:$C,'divisional &amp; regional caseload'!$B$57)</f>
        <v>0</v>
      </c>
      <c r="H60" s="204">
        <f>SUMIFS('caseload data'!J:J,'caseload data'!$D:$D,"PSO",'caseload data'!$C:$C,'divisional &amp; regional caseload'!$B$57)</f>
        <v>0</v>
      </c>
      <c r="I60" s="204">
        <f>SUMIFS('caseload data'!K:K,'caseload data'!$D:$D,"PSO",'caseload data'!$C:$C,'divisional &amp; regional caseload'!$B$57)</f>
        <v>0</v>
      </c>
      <c r="J60" s="204">
        <f>SUMIFS('caseload data'!L:L,'caseload data'!$D:$D,"PSO",'caseload data'!$C:$C,'divisional &amp; regional caseload'!$B$57)</f>
        <v>0</v>
      </c>
      <c r="K60" s="204">
        <f>SUMIFS('caseload data'!M:M,'caseload data'!$D:$D,"PSO",'caseload data'!$C:$C,'divisional &amp; regional caseload'!$B$57)</f>
        <v>0</v>
      </c>
      <c r="L60" s="204">
        <f>SUMIFS('caseload data'!N:N,'caseload data'!$D:$D,"PSO",'caseload data'!$C:$C,'divisional &amp; regional caseload'!$B$57)</f>
        <v>0</v>
      </c>
      <c r="M60" s="204">
        <f>SUMIFS('caseload data'!O:O,'caseload data'!$D:$D,"PSO",'caseload data'!$C:$C,'divisional &amp; regional caseload'!$B$57)</f>
        <v>0</v>
      </c>
      <c r="N60" s="204">
        <f>SUMIFS('caseload data'!P:P,'caseload data'!$D:$D,"PSO",'caseload data'!$C:$C,'divisional &amp; regional caseload'!$B$57)</f>
        <v>0</v>
      </c>
      <c r="O60" s="204">
        <f>SUMIFS('caseload data'!Q:Q,'caseload data'!$D:$D,"PSO",'caseload data'!$C:$C,'divisional &amp; regional caseload'!$B$57)</f>
        <v>0</v>
      </c>
      <c r="P60" s="204">
        <f>SUMIFS('caseload data'!R:R,'caseload data'!$D:$D,"PSO",'caseload data'!$C:$C,'divisional &amp; regional caseload'!$B$57)</f>
        <v>0</v>
      </c>
      <c r="Q60" s="204">
        <f>SUMIFS('caseload data'!S:S,'caseload data'!$D:$D,"PSO",'caseload data'!$C:$C,'divisional &amp; regional caseload'!$B$57)</f>
        <v>0</v>
      </c>
      <c r="R60" s="204">
        <f>SUMIFS('caseload data'!T:T,'caseload data'!$D:$D,"PSO",'caseload data'!$C:$C,'divisional &amp; regional caseload'!$B$57)</f>
        <v>0</v>
      </c>
      <c r="S60" s="183"/>
      <c r="T60" s="130" t="s">
        <v>185</v>
      </c>
      <c r="U60" s="204">
        <f>SUMIFS('caseload data'!E:E,'caseload data'!$D:$D,"PSO",'caseload data'!$C:$C,'divisional &amp; regional caseload'!$T$57)</f>
        <v>0</v>
      </c>
      <c r="V60" s="204">
        <f>SUMIFS('caseload data'!F:F,'caseload data'!$D:$D,"PSO",'caseload data'!$C:$C,'divisional &amp; regional caseload'!$T$57)</f>
        <v>0</v>
      </c>
      <c r="W60" s="204">
        <f>SUMIFS('caseload data'!G:G,'caseload data'!$D:$D,"PSO",'caseload data'!$C:$C,'divisional &amp; regional caseload'!$T$57)</f>
        <v>0</v>
      </c>
      <c r="X60" s="204">
        <f>SUMIFS('caseload data'!H:H,'caseload data'!$D:$D,"PSO",'caseload data'!$C:$C,'divisional &amp; regional caseload'!$T$57)</f>
        <v>0</v>
      </c>
      <c r="Y60" s="204">
        <f>SUMIFS('caseload data'!I:I,'caseload data'!$D:$D,"PSO",'caseload data'!$C:$C,'divisional &amp; regional caseload'!$T$57)</f>
        <v>0</v>
      </c>
      <c r="Z60" s="204">
        <f>SUMIFS('caseload data'!J:J,'caseload data'!$D:$D,"PSO",'caseload data'!$C:$C,'divisional &amp; regional caseload'!$T$57)</f>
        <v>0</v>
      </c>
      <c r="AA60" s="204">
        <f>SUMIFS('caseload data'!K:K,'caseload data'!$D:$D,"PSO",'caseload data'!$C:$C,'divisional &amp; regional caseload'!$T$57)</f>
        <v>0</v>
      </c>
      <c r="AB60" s="204">
        <f>SUMIFS('caseload data'!L:L,'caseload data'!$D:$D,"PSO",'caseload data'!$C:$C,'divisional &amp; regional caseload'!$T$57)</f>
        <v>0</v>
      </c>
      <c r="AC60" s="204">
        <f>SUMIFS('caseload data'!M:M,'caseload data'!$D:$D,"PSO",'caseload data'!$C:$C,'divisional &amp; regional caseload'!$T$57)</f>
        <v>0</v>
      </c>
      <c r="AD60" s="204">
        <f>SUMIFS('caseload data'!N:N,'caseload data'!$D:$D,"PSO",'caseload data'!$C:$C,'divisional &amp; regional caseload'!$T$57)</f>
        <v>0</v>
      </c>
      <c r="AE60" s="204">
        <f>SUMIFS('caseload data'!O:O,'caseload data'!$D:$D,"PSO",'caseload data'!$C:$C,'divisional &amp; regional caseload'!$T$57)</f>
        <v>0</v>
      </c>
      <c r="AF60" s="204">
        <f>SUMIFS('caseload data'!P:P,'caseload data'!$D:$D,"PSO",'caseload data'!$C:$C,'divisional &amp; regional caseload'!$T$57)</f>
        <v>0</v>
      </c>
      <c r="AG60" s="204">
        <f>SUMIFS('caseload data'!Q:Q,'caseload data'!$D:$D,"PSO",'caseload data'!$C:$C,'divisional &amp; regional caseload'!$T$57)</f>
        <v>0</v>
      </c>
      <c r="AH60" s="204">
        <f>SUMIFS('caseload data'!R:R,'caseload data'!$D:$D,"PSO",'caseload data'!$C:$C,'divisional &amp; regional caseload'!$T$57)</f>
        <v>0</v>
      </c>
      <c r="AI60" s="204">
        <f>SUMIFS('caseload data'!S:S,'caseload data'!$D:$D,"PSO",'caseload data'!$C:$C,'divisional &amp; regional caseload'!$T$57)</f>
        <v>0</v>
      </c>
      <c r="AJ60" s="204">
        <f>SUMIFS('caseload data'!T:T,'caseload data'!$D:$D,"PSO",'caseload data'!$C:$C,'divisional &amp; regional caseload'!$T$57)</f>
        <v>0</v>
      </c>
    </row>
    <row r="61" spans="2:36" x14ac:dyDescent="0.15">
      <c r="B61" s="130" t="s">
        <v>186</v>
      </c>
      <c r="C61" s="204">
        <f>SUMIFS('caseload data'!E:E,'caseload data'!$D:$D,"TPO",'caseload data'!$C:$C,'divisional &amp; regional caseload'!$B$57)</f>
        <v>0</v>
      </c>
      <c r="D61" s="204">
        <f>SUMIFS('caseload data'!F:F,'caseload data'!$D:$D,"TPO",'caseload data'!$C:$C,'divisional &amp; regional caseload'!$B$57)</f>
        <v>0</v>
      </c>
      <c r="E61" s="204">
        <f>SUMIFS('caseload data'!G:G,'caseload data'!$D:$D,"TPO",'caseload data'!$C:$C,'divisional &amp; regional caseload'!$B$57)</f>
        <v>0</v>
      </c>
      <c r="F61" s="204">
        <f>SUMIFS('caseload data'!H:H,'caseload data'!$D:$D,"TPO",'caseload data'!$C:$C,'divisional &amp; regional caseload'!$B$57)</f>
        <v>0</v>
      </c>
      <c r="G61" s="204">
        <f>SUMIFS('caseload data'!I:I,'caseload data'!$D:$D,"TPO",'caseload data'!$C:$C,'divisional &amp; regional caseload'!$B$57)</f>
        <v>0</v>
      </c>
      <c r="H61" s="204">
        <f>SUMIFS('caseload data'!J:J,'caseload data'!$D:$D,"TPO",'caseload data'!$C:$C,'divisional &amp; regional caseload'!$B$57)</f>
        <v>0</v>
      </c>
      <c r="I61" s="204">
        <f>SUMIFS('caseload data'!K:K,'caseload data'!$D:$D,"TPO",'caseload data'!$C:$C,'divisional &amp; regional caseload'!$B$57)</f>
        <v>0</v>
      </c>
      <c r="J61" s="204">
        <f>SUMIFS('caseload data'!L:L,'caseload data'!$D:$D,"TPO",'caseload data'!$C:$C,'divisional &amp; regional caseload'!$B$57)</f>
        <v>0</v>
      </c>
      <c r="K61" s="204">
        <f>SUMIFS('caseload data'!M:M,'caseload data'!$D:$D,"TPO",'caseload data'!$C:$C,'divisional &amp; regional caseload'!$B$57)</f>
        <v>0</v>
      </c>
      <c r="L61" s="204">
        <f>SUMIFS('caseload data'!N:N,'caseload data'!$D:$D,"TPO",'caseload data'!$C:$C,'divisional &amp; regional caseload'!$B$57)</f>
        <v>0</v>
      </c>
      <c r="M61" s="204">
        <f>SUMIFS('caseload data'!O:O,'caseload data'!$D:$D,"TPO",'caseload data'!$C:$C,'divisional &amp; regional caseload'!$B$57)</f>
        <v>0</v>
      </c>
      <c r="N61" s="204">
        <f>SUMIFS('caseload data'!P:P,'caseload data'!$D:$D,"TPO",'caseload data'!$C:$C,'divisional &amp; regional caseload'!$B$57)</f>
        <v>0</v>
      </c>
      <c r="O61" s="204">
        <f>SUMIFS('caseload data'!Q:Q,'caseload data'!$D:$D,"TPO",'caseload data'!$C:$C,'divisional &amp; regional caseload'!$B$57)</f>
        <v>0</v>
      </c>
      <c r="P61" s="204">
        <f>SUMIFS('caseload data'!R:R,'caseload data'!$D:$D,"TPO",'caseload data'!$C:$C,'divisional &amp; regional caseload'!$B$57)</f>
        <v>0</v>
      </c>
      <c r="Q61" s="204">
        <f>SUMIFS('caseload data'!S:S,'caseload data'!$D:$D,"TPO",'caseload data'!$C:$C,'divisional &amp; regional caseload'!$B$57)</f>
        <v>0</v>
      </c>
      <c r="R61" s="204">
        <f>SUMIFS('caseload data'!T:T,'caseload data'!$D:$D,"TPO",'caseload data'!$C:$C,'divisional &amp; regional caseload'!$B$57)</f>
        <v>0</v>
      </c>
      <c r="S61" s="183"/>
      <c r="T61" s="130" t="s">
        <v>186</v>
      </c>
      <c r="U61" s="204">
        <f>SUMIFS('caseload data'!E:E,'caseload data'!$D:$D,"TPO",'caseload data'!$C:$C,'divisional &amp; regional caseload'!$T$57)</f>
        <v>0</v>
      </c>
      <c r="V61" s="204">
        <f>SUMIFS('caseload data'!F:F,'caseload data'!$D:$D,"TPO",'caseload data'!$C:$C,'divisional &amp; regional caseload'!$T$57)</f>
        <v>0</v>
      </c>
      <c r="W61" s="204">
        <f>SUMIFS('caseload data'!G:G,'caseload data'!$D:$D,"TPO",'caseload data'!$C:$C,'divisional &amp; regional caseload'!$T$57)</f>
        <v>0</v>
      </c>
      <c r="X61" s="204">
        <f>SUMIFS('caseload data'!H:H,'caseload data'!$D:$D,"TPO",'caseload data'!$C:$C,'divisional &amp; regional caseload'!$T$57)</f>
        <v>0</v>
      </c>
      <c r="Y61" s="204">
        <f>SUMIFS('caseload data'!I:I,'caseload data'!$D:$D,"TPO",'caseload data'!$C:$C,'divisional &amp; regional caseload'!$T$57)</f>
        <v>0</v>
      </c>
      <c r="Z61" s="204">
        <f>SUMIFS('caseload data'!J:J,'caseload data'!$D:$D,"TPO",'caseload data'!$C:$C,'divisional &amp; regional caseload'!$T$57)</f>
        <v>0</v>
      </c>
      <c r="AA61" s="204">
        <f>SUMIFS('caseload data'!K:K,'caseload data'!$D:$D,"TPO",'caseload data'!$C:$C,'divisional &amp; regional caseload'!$T$57)</f>
        <v>0</v>
      </c>
      <c r="AB61" s="204">
        <f>SUMIFS('caseload data'!L:L,'caseload data'!$D:$D,"TPO",'caseload data'!$C:$C,'divisional &amp; regional caseload'!$T$57)</f>
        <v>0</v>
      </c>
      <c r="AC61" s="204">
        <f>SUMIFS('caseload data'!M:M,'caseload data'!$D:$D,"TPO",'caseload data'!$C:$C,'divisional &amp; regional caseload'!$T$57)</f>
        <v>0</v>
      </c>
      <c r="AD61" s="204">
        <f>SUMIFS('caseload data'!N:N,'caseload data'!$D:$D,"TPO",'caseload data'!$C:$C,'divisional &amp; regional caseload'!$T$57)</f>
        <v>0</v>
      </c>
      <c r="AE61" s="204">
        <f>SUMIFS('caseload data'!O:O,'caseload data'!$D:$D,"TPO",'caseload data'!$C:$C,'divisional &amp; regional caseload'!$T$57)</f>
        <v>0</v>
      </c>
      <c r="AF61" s="204">
        <f>SUMIFS('caseload data'!P:P,'caseload data'!$D:$D,"TPO",'caseload data'!$C:$C,'divisional &amp; regional caseload'!$T$57)</f>
        <v>0</v>
      </c>
      <c r="AG61" s="204">
        <f>SUMIFS('caseload data'!Q:Q,'caseload data'!$D:$D,"TPO",'caseload data'!$C:$C,'divisional &amp; regional caseload'!$T$57)</f>
        <v>0</v>
      </c>
      <c r="AH61" s="204">
        <f>SUMIFS('caseload data'!R:R,'caseload data'!$D:$D,"TPO",'caseload data'!$C:$C,'divisional &amp; regional caseload'!$T$57)</f>
        <v>0</v>
      </c>
      <c r="AI61" s="204">
        <f>SUMIFS('caseload data'!S:S,'caseload data'!$D:$D,"TPO",'caseload data'!$C:$C,'divisional &amp; regional caseload'!$T$57)</f>
        <v>0</v>
      </c>
      <c r="AJ61" s="204">
        <f>SUMIFS('caseload data'!T:T,'caseload data'!$D:$D,"TPO",'caseload data'!$C:$C,'divisional &amp; regional caseload'!$T$57)</f>
        <v>0</v>
      </c>
    </row>
    <row r="62" spans="2:36" s="30" customFormat="1" x14ac:dyDescent="0.15">
      <c r="B62" s="131" t="s">
        <v>187</v>
      </c>
      <c r="C62" s="204">
        <f>SUMIFS('caseload data'!E:E,'caseload data'!$D:$D,"SPO",'caseload data'!$C:$C,'divisional &amp; regional caseload'!$B$57)</f>
        <v>0</v>
      </c>
      <c r="D62" s="204">
        <f>SUMIFS('caseload data'!F:F,'caseload data'!$D:$D,"SPO",'caseload data'!$C:$C,'divisional &amp; regional caseload'!$B$57)</f>
        <v>0</v>
      </c>
      <c r="E62" s="204">
        <f>SUMIFS('caseload data'!G:G,'caseload data'!$D:$D,"SPO",'caseload data'!$C:$C,'divisional &amp; regional caseload'!$B$57)</f>
        <v>0</v>
      </c>
      <c r="F62" s="204">
        <f>SUMIFS('caseload data'!H:H,'caseload data'!$D:$D,"SPO",'caseload data'!$C:$C,'divisional &amp; regional caseload'!$B$57)</f>
        <v>0</v>
      </c>
      <c r="G62" s="204">
        <f>SUMIFS('caseload data'!I:I,'caseload data'!$D:$D,"SPO",'caseload data'!$C:$C,'divisional &amp; regional caseload'!$B$57)</f>
        <v>0</v>
      </c>
      <c r="H62" s="204">
        <f>SUMIFS('caseload data'!J:J,'caseload data'!$D:$D,"SPO",'caseload data'!$C:$C,'divisional &amp; regional caseload'!$B$57)</f>
        <v>0</v>
      </c>
      <c r="I62" s="204">
        <f>SUMIFS('caseload data'!K:K,'caseload data'!$D:$D,"SPO",'caseload data'!$C:$C,'divisional &amp; regional caseload'!$B$57)</f>
        <v>0</v>
      </c>
      <c r="J62" s="204">
        <f>SUMIFS('caseload data'!L:L,'caseload data'!$D:$D,"SPO",'caseload data'!$C:$C,'divisional &amp; regional caseload'!$B$57)</f>
        <v>0</v>
      </c>
      <c r="K62" s="204">
        <f>SUMIFS('caseload data'!M:M,'caseload data'!$D:$D,"SPO",'caseload data'!$C:$C,'divisional &amp; regional caseload'!$B$57)</f>
        <v>0</v>
      </c>
      <c r="L62" s="204">
        <f>SUMIFS('caseload data'!N:N,'caseload data'!$D:$D,"SPO",'caseload data'!$C:$C,'divisional &amp; regional caseload'!$B$57)</f>
        <v>0</v>
      </c>
      <c r="M62" s="204">
        <f>SUMIFS('caseload data'!O:O,'caseload data'!$D:$D,"SPO",'caseload data'!$C:$C,'divisional &amp; regional caseload'!$B$57)</f>
        <v>0</v>
      </c>
      <c r="N62" s="204">
        <f>SUMIFS('caseload data'!P:P,'caseload data'!$D:$D,"SPO",'caseload data'!$C:$C,'divisional &amp; regional caseload'!$B$57)</f>
        <v>0</v>
      </c>
      <c r="O62" s="204">
        <f>SUMIFS('caseload data'!Q:Q,'caseload data'!$D:$D,"SPO",'caseload data'!$C:$C,'divisional &amp; regional caseload'!$B$57)</f>
        <v>0</v>
      </c>
      <c r="P62" s="204">
        <f>SUMIFS('caseload data'!R:R,'caseload data'!$D:$D,"SPO",'caseload data'!$C:$C,'divisional &amp; regional caseload'!$B$57)</f>
        <v>0</v>
      </c>
      <c r="Q62" s="204">
        <f>SUMIFS('caseload data'!S:S,'caseload data'!$D:$D,"SPO",'caseload data'!$C:$C,'divisional &amp; regional caseload'!$B$57)</f>
        <v>0</v>
      </c>
      <c r="R62" s="204">
        <f>SUMIFS('caseload data'!T:T,'caseload data'!$D:$D,"SPO",'caseload data'!$C:$C,'divisional &amp; regional caseload'!$B$57)</f>
        <v>0</v>
      </c>
      <c r="S62" s="183"/>
      <c r="T62" s="131" t="s">
        <v>187</v>
      </c>
      <c r="U62" s="204">
        <f>SUMIFS('caseload data'!E:E,'caseload data'!$D:$D,"SPO",'caseload data'!$C:$C,'divisional &amp; regional caseload'!$T$57)</f>
        <v>0</v>
      </c>
      <c r="V62" s="204">
        <f>SUMIFS('caseload data'!F:F,'caseload data'!$D:$D,"SPO",'caseload data'!$C:$C,'divisional &amp; regional caseload'!$T$57)</f>
        <v>0</v>
      </c>
      <c r="W62" s="204">
        <f>SUMIFS('caseload data'!G:G,'caseload data'!$D:$D,"SPO",'caseload data'!$C:$C,'divisional &amp; regional caseload'!$T$57)</f>
        <v>0</v>
      </c>
      <c r="X62" s="204">
        <f>SUMIFS('caseload data'!H:H,'caseload data'!$D:$D,"SPO",'caseload data'!$C:$C,'divisional &amp; regional caseload'!$T$57)</f>
        <v>0</v>
      </c>
      <c r="Y62" s="204">
        <f>SUMIFS('caseload data'!I:I,'caseload data'!$D:$D,"SPO",'caseload data'!$C:$C,'divisional &amp; regional caseload'!$T$57)</f>
        <v>0</v>
      </c>
      <c r="Z62" s="204">
        <f>SUMIFS('caseload data'!J:J,'caseload data'!$D:$D,"SPO",'caseload data'!$C:$C,'divisional &amp; regional caseload'!$T$57)</f>
        <v>0</v>
      </c>
      <c r="AA62" s="204">
        <f>SUMIFS('caseload data'!K:K,'caseload data'!$D:$D,"SPO",'caseload data'!$C:$C,'divisional &amp; regional caseload'!$T$57)</f>
        <v>0</v>
      </c>
      <c r="AB62" s="204">
        <f>SUMIFS('caseload data'!L:L,'caseload data'!$D:$D,"SPO",'caseload data'!$C:$C,'divisional &amp; regional caseload'!$T$57)</f>
        <v>0</v>
      </c>
      <c r="AC62" s="204">
        <f>SUMIFS('caseload data'!M:M,'caseload data'!$D:$D,"SPO",'caseload data'!$C:$C,'divisional &amp; regional caseload'!$T$57)</f>
        <v>0</v>
      </c>
      <c r="AD62" s="204">
        <f>SUMIFS('caseload data'!N:N,'caseload data'!$D:$D,"SPO",'caseload data'!$C:$C,'divisional &amp; regional caseload'!$T$57)</f>
        <v>0</v>
      </c>
      <c r="AE62" s="204">
        <f>SUMIFS('caseload data'!O:O,'caseload data'!$D:$D,"SPO",'caseload data'!$C:$C,'divisional &amp; regional caseload'!$T$57)</f>
        <v>0</v>
      </c>
      <c r="AF62" s="204">
        <f>SUMIFS('caseload data'!P:P,'caseload data'!$D:$D,"SPO",'caseload data'!$C:$C,'divisional &amp; regional caseload'!$T$57)</f>
        <v>0</v>
      </c>
      <c r="AG62" s="204">
        <f>SUMIFS('caseload data'!Q:Q,'caseload data'!$D:$D,"SPO",'caseload data'!$C:$C,'divisional &amp; regional caseload'!$T$57)</f>
        <v>0</v>
      </c>
      <c r="AH62" s="204">
        <f>SUMIFS('caseload data'!R:R,'caseload data'!$D:$D,"SPO",'caseload data'!$C:$C,'divisional &amp; regional caseload'!$T$57)</f>
        <v>0</v>
      </c>
      <c r="AI62" s="204">
        <f>SUMIFS('caseload data'!S:S,'caseload data'!$D:$D,"SPO",'caseload data'!$C:$C,'divisional &amp; regional caseload'!$T$57)</f>
        <v>0</v>
      </c>
      <c r="AJ62" s="204">
        <f>SUMIFS('caseload data'!T:T,'caseload data'!$D:$D,"SPO",'caseload data'!$C:$C,'divisional &amp; regional caseload'!$T$57)</f>
        <v>0</v>
      </c>
    </row>
    <row r="63" spans="2:36" x14ac:dyDescent="0.15">
      <c r="B63" s="30"/>
      <c r="C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 spans="2:36" ht="32.25" customHeight="1" x14ac:dyDescent="0.15">
      <c r="B64" s="182">
        <f>HLOOKUP($B$5,Region_Table,18,0)</f>
        <v>0</v>
      </c>
      <c r="C64" s="359" t="s">
        <v>363</v>
      </c>
      <c r="D64" s="365"/>
      <c r="E64" s="365"/>
      <c r="F64" s="365"/>
      <c r="G64" s="365"/>
      <c r="H64" s="365"/>
      <c r="I64" s="365"/>
      <c r="J64" s="365"/>
      <c r="K64" s="365"/>
      <c r="L64" s="365"/>
      <c r="M64" s="360"/>
      <c r="N64" s="360"/>
      <c r="O64" s="361"/>
      <c r="P64" s="362">
        <f>SUMIF('caseload data'!$C:$C,'divisional &amp; regional caseload'!B64,'caseload data'!V:V)</f>
        <v>0</v>
      </c>
      <c r="Q64" s="363"/>
      <c r="R64" s="364"/>
      <c r="S64" s="183"/>
      <c r="T64" s="182">
        <f>HLOOKUP($B$5,Region_Table,19,0)</f>
        <v>0</v>
      </c>
      <c r="U64" s="359" t="s">
        <v>363</v>
      </c>
      <c r="V64" s="360"/>
      <c r="W64" s="360"/>
      <c r="X64" s="361"/>
      <c r="Y64" s="362">
        <f>SUMIF('caseload data'!$C:$C,'divisional &amp; regional caseload'!T64,'caseload data'!V:V)</f>
        <v>0</v>
      </c>
      <c r="Z64" s="363"/>
      <c r="AA64" s="364"/>
    </row>
    <row r="65" spans="2:36" x14ac:dyDescent="0.15">
      <c r="B65" s="127" t="s">
        <v>324</v>
      </c>
      <c r="C65" s="58" t="s">
        <v>504</v>
      </c>
      <c r="D65" s="58" t="s">
        <v>503</v>
      </c>
      <c r="E65" s="58" t="s">
        <v>502</v>
      </c>
      <c r="F65" s="58" t="s">
        <v>501</v>
      </c>
      <c r="G65" s="58" t="s">
        <v>510</v>
      </c>
      <c r="H65" s="58" t="s">
        <v>176</v>
      </c>
      <c r="I65" s="58" t="s">
        <v>177</v>
      </c>
      <c r="J65" s="58" t="s">
        <v>505</v>
      </c>
      <c r="K65" s="58" t="s">
        <v>507</v>
      </c>
      <c r="L65" s="58" t="s">
        <v>178</v>
      </c>
      <c r="M65" s="58" t="s">
        <v>179</v>
      </c>
      <c r="N65" s="58" t="s">
        <v>506</v>
      </c>
      <c r="O65" s="58" t="s">
        <v>508</v>
      </c>
      <c r="P65" s="58" t="s">
        <v>180</v>
      </c>
      <c r="Q65" s="58" t="s">
        <v>181</v>
      </c>
      <c r="R65" s="58" t="s">
        <v>509</v>
      </c>
      <c r="S65" s="183"/>
      <c r="T65" s="127" t="s">
        <v>324</v>
      </c>
      <c r="U65" s="58" t="s">
        <v>504</v>
      </c>
      <c r="V65" s="58" t="s">
        <v>503</v>
      </c>
      <c r="W65" s="58" t="s">
        <v>502</v>
      </c>
      <c r="X65" s="58" t="s">
        <v>501</v>
      </c>
      <c r="Y65" s="58" t="s">
        <v>510</v>
      </c>
      <c r="Z65" s="58" t="s">
        <v>176</v>
      </c>
      <c r="AA65" s="58" t="s">
        <v>177</v>
      </c>
      <c r="AB65" s="58" t="s">
        <v>505</v>
      </c>
      <c r="AC65" s="58" t="s">
        <v>507</v>
      </c>
      <c r="AD65" s="58" t="s">
        <v>178</v>
      </c>
      <c r="AE65" s="58" t="s">
        <v>179</v>
      </c>
      <c r="AF65" s="58" t="s">
        <v>506</v>
      </c>
      <c r="AG65" s="58" t="s">
        <v>508</v>
      </c>
      <c r="AH65" s="58" t="s">
        <v>180</v>
      </c>
      <c r="AI65" s="58" t="s">
        <v>181</v>
      </c>
      <c r="AJ65" s="58" t="s">
        <v>509</v>
      </c>
    </row>
    <row r="66" spans="2:36" x14ac:dyDescent="0.15">
      <c r="B66" s="129" t="s">
        <v>184</v>
      </c>
      <c r="C66" s="204">
        <f>SUMIFS('caseload data'!E:E,'caseload data'!$D:$D,"PO",'caseload data'!$C:$C,'divisional &amp; regional caseload'!$B$64)</f>
        <v>0</v>
      </c>
      <c r="D66" s="204">
        <f>SUMIFS('caseload data'!F:F,'caseload data'!$D:$D,"PO",'caseload data'!$C:$C,'divisional &amp; regional caseload'!$B$64)</f>
        <v>0</v>
      </c>
      <c r="E66" s="204">
        <f>SUMIFS('caseload data'!G:G,'caseload data'!$D:$D,"PO",'caseload data'!$C:$C,'divisional &amp; regional caseload'!$B$64)</f>
        <v>0</v>
      </c>
      <c r="F66" s="204">
        <f>SUMIFS('caseload data'!H:H,'caseload data'!$D:$D,"PO",'caseload data'!$C:$C,'divisional &amp; regional caseload'!$B$64)</f>
        <v>0</v>
      </c>
      <c r="G66" s="204">
        <f>SUMIFS('caseload data'!I:I,'caseload data'!$D:$D,"PO",'caseload data'!$C:$C,'divisional &amp; regional caseload'!$B$64)</f>
        <v>0</v>
      </c>
      <c r="H66" s="204">
        <f>SUMIFS('caseload data'!J:J,'caseload data'!$D:$D,"PO",'caseload data'!$C:$C,'divisional &amp; regional caseload'!$B$64)</f>
        <v>0</v>
      </c>
      <c r="I66" s="204">
        <f>SUMIFS('caseload data'!K:K,'caseload data'!$D:$D,"PO",'caseload data'!$C:$C,'divisional &amp; regional caseload'!$B$64)</f>
        <v>0</v>
      </c>
      <c r="J66" s="204">
        <f>SUMIFS('caseload data'!L:L,'caseload data'!$D:$D,"PO",'caseload data'!$C:$C,'divisional &amp; regional caseload'!$B$64)</f>
        <v>0</v>
      </c>
      <c r="K66" s="204">
        <f>SUMIFS('caseload data'!M:M,'caseload data'!$D:$D,"PO",'caseload data'!$C:$C,'divisional &amp; regional caseload'!$B$64)</f>
        <v>0</v>
      </c>
      <c r="L66" s="204">
        <f>SUMIFS('caseload data'!N:N,'caseload data'!$D:$D,"PO",'caseload data'!$C:$C,'divisional &amp; regional caseload'!$B$64)</f>
        <v>0</v>
      </c>
      <c r="M66" s="204">
        <f>SUMIFS('caseload data'!O:O,'caseload data'!$D:$D,"PO",'caseload data'!$C:$C,'divisional &amp; regional caseload'!$B$64)</f>
        <v>0</v>
      </c>
      <c r="N66" s="204">
        <f>SUMIFS('caseload data'!P:P,'caseload data'!$D:$D,"PO",'caseload data'!$C:$C,'divisional &amp; regional caseload'!$B$64)</f>
        <v>0</v>
      </c>
      <c r="O66" s="204">
        <f>SUMIFS('caseload data'!Q:Q,'caseload data'!$D:$D,"PO",'caseload data'!$C:$C,'divisional &amp; regional caseload'!$B$64)</f>
        <v>0</v>
      </c>
      <c r="P66" s="204">
        <f>SUMIFS('caseload data'!R:R,'caseload data'!$D:$D,"PO",'caseload data'!$C:$C,'divisional &amp; regional caseload'!$B$64)</f>
        <v>0</v>
      </c>
      <c r="Q66" s="204">
        <f>SUMIFS('caseload data'!S:S,'caseload data'!$D:$D,"PO",'caseload data'!$C:$C,'divisional &amp; regional caseload'!$B$64)</f>
        <v>0</v>
      </c>
      <c r="R66" s="204">
        <f>SUMIFS('caseload data'!T:T,'caseload data'!$D:$D,"PO",'caseload data'!$C:$C,'divisional &amp; regional caseload'!$B$64)</f>
        <v>0</v>
      </c>
      <c r="S66" s="183"/>
      <c r="T66" s="129" t="s">
        <v>184</v>
      </c>
      <c r="U66" s="204">
        <f>SUMIFS('caseload data'!E:E,'caseload data'!$D:$D,"PO",'caseload data'!$C:$C,'divisional &amp; regional caseload'!$T$64)</f>
        <v>0</v>
      </c>
      <c r="V66" s="204">
        <f>SUMIFS('caseload data'!F:F,'caseload data'!$D:$D,"PO",'caseload data'!$C:$C,'divisional &amp; regional caseload'!$T$64)</f>
        <v>0</v>
      </c>
      <c r="W66" s="204">
        <f>SUMIFS('caseload data'!G:G,'caseload data'!$D:$D,"PO",'caseload data'!$C:$C,'divisional &amp; regional caseload'!$T$64)</f>
        <v>0</v>
      </c>
      <c r="X66" s="204">
        <f>SUMIFS('caseload data'!H:H,'caseload data'!$D:$D,"PO",'caseload data'!$C:$C,'divisional &amp; regional caseload'!$T$64)</f>
        <v>0</v>
      </c>
      <c r="Y66" s="204">
        <f>SUMIFS('caseload data'!I:I,'caseload data'!$D:$D,"PO",'caseload data'!$C:$C,'divisional &amp; regional caseload'!$T$64)</f>
        <v>0</v>
      </c>
      <c r="Z66" s="204">
        <f>SUMIFS('caseload data'!J:J,'caseload data'!$D:$D,"PO",'caseload data'!$C:$C,'divisional &amp; regional caseload'!$T$64)</f>
        <v>0</v>
      </c>
      <c r="AA66" s="204">
        <f>SUMIFS('caseload data'!K:K,'caseload data'!$D:$D,"PO",'caseload data'!$C:$C,'divisional &amp; regional caseload'!$T$64)</f>
        <v>0</v>
      </c>
      <c r="AB66" s="204">
        <f>SUMIFS('caseload data'!L:L,'caseload data'!$D:$D,"PO",'caseload data'!$C:$C,'divisional &amp; regional caseload'!$T$64)</f>
        <v>0</v>
      </c>
      <c r="AC66" s="204">
        <f>SUMIFS('caseload data'!M:M,'caseload data'!$D:$D,"PO",'caseload data'!$C:$C,'divisional &amp; regional caseload'!$T$64)</f>
        <v>0</v>
      </c>
      <c r="AD66" s="204">
        <f>SUMIFS('caseload data'!N:N,'caseload data'!$D:$D,"PO",'caseload data'!$C:$C,'divisional &amp; regional caseload'!$T$64)</f>
        <v>0</v>
      </c>
      <c r="AE66" s="204">
        <f>SUMIFS('caseload data'!O:O,'caseload data'!$D:$D,"PO",'caseload data'!$C:$C,'divisional &amp; regional caseload'!$T$64)</f>
        <v>0</v>
      </c>
      <c r="AF66" s="204">
        <f>SUMIFS('caseload data'!P:P,'caseload data'!$D:$D,"PO",'caseload data'!$C:$C,'divisional &amp; regional caseload'!$T$64)</f>
        <v>0</v>
      </c>
      <c r="AG66" s="204">
        <f>SUMIFS('caseload data'!Q:Q,'caseload data'!$D:$D,"PO",'caseload data'!$C:$C,'divisional &amp; regional caseload'!$T$64)</f>
        <v>0</v>
      </c>
      <c r="AH66" s="204">
        <f>SUMIFS('caseload data'!R:R,'caseload data'!$D:$D,"PO",'caseload data'!$C:$C,'divisional &amp; regional caseload'!$T$64)</f>
        <v>0</v>
      </c>
      <c r="AI66" s="204">
        <f>SUMIFS('caseload data'!S:S,'caseload data'!$D:$D,"PO",'caseload data'!$C:$C,'divisional &amp; regional caseload'!$T$64)</f>
        <v>0</v>
      </c>
      <c r="AJ66" s="204">
        <f>SUMIFS('caseload data'!T:T,'caseload data'!$D:$D,"PO",'caseload data'!$C:$C,'divisional &amp; regional caseload'!$T$64)</f>
        <v>0</v>
      </c>
    </row>
    <row r="67" spans="2:36" x14ac:dyDescent="0.15">
      <c r="B67" s="130" t="s">
        <v>185</v>
      </c>
      <c r="C67" s="204">
        <f>SUMIFS('caseload data'!E:E,'caseload data'!$D:$D,"PSO",'caseload data'!$C:$C,'divisional &amp; regional caseload'!$B$64)</f>
        <v>0</v>
      </c>
      <c r="D67" s="204">
        <f>SUMIFS('caseload data'!F:F,'caseload data'!$D:$D,"PSO",'caseload data'!$C:$C,'divisional &amp; regional caseload'!$B$64)</f>
        <v>0</v>
      </c>
      <c r="E67" s="204">
        <f>SUMIFS('caseload data'!G:G,'caseload data'!$D:$D,"PSO",'caseload data'!$C:$C,'divisional &amp; regional caseload'!$B$64)</f>
        <v>0</v>
      </c>
      <c r="F67" s="204">
        <f>SUMIFS('caseload data'!H:H,'caseload data'!$D:$D,"PSO",'caseload data'!$C:$C,'divisional &amp; regional caseload'!$B$64)</f>
        <v>0</v>
      </c>
      <c r="G67" s="204">
        <f>SUMIFS('caseload data'!I:I,'caseload data'!$D:$D,"PSO",'caseload data'!$C:$C,'divisional &amp; regional caseload'!$B$64)</f>
        <v>0</v>
      </c>
      <c r="H67" s="204">
        <f>SUMIFS('caseload data'!J:J,'caseload data'!$D:$D,"PSO",'caseload data'!$C:$C,'divisional &amp; regional caseload'!$B$64)</f>
        <v>0</v>
      </c>
      <c r="I67" s="204">
        <f>SUMIFS('caseload data'!K:K,'caseload data'!$D:$D,"PSO",'caseload data'!$C:$C,'divisional &amp; regional caseload'!$B$64)</f>
        <v>0</v>
      </c>
      <c r="J67" s="204">
        <f>SUMIFS('caseload data'!L:L,'caseload data'!$D:$D,"PSO",'caseload data'!$C:$C,'divisional &amp; regional caseload'!$B$64)</f>
        <v>0</v>
      </c>
      <c r="K67" s="204">
        <f>SUMIFS('caseload data'!M:M,'caseload data'!$D:$D,"PSO",'caseload data'!$C:$C,'divisional &amp; regional caseload'!$B$64)</f>
        <v>0</v>
      </c>
      <c r="L67" s="204">
        <f>SUMIFS('caseload data'!N:N,'caseload data'!$D:$D,"PSO",'caseload data'!$C:$C,'divisional &amp; regional caseload'!$B$64)</f>
        <v>0</v>
      </c>
      <c r="M67" s="204">
        <f>SUMIFS('caseload data'!O:O,'caseload data'!$D:$D,"PSO",'caseload data'!$C:$C,'divisional &amp; regional caseload'!$B$64)</f>
        <v>0</v>
      </c>
      <c r="N67" s="204">
        <f>SUMIFS('caseload data'!P:P,'caseload data'!$D:$D,"PSO",'caseload data'!$C:$C,'divisional &amp; regional caseload'!$B$64)</f>
        <v>0</v>
      </c>
      <c r="O67" s="204">
        <f>SUMIFS('caseload data'!Q:Q,'caseload data'!$D:$D,"PSO",'caseload data'!$C:$C,'divisional &amp; regional caseload'!$B$64)</f>
        <v>0</v>
      </c>
      <c r="P67" s="204">
        <f>SUMIFS('caseload data'!R:R,'caseload data'!$D:$D,"PSO",'caseload data'!$C:$C,'divisional &amp; regional caseload'!$B$64)</f>
        <v>0</v>
      </c>
      <c r="Q67" s="204">
        <f>SUMIFS('caseload data'!S:S,'caseload data'!$D:$D,"PSO",'caseload data'!$C:$C,'divisional &amp; regional caseload'!$B$64)</f>
        <v>0</v>
      </c>
      <c r="R67" s="204">
        <f>SUMIFS('caseload data'!T:T,'caseload data'!$D:$D,"PSO",'caseload data'!$C:$C,'divisional &amp; regional caseload'!$B$64)</f>
        <v>0</v>
      </c>
      <c r="S67" s="183"/>
      <c r="T67" s="130" t="s">
        <v>185</v>
      </c>
      <c r="U67" s="204">
        <f>SUMIFS('caseload data'!E:E,'caseload data'!$D:$D,"PSO",'caseload data'!$C:$C,'divisional &amp; regional caseload'!$T$64)</f>
        <v>0</v>
      </c>
      <c r="V67" s="204">
        <f>SUMIFS('caseload data'!F:F,'caseload data'!$D:$D,"PSO",'caseload data'!$C:$C,'divisional &amp; regional caseload'!$T$64)</f>
        <v>0</v>
      </c>
      <c r="W67" s="204">
        <f>SUMIFS('caseload data'!G:G,'caseload data'!$D:$D,"PSO",'caseload data'!$C:$C,'divisional &amp; regional caseload'!$T$64)</f>
        <v>0</v>
      </c>
      <c r="X67" s="204">
        <f>SUMIFS('caseload data'!H:H,'caseload data'!$D:$D,"PSO",'caseload data'!$C:$C,'divisional &amp; regional caseload'!$T$64)</f>
        <v>0</v>
      </c>
      <c r="Y67" s="204">
        <f>SUMIFS('caseload data'!I:I,'caseload data'!$D:$D,"PSO",'caseload data'!$C:$C,'divisional &amp; regional caseload'!$T$64)</f>
        <v>0</v>
      </c>
      <c r="Z67" s="204">
        <f>SUMIFS('caseload data'!J:J,'caseload data'!$D:$D,"PSO",'caseload data'!$C:$C,'divisional &amp; regional caseload'!$T$64)</f>
        <v>0</v>
      </c>
      <c r="AA67" s="204">
        <f>SUMIFS('caseload data'!K:K,'caseload data'!$D:$D,"PSO",'caseload data'!$C:$C,'divisional &amp; regional caseload'!$T$64)</f>
        <v>0</v>
      </c>
      <c r="AB67" s="204">
        <f>SUMIFS('caseload data'!L:L,'caseload data'!$D:$D,"PSO",'caseload data'!$C:$C,'divisional &amp; regional caseload'!$T$64)</f>
        <v>0</v>
      </c>
      <c r="AC67" s="204">
        <f>SUMIFS('caseload data'!M:M,'caseload data'!$D:$D,"PSO",'caseload data'!$C:$C,'divisional &amp; regional caseload'!$T$64)</f>
        <v>0</v>
      </c>
      <c r="AD67" s="204">
        <f>SUMIFS('caseload data'!N:N,'caseload data'!$D:$D,"PSO",'caseload data'!$C:$C,'divisional &amp; regional caseload'!$T$64)</f>
        <v>0</v>
      </c>
      <c r="AE67" s="204">
        <f>SUMIFS('caseload data'!O:O,'caseload data'!$D:$D,"PSO",'caseload data'!$C:$C,'divisional &amp; regional caseload'!$T$64)</f>
        <v>0</v>
      </c>
      <c r="AF67" s="204">
        <f>SUMIFS('caseload data'!P:P,'caseload data'!$D:$D,"PSO",'caseload data'!$C:$C,'divisional &amp; regional caseload'!$T$64)</f>
        <v>0</v>
      </c>
      <c r="AG67" s="204">
        <f>SUMIFS('caseload data'!Q:Q,'caseload data'!$D:$D,"PSO",'caseload data'!$C:$C,'divisional &amp; regional caseload'!$T$64)</f>
        <v>0</v>
      </c>
      <c r="AH67" s="204">
        <f>SUMIFS('caseload data'!R:R,'caseload data'!$D:$D,"PSO",'caseload data'!$C:$C,'divisional &amp; regional caseload'!$T$64)</f>
        <v>0</v>
      </c>
      <c r="AI67" s="204">
        <f>SUMIFS('caseload data'!S:S,'caseload data'!$D:$D,"PSO",'caseload data'!$C:$C,'divisional &amp; regional caseload'!$T$64)</f>
        <v>0</v>
      </c>
      <c r="AJ67" s="204">
        <f>SUMIFS('caseload data'!T:T,'caseload data'!$D:$D,"PSO",'caseload data'!$C:$C,'divisional &amp; regional caseload'!$T$64)</f>
        <v>0</v>
      </c>
    </row>
    <row r="68" spans="2:36" x14ac:dyDescent="0.15">
      <c r="B68" s="130" t="s">
        <v>186</v>
      </c>
      <c r="C68" s="204">
        <f>SUMIFS('caseload data'!E:E,'caseload data'!$D:$D,"TPO",'caseload data'!$C:$C,'divisional &amp; regional caseload'!$B$64)</f>
        <v>0</v>
      </c>
      <c r="D68" s="204">
        <f>SUMIFS('caseload data'!F:F,'caseload data'!$D:$D,"TPO",'caseload data'!$C:$C,'divisional &amp; regional caseload'!$B$64)</f>
        <v>0</v>
      </c>
      <c r="E68" s="204">
        <f>SUMIFS('caseload data'!G:G,'caseload data'!$D:$D,"TPO",'caseload data'!$C:$C,'divisional &amp; regional caseload'!$B$64)</f>
        <v>0</v>
      </c>
      <c r="F68" s="204">
        <f>SUMIFS('caseload data'!H:H,'caseload data'!$D:$D,"TPO",'caseload data'!$C:$C,'divisional &amp; regional caseload'!$B$64)</f>
        <v>0</v>
      </c>
      <c r="G68" s="204">
        <f>SUMIFS('caseload data'!I:I,'caseload data'!$D:$D,"TPO",'caseload data'!$C:$C,'divisional &amp; regional caseload'!$B$64)</f>
        <v>0</v>
      </c>
      <c r="H68" s="204">
        <f>SUMIFS('caseload data'!J:J,'caseload data'!$D:$D,"TPO",'caseload data'!$C:$C,'divisional &amp; regional caseload'!$B$64)</f>
        <v>0</v>
      </c>
      <c r="I68" s="204">
        <f>SUMIFS('caseload data'!K:K,'caseload data'!$D:$D,"TPO",'caseload data'!$C:$C,'divisional &amp; regional caseload'!$B$64)</f>
        <v>0</v>
      </c>
      <c r="J68" s="204">
        <f>SUMIFS('caseload data'!L:L,'caseload data'!$D:$D,"TPO",'caseload data'!$C:$C,'divisional &amp; regional caseload'!$B$64)</f>
        <v>0</v>
      </c>
      <c r="K68" s="204">
        <f>SUMIFS('caseload data'!M:M,'caseload data'!$D:$D,"TPO",'caseload data'!$C:$C,'divisional &amp; regional caseload'!$B$64)</f>
        <v>0</v>
      </c>
      <c r="L68" s="204">
        <f>SUMIFS('caseload data'!N:N,'caseload data'!$D:$D,"TPO",'caseload data'!$C:$C,'divisional &amp; regional caseload'!$B$64)</f>
        <v>0</v>
      </c>
      <c r="M68" s="204">
        <f>SUMIFS('caseload data'!O:O,'caseload data'!$D:$D,"TPO",'caseload data'!$C:$C,'divisional &amp; regional caseload'!$B$64)</f>
        <v>0</v>
      </c>
      <c r="N68" s="204">
        <f>SUMIFS('caseload data'!P:P,'caseload data'!$D:$D,"TPO",'caseload data'!$C:$C,'divisional &amp; regional caseload'!$B$64)</f>
        <v>0</v>
      </c>
      <c r="O68" s="204">
        <f>SUMIFS('caseload data'!Q:Q,'caseload data'!$D:$D,"TPO",'caseload data'!$C:$C,'divisional &amp; regional caseload'!$B$64)</f>
        <v>0</v>
      </c>
      <c r="P68" s="204">
        <f>SUMIFS('caseload data'!R:R,'caseload data'!$D:$D,"TPO",'caseload data'!$C:$C,'divisional &amp; regional caseload'!$B$64)</f>
        <v>0</v>
      </c>
      <c r="Q68" s="204">
        <f>SUMIFS('caseload data'!S:S,'caseload data'!$D:$D,"TPO",'caseload data'!$C:$C,'divisional &amp; regional caseload'!$B$64)</f>
        <v>0</v>
      </c>
      <c r="R68" s="204">
        <f>SUMIFS('caseload data'!T:T,'caseload data'!$D:$D,"TPO",'caseload data'!$C:$C,'divisional &amp; regional caseload'!$B$64)</f>
        <v>0</v>
      </c>
      <c r="S68" s="183"/>
      <c r="T68" s="130" t="s">
        <v>186</v>
      </c>
      <c r="U68" s="204">
        <f>SUMIFS('caseload data'!E:E,'caseload data'!$D:$D,"TPO",'caseload data'!$C:$C,'divisional &amp; regional caseload'!$T$64)</f>
        <v>0</v>
      </c>
      <c r="V68" s="204">
        <f>SUMIFS('caseload data'!F:F,'caseload data'!$D:$D,"TPO",'caseload data'!$C:$C,'divisional &amp; regional caseload'!$T$64)</f>
        <v>0</v>
      </c>
      <c r="W68" s="204">
        <f>SUMIFS('caseload data'!G:G,'caseload data'!$D:$D,"TPO",'caseload data'!$C:$C,'divisional &amp; regional caseload'!$T$64)</f>
        <v>0</v>
      </c>
      <c r="X68" s="204">
        <f>SUMIFS('caseload data'!H:H,'caseload data'!$D:$D,"TPO",'caseload data'!$C:$C,'divisional &amp; regional caseload'!$T$64)</f>
        <v>0</v>
      </c>
      <c r="Y68" s="204">
        <f>SUMIFS('caseload data'!I:I,'caseload data'!$D:$D,"TPO",'caseload data'!$C:$C,'divisional &amp; regional caseload'!$T$64)</f>
        <v>0</v>
      </c>
      <c r="Z68" s="204">
        <f>SUMIFS('caseload data'!J:J,'caseload data'!$D:$D,"TPO",'caseload data'!$C:$C,'divisional &amp; regional caseload'!$T$64)</f>
        <v>0</v>
      </c>
      <c r="AA68" s="204">
        <f>SUMIFS('caseload data'!K:K,'caseload data'!$D:$D,"TPO",'caseload data'!$C:$C,'divisional &amp; regional caseload'!$T$64)</f>
        <v>0</v>
      </c>
      <c r="AB68" s="204">
        <f>SUMIFS('caseload data'!L:L,'caseload data'!$D:$D,"TPO",'caseload data'!$C:$C,'divisional &amp; regional caseload'!$T$64)</f>
        <v>0</v>
      </c>
      <c r="AC68" s="204">
        <f>SUMIFS('caseload data'!M:M,'caseload data'!$D:$D,"TPO",'caseload data'!$C:$C,'divisional &amp; regional caseload'!$T$64)</f>
        <v>0</v>
      </c>
      <c r="AD68" s="204">
        <f>SUMIFS('caseload data'!N:N,'caseload data'!$D:$D,"TPO",'caseload data'!$C:$C,'divisional &amp; regional caseload'!$T$64)</f>
        <v>0</v>
      </c>
      <c r="AE68" s="204">
        <f>SUMIFS('caseload data'!O:O,'caseload data'!$D:$D,"TPO",'caseload data'!$C:$C,'divisional &amp; regional caseload'!$T$64)</f>
        <v>0</v>
      </c>
      <c r="AF68" s="204">
        <f>SUMIFS('caseload data'!P:P,'caseload data'!$D:$D,"TPO",'caseload data'!$C:$C,'divisional &amp; regional caseload'!$T$64)</f>
        <v>0</v>
      </c>
      <c r="AG68" s="204">
        <f>SUMIFS('caseload data'!Q:Q,'caseload data'!$D:$D,"TPO",'caseload data'!$C:$C,'divisional &amp; regional caseload'!$T$64)</f>
        <v>0</v>
      </c>
      <c r="AH68" s="204">
        <f>SUMIFS('caseload data'!R:R,'caseload data'!$D:$D,"TPO",'caseload data'!$C:$C,'divisional &amp; regional caseload'!$T$64)</f>
        <v>0</v>
      </c>
      <c r="AI68" s="204">
        <f>SUMIFS('caseload data'!S:S,'caseload data'!$D:$D,"TPO",'caseload data'!$C:$C,'divisional &amp; regional caseload'!$T$64)</f>
        <v>0</v>
      </c>
      <c r="AJ68" s="204">
        <f>SUMIFS('caseload data'!T:T,'caseload data'!$D:$D,"TPO",'caseload data'!$C:$C,'divisional &amp; regional caseload'!$T$64)</f>
        <v>0</v>
      </c>
    </row>
    <row r="69" spans="2:36" x14ac:dyDescent="0.15">
      <c r="B69" s="131" t="s">
        <v>187</v>
      </c>
      <c r="C69" s="204">
        <f>SUMIFS('caseload data'!E:E,'caseload data'!$D:$D,"SPO",'caseload data'!$C:$C,'divisional &amp; regional caseload'!$B$64)</f>
        <v>0</v>
      </c>
      <c r="D69" s="204">
        <f>SUMIFS('caseload data'!F:F,'caseload data'!$D:$D,"SPO",'caseload data'!$C:$C,'divisional &amp; regional caseload'!$B$64)</f>
        <v>0</v>
      </c>
      <c r="E69" s="204">
        <f>SUMIFS('caseload data'!G:G,'caseload data'!$D:$D,"SPO",'caseload data'!$C:$C,'divisional &amp; regional caseload'!$B$64)</f>
        <v>0</v>
      </c>
      <c r="F69" s="204">
        <f>SUMIFS('caseload data'!H:H,'caseload data'!$D:$D,"SPO",'caseload data'!$C:$C,'divisional &amp; regional caseload'!$B$64)</f>
        <v>0</v>
      </c>
      <c r="G69" s="204">
        <f>SUMIFS('caseload data'!I:I,'caseload data'!$D:$D,"SPO",'caseload data'!$C:$C,'divisional &amp; regional caseload'!$B$64)</f>
        <v>0</v>
      </c>
      <c r="H69" s="204">
        <f>SUMIFS('caseload data'!J:J,'caseload data'!$D:$D,"SPO",'caseload data'!$C:$C,'divisional &amp; regional caseload'!$B$64)</f>
        <v>0</v>
      </c>
      <c r="I69" s="204">
        <f>SUMIFS('caseload data'!K:K,'caseload data'!$D:$D,"SPO",'caseload data'!$C:$C,'divisional &amp; regional caseload'!$B$64)</f>
        <v>0</v>
      </c>
      <c r="J69" s="204">
        <f>SUMIFS('caseload data'!L:L,'caseload data'!$D:$D,"SPO",'caseload data'!$C:$C,'divisional &amp; regional caseload'!$B$64)</f>
        <v>0</v>
      </c>
      <c r="K69" s="204">
        <f>SUMIFS('caseload data'!M:M,'caseload data'!$D:$D,"SPO",'caseload data'!$C:$C,'divisional &amp; regional caseload'!$B$64)</f>
        <v>0</v>
      </c>
      <c r="L69" s="204">
        <f>SUMIFS('caseload data'!N:N,'caseload data'!$D:$D,"SPO",'caseload data'!$C:$C,'divisional &amp; regional caseload'!$B$64)</f>
        <v>0</v>
      </c>
      <c r="M69" s="204">
        <f>SUMIFS('caseload data'!O:O,'caseload data'!$D:$D,"SPO",'caseload data'!$C:$C,'divisional &amp; regional caseload'!$B$64)</f>
        <v>0</v>
      </c>
      <c r="N69" s="204">
        <f>SUMIFS('caseload data'!P:P,'caseload data'!$D:$D,"SPO",'caseload data'!$C:$C,'divisional &amp; regional caseload'!$B$64)</f>
        <v>0</v>
      </c>
      <c r="O69" s="204">
        <f>SUMIFS('caseload data'!Q:Q,'caseload data'!$D:$D,"SPO",'caseload data'!$C:$C,'divisional &amp; regional caseload'!$B$64)</f>
        <v>0</v>
      </c>
      <c r="P69" s="204">
        <f>SUMIFS('caseload data'!R:R,'caseload data'!$D:$D,"SPO",'caseload data'!$C:$C,'divisional &amp; regional caseload'!$B$64)</f>
        <v>0</v>
      </c>
      <c r="Q69" s="204">
        <f>SUMIFS('caseload data'!S:S,'caseload data'!$D:$D,"SPO",'caseload data'!$C:$C,'divisional &amp; regional caseload'!$B$64)</f>
        <v>0</v>
      </c>
      <c r="R69" s="204">
        <f>SUMIFS('caseload data'!T:T,'caseload data'!$D:$D,"SPO",'caseload data'!$C:$C,'divisional &amp; regional caseload'!$B$64)</f>
        <v>0</v>
      </c>
      <c r="S69" s="183"/>
      <c r="T69" s="131" t="s">
        <v>187</v>
      </c>
      <c r="U69" s="204">
        <f>SUMIFS('caseload data'!E:E,'caseload data'!$D:$D,"SPO",'caseload data'!$C:$C,'divisional &amp; regional caseload'!$T$64)</f>
        <v>0</v>
      </c>
      <c r="V69" s="204">
        <f>SUMIFS('caseload data'!F:F,'caseload data'!$D:$D,"SPO",'caseload data'!$C:$C,'divisional &amp; regional caseload'!$T$64)</f>
        <v>0</v>
      </c>
      <c r="W69" s="204">
        <f>SUMIFS('caseload data'!G:G,'caseload data'!$D:$D,"SPO",'caseload data'!$C:$C,'divisional &amp; regional caseload'!$T$64)</f>
        <v>0</v>
      </c>
      <c r="X69" s="204">
        <f>SUMIFS('caseload data'!H:H,'caseload data'!$D:$D,"SPO",'caseload data'!$C:$C,'divisional &amp; regional caseload'!$T$64)</f>
        <v>0</v>
      </c>
      <c r="Y69" s="204">
        <f>SUMIFS('caseload data'!I:I,'caseload data'!$D:$D,"SPO",'caseload data'!$C:$C,'divisional &amp; regional caseload'!$T$64)</f>
        <v>0</v>
      </c>
      <c r="Z69" s="204">
        <f>SUMIFS('caseload data'!J:J,'caseload data'!$D:$D,"SPO",'caseload data'!$C:$C,'divisional &amp; regional caseload'!$T$64)</f>
        <v>0</v>
      </c>
      <c r="AA69" s="204">
        <f>SUMIFS('caseload data'!K:K,'caseload data'!$D:$D,"SPO",'caseload data'!$C:$C,'divisional &amp; regional caseload'!$T$64)</f>
        <v>0</v>
      </c>
      <c r="AB69" s="204">
        <f>SUMIFS('caseload data'!L:L,'caseload data'!$D:$D,"SPO",'caseload data'!$C:$C,'divisional &amp; regional caseload'!$T$64)</f>
        <v>0</v>
      </c>
      <c r="AC69" s="204">
        <f>SUMIFS('caseload data'!M:M,'caseload data'!$D:$D,"SPO",'caseload data'!$C:$C,'divisional &amp; regional caseload'!$T$64)</f>
        <v>0</v>
      </c>
      <c r="AD69" s="204">
        <f>SUMIFS('caseload data'!N:N,'caseload data'!$D:$D,"SPO",'caseload data'!$C:$C,'divisional &amp; regional caseload'!$T$64)</f>
        <v>0</v>
      </c>
      <c r="AE69" s="204">
        <f>SUMIFS('caseload data'!O:O,'caseload data'!$D:$D,"SPO",'caseload data'!$C:$C,'divisional &amp; regional caseload'!$T$64)</f>
        <v>0</v>
      </c>
      <c r="AF69" s="204">
        <f>SUMIFS('caseload data'!P:P,'caseload data'!$D:$D,"SPO",'caseload data'!$C:$C,'divisional &amp; regional caseload'!$T$64)</f>
        <v>0</v>
      </c>
      <c r="AG69" s="204">
        <f>SUMIFS('caseload data'!Q:Q,'caseload data'!$D:$D,"SPO",'caseload data'!$C:$C,'divisional &amp; regional caseload'!$T$64)</f>
        <v>0</v>
      </c>
      <c r="AH69" s="204">
        <f>SUMIFS('caseload data'!R:R,'caseload data'!$D:$D,"SPO",'caseload data'!$C:$C,'divisional &amp; regional caseload'!$T$64)</f>
        <v>0</v>
      </c>
      <c r="AI69" s="204">
        <f>SUMIFS('caseload data'!S:S,'caseload data'!$D:$D,"SPO",'caseload data'!$C:$C,'divisional &amp; regional caseload'!$T$64)</f>
        <v>0</v>
      </c>
      <c r="AJ69" s="204">
        <f>SUMIFS('caseload data'!T:T,'caseload data'!$D:$D,"SPO",'caseload data'!$C:$C,'divisional &amp; regional caseload'!$T$64)</f>
        <v>0</v>
      </c>
    </row>
    <row r="71" spans="2:36" ht="41.25" customHeight="1" x14ac:dyDescent="0.15">
      <c r="B71" s="182">
        <f>HLOOKUP($B$5,Region_Table,20,0)</f>
        <v>0</v>
      </c>
      <c r="C71" s="359" t="s">
        <v>363</v>
      </c>
      <c r="D71" s="365"/>
      <c r="E71" s="365"/>
      <c r="F71" s="365"/>
      <c r="G71" s="365"/>
      <c r="H71" s="365"/>
      <c r="I71" s="365"/>
      <c r="J71" s="365"/>
      <c r="K71" s="365"/>
      <c r="L71" s="365"/>
      <c r="M71" s="360"/>
      <c r="N71" s="360"/>
      <c r="O71" s="361"/>
      <c r="P71" s="362">
        <f>SUMIF('caseload data'!$C:$C,'divisional &amp; regional caseload'!B71,'caseload data'!V:V)</f>
        <v>0</v>
      </c>
      <c r="Q71" s="363"/>
      <c r="R71" s="364"/>
      <c r="S71" s="30"/>
      <c r="T71" s="30"/>
      <c r="U71" s="30"/>
      <c r="V71" s="30"/>
      <c r="W71" s="30"/>
      <c r="X71" s="30"/>
      <c r="Y71" s="30"/>
      <c r="Z71" s="30"/>
      <c r="AA71" s="30"/>
    </row>
    <row r="72" spans="2:36" x14ac:dyDescent="0.15">
      <c r="B72" s="127" t="s">
        <v>324</v>
      </c>
      <c r="C72" s="58" t="s">
        <v>504</v>
      </c>
      <c r="D72" s="58" t="s">
        <v>503</v>
      </c>
      <c r="E72" s="58" t="s">
        <v>502</v>
      </c>
      <c r="F72" s="58" t="s">
        <v>501</v>
      </c>
      <c r="G72" s="58" t="s">
        <v>510</v>
      </c>
      <c r="H72" s="58" t="s">
        <v>176</v>
      </c>
      <c r="I72" s="58" t="s">
        <v>177</v>
      </c>
      <c r="J72" s="58" t="s">
        <v>505</v>
      </c>
      <c r="K72" s="58" t="s">
        <v>507</v>
      </c>
      <c r="L72" s="58" t="s">
        <v>178</v>
      </c>
      <c r="M72" s="58" t="s">
        <v>179</v>
      </c>
      <c r="N72" s="58" t="s">
        <v>506</v>
      </c>
      <c r="O72" s="58" t="s">
        <v>508</v>
      </c>
      <c r="P72" s="58" t="s">
        <v>180</v>
      </c>
      <c r="Q72" s="58" t="s">
        <v>181</v>
      </c>
      <c r="R72" s="58" t="s">
        <v>509</v>
      </c>
      <c r="S72" s="30"/>
      <c r="T72" s="30"/>
      <c r="U72" s="30"/>
      <c r="V72" s="30"/>
      <c r="W72" s="30"/>
      <c r="X72" s="30"/>
      <c r="Y72" s="30"/>
      <c r="Z72" s="30"/>
      <c r="AA72" s="30"/>
    </row>
    <row r="73" spans="2:36" x14ac:dyDescent="0.15">
      <c r="B73" s="129" t="s">
        <v>184</v>
      </c>
      <c r="C73" s="204">
        <f>SUMIFS('caseload data'!E:E,'caseload data'!$D:$D,"PO",'caseload data'!$C:$C,'divisional &amp; regional caseload'!$B$71)</f>
        <v>0</v>
      </c>
      <c r="D73" s="204">
        <f>SUMIFS('caseload data'!F:F,'caseload data'!$D:$D,"PO",'caseload data'!$C:$C,'divisional &amp; regional caseload'!$B$71)</f>
        <v>0</v>
      </c>
      <c r="E73" s="204">
        <f>SUMIFS('caseload data'!G:G,'caseload data'!$D:$D,"PO",'caseload data'!$C:$C,'divisional &amp; regional caseload'!$B$71)</f>
        <v>0</v>
      </c>
      <c r="F73" s="204">
        <f>SUMIFS('caseload data'!H:H,'caseload data'!$D:$D,"PO",'caseload data'!$C:$C,'divisional &amp; regional caseload'!$B$71)</f>
        <v>0</v>
      </c>
      <c r="G73" s="204">
        <f>SUMIFS('caseload data'!I:I,'caseload data'!$D:$D,"PO",'caseload data'!$C:$C,'divisional &amp; regional caseload'!$B$71)</f>
        <v>0</v>
      </c>
      <c r="H73" s="204">
        <f>SUMIFS('caseload data'!J:J,'caseload data'!$D:$D,"PO",'caseload data'!$C:$C,'divisional &amp; regional caseload'!$B$71)</f>
        <v>0</v>
      </c>
      <c r="I73" s="204">
        <f>SUMIFS('caseload data'!K:K,'caseload data'!$D:$D,"PO",'caseload data'!$C:$C,'divisional &amp; regional caseload'!$B$71)</f>
        <v>0</v>
      </c>
      <c r="J73" s="204">
        <f>SUMIFS('caseload data'!L:L,'caseload data'!$D:$D,"PO",'caseload data'!$C:$C,'divisional &amp; regional caseload'!$B$71)</f>
        <v>0</v>
      </c>
      <c r="K73" s="204">
        <f>SUMIFS('caseload data'!M:M,'caseload data'!$D:$D,"PO",'caseload data'!$C:$C,'divisional &amp; regional caseload'!$B$71)</f>
        <v>0</v>
      </c>
      <c r="L73" s="204">
        <f>SUMIFS('caseload data'!N:N,'caseload data'!$D:$D,"PO",'caseload data'!$C:$C,'divisional &amp; regional caseload'!$B$71)</f>
        <v>0</v>
      </c>
      <c r="M73" s="204">
        <f>SUMIFS('caseload data'!O:O,'caseload data'!$D:$D,"PO",'caseload data'!$C:$C,'divisional &amp; regional caseload'!$B$71)</f>
        <v>0</v>
      </c>
      <c r="N73" s="204">
        <f>SUMIFS('caseload data'!P:P,'caseload data'!$D:$D,"PO",'caseload data'!$C:$C,'divisional &amp; regional caseload'!$B$71)</f>
        <v>0</v>
      </c>
      <c r="O73" s="204">
        <f>SUMIFS('caseload data'!Q:Q,'caseload data'!$D:$D,"PO",'caseload data'!$C:$C,'divisional &amp; regional caseload'!$B$71)</f>
        <v>0</v>
      </c>
      <c r="P73" s="204">
        <f>SUMIFS('caseload data'!R:R,'caseload data'!$D:$D,"PO",'caseload data'!$C:$C,'divisional &amp; regional caseload'!$B$71)</f>
        <v>0</v>
      </c>
      <c r="Q73" s="204">
        <f>SUMIFS('caseload data'!S:S,'caseload data'!$D:$D,"PO",'caseload data'!$C:$C,'divisional &amp; regional caseload'!$B$71)</f>
        <v>0</v>
      </c>
      <c r="R73" s="204">
        <f>SUMIFS('caseload data'!T:T,'caseload data'!$D:$D,"PO",'caseload data'!$C:$C,'divisional &amp; regional caseload'!$B$71)</f>
        <v>0</v>
      </c>
      <c r="S73" s="30"/>
      <c r="T73" s="30"/>
      <c r="U73" s="30"/>
      <c r="V73" s="30"/>
      <c r="W73" s="30"/>
      <c r="X73" s="30"/>
      <c r="Y73" s="30"/>
      <c r="Z73" s="30"/>
      <c r="AA73" s="30"/>
    </row>
    <row r="74" spans="2:36" x14ac:dyDescent="0.15">
      <c r="B74" s="130" t="s">
        <v>185</v>
      </c>
      <c r="C74" s="204">
        <f>SUMIFS('caseload data'!E:E,'caseload data'!$D:$D,"PSO",'caseload data'!$C:$C,'divisional &amp; regional caseload'!$B$71)</f>
        <v>0</v>
      </c>
      <c r="D74" s="204">
        <f>SUMIFS('caseload data'!F:F,'caseload data'!$D:$D,"PSO",'caseload data'!$C:$C,'divisional &amp; regional caseload'!$B$71)</f>
        <v>0</v>
      </c>
      <c r="E74" s="204">
        <f>SUMIFS('caseload data'!G:G,'caseload data'!$D:$D,"PSO",'caseload data'!$C:$C,'divisional &amp; regional caseload'!$B$71)</f>
        <v>0</v>
      </c>
      <c r="F74" s="204">
        <f>SUMIFS('caseload data'!H:H,'caseload data'!$D:$D,"PSO",'caseload data'!$C:$C,'divisional &amp; regional caseload'!$B$71)</f>
        <v>0</v>
      </c>
      <c r="G74" s="204">
        <f>SUMIFS('caseload data'!I:I,'caseload data'!$D:$D,"PSO",'caseload data'!$C:$C,'divisional &amp; regional caseload'!$B$71)</f>
        <v>0</v>
      </c>
      <c r="H74" s="204">
        <f>SUMIFS('caseload data'!J:J,'caseload data'!$D:$D,"PSO",'caseload data'!$C:$C,'divisional &amp; regional caseload'!$B$71)</f>
        <v>0</v>
      </c>
      <c r="I74" s="204">
        <f>SUMIFS('caseload data'!K:K,'caseload data'!$D:$D,"PSO",'caseload data'!$C:$C,'divisional &amp; regional caseload'!$B$71)</f>
        <v>0</v>
      </c>
      <c r="J74" s="204">
        <f>SUMIFS('caseload data'!L:L,'caseload data'!$D:$D,"PSO",'caseload data'!$C:$C,'divisional &amp; regional caseload'!$B$71)</f>
        <v>0</v>
      </c>
      <c r="K74" s="204">
        <f>SUMIFS('caseload data'!M:M,'caseload data'!$D:$D,"PSO",'caseload data'!$C:$C,'divisional &amp; regional caseload'!$B$71)</f>
        <v>0</v>
      </c>
      <c r="L74" s="204">
        <f>SUMIFS('caseload data'!N:N,'caseload data'!$D:$D,"PSO",'caseload data'!$C:$C,'divisional &amp; regional caseload'!$B$71)</f>
        <v>0</v>
      </c>
      <c r="M74" s="204">
        <f>SUMIFS('caseload data'!O:O,'caseload data'!$D:$D,"PSO",'caseload data'!$C:$C,'divisional &amp; regional caseload'!$B$71)</f>
        <v>0</v>
      </c>
      <c r="N74" s="204">
        <f>SUMIFS('caseload data'!P:P,'caseload data'!$D:$D,"PSO",'caseload data'!$C:$C,'divisional &amp; regional caseload'!$B$71)</f>
        <v>0</v>
      </c>
      <c r="O74" s="204">
        <f>SUMIFS('caseload data'!Q:Q,'caseload data'!$D:$D,"PSO",'caseload data'!$C:$C,'divisional &amp; regional caseload'!$B$71)</f>
        <v>0</v>
      </c>
      <c r="P74" s="204">
        <f>SUMIFS('caseload data'!R:R,'caseload data'!$D:$D,"PSO",'caseload data'!$C:$C,'divisional &amp; regional caseload'!$B$71)</f>
        <v>0</v>
      </c>
      <c r="Q74" s="204">
        <f>SUMIFS('caseload data'!S:S,'caseload data'!$D:$D,"PSO",'caseload data'!$C:$C,'divisional &amp; regional caseload'!$B$71)</f>
        <v>0</v>
      </c>
      <c r="R74" s="204">
        <f>SUMIFS('caseload data'!T:T,'caseload data'!$D:$D,"PSO",'caseload data'!$C:$C,'divisional &amp; regional caseload'!$B$71)</f>
        <v>0</v>
      </c>
      <c r="S74" s="30"/>
      <c r="T74" s="30"/>
      <c r="U74" s="30"/>
      <c r="V74" s="30"/>
      <c r="W74" s="30"/>
      <c r="X74" s="30"/>
      <c r="Y74" s="30"/>
      <c r="Z74" s="30"/>
      <c r="AA74" s="30"/>
    </row>
    <row r="75" spans="2:36" x14ac:dyDescent="0.15">
      <c r="B75" s="130" t="s">
        <v>186</v>
      </c>
      <c r="C75" s="204">
        <f>SUMIFS('caseload data'!E:E,'caseload data'!$D:$D,"TPO",'caseload data'!$C:$C,'divisional &amp; regional caseload'!$B$71)</f>
        <v>0</v>
      </c>
      <c r="D75" s="204">
        <f>SUMIFS('caseload data'!F:F,'caseload data'!$D:$D,"TPO",'caseload data'!$C:$C,'divisional &amp; regional caseload'!$B$71)</f>
        <v>0</v>
      </c>
      <c r="E75" s="204">
        <f>SUMIFS('caseload data'!G:G,'caseload data'!$D:$D,"TPO",'caseload data'!$C:$C,'divisional &amp; regional caseload'!$B$71)</f>
        <v>0</v>
      </c>
      <c r="F75" s="204">
        <f>SUMIFS('caseload data'!H:H,'caseload data'!$D:$D,"TPO",'caseload data'!$C:$C,'divisional &amp; regional caseload'!$B$71)</f>
        <v>0</v>
      </c>
      <c r="G75" s="204">
        <f>SUMIFS('caseload data'!I:I,'caseload data'!$D:$D,"TPO",'caseload data'!$C:$C,'divisional &amp; regional caseload'!$B$71)</f>
        <v>0</v>
      </c>
      <c r="H75" s="204">
        <f>SUMIFS('caseload data'!J:J,'caseload data'!$D:$D,"TPO",'caseload data'!$C:$C,'divisional &amp; regional caseload'!$B$71)</f>
        <v>0</v>
      </c>
      <c r="I75" s="204">
        <f>SUMIFS('caseload data'!K:K,'caseload data'!$D:$D,"TPO",'caseload data'!$C:$C,'divisional &amp; regional caseload'!$B$71)</f>
        <v>0</v>
      </c>
      <c r="J75" s="204">
        <f>SUMIFS('caseload data'!L:L,'caseload data'!$D:$D,"TPO",'caseload data'!$C:$C,'divisional &amp; regional caseload'!$B$71)</f>
        <v>0</v>
      </c>
      <c r="K75" s="204">
        <f>SUMIFS('caseload data'!M:M,'caseload data'!$D:$D,"TPO",'caseload data'!$C:$C,'divisional &amp; regional caseload'!$B$71)</f>
        <v>0</v>
      </c>
      <c r="L75" s="204">
        <f>SUMIFS('caseload data'!N:N,'caseload data'!$D:$D,"TPO",'caseload data'!$C:$C,'divisional &amp; regional caseload'!$B$71)</f>
        <v>0</v>
      </c>
      <c r="M75" s="204">
        <f>SUMIFS('caseload data'!O:O,'caseload data'!$D:$D,"TPO",'caseload data'!$C:$C,'divisional &amp; regional caseload'!$B$71)</f>
        <v>0</v>
      </c>
      <c r="N75" s="204">
        <f>SUMIFS('caseload data'!P:P,'caseload data'!$D:$D,"TPO",'caseload data'!$C:$C,'divisional &amp; regional caseload'!$B$71)</f>
        <v>0</v>
      </c>
      <c r="O75" s="204">
        <f>SUMIFS('caseload data'!Q:Q,'caseload data'!$D:$D,"TPO",'caseload data'!$C:$C,'divisional &amp; regional caseload'!$B$71)</f>
        <v>0</v>
      </c>
      <c r="P75" s="204">
        <f>SUMIFS('caseload data'!R:R,'caseload data'!$D:$D,"TPO",'caseload data'!$C:$C,'divisional &amp; regional caseload'!$B$71)</f>
        <v>0</v>
      </c>
      <c r="Q75" s="204">
        <f>SUMIFS('caseload data'!S:S,'caseload data'!$D:$D,"TPO",'caseload data'!$C:$C,'divisional &amp; regional caseload'!$B$71)</f>
        <v>0</v>
      </c>
      <c r="R75" s="204">
        <f>SUMIFS('caseload data'!T:T,'caseload data'!$D:$D,"TPO",'caseload data'!$C:$C,'divisional &amp; regional caseload'!$B$71)</f>
        <v>0</v>
      </c>
      <c r="S75" s="30"/>
      <c r="T75" s="30"/>
      <c r="U75" s="30"/>
      <c r="V75" s="30"/>
      <c r="W75" s="30"/>
      <c r="X75" s="30"/>
      <c r="Y75" s="30"/>
      <c r="Z75" s="30"/>
      <c r="AA75" s="30"/>
    </row>
    <row r="76" spans="2:36" x14ac:dyDescent="0.15">
      <c r="B76" s="131" t="s">
        <v>187</v>
      </c>
      <c r="C76" s="204">
        <f>SUMIFS('caseload data'!E:E,'caseload data'!$D:$D,"SPO",'caseload data'!$C:$C,'divisional &amp; regional caseload'!$B$71)</f>
        <v>0</v>
      </c>
      <c r="D76" s="204">
        <f>SUMIFS('caseload data'!F:F,'caseload data'!$D:$D,"SPO",'caseload data'!$C:$C,'divisional &amp; regional caseload'!$B$71)</f>
        <v>0</v>
      </c>
      <c r="E76" s="204">
        <f>SUMIFS('caseload data'!G:G,'caseload data'!$D:$D,"SPO",'caseload data'!$C:$C,'divisional &amp; regional caseload'!$B$71)</f>
        <v>0</v>
      </c>
      <c r="F76" s="204">
        <f>SUMIFS('caseload data'!H:H,'caseload data'!$D:$D,"SPO",'caseload data'!$C:$C,'divisional &amp; regional caseload'!$B$71)</f>
        <v>0</v>
      </c>
      <c r="G76" s="204">
        <f>SUMIFS('caseload data'!I:I,'caseload data'!$D:$D,"SPO",'caseload data'!$C:$C,'divisional &amp; regional caseload'!$B$71)</f>
        <v>0</v>
      </c>
      <c r="H76" s="204">
        <f>SUMIFS('caseload data'!J:J,'caseload data'!$D:$D,"SPO",'caseload data'!$C:$C,'divisional &amp; regional caseload'!$B$71)</f>
        <v>0</v>
      </c>
      <c r="I76" s="204">
        <f>SUMIFS('caseload data'!K:K,'caseload data'!$D:$D,"SPO",'caseload data'!$C:$C,'divisional &amp; regional caseload'!$B$71)</f>
        <v>0</v>
      </c>
      <c r="J76" s="204">
        <f>SUMIFS('caseload data'!L:L,'caseload data'!$D:$D,"SPO",'caseload data'!$C:$C,'divisional &amp; regional caseload'!$B$71)</f>
        <v>0</v>
      </c>
      <c r="K76" s="204">
        <f>SUMIFS('caseload data'!M:M,'caseload data'!$D:$D,"SPO",'caseload data'!$C:$C,'divisional &amp; regional caseload'!$B$71)</f>
        <v>0</v>
      </c>
      <c r="L76" s="204">
        <f>SUMIFS('caseload data'!N:N,'caseload data'!$D:$D,"SPO",'caseload data'!$C:$C,'divisional &amp; regional caseload'!$B$71)</f>
        <v>0</v>
      </c>
      <c r="M76" s="204">
        <f>SUMIFS('caseload data'!O:O,'caseload data'!$D:$D,"SPO",'caseload data'!$C:$C,'divisional &amp; regional caseload'!$B$71)</f>
        <v>0</v>
      </c>
      <c r="N76" s="204">
        <f>SUMIFS('caseload data'!P:P,'caseload data'!$D:$D,"SPO",'caseload data'!$C:$C,'divisional &amp; regional caseload'!$B$71)</f>
        <v>0</v>
      </c>
      <c r="O76" s="204">
        <f>SUMIFS('caseload data'!Q:Q,'caseload data'!$D:$D,"SPO",'caseload data'!$C:$C,'divisional &amp; regional caseload'!$B$71)</f>
        <v>0</v>
      </c>
      <c r="P76" s="204">
        <f>SUMIFS('caseload data'!R:R,'caseload data'!$D:$D,"SPO",'caseload data'!$C:$C,'divisional &amp; regional caseload'!$B$71)</f>
        <v>0</v>
      </c>
      <c r="Q76" s="204">
        <f>SUMIFS('caseload data'!S:S,'caseload data'!$D:$D,"SPO",'caseload data'!$C:$C,'divisional &amp; regional caseload'!$B$71)</f>
        <v>0</v>
      </c>
      <c r="R76" s="204">
        <f>SUMIFS('caseload data'!T:T,'caseload data'!$D:$D,"SPO",'caseload data'!$C:$C,'divisional &amp; regional caseload'!$B$71)</f>
        <v>0</v>
      </c>
      <c r="S76" s="30"/>
      <c r="T76" s="30"/>
      <c r="U76" s="30"/>
      <c r="V76" s="30"/>
      <c r="W76" s="30"/>
      <c r="X76" s="30"/>
      <c r="Y76" s="30"/>
      <c r="Z76" s="30"/>
      <c r="AA76" s="30"/>
    </row>
  </sheetData>
  <mergeCells count="40">
    <mergeCell ref="C64:O64"/>
    <mergeCell ref="P64:R64"/>
    <mergeCell ref="U64:X64"/>
    <mergeCell ref="Y64:AA64"/>
    <mergeCell ref="C71:O71"/>
    <mergeCell ref="P71:R71"/>
    <mergeCell ref="A1:AO1"/>
    <mergeCell ref="A2:AO2"/>
    <mergeCell ref="U57:X57"/>
    <mergeCell ref="C8:O8"/>
    <mergeCell ref="P8:R8"/>
    <mergeCell ref="C15:O15"/>
    <mergeCell ref="P15:R15"/>
    <mergeCell ref="C22:O22"/>
    <mergeCell ref="P22:R22"/>
    <mergeCell ref="C29:O29"/>
    <mergeCell ref="P29:R29"/>
    <mergeCell ref="C50:O50"/>
    <mergeCell ref="P50:R50"/>
    <mergeCell ref="C57:O57"/>
    <mergeCell ref="C36:O36"/>
    <mergeCell ref="P36:R36"/>
    <mergeCell ref="U29:X29"/>
    <mergeCell ref="Y29:AA29"/>
    <mergeCell ref="U36:X36"/>
    <mergeCell ref="Y36:AA36"/>
    <mergeCell ref="U43:X43"/>
    <mergeCell ref="Y43:AA43"/>
    <mergeCell ref="U8:X8"/>
    <mergeCell ref="Y8:AA8"/>
    <mergeCell ref="U15:X15"/>
    <mergeCell ref="Y15:AA15"/>
    <mergeCell ref="U22:X22"/>
    <mergeCell ref="Y22:AA22"/>
    <mergeCell ref="U50:X50"/>
    <mergeCell ref="Y50:AA50"/>
    <mergeCell ref="C43:O43"/>
    <mergeCell ref="P43:R43"/>
    <mergeCell ref="Y57:AA57"/>
    <mergeCell ref="P57:R57"/>
  </mergeCells>
  <conditionalFormatting sqref="C11:C12">
    <cfRule type="cellIs" dxfId="3425" priority="639" operator="equal">
      <formula>0</formula>
    </cfRule>
    <cfRule type="cellIs" dxfId="3424" priority="640" operator="notEqual">
      <formula>0</formula>
    </cfRule>
  </conditionalFormatting>
  <conditionalFormatting sqref="D11:D12">
    <cfRule type="cellIs" dxfId="3423" priority="637" operator="equal">
      <formula>0</formula>
    </cfRule>
    <cfRule type="cellIs" dxfId="3422" priority="638" operator="notEqual">
      <formula>0</formula>
    </cfRule>
  </conditionalFormatting>
  <conditionalFormatting sqref="E11:E12">
    <cfRule type="cellIs" dxfId="3421" priority="635" operator="equal">
      <formula>0</formula>
    </cfRule>
    <cfRule type="cellIs" dxfId="3420" priority="636" operator="notEqual">
      <formula>0</formula>
    </cfRule>
  </conditionalFormatting>
  <conditionalFormatting sqref="F11:F12">
    <cfRule type="cellIs" dxfId="3419" priority="633" operator="equal">
      <formula>0</formula>
    </cfRule>
    <cfRule type="cellIs" dxfId="3418" priority="634" operator="notEqual">
      <formula>0</formula>
    </cfRule>
  </conditionalFormatting>
  <conditionalFormatting sqref="G11:G12">
    <cfRule type="cellIs" dxfId="3417" priority="631" operator="equal">
      <formula>0</formula>
    </cfRule>
    <cfRule type="cellIs" dxfId="3416" priority="632" operator="notEqual">
      <formula>0</formula>
    </cfRule>
  </conditionalFormatting>
  <conditionalFormatting sqref="H11:H12">
    <cfRule type="cellIs" dxfId="3415" priority="629" operator="equal">
      <formula>0</formula>
    </cfRule>
    <cfRule type="cellIs" dxfId="3414" priority="630" operator="notEqual">
      <formula>0</formula>
    </cfRule>
  </conditionalFormatting>
  <conditionalFormatting sqref="I11:I12">
    <cfRule type="cellIs" dxfId="3413" priority="627" operator="equal">
      <formula>0</formula>
    </cfRule>
    <cfRule type="cellIs" dxfId="3412" priority="628" operator="notEqual">
      <formula>0</formula>
    </cfRule>
  </conditionalFormatting>
  <conditionalFormatting sqref="J11:J12">
    <cfRule type="cellIs" dxfId="3411" priority="625" operator="equal">
      <formula>0</formula>
    </cfRule>
    <cfRule type="cellIs" dxfId="3410" priority="626" operator="notEqual">
      <formula>0</formula>
    </cfRule>
  </conditionalFormatting>
  <conditionalFormatting sqref="O10">
    <cfRule type="cellIs" dxfId="3409" priority="623" operator="equal">
      <formula>0</formula>
    </cfRule>
    <cfRule type="cellIs" dxfId="3408" priority="624" operator="notEqual">
      <formula>0</formula>
    </cfRule>
  </conditionalFormatting>
  <conditionalFormatting sqref="O13">
    <cfRule type="cellIs" dxfId="3407" priority="621" operator="equal">
      <formula>0</formula>
    </cfRule>
    <cfRule type="cellIs" dxfId="3406" priority="622" operator="notEqual">
      <formula>0</formula>
    </cfRule>
  </conditionalFormatting>
  <conditionalFormatting sqref="P10">
    <cfRule type="cellIs" dxfId="3405" priority="619" operator="equal">
      <formula>0</formula>
    </cfRule>
    <cfRule type="cellIs" dxfId="3404" priority="620" operator="notEqual">
      <formula>0</formula>
    </cfRule>
  </conditionalFormatting>
  <conditionalFormatting sqref="P13">
    <cfRule type="cellIs" dxfId="3403" priority="617" operator="equal">
      <formula>0</formula>
    </cfRule>
    <cfRule type="cellIs" dxfId="3402" priority="618" operator="notEqual">
      <formula>0</formula>
    </cfRule>
  </conditionalFormatting>
  <conditionalFormatting sqref="Q10">
    <cfRule type="cellIs" dxfId="3401" priority="615" operator="equal">
      <formula>0</formula>
    </cfRule>
    <cfRule type="cellIs" dxfId="3400" priority="616" operator="notEqual">
      <formula>0</formula>
    </cfRule>
  </conditionalFormatting>
  <conditionalFormatting sqref="Q13">
    <cfRule type="cellIs" dxfId="3399" priority="613" operator="equal">
      <formula>0</formula>
    </cfRule>
    <cfRule type="cellIs" dxfId="3398" priority="614" operator="notEqual">
      <formula>0</formula>
    </cfRule>
  </conditionalFormatting>
  <conditionalFormatting sqref="R10">
    <cfRule type="cellIs" dxfId="3397" priority="611" operator="equal">
      <formula>0</formula>
    </cfRule>
    <cfRule type="cellIs" dxfId="3396" priority="612" operator="notEqual">
      <formula>0</formula>
    </cfRule>
  </conditionalFormatting>
  <conditionalFormatting sqref="R13">
    <cfRule type="cellIs" dxfId="3395" priority="609" operator="equal">
      <formula>0</formula>
    </cfRule>
    <cfRule type="cellIs" dxfId="3394" priority="610" operator="notEqual">
      <formula>0</formula>
    </cfRule>
  </conditionalFormatting>
  <conditionalFormatting sqref="C18:C19">
    <cfRule type="cellIs" dxfId="3393" priority="575" operator="equal">
      <formula>0</formula>
    </cfRule>
    <cfRule type="cellIs" dxfId="3392" priority="576" operator="notEqual">
      <formula>0</formula>
    </cfRule>
  </conditionalFormatting>
  <conditionalFormatting sqref="D18:D19">
    <cfRule type="cellIs" dxfId="3391" priority="573" operator="equal">
      <formula>0</formula>
    </cfRule>
    <cfRule type="cellIs" dxfId="3390" priority="574" operator="notEqual">
      <formula>0</formula>
    </cfRule>
  </conditionalFormatting>
  <conditionalFormatting sqref="E18:E19">
    <cfRule type="cellIs" dxfId="3389" priority="571" operator="equal">
      <formula>0</formula>
    </cfRule>
    <cfRule type="cellIs" dxfId="3388" priority="572" operator="notEqual">
      <formula>0</formula>
    </cfRule>
  </conditionalFormatting>
  <conditionalFormatting sqref="F18:F19">
    <cfRule type="cellIs" dxfId="3387" priority="569" operator="equal">
      <formula>0</formula>
    </cfRule>
    <cfRule type="cellIs" dxfId="3386" priority="570" operator="notEqual">
      <formula>0</formula>
    </cfRule>
  </conditionalFormatting>
  <conditionalFormatting sqref="G18:G19">
    <cfRule type="cellIs" dxfId="3385" priority="567" operator="equal">
      <formula>0</formula>
    </cfRule>
    <cfRule type="cellIs" dxfId="3384" priority="568" operator="notEqual">
      <formula>0</formula>
    </cfRule>
  </conditionalFormatting>
  <conditionalFormatting sqref="H18:H19">
    <cfRule type="cellIs" dxfId="3383" priority="565" operator="equal">
      <formula>0</formula>
    </cfRule>
    <cfRule type="cellIs" dxfId="3382" priority="566" operator="notEqual">
      <formula>0</formula>
    </cfRule>
  </conditionalFormatting>
  <conditionalFormatting sqref="I18:I19">
    <cfRule type="cellIs" dxfId="3381" priority="563" operator="equal">
      <formula>0</formula>
    </cfRule>
    <cfRule type="cellIs" dxfId="3380" priority="564" operator="notEqual">
      <formula>0</formula>
    </cfRule>
  </conditionalFormatting>
  <conditionalFormatting sqref="J18:J19">
    <cfRule type="cellIs" dxfId="3379" priority="561" operator="equal">
      <formula>0</formula>
    </cfRule>
    <cfRule type="cellIs" dxfId="3378" priority="562" operator="notEqual">
      <formula>0</formula>
    </cfRule>
  </conditionalFormatting>
  <conditionalFormatting sqref="O17">
    <cfRule type="cellIs" dxfId="3377" priority="559" operator="equal">
      <formula>0</formula>
    </cfRule>
    <cfRule type="cellIs" dxfId="3376" priority="560" operator="notEqual">
      <formula>0</formula>
    </cfRule>
  </conditionalFormatting>
  <conditionalFormatting sqref="O20">
    <cfRule type="cellIs" dxfId="3375" priority="557" operator="equal">
      <formula>0</formula>
    </cfRule>
    <cfRule type="cellIs" dxfId="3374" priority="558" operator="notEqual">
      <formula>0</formula>
    </cfRule>
  </conditionalFormatting>
  <conditionalFormatting sqref="P17">
    <cfRule type="cellIs" dxfId="3373" priority="555" operator="equal">
      <formula>0</formula>
    </cfRule>
    <cfRule type="cellIs" dxfId="3372" priority="556" operator="notEqual">
      <formula>0</formula>
    </cfRule>
  </conditionalFormatting>
  <conditionalFormatting sqref="P20">
    <cfRule type="cellIs" dxfId="3371" priority="553" operator="equal">
      <formula>0</formula>
    </cfRule>
    <cfRule type="cellIs" dxfId="3370" priority="554" operator="notEqual">
      <formula>0</formula>
    </cfRule>
  </conditionalFormatting>
  <conditionalFormatting sqref="Q17">
    <cfRule type="cellIs" dxfId="3369" priority="551" operator="equal">
      <formula>0</formula>
    </cfRule>
    <cfRule type="cellIs" dxfId="3368" priority="552" operator="notEqual">
      <formula>0</formula>
    </cfRule>
  </conditionalFormatting>
  <conditionalFormatting sqref="Q20">
    <cfRule type="cellIs" dxfId="3367" priority="549" operator="equal">
      <formula>0</formula>
    </cfRule>
    <cfRule type="cellIs" dxfId="3366" priority="550" operator="notEqual">
      <formula>0</formula>
    </cfRule>
  </conditionalFormatting>
  <conditionalFormatting sqref="R17">
    <cfRule type="cellIs" dxfId="3365" priority="547" operator="equal">
      <formula>0</formula>
    </cfRule>
    <cfRule type="cellIs" dxfId="3364" priority="548" operator="notEqual">
      <formula>0</formula>
    </cfRule>
  </conditionalFormatting>
  <conditionalFormatting sqref="R20">
    <cfRule type="cellIs" dxfId="3363" priority="545" operator="equal">
      <formula>0</formula>
    </cfRule>
    <cfRule type="cellIs" dxfId="3362" priority="546" operator="notEqual">
      <formula>0</formula>
    </cfRule>
  </conditionalFormatting>
  <conditionalFormatting sqref="C25:C26">
    <cfRule type="cellIs" dxfId="3361" priority="543" operator="equal">
      <formula>0</formula>
    </cfRule>
    <cfRule type="cellIs" dxfId="3360" priority="544" operator="notEqual">
      <formula>0</formula>
    </cfRule>
  </conditionalFormatting>
  <conditionalFormatting sqref="D25:D26">
    <cfRule type="cellIs" dxfId="3359" priority="541" operator="equal">
      <formula>0</formula>
    </cfRule>
    <cfRule type="cellIs" dxfId="3358" priority="542" operator="notEqual">
      <formula>0</formula>
    </cfRule>
  </conditionalFormatting>
  <conditionalFormatting sqref="E25:E26">
    <cfRule type="cellIs" dxfId="3357" priority="539" operator="equal">
      <formula>0</formula>
    </cfRule>
    <cfRule type="cellIs" dxfId="3356" priority="540" operator="notEqual">
      <formula>0</formula>
    </cfRule>
  </conditionalFormatting>
  <conditionalFormatting sqref="F25:F26">
    <cfRule type="cellIs" dxfId="3355" priority="537" operator="equal">
      <formula>0</formula>
    </cfRule>
    <cfRule type="cellIs" dxfId="3354" priority="538" operator="notEqual">
      <formula>0</formula>
    </cfRule>
  </conditionalFormatting>
  <conditionalFormatting sqref="G25:G26">
    <cfRule type="cellIs" dxfId="3353" priority="535" operator="equal">
      <formula>0</formula>
    </cfRule>
    <cfRule type="cellIs" dxfId="3352" priority="536" operator="notEqual">
      <formula>0</formula>
    </cfRule>
  </conditionalFormatting>
  <conditionalFormatting sqref="H25:H26">
    <cfRule type="cellIs" dxfId="3351" priority="533" operator="equal">
      <formula>0</formula>
    </cfRule>
    <cfRule type="cellIs" dxfId="3350" priority="534" operator="notEqual">
      <formula>0</formula>
    </cfRule>
  </conditionalFormatting>
  <conditionalFormatting sqref="I25:I26">
    <cfRule type="cellIs" dxfId="3349" priority="531" operator="equal">
      <formula>0</formula>
    </cfRule>
    <cfRule type="cellIs" dxfId="3348" priority="532" operator="notEqual">
      <formula>0</formula>
    </cfRule>
  </conditionalFormatting>
  <conditionalFormatting sqref="J25:J26">
    <cfRule type="cellIs" dxfId="3347" priority="529" operator="equal">
      <formula>0</formula>
    </cfRule>
    <cfRule type="cellIs" dxfId="3346" priority="530" operator="notEqual">
      <formula>0</formula>
    </cfRule>
  </conditionalFormatting>
  <conditionalFormatting sqref="O24">
    <cfRule type="cellIs" dxfId="3345" priority="527" operator="equal">
      <formula>0</formula>
    </cfRule>
    <cfRule type="cellIs" dxfId="3344" priority="528" operator="notEqual">
      <formula>0</formula>
    </cfRule>
  </conditionalFormatting>
  <conditionalFormatting sqref="O27">
    <cfRule type="cellIs" dxfId="3343" priority="525" operator="equal">
      <formula>0</formula>
    </cfRule>
    <cfRule type="cellIs" dxfId="3342" priority="526" operator="notEqual">
      <formula>0</formula>
    </cfRule>
  </conditionalFormatting>
  <conditionalFormatting sqref="P24">
    <cfRule type="cellIs" dxfId="3341" priority="523" operator="equal">
      <formula>0</formula>
    </cfRule>
    <cfRule type="cellIs" dxfId="3340" priority="524" operator="notEqual">
      <formula>0</formula>
    </cfRule>
  </conditionalFormatting>
  <conditionalFormatting sqref="P27">
    <cfRule type="cellIs" dxfId="3339" priority="521" operator="equal">
      <formula>0</formula>
    </cfRule>
    <cfRule type="cellIs" dxfId="3338" priority="522" operator="notEqual">
      <formula>0</formula>
    </cfRule>
  </conditionalFormatting>
  <conditionalFormatting sqref="Q24">
    <cfRule type="cellIs" dxfId="3337" priority="519" operator="equal">
      <formula>0</formula>
    </cfRule>
    <cfRule type="cellIs" dxfId="3336" priority="520" operator="notEqual">
      <formula>0</formula>
    </cfRule>
  </conditionalFormatting>
  <conditionalFormatting sqref="Q27">
    <cfRule type="cellIs" dxfId="3335" priority="517" operator="equal">
      <formula>0</formula>
    </cfRule>
    <cfRule type="cellIs" dxfId="3334" priority="518" operator="notEqual">
      <formula>0</formula>
    </cfRule>
  </conditionalFormatting>
  <conditionalFormatting sqref="R24">
    <cfRule type="cellIs" dxfId="3333" priority="515" operator="equal">
      <formula>0</formula>
    </cfRule>
    <cfRule type="cellIs" dxfId="3332" priority="516" operator="notEqual">
      <formula>0</formula>
    </cfRule>
  </conditionalFormatting>
  <conditionalFormatting sqref="R27">
    <cfRule type="cellIs" dxfId="3331" priority="513" operator="equal">
      <formula>0</formula>
    </cfRule>
    <cfRule type="cellIs" dxfId="3330" priority="514" operator="notEqual">
      <formula>0</formula>
    </cfRule>
  </conditionalFormatting>
  <conditionalFormatting sqref="C32:C33">
    <cfRule type="cellIs" dxfId="3329" priority="511" operator="equal">
      <formula>0</formula>
    </cfRule>
    <cfRule type="cellIs" dxfId="3328" priority="512" operator="notEqual">
      <formula>0</formula>
    </cfRule>
  </conditionalFormatting>
  <conditionalFormatting sqref="D32:D33">
    <cfRule type="cellIs" dxfId="3327" priority="509" operator="equal">
      <formula>0</formula>
    </cfRule>
    <cfRule type="cellIs" dxfId="3326" priority="510" operator="notEqual">
      <formula>0</formula>
    </cfRule>
  </conditionalFormatting>
  <conditionalFormatting sqref="E32:E33">
    <cfRule type="cellIs" dxfId="3325" priority="507" operator="equal">
      <formula>0</formula>
    </cfRule>
    <cfRule type="cellIs" dxfId="3324" priority="508" operator="notEqual">
      <formula>0</formula>
    </cfRule>
  </conditionalFormatting>
  <conditionalFormatting sqref="F32:F33">
    <cfRule type="cellIs" dxfId="3323" priority="505" operator="equal">
      <formula>0</formula>
    </cfRule>
    <cfRule type="cellIs" dxfId="3322" priority="506" operator="notEqual">
      <formula>0</formula>
    </cfRule>
  </conditionalFormatting>
  <conditionalFormatting sqref="G32:G33">
    <cfRule type="cellIs" dxfId="3321" priority="503" operator="equal">
      <formula>0</formula>
    </cfRule>
    <cfRule type="cellIs" dxfId="3320" priority="504" operator="notEqual">
      <formula>0</formula>
    </cfRule>
  </conditionalFormatting>
  <conditionalFormatting sqref="H32:H33">
    <cfRule type="cellIs" dxfId="3319" priority="501" operator="equal">
      <formula>0</formula>
    </cfRule>
    <cfRule type="cellIs" dxfId="3318" priority="502" operator="notEqual">
      <formula>0</formula>
    </cfRule>
  </conditionalFormatting>
  <conditionalFormatting sqref="I32:I33">
    <cfRule type="cellIs" dxfId="3317" priority="499" operator="equal">
      <formula>0</formula>
    </cfRule>
    <cfRule type="cellIs" dxfId="3316" priority="500" operator="notEqual">
      <formula>0</formula>
    </cfRule>
  </conditionalFormatting>
  <conditionalFormatting sqref="J32:J33">
    <cfRule type="cellIs" dxfId="3315" priority="497" operator="equal">
      <formula>0</formula>
    </cfRule>
    <cfRule type="cellIs" dxfId="3314" priority="498" operator="notEqual">
      <formula>0</formula>
    </cfRule>
  </conditionalFormatting>
  <conditionalFormatting sqref="O31">
    <cfRule type="cellIs" dxfId="3313" priority="495" operator="equal">
      <formula>0</formula>
    </cfRule>
    <cfRule type="cellIs" dxfId="3312" priority="496" operator="notEqual">
      <formula>0</formula>
    </cfRule>
  </conditionalFormatting>
  <conditionalFormatting sqref="O34">
    <cfRule type="cellIs" dxfId="3311" priority="493" operator="equal">
      <formula>0</formula>
    </cfRule>
    <cfRule type="cellIs" dxfId="3310" priority="494" operator="notEqual">
      <formula>0</formula>
    </cfRule>
  </conditionalFormatting>
  <conditionalFormatting sqref="P31">
    <cfRule type="cellIs" dxfId="3309" priority="491" operator="equal">
      <formula>0</formula>
    </cfRule>
    <cfRule type="cellIs" dxfId="3308" priority="492" operator="notEqual">
      <formula>0</formula>
    </cfRule>
  </conditionalFormatting>
  <conditionalFormatting sqref="P34">
    <cfRule type="cellIs" dxfId="3307" priority="489" operator="equal">
      <formula>0</formula>
    </cfRule>
    <cfRule type="cellIs" dxfId="3306" priority="490" operator="notEqual">
      <formula>0</formula>
    </cfRule>
  </conditionalFormatting>
  <conditionalFormatting sqref="Q31">
    <cfRule type="cellIs" dxfId="3305" priority="487" operator="equal">
      <formula>0</formula>
    </cfRule>
    <cfRule type="cellIs" dxfId="3304" priority="488" operator="notEqual">
      <formula>0</formula>
    </cfRule>
  </conditionalFormatting>
  <conditionalFormatting sqref="Q34">
    <cfRule type="cellIs" dxfId="3303" priority="485" operator="equal">
      <formula>0</formula>
    </cfRule>
    <cfRule type="cellIs" dxfId="3302" priority="486" operator="notEqual">
      <formula>0</formula>
    </cfRule>
  </conditionalFormatting>
  <conditionalFormatting sqref="R31">
    <cfRule type="cellIs" dxfId="3301" priority="483" operator="equal">
      <formula>0</formula>
    </cfRule>
    <cfRule type="cellIs" dxfId="3300" priority="484" operator="notEqual">
      <formula>0</formula>
    </cfRule>
  </conditionalFormatting>
  <conditionalFormatting sqref="R34">
    <cfRule type="cellIs" dxfId="3299" priority="481" operator="equal">
      <formula>0</formula>
    </cfRule>
    <cfRule type="cellIs" dxfId="3298" priority="482" operator="notEqual">
      <formula>0</formula>
    </cfRule>
  </conditionalFormatting>
  <conditionalFormatting sqref="C39:C40">
    <cfRule type="cellIs" dxfId="3297" priority="479" operator="equal">
      <formula>0</formula>
    </cfRule>
    <cfRule type="cellIs" dxfId="3296" priority="480" operator="notEqual">
      <formula>0</formula>
    </cfRule>
  </conditionalFormatting>
  <conditionalFormatting sqref="D39:D40">
    <cfRule type="cellIs" dxfId="3295" priority="477" operator="equal">
      <formula>0</formula>
    </cfRule>
    <cfRule type="cellIs" dxfId="3294" priority="478" operator="notEqual">
      <formula>0</formula>
    </cfRule>
  </conditionalFormatting>
  <conditionalFormatting sqref="E39:E40">
    <cfRule type="cellIs" dxfId="3293" priority="475" operator="equal">
      <formula>0</formula>
    </cfRule>
    <cfRule type="cellIs" dxfId="3292" priority="476" operator="notEqual">
      <formula>0</formula>
    </cfRule>
  </conditionalFormatting>
  <conditionalFormatting sqref="F39:F40">
    <cfRule type="cellIs" dxfId="3291" priority="473" operator="equal">
      <formula>0</formula>
    </cfRule>
    <cfRule type="cellIs" dxfId="3290" priority="474" operator="notEqual">
      <formula>0</formula>
    </cfRule>
  </conditionalFormatting>
  <conditionalFormatting sqref="G39:G40">
    <cfRule type="cellIs" dxfId="3289" priority="471" operator="equal">
      <formula>0</formula>
    </cfRule>
    <cfRule type="cellIs" dxfId="3288" priority="472" operator="notEqual">
      <formula>0</formula>
    </cfRule>
  </conditionalFormatting>
  <conditionalFormatting sqref="H39:H40">
    <cfRule type="cellIs" dxfId="3287" priority="469" operator="equal">
      <formula>0</formula>
    </cfRule>
    <cfRule type="cellIs" dxfId="3286" priority="470" operator="notEqual">
      <formula>0</formula>
    </cfRule>
  </conditionalFormatting>
  <conditionalFormatting sqref="I39:I40">
    <cfRule type="cellIs" dxfId="3285" priority="467" operator="equal">
      <formula>0</formula>
    </cfRule>
    <cfRule type="cellIs" dxfId="3284" priority="468" operator="notEqual">
      <formula>0</formula>
    </cfRule>
  </conditionalFormatting>
  <conditionalFormatting sqref="J39:J40">
    <cfRule type="cellIs" dxfId="3283" priority="465" operator="equal">
      <formula>0</formula>
    </cfRule>
    <cfRule type="cellIs" dxfId="3282" priority="466" operator="notEqual">
      <formula>0</formula>
    </cfRule>
  </conditionalFormatting>
  <conditionalFormatting sqref="O38">
    <cfRule type="cellIs" dxfId="3281" priority="463" operator="equal">
      <formula>0</formula>
    </cfRule>
    <cfRule type="cellIs" dxfId="3280" priority="464" operator="notEqual">
      <formula>0</formula>
    </cfRule>
  </conditionalFormatting>
  <conditionalFormatting sqref="O41">
    <cfRule type="cellIs" dxfId="3279" priority="461" operator="equal">
      <formula>0</formula>
    </cfRule>
    <cfRule type="cellIs" dxfId="3278" priority="462" operator="notEqual">
      <formula>0</formula>
    </cfRule>
  </conditionalFormatting>
  <conditionalFormatting sqref="P38">
    <cfRule type="cellIs" dxfId="3277" priority="459" operator="equal">
      <formula>0</formula>
    </cfRule>
    <cfRule type="cellIs" dxfId="3276" priority="460" operator="notEqual">
      <formula>0</formula>
    </cfRule>
  </conditionalFormatting>
  <conditionalFormatting sqref="P41">
    <cfRule type="cellIs" dxfId="3275" priority="457" operator="equal">
      <formula>0</formula>
    </cfRule>
    <cfRule type="cellIs" dxfId="3274" priority="458" operator="notEqual">
      <formula>0</formula>
    </cfRule>
  </conditionalFormatting>
  <conditionalFormatting sqref="Q38">
    <cfRule type="cellIs" dxfId="3273" priority="455" operator="equal">
      <formula>0</formula>
    </cfRule>
    <cfRule type="cellIs" dxfId="3272" priority="456" operator="notEqual">
      <formula>0</formula>
    </cfRule>
  </conditionalFormatting>
  <conditionalFormatting sqref="Q41">
    <cfRule type="cellIs" dxfId="3271" priority="453" operator="equal">
      <formula>0</formula>
    </cfRule>
    <cfRule type="cellIs" dxfId="3270" priority="454" operator="notEqual">
      <formula>0</formula>
    </cfRule>
  </conditionalFormatting>
  <conditionalFormatting sqref="R38">
    <cfRule type="cellIs" dxfId="3269" priority="451" operator="equal">
      <formula>0</formula>
    </cfRule>
    <cfRule type="cellIs" dxfId="3268" priority="452" operator="notEqual">
      <formula>0</formula>
    </cfRule>
  </conditionalFormatting>
  <conditionalFormatting sqref="R41">
    <cfRule type="cellIs" dxfId="3267" priority="449" operator="equal">
      <formula>0</formula>
    </cfRule>
    <cfRule type="cellIs" dxfId="3266" priority="450" operator="notEqual">
      <formula>0</formula>
    </cfRule>
  </conditionalFormatting>
  <conditionalFormatting sqref="C46:C47">
    <cfRule type="cellIs" dxfId="3265" priority="447" operator="equal">
      <formula>0</formula>
    </cfRule>
    <cfRule type="cellIs" dxfId="3264" priority="448" operator="notEqual">
      <formula>0</formula>
    </cfRule>
  </conditionalFormatting>
  <conditionalFormatting sqref="D46:D47">
    <cfRule type="cellIs" dxfId="3263" priority="445" operator="equal">
      <formula>0</formula>
    </cfRule>
    <cfRule type="cellIs" dxfId="3262" priority="446" operator="notEqual">
      <formula>0</formula>
    </cfRule>
  </conditionalFormatting>
  <conditionalFormatting sqref="E46:E47">
    <cfRule type="cellIs" dxfId="3261" priority="443" operator="equal">
      <formula>0</formula>
    </cfRule>
    <cfRule type="cellIs" dxfId="3260" priority="444" operator="notEqual">
      <formula>0</formula>
    </cfRule>
  </conditionalFormatting>
  <conditionalFormatting sqref="F46:F47">
    <cfRule type="cellIs" dxfId="3259" priority="441" operator="equal">
      <formula>0</formula>
    </cfRule>
    <cfRule type="cellIs" dxfId="3258" priority="442" operator="notEqual">
      <formula>0</formula>
    </cfRule>
  </conditionalFormatting>
  <conditionalFormatting sqref="G46:G47">
    <cfRule type="cellIs" dxfId="3257" priority="439" operator="equal">
      <formula>0</formula>
    </cfRule>
    <cfRule type="cellIs" dxfId="3256" priority="440" operator="notEqual">
      <formula>0</formula>
    </cfRule>
  </conditionalFormatting>
  <conditionalFormatting sqref="H46:H47">
    <cfRule type="cellIs" dxfId="3255" priority="437" operator="equal">
      <formula>0</formula>
    </cfRule>
    <cfRule type="cellIs" dxfId="3254" priority="438" operator="notEqual">
      <formula>0</formula>
    </cfRule>
  </conditionalFormatting>
  <conditionalFormatting sqref="I46:I47">
    <cfRule type="cellIs" dxfId="3253" priority="435" operator="equal">
      <formula>0</formula>
    </cfRule>
    <cfRule type="cellIs" dxfId="3252" priority="436" operator="notEqual">
      <formula>0</formula>
    </cfRule>
  </conditionalFormatting>
  <conditionalFormatting sqref="J46:J47">
    <cfRule type="cellIs" dxfId="3251" priority="433" operator="equal">
      <formula>0</formula>
    </cfRule>
    <cfRule type="cellIs" dxfId="3250" priority="434" operator="notEqual">
      <formula>0</formula>
    </cfRule>
  </conditionalFormatting>
  <conditionalFormatting sqref="O45">
    <cfRule type="cellIs" dxfId="3249" priority="431" operator="equal">
      <formula>0</formula>
    </cfRule>
    <cfRule type="cellIs" dxfId="3248" priority="432" operator="notEqual">
      <formula>0</formula>
    </cfRule>
  </conditionalFormatting>
  <conditionalFormatting sqref="O48">
    <cfRule type="cellIs" dxfId="3247" priority="429" operator="equal">
      <formula>0</formula>
    </cfRule>
    <cfRule type="cellIs" dxfId="3246" priority="430" operator="notEqual">
      <formula>0</formula>
    </cfRule>
  </conditionalFormatting>
  <conditionalFormatting sqref="P45">
    <cfRule type="cellIs" dxfId="3245" priority="427" operator="equal">
      <formula>0</formula>
    </cfRule>
    <cfRule type="cellIs" dxfId="3244" priority="428" operator="notEqual">
      <formula>0</formula>
    </cfRule>
  </conditionalFormatting>
  <conditionalFormatting sqref="P48">
    <cfRule type="cellIs" dxfId="3243" priority="425" operator="equal">
      <formula>0</formula>
    </cfRule>
    <cfRule type="cellIs" dxfId="3242" priority="426" operator="notEqual">
      <formula>0</formula>
    </cfRule>
  </conditionalFormatting>
  <conditionalFormatting sqref="Q45">
    <cfRule type="cellIs" dxfId="3241" priority="423" operator="equal">
      <formula>0</formula>
    </cfRule>
    <cfRule type="cellIs" dxfId="3240" priority="424" operator="notEqual">
      <formula>0</formula>
    </cfRule>
  </conditionalFormatting>
  <conditionalFormatting sqref="Q48">
    <cfRule type="cellIs" dxfId="3239" priority="421" operator="equal">
      <formula>0</formula>
    </cfRule>
    <cfRule type="cellIs" dxfId="3238" priority="422" operator="notEqual">
      <formula>0</formula>
    </cfRule>
  </conditionalFormatting>
  <conditionalFormatting sqref="R45">
    <cfRule type="cellIs" dxfId="3237" priority="419" operator="equal">
      <formula>0</formula>
    </cfRule>
    <cfRule type="cellIs" dxfId="3236" priority="420" operator="notEqual">
      <formula>0</formula>
    </cfRule>
  </conditionalFormatting>
  <conditionalFormatting sqref="R48">
    <cfRule type="cellIs" dxfId="3235" priority="417" operator="equal">
      <formula>0</formula>
    </cfRule>
    <cfRule type="cellIs" dxfId="3234" priority="418" operator="notEqual">
      <formula>0</formula>
    </cfRule>
  </conditionalFormatting>
  <conditionalFormatting sqref="C53:C54">
    <cfRule type="cellIs" dxfId="3233" priority="415" operator="equal">
      <formula>0</formula>
    </cfRule>
    <cfRule type="cellIs" dxfId="3232" priority="416" operator="notEqual">
      <formula>0</formula>
    </cfRule>
  </conditionalFormatting>
  <conditionalFormatting sqref="D53:D54">
    <cfRule type="cellIs" dxfId="3231" priority="413" operator="equal">
      <formula>0</formula>
    </cfRule>
    <cfRule type="cellIs" dxfId="3230" priority="414" operator="notEqual">
      <formula>0</formula>
    </cfRule>
  </conditionalFormatting>
  <conditionalFormatting sqref="E53:E54">
    <cfRule type="cellIs" dxfId="3229" priority="411" operator="equal">
      <formula>0</formula>
    </cfRule>
    <cfRule type="cellIs" dxfId="3228" priority="412" operator="notEqual">
      <formula>0</formula>
    </cfRule>
  </conditionalFormatting>
  <conditionalFormatting sqref="F53:F54">
    <cfRule type="cellIs" dxfId="3227" priority="409" operator="equal">
      <formula>0</formula>
    </cfRule>
    <cfRule type="cellIs" dxfId="3226" priority="410" operator="notEqual">
      <formula>0</formula>
    </cfRule>
  </conditionalFormatting>
  <conditionalFormatting sqref="G53:G54">
    <cfRule type="cellIs" dxfId="3225" priority="407" operator="equal">
      <formula>0</formula>
    </cfRule>
    <cfRule type="cellIs" dxfId="3224" priority="408" operator="notEqual">
      <formula>0</formula>
    </cfRule>
  </conditionalFormatting>
  <conditionalFormatting sqref="H53:H54">
    <cfRule type="cellIs" dxfId="3223" priority="405" operator="equal">
      <formula>0</formula>
    </cfRule>
    <cfRule type="cellIs" dxfId="3222" priority="406" operator="notEqual">
      <formula>0</formula>
    </cfRule>
  </conditionalFormatting>
  <conditionalFormatting sqref="I53:I54">
    <cfRule type="cellIs" dxfId="3221" priority="403" operator="equal">
      <formula>0</formula>
    </cfRule>
    <cfRule type="cellIs" dxfId="3220" priority="404" operator="notEqual">
      <formula>0</formula>
    </cfRule>
  </conditionalFormatting>
  <conditionalFormatting sqref="J53:J54">
    <cfRule type="cellIs" dxfId="3219" priority="401" operator="equal">
      <formula>0</formula>
    </cfRule>
    <cfRule type="cellIs" dxfId="3218" priority="402" operator="notEqual">
      <formula>0</formula>
    </cfRule>
  </conditionalFormatting>
  <conditionalFormatting sqref="O52">
    <cfRule type="cellIs" dxfId="3217" priority="399" operator="equal">
      <formula>0</formula>
    </cfRule>
    <cfRule type="cellIs" dxfId="3216" priority="400" operator="notEqual">
      <formula>0</formula>
    </cfRule>
  </conditionalFormatting>
  <conditionalFormatting sqref="O55">
    <cfRule type="cellIs" dxfId="3215" priority="397" operator="equal">
      <formula>0</formula>
    </cfRule>
    <cfRule type="cellIs" dxfId="3214" priority="398" operator="notEqual">
      <formula>0</formula>
    </cfRule>
  </conditionalFormatting>
  <conditionalFormatting sqref="P52">
    <cfRule type="cellIs" dxfId="3213" priority="395" operator="equal">
      <formula>0</formula>
    </cfRule>
    <cfRule type="cellIs" dxfId="3212" priority="396" operator="notEqual">
      <formula>0</formula>
    </cfRule>
  </conditionalFormatting>
  <conditionalFormatting sqref="P55">
    <cfRule type="cellIs" dxfId="3211" priority="393" operator="equal">
      <formula>0</formula>
    </cfRule>
    <cfRule type="cellIs" dxfId="3210" priority="394" operator="notEqual">
      <formula>0</formula>
    </cfRule>
  </conditionalFormatting>
  <conditionalFormatting sqref="Q52">
    <cfRule type="cellIs" dxfId="3209" priority="391" operator="equal">
      <formula>0</formula>
    </cfRule>
    <cfRule type="cellIs" dxfId="3208" priority="392" operator="notEqual">
      <formula>0</formula>
    </cfRule>
  </conditionalFormatting>
  <conditionalFormatting sqref="Q55">
    <cfRule type="cellIs" dxfId="3207" priority="389" operator="equal">
      <formula>0</formula>
    </cfRule>
    <cfRule type="cellIs" dxfId="3206" priority="390" operator="notEqual">
      <formula>0</formula>
    </cfRule>
  </conditionalFormatting>
  <conditionalFormatting sqref="R52">
    <cfRule type="cellIs" dxfId="3205" priority="387" operator="equal">
      <formula>0</formula>
    </cfRule>
    <cfRule type="cellIs" dxfId="3204" priority="388" operator="notEqual">
      <formula>0</formula>
    </cfRule>
  </conditionalFormatting>
  <conditionalFormatting sqref="R55">
    <cfRule type="cellIs" dxfId="3203" priority="385" operator="equal">
      <formula>0</formula>
    </cfRule>
    <cfRule type="cellIs" dxfId="3202" priority="386" operator="notEqual">
      <formula>0</formula>
    </cfRule>
  </conditionalFormatting>
  <conditionalFormatting sqref="C60:C61">
    <cfRule type="cellIs" dxfId="3201" priority="383" operator="equal">
      <formula>0</formula>
    </cfRule>
    <cfRule type="cellIs" dxfId="3200" priority="384" operator="notEqual">
      <formula>0</formula>
    </cfRule>
  </conditionalFormatting>
  <conditionalFormatting sqref="D60:D61">
    <cfRule type="cellIs" dxfId="3199" priority="381" operator="equal">
      <formula>0</formula>
    </cfRule>
    <cfRule type="cellIs" dxfId="3198" priority="382" operator="notEqual">
      <formula>0</formula>
    </cfRule>
  </conditionalFormatting>
  <conditionalFormatting sqref="E60:E61">
    <cfRule type="cellIs" dxfId="3197" priority="379" operator="equal">
      <formula>0</formula>
    </cfRule>
    <cfRule type="cellIs" dxfId="3196" priority="380" operator="notEqual">
      <formula>0</formula>
    </cfRule>
  </conditionalFormatting>
  <conditionalFormatting sqref="F60:F61">
    <cfRule type="cellIs" dxfId="3195" priority="377" operator="equal">
      <formula>0</formula>
    </cfRule>
    <cfRule type="cellIs" dxfId="3194" priority="378" operator="notEqual">
      <formula>0</formula>
    </cfRule>
  </conditionalFormatting>
  <conditionalFormatting sqref="G60:G61">
    <cfRule type="cellIs" dxfId="3193" priority="375" operator="equal">
      <formula>0</formula>
    </cfRule>
    <cfRule type="cellIs" dxfId="3192" priority="376" operator="notEqual">
      <formula>0</formula>
    </cfRule>
  </conditionalFormatting>
  <conditionalFormatting sqref="H60:H61">
    <cfRule type="cellIs" dxfId="3191" priority="373" operator="equal">
      <formula>0</formula>
    </cfRule>
    <cfRule type="cellIs" dxfId="3190" priority="374" operator="notEqual">
      <formula>0</formula>
    </cfRule>
  </conditionalFormatting>
  <conditionalFormatting sqref="I60:I61">
    <cfRule type="cellIs" dxfId="3189" priority="371" operator="equal">
      <formula>0</formula>
    </cfRule>
    <cfRule type="cellIs" dxfId="3188" priority="372" operator="notEqual">
      <formula>0</formula>
    </cfRule>
  </conditionalFormatting>
  <conditionalFormatting sqref="J60:J61">
    <cfRule type="cellIs" dxfId="3187" priority="369" operator="equal">
      <formula>0</formula>
    </cfRule>
    <cfRule type="cellIs" dxfId="3186" priority="370" operator="notEqual">
      <formula>0</formula>
    </cfRule>
  </conditionalFormatting>
  <conditionalFormatting sqref="O59">
    <cfRule type="cellIs" dxfId="3185" priority="367" operator="equal">
      <formula>0</formula>
    </cfRule>
    <cfRule type="cellIs" dxfId="3184" priority="368" operator="notEqual">
      <formula>0</formula>
    </cfRule>
  </conditionalFormatting>
  <conditionalFormatting sqref="O62">
    <cfRule type="cellIs" dxfId="3183" priority="365" operator="equal">
      <formula>0</formula>
    </cfRule>
    <cfRule type="cellIs" dxfId="3182" priority="366" operator="notEqual">
      <formula>0</formula>
    </cfRule>
  </conditionalFormatting>
  <conditionalFormatting sqref="P59">
    <cfRule type="cellIs" dxfId="3181" priority="363" operator="equal">
      <formula>0</formula>
    </cfRule>
    <cfRule type="cellIs" dxfId="3180" priority="364" operator="notEqual">
      <formula>0</formula>
    </cfRule>
  </conditionalFormatting>
  <conditionalFormatting sqref="P62">
    <cfRule type="cellIs" dxfId="3179" priority="361" operator="equal">
      <formula>0</formula>
    </cfRule>
    <cfRule type="cellIs" dxfId="3178" priority="362" operator="notEqual">
      <formula>0</formula>
    </cfRule>
  </conditionalFormatting>
  <conditionalFormatting sqref="Q59">
    <cfRule type="cellIs" dxfId="3177" priority="359" operator="equal">
      <formula>0</formula>
    </cfRule>
    <cfRule type="cellIs" dxfId="3176" priority="360" operator="notEqual">
      <formula>0</formula>
    </cfRule>
  </conditionalFormatting>
  <conditionalFormatting sqref="Q62">
    <cfRule type="cellIs" dxfId="3175" priority="357" operator="equal">
      <formula>0</formula>
    </cfRule>
    <cfRule type="cellIs" dxfId="3174" priority="358" operator="notEqual">
      <formula>0</formula>
    </cfRule>
  </conditionalFormatting>
  <conditionalFormatting sqref="R59">
    <cfRule type="cellIs" dxfId="3173" priority="355" operator="equal">
      <formula>0</formula>
    </cfRule>
    <cfRule type="cellIs" dxfId="3172" priority="356" operator="notEqual">
      <formula>0</formula>
    </cfRule>
  </conditionalFormatting>
  <conditionalFormatting sqref="R62">
    <cfRule type="cellIs" dxfId="3171" priority="353" operator="equal">
      <formula>0</formula>
    </cfRule>
    <cfRule type="cellIs" dxfId="3170" priority="354" operator="notEqual">
      <formula>0</formula>
    </cfRule>
  </conditionalFormatting>
  <conditionalFormatting sqref="C67:C68">
    <cfRule type="cellIs" dxfId="3169" priority="351" operator="equal">
      <formula>0</formula>
    </cfRule>
    <cfRule type="cellIs" dxfId="3168" priority="352" operator="notEqual">
      <formula>0</formula>
    </cfRule>
  </conditionalFormatting>
  <conditionalFormatting sqref="D67:D68">
    <cfRule type="cellIs" dxfId="3167" priority="349" operator="equal">
      <formula>0</formula>
    </cfRule>
    <cfRule type="cellIs" dxfId="3166" priority="350" operator="notEqual">
      <formula>0</formula>
    </cfRule>
  </conditionalFormatting>
  <conditionalFormatting sqref="E67:E68">
    <cfRule type="cellIs" dxfId="3165" priority="347" operator="equal">
      <formula>0</formula>
    </cfRule>
    <cfRule type="cellIs" dxfId="3164" priority="348" operator="notEqual">
      <formula>0</formula>
    </cfRule>
  </conditionalFormatting>
  <conditionalFormatting sqref="F67:F68">
    <cfRule type="cellIs" dxfId="3163" priority="345" operator="equal">
      <formula>0</formula>
    </cfRule>
    <cfRule type="cellIs" dxfId="3162" priority="346" operator="notEqual">
      <formula>0</formula>
    </cfRule>
  </conditionalFormatting>
  <conditionalFormatting sqref="G67:G68">
    <cfRule type="cellIs" dxfId="3161" priority="343" operator="equal">
      <formula>0</formula>
    </cfRule>
    <cfRule type="cellIs" dxfId="3160" priority="344" operator="notEqual">
      <formula>0</formula>
    </cfRule>
  </conditionalFormatting>
  <conditionalFormatting sqref="H67:H68">
    <cfRule type="cellIs" dxfId="3159" priority="341" operator="equal">
      <formula>0</formula>
    </cfRule>
    <cfRule type="cellIs" dxfId="3158" priority="342" operator="notEqual">
      <formula>0</formula>
    </cfRule>
  </conditionalFormatting>
  <conditionalFormatting sqref="I67:I68">
    <cfRule type="cellIs" dxfId="3157" priority="339" operator="equal">
      <formula>0</formula>
    </cfRule>
    <cfRule type="cellIs" dxfId="3156" priority="340" operator="notEqual">
      <formula>0</formula>
    </cfRule>
  </conditionalFormatting>
  <conditionalFormatting sqref="J67:J68">
    <cfRule type="cellIs" dxfId="3155" priority="337" operator="equal">
      <formula>0</formula>
    </cfRule>
    <cfRule type="cellIs" dxfId="3154" priority="338" operator="notEqual">
      <formula>0</formula>
    </cfRule>
  </conditionalFormatting>
  <conditionalFormatting sqref="O66">
    <cfRule type="cellIs" dxfId="3153" priority="335" operator="equal">
      <formula>0</formula>
    </cfRule>
    <cfRule type="cellIs" dxfId="3152" priority="336" operator="notEqual">
      <formula>0</formula>
    </cfRule>
  </conditionalFormatting>
  <conditionalFormatting sqref="O69">
    <cfRule type="cellIs" dxfId="3151" priority="333" operator="equal">
      <formula>0</formula>
    </cfRule>
    <cfRule type="cellIs" dxfId="3150" priority="334" operator="notEqual">
      <formula>0</formula>
    </cfRule>
  </conditionalFormatting>
  <conditionalFormatting sqref="P66">
    <cfRule type="cellIs" dxfId="3149" priority="331" operator="equal">
      <formula>0</formula>
    </cfRule>
    <cfRule type="cellIs" dxfId="3148" priority="332" operator="notEqual">
      <formula>0</formula>
    </cfRule>
  </conditionalFormatting>
  <conditionalFormatting sqref="P69">
    <cfRule type="cellIs" dxfId="3147" priority="329" operator="equal">
      <formula>0</formula>
    </cfRule>
    <cfRule type="cellIs" dxfId="3146" priority="330" operator="notEqual">
      <formula>0</formula>
    </cfRule>
  </conditionalFormatting>
  <conditionalFormatting sqref="Q66">
    <cfRule type="cellIs" dxfId="3145" priority="327" operator="equal">
      <formula>0</formula>
    </cfRule>
    <cfRule type="cellIs" dxfId="3144" priority="328" operator="notEqual">
      <formula>0</formula>
    </cfRule>
  </conditionalFormatting>
  <conditionalFormatting sqref="Q69">
    <cfRule type="cellIs" dxfId="3143" priority="325" operator="equal">
      <formula>0</formula>
    </cfRule>
    <cfRule type="cellIs" dxfId="3142" priority="326" operator="notEqual">
      <formula>0</formula>
    </cfRule>
  </conditionalFormatting>
  <conditionalFormatting sqref="R66">
    <cfRule type="cellIs" dxfId="3141" priority="323" operator="equal">
      <formula>0</formula>
    </cfRule>
    <cfRule type="cellIs" dxfId="3140" priority="324" operator="notEqual">
      <formula>0</formula>
    </cfRule>
  </conditionalFormatting>
  <conditionalFormatting sqref="R69">
    <cfRule type="cellIs" dxfId="3139" priority="321" operator="equal">
      <formula>0</formula>
    </cfRule>
    <cfRule type="cellIs" dxfId="3138" priority="322" operator="notEqual">
      <formula>0</formula>
    </cfRule>
  </conditionalFormatting>
  <conditionalFormatting sqref="C74:C75">
    <cfRule type="cellIs" dxfId="3137" priority="319" operator="equal">
      <formula>0</formula>
    </cfRule>
    <cfRule type="cellIs" dxfId="3136" priority="320" operator="notEqual">
      <formula>0</formula>
    </cfRule>
  </conditionalFormatting>
  <conditionalFormatting sqref="D74:D75">
    <cfRule type="cellIs" dxfId="3135" priority="317" operator="equal">
      <formula>0</formula>
    </cfRule>
    <cfRule type="cellIs" dxfId="3134" priority="318" operator="notEqual">
      <formula>0</formula>
    </cfRule>
  </conditionalFormatting>
  <conditionalFormatting sqref="E74:E75">
    <cfRule type="cellIs" dxfId="3133" priority="315" operator="equal">
      <formula>0</formula>
    </cfRule>
    <cfRule type="cellIs" dxfId="3132" priority="316" operator="notEqual">
      <formula>0</formula>
    </cfRule>
  </conditionalFormatting>
  <conditionalFormatting sqref="F74:F75">
    <cfRule type="cellIs" dxfId="3131" priority="313" operator="equal">
      <formula>0</formula>
    </cfRule>
    <cfRule type="cellIs" dxfId="3130" priority="314" operator="notEqual">
      <formula>0</formula>
    </cfRule>
  </conditionalFormatting>
  <conditionalFormatting sqref="G74:G75">
    <cfRule type="cellIs" dxfId="3129" priority="311" operator="equal">
      <formula>0</formula>
    </cfRule>
    <cfRule type="cellIs" dxfId="3128" priority="312" operator="notEqual">
      <formula>0</formula>
    </cfRule>
  </conditionalFormatting>
  <conditionalFormatting sqref="H74:H75">
    <cfRule type="cellIs" dxfId="3127" priority="309" operator="equal">
      <formula>0</formula>
    </cfRule>
    <cfRule type="cellIs" dxfId="3126" priority="310" operator="notEqual">
      <formula>0</formula>
    </cfRule>
  </conditionalFormatting>
  <conditionalFormatting sqref="I74:I75">
    <cfRule type="cellIs" dxfId="3125" priority="307" operator="equal">
      <formula>0</formula>
    </cfRule>
    <cfRule type="cellIs" dxfId="3124" priority="308" operator="notEqual">
      <formula>0</formula>
    </cfRule>
  </conditionalFormatting>
  <conditionalFormatting sqref="J74:J75">
    <cfRule type="cellIs" dxfId="3123" priority="305" operator="equal">
      <formula>0</formula>
    </cfRule>
    <cfRule type="cellIs" dxfId="3122" priority="306" operator="notEqual">
      <formula>0</formula>
    </cfRule>
  </conditionalFormatting>
  <conditionalFormatting sqref="O73">
    <cfRule type="cellIs" dxfId="3121" priority="303" operator="equal">
      <formula>0</formula>
    </cfRule>
    <cfRule type="cellIs" dxfId="3120" priority="304" operator="notEqual">
      <formula>0</formula>
    </cfRule>
  </conditionalFormatting>
  <conditionalFormatting sqref="O76">
    <cfRule type="cellIs" dxfId="3119" priority="301" operator="equal">
      <formula>0</formula>
    </cfRule>
    <cfRule type="cellIs" dxfId="3118" priority="302" operator="notEqual">
      <formula>0</formula>
    </cfRule>
  </conditionalFormatting>
  <conditionalFormatting sqref="P73">
    <cfRule type="cellIs" dxfId="3117" priority="299" operator="equal">
      <formula>0</formula>
    </cfRule>
    <cfRule type="cellIs" dxfId="3116" priority="300" operator="notEqual">
      <formula>0</formula>
    </cfRule>
  </conditionalFormatting>
  <conditionalFormatting sqref="P76">
    <cfRule type="cellIs" dxfId="3115" priority="297" operator="equal">
      <formula>0</formula>
    </cfRule>
    <cfRule type="cellIs" dxfId="3114" priority="298" operator="notEqual">
      <formula>0</formula>
    </cfRule>
  </conditionalFormatting>
  <conditionalFormatting sqref="Q73">
    <cfRule type="cellIs" dxfId="3113" priority="295" operator="equal">
      <formula>0</formula>
    </cfRule>
    <cfRule type="cellIs" dxfId="3112" priority="296" operator="notEqual">
      <formula>0</formula>
    </cfRule>
  </conditionalFormatting>
  <conditionalFormatting sqref="Q76">
    <cfRule type="cellIs" dxfId="3111" priority="293" operator="equal">
      <formula>0</formula>
    </cfRule>
    <cfRule type="cellIs" dxfId="3110" priority="294" operator="notEqual">
      <formula>0</formula>
    </cfRule>
  </conditionalFormatting>
  <conditionalFormatting sqref="R73">
    <cfRule type="cellIs" dxfId="3109" priority="291" operator="equal">
      <formula>0</formula>
    </cfRule>
    <cfRule type="cellIs" dxfId="3108" priority="292" operator="notEqual">
      <formula>0</formula>
    </cfRule>
  </conditionalFormatting>
  <conditionalFormatting sqref="R76">
    <cfRule type="cellIs" dxfId="3107" priority="289" operator="equal">
      <formula>0</formula>
    </cfRule>
    <cfRule type="cellIs" dxfId="3106" priority="290" operator="notEqual">
      <formula>0</formula>
    </cfRule>
  </conditionalFormatting>
  <conditionalFormatting sqref="U67:U68">
    <cfRule type="cellIs" dxfId="3105" priority="287" operator="equal">
      <formula>0</formula>
    </cfRule>
    <cfRule type="cellIs" dxfId="3104" priority="288" operator="notEqual">
      <formula>0</formula>
    </cfRule>
  </conditionalFormatting>
  <conditionalFormatting sqref="V67:V68">
    <cfRule type="cellIs" dxfId="3103" priority="285" operator="equal">
      <formula>0</formula>
    </cfRule>
    <cfRule type="cellIs" dxfId="3102" priority="286" operator="notEqual">
      <formula>0</formula>
    </cfRule>
  </conditionalFormatting>
  <conditionalFormatting sqref="W67:W68">
    <cfRule type="cellIs" dxfId="3101" priority="283" operator="equal">
      <formula>0</formula>
    </cfRule>
    <cfRule type="cellIs" dxfId="3100" priority="284" operator="notEqual">
      <formula>0</formula>
    </cfRule>
  </conditionalFormatting>
  <conditionalFormatting sqref="X67:X68">
    <cfRule type="cellIs" dxfId="3099" priority="281" operator="equal">
      <formula>0</formula>
    </cfRule>
    <cfRule type="cellIs" dxfId="3098" priority="282" operator="notEqual">
      <formula>0</formula>
    </cfRule>
  </conditionalFormatting>
  <conditionalFormatting sqref="Y67:Y68">
    <cfRule type="cellIs" dxfId="3097" priority="279" operator="equal">
      <formula>0</formula>
    </cfRule>
    <cfRule type="cellIs" dxfId="3096" priority="280" operator="notEqual">
      <formula>0</formula>
    </cfRule>
  </conditionalFormatting>
  <conditionalFormatting sqref="Z67:Z68">
    <cfRule type="cellIs" dxfId="3095" priority="277" operator="equal">
      <formula>0</formula>
    </cfRule>
    <cfRule type="cellIs" dxfId="3094" priority="278" operator="notEqual">
      <formula>0</formula>
    </cfRule>
  </conditionalFormatting>
  <conditionalFormatting sqref="AA67:AA68">
    <cfRule type="cellIs" dxfId="3093" priority="275" operator="equal">
      <formula>0</formula>
    </cfRule>
    <cfRule type="cellIs" dxfId="3092" priority="276" operator="notEqual">
      <formula>0</formula>
    </cfRule>
  </conditionalFormatting>
  <conditionalFormatting sqref="AB67:AB68">
    <cfRule type="cellIs" dxfId="3091" priority="273" operator="equal">
      <formula>0</formula>
    </cfRule>
    <cfRule type="cellIs" dxfId="3090" priority="274" operator="notEqual">
      <formula>0</formula>
    </cfRule>
  </conditionalFormatting>
  <conditionalFormatting sqref="AG66">
    <cfRule type="cellIs" dxfId="3089" priority="271" operator="equal">
      <formula>0</formula>
    </cfRule>
    <cfRule type="cellIs" dxfId="3088" priority="272" operator="notEqual">
      <formula>0</formula>
    </cfRule>
  </conditionalFormatting>
  <conditionalFormatting sqref="AG69">
    <cfRule type="cellIs" dxfId="3087" priority="269" operator="equal">
      <formula>0</formula>
    </cfRule>
    <cfRule type="cellIs" dxfId="3086" priority="270" operator="notEqual">
      <formula>0</formula>
    </cfRule>
  </conditionalFormatting>
  <conditionalFormatting sqref="AH66">
    <cfRule type="cellIs" dxfId="3085" priority="267" operator="equal">
      <formula>0</formula>
    </cfRule>
    <cfRule type="cellIs" dxfId="3084" priority="268" operator="notEqual">
      <formula>0</formula>
    </cfRule>
  </conditionalFormatting>
  <conditionalFormatting sqref="AH69">
    <cfRule type="cellIs" dxfId="3083" priority="265" operator="equal">
      <formula>0</formula>
    </cfRule>
    <cfRule type="cellIs" dxfId="3082" priority="266" operator="notEqual">
      <formula>0</formula>
    </cfRule>
  </conditionalFormatting>
  <conditionalFormatting sqref="AI66">
    <cfRule type="cellIs" dxfId="3081" priority="263" operator="equal">
      <formula>0</formula>
    </cfRule>
    <cfRule type="cellIs" dxfId="3080" priority="264" operator="notEqual">
      <formula>0</formula>
    </cfRule>
  </conditionalFormatting>
  <conditionalFormatting sqref="AI69">
    <cfRule type="cellIs" dxfId="3079" priority="261" operator="equal">
      <formula>0</formula>
    </cfRule>
    <cfRule type="cellIs" dxfId="3078" priority="262" operator="notEqual">
      <formula>0</formula>
    </cfRule>
  </conditionalFormatting>
  <conditionalFormatting sqref="AJ66">
    <cfRule type="cellIs" dxfId="3077" priority="259" operator="equal">
      <formula>0</formula>
    </cfRule>
    <cfRule type="cellIs" dxfId="3076" priority="260" operator="notEqual">
      <formula>0</formula>
    </cfRule>
  </conditionalFormatting>
  <conditionalFormatting sqref="AJ69">
    <cfRule type="cellIs" dxfId="3075" priority="257" operator="equal">
      <formula>0</formula>
    </cfRule>
    <cfRule type="cellIs" dxfId="3074" priority="258" operator="notEqual">
      <formula>0</formula>
    </cfRule>
  </conditionalFormatting>
  <conditionalFormatting sqref="U60:U61">
    <cfRule type="cellIs" dxfId="3073" priority="255" operator="equal">
      <formula>0</formula>
    </cfRule>
    <cfRule type="cellIs" dxfId="3072" priority="256" operator="notEqual">
      <formula>0</formula>
    </cfRule>
  </conditionalFormatting>
  <conditionalFormatting sqref="V60:V61">
    <cfRule type="cellIs" dxfId="3071" priority="253" operator="equal">
      <formula>0</formula>
    </cfRule>
    <cfRule type="cellIs" dxfId="3070" priority="254" operator="notEqual">
      <formula>0</formula>
    </cfRule>
  </conditionalFormatting>
  <conditionalFormatting sqref="W60:W61">
    <cfRule type="cellIs" dxfId="3069" priority="251" operator="equal">
      <formula>0</formula>
    </cfRule>
    <cfRule type="cellIs" dxfId="3068" priority="252" operator="notEqual">
      <formula>0</formula>
    </cfRule>
  </conditionalFormatting>
  <conditionalFormatting sqref="X60:X61">
    <cfRule type="cellIs" dxfId="3067" priority="249" operator="equal">
      <formula>0</formula>
    </cfRule>
    <cfRule type="cellIs" dxfId="3066" priority="250" operator="notEqual">
      <formula>0</formula>
    </cfRule>
  </conditionalFormatting>
  <conditionalFormatting sqref="Y60:Y61">
    <cfRule type="cellIs" dxfId="3065" priority="247" operator="equal">
      <formula>0</formula>
    </cfRule>
    <cfRule type="cellIs" dxfId="3064" priority="248" operator="notEqual">
      <formula>0</formula>
    </cfRule>
  </conditionalFormatting>
  <conditionalFormatting sqref="Z60:Z61">
    <cfRule type="cellIs" dxfId="3063" priority="245" operator="equal">
      <formula>0</formula>
    </cfRule>
    <cfRule type="cellIs" dxfId="3062" priority="246" operator="notEqual">
      <formula>0</formula>
    </cfRule>
  </conditionalFormatting>
  <conditionalFormatting sqref="AA60:AA61">
    <cfRule type="cellIs" dxfId="3061" priority="243" operator="equal">
      <formula>0</formula>
    </cfRule>
    <cfRule type="cellIs" dxfId="3060" priority="244" operator="notEqual">
      <formula>0</formula>
    </cfRule>
  </conditionalFormatting>
  <conditionalFormatting sqref="AB60:AB61">
    <cfRule type="cellIs" dxfId="3059" priority="241" operator="equal">
      <formula>0</formula>
    </cfRule>
    <cfRule type="cellIs" dxfId="3058" priority="242" operator="notEqual">
      <formula>0</formula>
    </cfRule>
  </conditionalFormatting>
  <conditionalFormatting sqref="AG59">
    <cfRule type="cellIs" dxfId="3057" priority="239" operator="equal">
      <formula>0</formula>
    </cfRule>
    <cfRule type="cellIs" dxfId="3056" priority="240" operator="notEqual">
      <formula>0</formula>
    </cfRule>
  </conditionalFormatting>
  <conditionalFormatting sqref="AG62">
    <cfRule type="cellIs" dxfId="3055" priority="237" operator="equal">
      <formula>0</formula>
    </cfRule>
    <cfRule type="cellIs" dxfId="3054" priority="238" operator="notEqual">
      <formula>0</formula>
    </cfRule>
  </conditionalFormatting>
  <conditionalFormatting sqref="AH59">
    <cfRule type="cellIs" dxfId="3053" priority="235" operator="equal">
      <formula>0</formula>
    </cfRule>
    <cfRule type="cellIs" dxfId="3052" priority="236" operator="notEqual">
      <formula>0</formula>
    </cfRule>
  </conditionalFormatting>
  <conditionalFormatting sqref="AH62">
    <cfRule type="cellIs" dxfId="3051" priority="233" operator="equal">
      <formula>0</formula>
    </cfRule>
    <cfRule type="cellIs" dxfId="3050" priority="234" operator="notEqual">
      <formula>0</formula>
    </cfRule>
  </conditionalFormatting>
  <conditionalFormatting sqref="AI59">
    <cfRule type="cellIs" dxfId="3049" priority="231" operator="equal">
      <formula>0</formula>
    </cfRule>
    <cfRule type="cellIs" dxfId="3048" priority="232" operator="notEqual">
      <formula>0</formula>
    </cfRule>
  </conditionalFormatting>
  <conditionalFormatting sqref="AI62">
    <cfRule type="cellIs" dxfId="3047" priority="229" operator="equal">
      <formula>0</formula>
    </cfRule>
    <cfRule type="cellIs" dxfId="3046" priority="230" operator="notEqual">
      <formula>0</formula>
    </cfRule>
  </conditionalFormatting>
  <conditionalFormatting sqref="AJ59">
    <cfRule type="cellIs" dxfId="3045" priority="227" operator="equal">
      <formula>0</formula>
    </cfRule>
    <cfRule type="cellIs" dxfId="3044" priority="228" operator="notEqual">
      <formula>0</formula>
    </cfRule>
  </conditionalFormatting>
  <conditionalFormatting sqref="AJ62">
    <cfRule type="cellIs" dxfId="3043" priority="225" operator="equal">
      <formula>0</formula>
    </cfRule>
    <cfRule type="cellIs" dxfId="3042" priority="226" operator="notEqual">
      <formula>0</formula>
    </cfRule>
  </conditionalFormatting>
  <conditionalFormatting sqref="U53:U54">
    <cfRule type="cellIs" dxfId="3041" priority="223" operator="equal">
      <formula>0</formula>
    </cfRule>
    <cfRule type="cellIs" dxfId="3040" priority="224" operator="notEqual">
      <formula>0</formula>
    </cfRule>
  </conditionalFormatting>
  <conditionalFormatting sqref="V53:V54">
    <cfRule type="cellIs" dxfId="3039" priority="221" operator="equal">
      <formula>0</formula>
    </cfRule>
    <cfRule type="cellIs" dxfId="3038" priority="222" operator="notEqual">
      <formula>0</formula>
    </cfRule>
  </conditionalFormatting>
  <conditionalFormatting sqref="W53:W54">
    <cfRule type="cellIs" dxfId="3037" priority="219" operator="equal">
      <formula>0</formula>
    </cfRule>
    <cfRule type="cellIs" dxfId="3036" priority="220" operator="notEqual">
      <formula>0</formula>
    </cfRule>
  </conditionalFormatting>
  <conditionalFormatting sqref="X53:X54">
    <cfRule type="cellIs" dxfId="3035" priority="217" operator="equal">
      <formula>0</formula>
    </cfRule>
    <cfRule type="cellIs" dxfId="3034" priority="218" operator="notEqual">
      <formula>0</formula>
    </cfRule>
  </conditionalFormatting>
  <conditionalFormatting sqref="Y53:Y54">
    <cfRule type="cellIs" dxfId="3033" priority="215" operator="equal">
      <formula>0</formula>
    </cfRule>
    <cfRule type="cellIs" dxfId="3032" priority="216" operator="notEqual">
      <formula>0</formula>
    </cfRule>
  </conditionalFormatting>
  <conditionalFormatting sqref="Z53:Z54">
    <cfRule type="cellIs" dxfId="3031" priority="213" operator="equal">
      <formula>0</formula>
    </cfRule>
    <cfRule type="cellIs" dxfId="3030" priority="214" operator="notEqual">
      <formula>0</formula>
    </cfRule>
  </conditionalFormatting>
  <conditionalFormatting sqref="AA53:AA54">
    <cfRule type="cellIs" dxfId="3029" priority="211" operator="equal">
      <formula>0</formula>
    </cfRule>
    <cfRule type="cellIs" dxfId="3028" priority="212" operator="notEqual">
      <formula>0</formula>
    </cfRule>
  </conditionalFormatting>
  <conditionalFormatting sqref="AB53:AB54">
    <cfRule type="cellIs" dxfId="3027" priority="209" operator="equal">
      <formula>0</formula>
    </cfRule>
    <cfRule type="cellIs" dxfId="3026" priority="210" operator="notEqual">
      <formula>0</formula>
    </cfRule>
  </conditionalFormatting>
  <conditionalFormatting sqref="AG52">
    <cfRule type="cellIs" dxfId="3025" priority="207" operator="equal">
      <formula>0</formula>
    </cfRule>
    <cfRule type="cellIs" dxfId="3024" priority="208" operator="notEqual">
      <formula>0</formula>
    </cfRule>
  </conditionalFormatting>
  <conditionalFormatting sqref="AG55">
    <cfRule type="cellIs" dxfId="3023" priority="205" operator="equal">
      <formula>0</formula>
    </cfRule>
    <cfRule type="cellIs" dxfId="3022" priority="206" operator="notEqual">
      <formula>0</formula>
    </cfRule>
  </conditionalFormatting>
  <conditionalFormatting sqref="AH52">
    <cfRule type="cellIs" dxfId="3021" priority="203" operator="equal">
      <formula>0</formula>
    </cfRule>
    <cfRule type="cellIs" dxfId="3020" priority="204" operator="notEqual">
      <formula>0</formula>
    </cfRule>
  </conditionalFormatting>
  <conditionalFormatting sqref="AH55">
    <cfRule type="cellIs" dxfId="3019" priority="201" operator="equal">
      <formula>0</formula>
    </cfRule>
    <cfRule type="cellIs" dxfId="3018" priority="202" operator="notEqual">
      <formula>0</formula>
    </cfRule>
  </conditionalFormatting>
  <conditionalFormatting sqref="AI52">
    <cfRule type="cellIs" dxfId="3017" priority="199" operator="equal">
      <formula>0</formula>
    </cfRule>
    <cfRule type="cellIs" dxfId="3016" priority="200" operator="notEqual">
      <formula>0</formula>
    </cfRule>
  </conditionalFormatting>
  <conditionalFormatting sqref="AI55">
    <cfRule type="cellIs" dxfId="3015" priority="197" operator="equal">
      <formula>0</formula>
    </cfRule>
    <cfRule type="cellIs" dxfId="3014" priority="198" operator="notEqual">
      <formula>0</formula>
    </cfRule>
  </conditionalFormatting>
  <conditionalFormatting sqref="AJ52">
    <cfRule type="cellIs" dxfId="3013" priority="195" operator="equal">
      <formula>0</formula>
    </cfRule>
    <cfRule type="cellIs" dxfId="3012" priority="196" operator="notEqual">
      <formula>0</formula>
    </cfRule>
  </conditionalFormatting>
  <conditionalFormatting sqref="AJ55">
    <cfRule type="cellIs" dxfId="3011" priority="193" operator="equal">
      <formula>0</formula>
    </cfRule>
    <cfRule type="cellIs" dxfId="3010" priority="194" operator="notEqual">
      <formula>0</formula>
    </cfRule>
  </conditionalFormatting>
  <conditionalFormatting sqref="U46:U47">
    <cfRule type="cellIs" dxfId="3009" priority="191" operator="equal">
      <formula>0</formula>
    </cfRule>
    <cfRule type="cellIs" dxfId="3008" priority="192" operator="notEqual">
      <formula>0</formula>
    </cfRule>
  </conditionalFormatting>
  <conditionalFormatting sqref="V46:V47">
    <cfRule type="cellIs" dxfId="3007" priority="189" operator="equal">
      <formula>0</formula>
    </cfRule>
    <cfRule type="cellIs" dxfId="3006" priority="190" operator="notEqual">
      <formula>0</formula>
    </cfRule>
  </conditionalFormatting>
  <conditionalFormatting sqref="W46:W47">
    <cfRule type="cellIs" dxfId="3005" priority="187" operator="equal">
      <formula>0</formula>
    </cfRule>
    <cfRule type="cellIs" dxfId="3004" priority="188" operator="notEqual">
      <formula>0</formula>
    </cfRule>
  </conditionalFormatting>
  <conditionalFormatting sqref="X46:X47">
    <cfRule type="cellIs" dxfId="3003" priority="185" operator="equal">
      <formula>0</formula>
    </cfRule>
    <cfRule type="cellIs" dxfId="3002" priority="186" operator="notEqual">
      <formula>0</formula>
    </cfRule>
  </conditionalFormatting>
  <conditionalFormatting sqref="Y46:Y47">
    <cfRule type="cellIs" dxfId="3001" priority="183" operator="equal">
      <formula>0</formula>
    </cfRule>
    <cfRule type="cellIs" dxfId="3000" priority="184" operator="notEqual">
      <formula>0</formula>
    </cfRule>
  </conditionalFormatting>
  <conditionalFormatting sqref="Z46:Z47">
    <cfRule type="cellIs" dxfId="2999" priority="181" operator="equal">
      <formula>0</formula>
    </cfRule>
    <cfRule type="cellIs" dxfId="2998" priority="182" operator="notEqual">
      <formula>0</formula>
    </cfRule>
  </conditionalFormatting>
  <conditionalFormatting sqref="AA46:AA47">
    <cfRule type="cellIs" dxfId="2997" priority="179" operator="equal">
      <formula>0</formula>
    </cfRule>
    <cfRule type="cellIs" dxfId="2996" priority="180" operator="notEqual">
      <formula>0</formula>
    </cfRule>
  </conditionalFormatting>
  <conditionalFormatting sqref="AB46:AB47">
    <cfRule type="cellIs" dxfId="2995" priority="177" operator="equal">
      <formula>0</formula>
    </cfRule>
    <cfRule type="cellIs" dxfId="2994" priority="178" operator="notEqual">
      <formula>0</formula>
    </cfRule>
  </conditionalFormatting>
  <conditionalFormatting sqref="AG45">
    <cfRule type="cellIs" dxfId="2993" priority="175" operator="equal">
      <formula>0</formula>
    </cfRule>
    <cfRule type="cellIs" dxfId="2992" priority="176" operator="notEqual">
      <formula>0</formula>
    </cfRule>
  </conditionalFormatting>
  <conditionalFormatting sqref="AG48">
    <cfRule type="cellIs" dxfId="2991" priority="173" operator="equal">
      <formula>0</formula>
    </cfRule>
    <cfRule type="cellIs" dxfId="2990" priority="174" operator="notEqual">
      <formula>0</formula>
    </cfRule>
  </conditionalFormatting>
  <conditionalFormatting sqref="AH45">
    <cfRule type="cellIs" dxfId="2989" priority="171" operator="equal">
      <formula>0</formula>
    </cfRule>
    <cfRule type="cellIs" dxfId="2988" priority="172" operator="notEqual">
      <formula>0</formula>
    </cfRule>
  </conditionalFormatting>
  <conditionalFormatting sqref="AH48">
    <cfRule type="cellIs" dxfId="2987" priority="169" operator="equal">
      <formula>0</formula>
    </cfRule>
    <cfRule type="cellIs" dxfId="2986" priority="170" operator="notEqual">
      <formula>0</formula>
    </cfRule>
  </conditionalFormatting>
  <conditionalFormatting sqref="AI45">
    <cfRule type="cellIs" dxfId="2985" priority="167" operator="equal">
      <formula>0</formula>
    </cfRule>
    <cfRule type="cellIs" dxfId="2984" priority="168" operator="notEqual">
      <formula>0</formula>
    </cfRule>
  </conditionalFormatting>
  <conditionalFormatting sqref="AI48">
    <cfRule type="cellIs" dxfId="2983" priority="165" operator="equal">
      <formula>0</formula>
    </cfRule>
    <cfRule type="cellIs" dxfId="2982" priority="166" operator="notEqual">
      <formula>0</formula>
    </cfRule>
  </conditionalFormatting>
  <conditionalFormatting sqref="AJ45">
    <cfRule type="cellIs" dxfId="2981" priority="163" operator="equal">
      <formula>0</formula>
    </cfRule>
    <cfRule type="cellIs" dxfId="2980" priority="164" operator="notEqual">
      <formula>0</formula>
    </cfRule>
  </conditionalFormatting>
  <conditionalFormatting sqref="AJ48">
    <cfRule type="cellIs" dxfId="2979" priority="161" operator="equal">
      <formula>0</formula>
    </cfRule>
    <cfRule type="cellIs" dxfId="2978" priority="162" operator="notEqual">
      <formula>0</formula>
    </cfRule>
  </conditionalFormatting>
  <conditionalFormatting sqref="U39:U40">
    <cfRule type="cellIs" dxfId="2977" priority="159" operator="equal">
      <formula>0</formula>
    </cfRule>
    <cfRule type="cellIs" dxfId="2976" priority="160" operator="notEqual">
      <formula>0</formula>
    </cfRule>
  </conditionalFormatting>
  <conditionalFormatting sqref="V39:V40">
    <cfRule type="cellIs" dxfId="2975" priority="157" operator="equal">
      <formula>0</formula>
    </cfRule>
    <cfRule type="cellIs" dxfId="2974" priority="158" operator="notEqual">
      <formula>0</formula>
    </cfRule>
  </conditionalFormatting>
  <conditionalFormatting sqref="W39:W40">
    <cfRule type="cellIs" dxfId="2973" priority="155" operator="equal">
      <formula>0</formula>
    </cfRule>
    <cfRule type="cellIs" dxfId="2972" priority="156" operator="notEqual">
      <formula>0</formula>
    </cfRule>
  </conditionalFormatting>
  <conditionalFormatting sqref="X39:X40">
    <cfRule type="cellIs" dxfId="2971" priority="153" operator="equal">
      <formula>0</formula>
    </cfRule>
    <cfRule type="cellIs" dxfId="2970" priority="154" operator="notEqual">
      <formula>0</formula>
    </cfRule>
  </conditionalFormatting>
  <conditionalFormatting sqref="Y39:Y40">
    <cfRule type="cellIs" dxfId="2969" priority="151" operator="equal">
      <formula>0</formula>
    </cfRule>
    <cfRule type="cellIs" dxfId="2968" priority="152" operator="notEqual">
      <formula>0</formula>
    </cfRule>
  </conditionalFormatting>
  <conditionalFormatting sqref="Z39:Z40">
    <cfRule type="cellIs" dxfId="2967" priority="149" operator="equal">
      <formula>0</formula>
    </cfRule>
    <cfRule type="cellIs" dxfId="2966" priority="150" operator="notEqual">
      <formula>0</formula>
    </cfRule>
  </conditionalFormatting>
  <conditionalFormatting sqref="AA39:AA40">
    <cfRule type="cellIs" dxfId="2965" priority="147" operator="equal">
      <formula>0</formula>
    </cfRule>
    <cfRule type="cellIs" dxfId="2964" priority="148" operator="notEqual">
      <formula>0</formula>
    </cfRule>
  </conditionalFormatting>
  <conditionalFormatting sqref="AB39:AB40">
    <cfRule type="cellIs" dxfId="2963" priority="145" operator="equal">
      <formula>0</formula>
    </cfRule>
    <cfRule type="cellIs" dxfId="2962" priority="146" operator="notEqual">
      <formula>0</formula>
    </cfRule>
  </conditionalFormatting>
  <conditionalFormatting sqref="AG38">
    <cfRule type="cellIs" dxfId="2961" priority="143" operator="equal">
      <formula>0</formula>
    </cfRule>
    <cfRule type="cellIs" dxfId="2960" priority="144" operator="notEqual">
      <formula>0</formula>
    </cfRule>
  </conditionalFormatting>
  <conditionalFormatting sqref="AG41">
    <cfRule type="cellIs" dxfId="2959" priority="141" operator="equal">
      <formula>0</formula>
    </cfRule>
    <cfRule type="cellIs" dxfId="2958" priority="142" operator="notEqual">
      <formula>0</formula>
    </cfRule>
  </conditionalFormatting>
  <conditionalFormatting sqref="AH38">
    <cfRule type="cellIs" dxfId="2957" priority="139" operator="equal">
      <formula>0</formula>
    </cfRule>
    <cfRule type="cellIs" dxfId="2956" priority="140" operator="notEqual">
      <formula>0</formula>
    </cfRule>
  </conditionalFormatting>
  <conditionalFormatting sqref="AH41">
    <cfRule type="cellIs" dxfId="2955" priority="137" operator="equal">
      <formula>0</formula>
    </cfRule>
    <cfRule type="cellIs" dxfId="2954" priority="138" operator="notEqual">
      <formula>0</formula>
    </cfRule>
  </conditionalFormatting>
  <conditionalFormatting sqref="AI38">
    <cfRule type="cellIs" dxfId="2953" priority="135" operator="equal">
      <formula>0</formula>
    </cfRule>
    <cfRule type="cellIs" dxfId="2952" priority="136" operator="notEqual">
      <formula>0</formula>
    </cfRule>
  </conditionalFormatting>
  <conditionalFormatting sqref="AI41">
    <cfRule type="cellIs" dxfId="2951" priority="133" operator="equal">
      <formula>0</formula>
    </cfRule>
    <cfRule type="cellIs" dxfId="2950" priority="134" operator="notEqual">
      <formula>0</formula>
    </cfRule>
  </conditionalFormatting>
  <conditionalFormatting sqref="AJ38">
    <cfRule type="cellIs" dxfId="2949" priority="131" operator="equal">
      <formula>0</formula>
    </cfRule>
    <cfRule type="cellIs" dxfId="2948" priority="132" operator="notEqual">
      <formula>0</formula>
    </cfRule>
  </conditionalFormatting>
  <conditionalFormatting sqref="AJ41">
    <cfRule type="cellIs" dxfId="2947" priority="129" operator="equal">
      <formula>0</formula>
    </cfRule>
    <cfRule type="cellIs" dxfId="2946" priority="130" operator="notEqual">
      <formula>0</formula>
    </cfRule>
  </conditionalFormatting>
  <conditionalFormatting sqref="U32:U33">
    <cfRule type="cellIs" dxfId="2945" priority="127" operator="equal">
      <formula>0</formula>
    </cfRule>
    <cfRule type="cellIs" dxfId="2944" priority="128" operator="notEqual">
      <formula>0</formula>
    </cfRule>
  </conditionalFormatting>
  <conditionalFormatting sqref="V32:V33">
    <cfRule type="cellIs" dxfId="2943" priority="125" operator="equal">
      <formula>0</formula>
    </cfRule>
    <cfRule type="cellIs" dxfId="2942" priority="126" operator="notEqual">
      <formula>0</formula>
    </cfRule>
  </conditionalFormatting>
  <conditionalFormatting sqref="W32:W33">
    <cfRule type="cellIs" dxfId="2941" priority="123" operator="equal">
      <formula>0</formula>
    </cfRule>
    <cfRule type="cellIs" dxfId="2940" priority="124" operator="notEqual">
      <formula>0</formula>
    </cfRule>
  </conditionalFormatting>
  <conditionalFormatting sqref="X32:X33">
    <cfRule type="cellIs" dxfId="2939" priority="121" operator="equal">
      <formula>0</formula>
    </cfRule>
    <cfRule type="cellIs" dxfId="2938" priority="122" operator="notEqual">
      <formula>0</formula>
    </cfRule>
  </conditionalFormatting>
  <conditionalFormatting sqref="Y32:Y33">
    <cfRule type="cellIs" dxfId="2937" priority="119" operator="equal">
      <formula>0</formula>
    </cfRule>
    <cfRule type="cellIs" dxfId="2936" priority="120" operator="notEqual">
      <formula>0</formula>
    </cfRule>
  </conditionalFormatting>
  <conditionalFormatting sqref="Z32:Z33">
    <cfRule type="cellIs" dxfId="2935" priority="117" operator="equal">
      <formula>0</formula>
    </cfRule>
    <cfRule type="cellIs" dxfId="2934" priority="118" operator="notEqual">
      <formula>0</formula>
    </cfRule>
  </conditionalFormatting>
  <conditionalFormatting sqref="AA32:AA33">
    <cfRule type="cellIs" dxfId="2933" priority="115" operator="equal">
      <formula>0</formula>
    </cfRule>
    <cfRule type="cellIs" dxfId="2932" priority="116" operator="notEqual">
      <formula>0</formula>
    </cfRule>
  </conditionalFormatting>
  <conditionalFormatting sqref="AB32:AB33">
    <cfRule type="cellIs" dxfId="2931" priority="113" operator="equal">
      <formula>0</formula>
    </cfRule>
    <cfRule type="cellIs" dxfId="2930" priority="114" operator="notEqual">
      <formula>0</formula>
    </cfRule>
  </conditionalFormatting>
  <conditionalFormatting sqref="AG31">
    <cfRule type="cellIs" dxfId="2929" priority="111" operator="equal">
      <formula>0</formula>
    </cfRule>
    <cfRule type="cellIs" dxfId="2928" priority="112" operator="notEqual">
      <formula>0</formula>
    </cfRule>
  </conditionalFormatting>
  <conditionalFormatting sqref="AG34">
    <cfRule type="cellIs" dxfId="2927" priority="109" operator="equal">
      <formula>0</formula>
    </cfRule>
    <cfRule type="cellIs" dxfId="2926" priority="110" operator="notEqual">
      <formula>0</formula>
    </cfRule>
  </conditionalFormatting>
  <conditionalFormatting sqref="AH31">
    <cfRule type="cellIs" dxfId="2925" priority="107" operator="equal">
      <formula>0</formula>
    </cfRule>
    <cfRule type="cellIs" dxfId="2924" priority="108" operator="notEqual">
      <formula>0</formula>
    </cfRule>
  </conditionalFormatting>
  <conditionalFormatting sqref="AH34">
    <cfRule type="cellIs" dxfId="2923" priority="105" operator="equal">
      <formula>0</formula>
    </cfRule>
    <cfRule type="cellIs" dxfId="2922" priority="106" operator="notEqual">
      <formula>0</formula>
    </cfRule>
  </conditionalFormatting>
  <conditionalFormatting sqref="AI31">
    <cfRule type="cellIs" dxfId="2921" priority="103" operator="equal">
      <formula>0</formula>
    </cfRule>
    <cfRule type="cellIs" dxfId="2920" priority="104" operator="notEqual">
      <formula>0</formula>
    </cfRule>
  </conditionalFormatting>
  <conditionalFormatting sqref="AI34">
    <cfRule type="cellIs" dxfId="2919" priority="101" operator="equal">
      <formula>0</formula>
    </cfRule>
    <cfRule type="cellIs" dxfId="2918" priority="102" operator="notEqual">
      <formula>0</formula>
    </cfRule>
  </conditionalFormatting>
  <conditionalFormatting sqref="AJ31">
    <cfRule type="cellIs" dxfId="2917" priority="99" operator="equal">
      <formula>0</formula>
    </cfRule>
    <cfRule type="cellIs" dxfId="2916" priority="100" operator="notEqual">
      <formula>0</formula>
    </cfRule>
  </conditionalFormatting>
  <conditionalFormatting sqref="AJ34">
    <cfRule type="cellIs" dxfId="2915" priority="97" operator="equal">
      <formula>0</formula>
    </cfRule>
    <cfRule type="cellIs" dxfId="2914" priority="98" operator="notEqual">
      <formula>0</formula>
    </cfRule>
  </conditionalFormatting>
  <conditionalFormatting sqref="U25:U26">
    <cfRule type="cellIs" dxfId="2913" priority="95" operator="equal">
      <formula>0</formula>
    </cfRule>
    <cfRule type="cellIs" dxfId="2912" priority="96" operator="notEqual">
      <formula>0</formula>
    </cfRule>
  </conditionalFormatting>
  <conditionalFormatting sqref="V25:V26">
    <cfRule type="cellIs" dxfId="2911" priority="93" operator="equal">
      <formula>0</formula>
    </cfRule>
    <cfRule type="cellIs" dxfId="2910" priority="94" operator="notEqual">
      <formula>0</formula>
    </cfRule>
  </conditionalFormatting>
  <conditionalFormatting sqref="W25:W26">
    <cfRule type="cellIs" dxfId="2909" priority="91" operator="equal">
      <formula>0</formula>
    </cfRule>
    <cfRule type="cellIs" dxfId="2908" priority="92" operator="notEqual">
      <formula>0</formula>
    </cfRule>
  </conditionalFormatting>
  <conditionalFormatting sqref="X25:X26">
    <cfRule type="cellIs" dxfId="2907" priority="89" operator="equal">
      <formula>0</formula>
    </cfRule>
    <cfRule type="cellIs" dxfId="2906" priority="90" operator="notEqual">
      <formula>0</formula>
    </cfRule>
  </conditionalFormatting>
  <conditionalFormatting sqref="Y25:Y26">
    <cfRule type="cellIs" dxfId="2905" priority="87" operator="equal">
      <formula>0</formula>
    </cfRule>
    <cfRule type="cellIs" dxfId="2904" priority="88" operator="notEqual">
      <formula>0</formula>
    </cfRule>
  </conditionalFormatting>
  <conditionalFormatting sqref="Z25:Z26">
    <cfRule type="cellIs" dxfId="2903" priority="85" operator="equal">
      <formula>0</formula>
    </cfRule>
    <cfRule type="cellIs" dxfId="2902" priority="86" operator="notEqual">
      <formula>0</formula>
    </cfRule>
  </conditionalFormatting>
  <conditionalFormatting sqref="AA25:AA26">
    <cfRule type="cellIs" dxfId="2901" priority="83" operator="equal">
      <formula>0</formula>
    </cfRule>
    <cfRule type="cellIs" dxfId="2900" priority="84" operator="notEqual">
      <formula>0</formula>
    </cfRule>
  </conditionalFormatting>
  <conditionalFormatting sqref="AB25:AB26">
    <cfRule type="cellIs" dxfId="2899" priority="81" operator="equal">
      <formula>0</formula>
    </cfRule>
    <cfRule type="cellIs" dxfId="2898" priority="82" operator="notEqual">
      <formula>0</formula>
    </cfRule>
  </conditionalFormatting>
  <conditionalFormatting sqref="AG24">
    <cfRule type="cellIs" dxfId="2897" priority="79" operator="equal">
      <formula>0</formula>
    </cfRule>
    <cfRule type="cellIs" dxfId="2896" priority="80" operator="notEqual">
      <formula>0</formula>
    </cfRule>
  </conditionalFormatting>
  <conditionalFormatting sqref="AG27">
    <cfRule type="cellIs" dxfId="2895" priority="77" operator="equal">
      <formula>0</formula>
    </cfRule>
    <cfRule type="cellIs" dxfId="2894" priority="78" operator="notEqual">
      <formula>0</formula>
    </cfRule>
  </conditionalFormatting>
  <conditionalFormatting sqref="AH24">
    <cfRule type="cellIs" dxfId="2893" priority="75" operator="equal">
      <formula>0</formula>
    </cfRule>
    <cfRule type="cellIs" dxfId="2892" priority="76" operator="notEqual">
      <formula>0</formula>
    </cfRule>
  </conditionalFormatting>
  <conditionalFormatting sqref="AH27">
    <cfRule type="cellIs" dxfId="2891" priority="73" operator="equal">
      <formula>0</formula>
    </cfRule>
    <cfRule type="cellIs" dxfId="2890" priority="74" operator="notEqual">
      <formula>0</formula>
    </cfRule>
  </conditionalFormatting>
  <conditionalFormatting sqref="AI24">
    <cfRule type="cellIs" dxfId="2889" priority="71" operator="equal">
      <formula>0</formula>
    </cfRule>
    <cfRule type="cellIs" dxfId="2888" priority="72" operator="notEqual">
      <formula>0</formula>
    </cfRule>
  </conditionalFormatting>
  <conditionalFormatting sqref="AI27">
    <cfRule type="cellIs" dxfId="2887" priority="69" operator="equal">
      <formula>0</formula>
    </cfRule>
    <cfRule type="cellIs" dxfId="2886" priority="70" operator="notEqual">
      <formula>0</formula>
    </cfRule>
  </conditionalFormatting>
  <conditionalFormatting sqref="AJ24">
    <cfRule type="cellIs" dxfId="2885" priority="67" operator="equal">
      <formula>0</formula>
    </cfRule>
    <cfRule type="cellIs" dxfId="2884" priority="68" operator="notEqual">
      <formula>0</formula>
    </cfRule>
  </conditionalFormatting>
  <conditionalFormatting sqref="AJ27">
    <cfRule type="cellIs" dxfId="2883" priority="65" operator="equal">
      <formula>0</formula>
    </cfRule>
    <cfRule type="cellIs" dxfId="2882" priority="66" operator="notEqual">
      <formula>0</formula>
    </cfRule>
  </conditionalFormatting>
  <conditionalFormatting sqref="U18:U19">
    <cfRule type="cellIs" dxfId="2881" priority="63" operator="equal">
      <formula>0</formula>
    </cfRule>
    <cfRule type="cellIs" dxfId="2880" priority="64" operator="notEqual">
      <formula>0</formula>
    </cfRule>
  </conditionalFormatting>
  <conditionalFormatting sqref="V18:V19">
    <cfRule type="cellIs" dxfId="2879" priority="61" operator="equal">
      <formula>0</formula>
    </cfRule>
    <cfRule type="cellIs" dxfId="2878" priority="62" operator="notEqual">
      <formula>0</formula>
    </cfRule>
  </conditionalFormatting>
  <conditionalFormatting sqref="W18:W19">
    <cfRule type="cellIs" dxfId="2877" priority="59" operator="equal">
      <formula>0</formula>
    </cfRule>
    <cfRule type="cellIs" dxfId="2876" priority="60" operator="notEqual">
      <formula>0</formula>
    </cfRule>
  </conditionalFormatting>
  <conditionalFormatting sqref="X18:X19">
    <cfRule type="cellIs" dxfId="2875" priority="57" operator="equal">
      <formula>0</formula>
    </cfRule>
    <cfRule type="cellIs" dxfId="2874" priority="58" operator="notEqual">
      <formula>0</formula>
    </cfRule>
  </conditionalFormatting>
  <conditionalFormatting sqref="Y18:Y19">
    <cfRule type="cellIs" dxfId="2873" priority="55" operator="equal">
      <formula>0</formula>
    </cfRule>
    <cfRule type="cellIs" dxfId="2872" priority="56" operator="notEqual">
      <formula>0</formula>
    </cfRule>
  </conditionalFormatting>
  <conditionalFormatting sqref="Z18:Z19">
    <cfRule type="cellIs" dxfId="2871" priority="53" operator="equal">
      <formula>0</formula>
    </cfRule>
    <cfRule type="cellIs" dxfId="2870" priority="54" operator="notEqual">
      <formula>0</formula>
    </cfRule>
  </conditionalFormatting>
  <conditionalFormatting sqref="AA18:AA19">
    <cfRule type="cellIs" dxfId="2869" priority="51" operator="equal">
      <formula>0</formula>
    </cfRule>
    <cfRule type="cellIs" dxfId="2868" priority="52" operator="notEqual">
      <formula>0</formula>
    </cfRule>
  </conditionalFormatting>
  <conditionalFormatting sqref="AB18:AB19">
    <cfRule type="cellIs" dxfId="2867" priority="49" operator="equal">
      <formula>0</formula>
    </cfRule>
    <cfRule type="cellIs" dxfId="2866" priority="50" operator="notEqual">
      <formula>0</formula>
    </cfRule>
  </conditionalFormatting>
  <conditionalFormatting sqref="AG17">
    <cfRule type="cellIs" dxfId="2865" priority="47" operator="equal">
      <formula>0</formula>
    </cfRule>
    <cfRule type="cellIs" dxfId="2864" priority="48" operator="notEqual">
      <formula>0</formula>
    </cfRule>
  </conditionalFormatting>
  <conditionalFormatting sqref="AG20">
    <cfRule type="cellIs" dxfId="2863" priority="45" operator="equal">
      <formula>0</formula>
    </cfRule>
    <cfRule type="cellIs" dxfId="2862" priority="46" operator="notEqual">
      <formula>0</formula>
    </cfRule>
  </conditionalFormatting>
  <conditionalFormatting sqref="AH17">
    <cfRule type="cellIs" dxfId="2861" priority="43" operator="equal">
      <formula>0</formula>
    </cfRule>
    <cfRule type="cellIs" dxfId="2860" priority="44" operator="notEqual">
      <formula>0</formula>
    </cfRule>
  </conditionalFormatting>
  <conditionalFormatting sqref="AH20">
    <cfRule type="cellIs" dxfId="2859" priority="41" operator="equal">
      <formula>0</formula>
    </cfRule>
    <cfRule type="cellIs" dxfId="2858" priority="42" operator="notEqual">
      <formula>0</formula>
    </cfRule>
  </conditionalFormatting>
  <conditionalFormatting sqref="AI17">
    <cfRule type="cellIs" dxfId="2857" priority="39" operator="equal">
      <formula>0</formula>
    </cfRule>
    <cfRule type="cellIs" dxfId="2856" priority="40" operator="notEqual">
      <formula>0</formula>
    </cfRule>
  </conditionalFormatting>
  <conditionalFormatting sqref="AI20">
    <cfRule type="cellIs" dxfId="2855" priority="37" operator="equal">
      <formula>0</formula>
    </cfRule>
    <cfRule type="cellIs" dxfId="2854" priority="38" operator="notEqual">
      <formula>0</formula>
    </cfRule>
  </conditionalFormatting>
  <conditionalFormatting sqref="AJ17">
    <cfRule type="cellIs" dxfId="2853" priority="35" operator="equal">
      <formula>0</formula>
    </cfRule>
    <cfRule type="cellIs" dxfId="2852" priority="36" operator="notEqual">
      <formula>0</formula>
    </cfRule>
  </conditionalFormatting>
  <conditionalFormatting sqref="AJ20">
    <cfRule type="cellIs" dxfId="2851" priority="33" operator="equal">
      <formula>0</formula>
    </cfRule>
    <cfRule type="cellIs" dxfId="2850" priority="34" operator="notEqual">
      <formula>0</formula>
    </cfRule>
  </conditionalFormatting>
  <conditionalFormatting sqref="U11:U12">
    <cfRule type="cellIs" dxfId="2849" priority="31" operator="equal">
      <formula>0</formula>
    </cfRule>
    <cfRule type="cellIs" dxfId="2848" priority="32" operator="notEqual">
      <formula>0</formula>
    </cfRule>
  </conditionalFormatting>
  <conditionalFormatting sqref="V11:V12">
    <cfRule type="cellIs" dxfId="2847" priority="29" operator="equal">
      <formula>0</formula>
    </cfRule>
    <cfRule type="cellIs" dxfId="2846" priority="30" operator="notEqual">
      <formula>0</formula>
    </cfRule>
  </conditionalFormatting>
  <conditionalFormatting sqref="W11:W12">
    <cfRule type="cellIs" dxfId="2845" priority="27" operator="equal">
      <formula>0</formula>
    </cfRule>
    <cfRule type="cellIs" dxfId="2844" priority="28" operator="notEqual">
      <formula>0</formula>
    </cfRule>
  </conditionalFormatting>
  <conditionalFormatting sqref="X11:X12">
    <cfRule type="cellIs" dxfId="2843" priority="25" operator="equal">
      <formula>0</formula>
    </cfRule>
    <cfRule type="cellIs" dxfId="2842" priority="26" operator="notEqual">
      <formula>0</formula>
    </cfRule>
  </conditionalFormatting>
  <conditionalFormatting sqref="Y11:Y12">
    <cfRule type="cellIs" dxfId="2841" priority="23" operator="equal">
      <formula>0</formula>
    </cfRule>
    <cfRule type="cellIs" dxfId="2840" priority="24" operator="notEqual">
      <formula>0</formula>
    </cfRule>
  </conditionalFormatting>
  <conditionalFormatting sqref="Z11:Z12">
    <cfRule type="cellIs" dxfId="2839" priority="21" operator="equal">
      <formula>0</formula>
    </cfRule>
    <cfRule type="cellIs" dxfId="2838" priority="22" operator="notEqual">
      <formula>0</formula>
    </cfRule>
  </conditionalFormatting>
  <conditionalFormatting sqref="AA11:AA12">
    <cfRule type="cellIs" dxfId="2837" priority="19" operator="equal">
      <formula>0</formula>
    </cfRule>
    <cfRule type="cellIs" dxfId="2836" priority="20" operator="notEqual">
      <formula>0</formula>
    </cfRule>
  </conditionalFormatting>
  <conditionalFormatting sqref="AB11:AB12">
    <cfRule type="cellIs" dxfId="2835" priority="17" operator="equal">
      <formula>0</formula>
    </cfRule>
    <cfRule type="cellIs" dxfId="2834" priority="18" operator="notEqual">
      <formula>0</formula>
    </cfRule>
  </conditionalFormatting>
  <conditionalFormatting sqref="AG10">
    <cfRule type="cellIs" dxfId="2833" priority="15" operator="equal">
      <formula>0</formula>
    </cfRule>
    <cfRule type="cellIs" dxfId="2832" priority="16" operator="notEqual">
      <formula>0</formula>
    </cfRule>
  </conditionalFormatting>
  <conditionalFormatting sqref="AG13">
    <cfRule type="cellIs" dxfId="2831" priority="13" operator="equal">
      <formula>0</formula>
    </cfRule>
    <cfRule type="cellIs" dxfId="2830" priority="14" operator="notEqual">
      <formula>0</formula>
    </cfRule>
  </conditionalFormatting>
  <conditionalFormatting sqref="AH10">
    <cfRule type="cellIs" dxfId="2829" priority="11" operator="equal">
      <formula>0</formula>
    </cfRule>
    <cfRule type="cellIs" dxfId="2828" priority="12" operator="notEqual">
      <formula>0</formula>
    </cfRule>
  </conditionalFormatting>
  <conditionalFormatting sqref="AH13">
    <cfRule type="cellIs" dxfId="2827" priority="9" operator="equal">
      <formula>0</formula>
    </cfRule>
    <cfRule type="cellIs" dxfId="2826" priority="10" operator="notEqual">
      <formula>0</formula>
    </cfRule>
  </conditionalFormatting>
  <conditionalFormatting sqref="AI10">
    <cfRule type="cellIs" dxfId="2825" priority="7" operator="equal">
      <formula>0</formula>
    </cfRule>
    <cfRule type="cellIs" dxfId="2824" priority="8" operator="notEqual">
      <formula>0</formula>
    </cfRule>
  </conditionalFormatting>
  <conditionalFormatting sqref="AI13">
    <cfRule type="cellIs" dxfId="2823" priority="5" operator="equal">
      <formula>0</formula>
    </cfRule>
    <cfRule type="cellIs" dxfId="2822" priority="6" operator="notEqual">
      <formula>0</formula>
    </cfRule>
  </conditionalFormatting>
  <conditionalFormatting sqref="AJ10">
    <cfRule type="cellIs" dxfId="2821" priority="3" operator="equal">
      <formula>0</formula>
    </cfRule>
    <cfRule type="cellIs" dxfId="2820" priority="4" operator="notEqual">
      <formula>0</formula>
    </cfRule>
  </conditionalFormatting>
  <conditionalFormatting sqref="AJ13">
    <cfRule type="cellIs" dxfId="2819" priority="1" operator="equal">
      <formula>0</formula>
    </cfRule>
    <cfRule type="cellIs" dxfId="2818" priority="2" operator="notEqual">
      <formula>0</formula>
    </cfRule>
  </conditionalFormatting>
  <dataValidations count="1">
    <dataValidation type="list" allowBlank="1" showInputMessage="1" showErrorMessage="1" sqref="B5" xr:uid="{FF1A5B65-A890-4375-A47D-14ACB855E01E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4">
    <pageSetUpPr autoPageBreaks="0"/>
  </sheetPr>
  <dimension ref="A1:AX76"/>
  <sheetViews>
    <sheetView showGridLines="0" zoomScale="70" zoomScaleNormal="70" workbookViewId="0">
      <selection activeCell="C22" sqref="C22:O22"/>
    </sheetView>
  </sheetViews>
  <sheetFormatPr baseColWidth="10" defaultColWidth="9.1640625" defaultRowHeight="14" x14ac:dyDescent="0.15"/>
  <cols>
    <col min="1" max="1" width="2.1640625" style="30" customWidth="1"/>
    <col min="2" max="2" width="36.1640625" style="30" customWidth="1"/>
    <col min="3" max="19" width="9.1640625" style="30"/>
    <col min="20" max="20" width="33" style="30" customWidth="1"/>
    <col min="21" max="16384" width="9.1640625" style="30"/>
  </cols>
  <sheetData>
    <row r="1" spans="1:50" ht="60.75" customHeight="1" x14ac:dyDescent="0.15">
      <c r="A1" s="372" t="s">
        <v>452</v>
      </c>
      <c r="B1" s="372"/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</row>
    <row r="2" spans="1:50" ht="48" customHeight="1" x14ac:dyDescent="0.15">
      <c r="A2" s="373"/>
      <c r="B2" s="373"/>
      <c r="C2" s="373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3"/>
      <c r="Z2" s="373"/>
      <c r="AA2" s="373"/>
      <c r="AB2" s="373"/>
      <c r="AC2" s="373"/>
      <c r="AD2" s="373"/>
      <c r="AE2" s="373"/>
      <c r="AF2" s="373"/>
      <c r="AG2" s="373"/>
      <c r="AH2" s="373"/>
      <c r="AI2" s="373"/>
      <c r="AJ2" s="373"/>
      <c r="AK2" s="373"/>
      <c r="AL2" s="373"/>
      <c r="AM2" s="373"/>
      <c r="AN2" s="373"/>
      <c r="AO2" s="373"/>
      <c r="AP2" s="373"/>
      <c r="AQ2" s="373"/>
      <c r="AR2" s="373"/>
      <c r="AS2" s="373"/>
      <c r="AT2" s="373"/>
      <c r="AU2" s="373"/>
      <c r="AV2" s="373"/>
      <c r="AW2" s="373"/>
      <c r="AX2" s="373"/>
    </row>
    <row r="3" spans="1:50" s="72" customFormat="1" ht="16" x14ac:dyDescent="0.15"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</row>
    <row r="4" spans="1:50" ht="30" x14ac:dyDescent="0.15">
      <c r="B4" s="56" t="s">
        <v>470</v>
      </c>
    </row>
    <row r="5" spans="1:50" ht="15" x14ac:dyDescent="0.15">
      <c r="B5" s="78" t="s">
        <v>7</v>
      </c>
      <c r="P5" s="61"/>
    </row>
    <row r="6" spans="1:50" x14ac:dyDescent="0.15">
      <c r="B6" s="70"/>
    </row>
    <row r="8" spans="1:50" ht="28.5" customHeight="1" x14ac:dyDescent="0.15">
      <c r="B8" s="182" t="str">
        <f>HLOOKUP($B$5,Region_Table,2,0)</f>
        <v>Blackburn and Darwen - N51</v>
      </c>
      <c r="C8" s="359" t="s">
        <v>363</v>
      </c>
      <c r="D8" s="365"/>
      <c r="E8" s="365"/>
      <c r="F8" s="365"/>
      <c r="G8" s="365"/>
      <c r="H8" s="365"/>
      <c r="I8" s="365"/>
      <c r="J8" s="365"/>
      <c r="K8" s="365"/>
      <c r="L8" s="365"/>
      <c r="M8" s="368"/>
      <c r="N8" s="368"/>
      <c r="O8" s="369"/>
      <c r="P8" s="362">
        <f>SUMIF('caseload data'!C:C,'divisional &amp; regional caseload%'!B8,'caseload data'!V:V)</f>
        <v>0</v>
      </c>
      <c r="Q8" s="370"/>
      <c r="R8" s="371"/>
      <c r="S8" s="95"/>
      <c r="T8" s="182" t="str">
        <f>HLOOKUP($B$5,Region_Table,3,0)</f>
        <v>Central Lancashire</v>
      </c>
      <c r="U8" s="359" t="s">
        <v>363</v>
      </c>
      <c r="V8" s="365"/>
      <c r="W8" s="365"/>
      <c r="X8" s="365"/>
      <c r="Y8" s="365"/>
      <c r="Z8" s="365"/>
      <c r="AA8" s="365"/>
      <c r="AB8" s="365"/>
      <c r="AC8" s="365"/>
      <c r="AD8" s="365"/>
      <c r="AE8" s="368"/>
      <c r="AF8" s="368"/>
      <c r="AG8" s="369"/>
      <c r="AH8" s="362">
        <f>SUMIF('caseload data'!C:C,'divisional &amp; regional caseload%'!T8,'caseload data'!V:V)</f>
        <v>0</v>
      </c>
      <c r="AI8" s="370"/>
      <c r="AJ8" s="371"/>
    </row>
    <row r="9" spans="1:50" x14ac:dyDescent="0.15">
      <c r="B9" s="127" t="s">
        <v>324</v>
      </c>
      <c r="C9" s="58" t="s">
        <v>504</v>
      </c>
      <c r="D9" s="58" t="s">
        <v>503</v>
      </c>
      <c r="E9" s="58" t="s">
        <v>502</v>
      </c>
      <c r="F9" s="58" t="s">
        <v>501</v>
      </c>
      <c r="G9" s="58" t="s">
        <v>510</v>
      </c>
      <c r="H9" s="58" t="s">
        <v>176</v>
      </c>
      <c r="I9" s="58" t="s">
        <v>177</v>
      </c>
      <c r="J9" s="58" t="s">
        <v>505</v>
      </c>
      <c r="K9" s="58" t="s">
        <v>507</v>
      </c>
      <c r="L9" s="58" t="s">
        <v>178</v>
      </c>
      <c r="M9" s="58" t="s">
        <v>179</v>
      </c>
      <c r="N9" s="58" t="s">
        <v>506</v>
      </c>
      <c r="O9" s="58" t="s">
        <v>508</v>
      </c>
      <c r="P9" s="58" t="s">
        <v>180</v>
      </c>
      <c r="Q9" s="58" t="s">
        <v>181</v>
      </c>
      <c r="R9" s="58" t="s">
        <v>509</v>
      </c>
      <c r="S9" s="95"/>
      <c r="T9" s="127" t="s">
        <v>324</v>
      </c>
      <c r="U9" s="58" t="s">
        <v>504</v>
      </c>
      <c r="V9" s="58" t="s">
        <v>503</v>
      </c>
      <c r="W9" s="58" t="s">
        <v>502</v>
      </c>
      <c r="X9" s="58" t="s">
        <v>501</v>
      </c>
      <c r="Y9" s="58" t="s">
        <v>510</v>
      </c>
      <c r="Z9" s="58" t="s">
        <v>176</v>
      </c>
      <c r="AA9" s="58" t="s">
        <v>177</v>
      </c>
      <c r="AB9" s="58" t="s">
        <v>505</v>
      </c>
      <c r="AC9" s="58" t="s">
        <v>507</v>
      </c>
      <c r="AD9" s="58" t="s">
        <v>178</v>
      </c>
      <c r="AE9" s="58" t="s">
        <v>179</v>
      </c>
      <c r="AF9" s="58" t="s">
        <v>506</v>
      </c>
      <c r="AG9" s="58" t="s">
        <v>508</v>
      </c>
      <c r="AH9" s="58" t="s">
        <v>180</v>
      </c>
      <c r="AI9" s="58" t="s">
        <v>181</v>
      </c>
      <c r="AJ9" s="58" t="s">
        <v>509</v>
      </c>
    </row>
    <row r="10" spans="1:50" x14ac:dyDescent="0.15">
      <c r="B10" s="129" t="s">
        <v>184</v>
      </c>
      <c r="C10" s="209" t="e">
        <f>SUMIFS('caseload data'!E:E,'caseload data'!$C:$C,'divisional &amp; regional caseload%'!$B$8,'caseload data'!$D:$D,"PO")/SUMIF('caseload data'!$C:$C,'divisional &amp; regional caseload%'!$B$8,'caseload data'!E:E)</f>
        <v>#DIV/0!</v>
      </c>
      <c r="D10" s="209" t="e">
        <f>SUMIFS('caseload data'!F:F,'caseload data'!$C:$C,'divisional &amp; regional caseload%'!$B$8,'caseload data'!$D:$D,"PO")/SUMIF('caseload data'!$C:$C,'divisional &amp; regional caseload%'!$B$8,'caseload data'!F:F)</f>
        <v>#DIV/0!</v>
      </c>
      <c r="E10" s="209" t="e">
        <f>SUMIFS('caseload data'!G:G,'caseload data'!$C:$C,'divisional &amp; regional caseload%'!$B$8,'caseload data'!$D:$D,"PO")/SUMIF('caseload data'!$C:$C,'divisional &amp; regional caseload%'!$B$8,'caseload data'!G:G)</f>
        <v>#DIV/0!</v>
      </c>
      <c r="F10" s="209" t="e">
        <f>SUMIFS('caseload data'!H:H,'caseload data'!$C:$C,'divisional &amp; regional caseload%'!$B$8,'caseload data'!$D:$D,"PO")/SUMIF('caseload data'!$C:$C,'divisional &amp; regional caseload%'!$B$8,'caseload data'!H:H)</f>
        <v>#DIV/0!</v>
      </c>
      <c r="G10" s="209" t="e">
        <f>SUMIFS('caseload data'!I:I,'caseload data'!$C:$C,'divisional &amp; regional caseload%'!$B$8,'caseload data'!$D:$D,"PO")/SUMIF('caseload data'!$C:$C,'divisional &amp; regional caseload%'!$B$8,'caseload data'!I:I)</f>
        <v>#DIV/0!</v>
      </c>
      <c r="H10" s="209" t="e">
        <f>SUMIFS('caseload data'!J:J,'caseload data'!$C:$C,'divisional &amp; regional caseload%'!$B$8,'caseload data'!$D:$D,"PO")/SUMIF('caseload data'!$C:$C,'divisional &amp; regional caseload%'!$B$8,'caseload data'!J:J)</f>
        <v>#DIV/0!</v>
      </c>
      <c r="I10" s="209" t="e">
        <f>SUMIFS('caseload data'!K:K,'caseload data'!$C:$C,'divisional &amp; regional caseload%'!$B$8,'caseload data'!$D:$D,"PO")/SUMIF('caseload data'!$C:$C,'divisional &amp; regional caseload%'!$B$8,'caseload data'!K:K)</f>
        <v>#DIV/0!</v>
      </c>
      <c r="J10" s="209" t="e">
        <f>SUMIFS('caseload data'!L:L,'caseload data'!$C:$C,'divisional &amp; regional caseload%'!$B$8,'caseload data'!$D:$D,"PO")/SUMIF('caseload data'!$C:$C,'divisional &amp; regional caseload%'!$B$8,'caseload data'!L:L)</f>
        <v>#DIV/0!</v>
      </c>
      <c r="K10" s="209" t="e">
        <f>SUMIFS('caseload data'!M:M,'caseload data'!$C:$C,'divisional &amp; regional caseload%'!$B$8,'caseload data'!$D:$D,"PO")/SUMIF('caseload data'!$C:$C,'divisional &amp; regional caseload%'!$B$8,'caseload data'!M:M)</f>
        <v>#DIV/0!</v>
      </c>
      <c r="L10" s="209" t="e">
        <f>SUMIFS('caseload data'!N:N,'caseload data'!$C:$C,'divisional &amp; regional caseload%'!$B$8,'caseload data'!$D:$D,"PO")/SUMIF('caseload data'!$C:$C,'divisional &amp; regional caseload%'!$B$8,'caseload data'!N:N)</f>
        <v>#DIV/0!</v>
      </c>
      <c r="M10" s="209" t="e">
        <f>SUMIFS('caseload data'!O:O,'caseload data'!$C:$C,'divisional &amp; regional caseload%'!$B$8,'caseload data'!$D:$D,"PO")/SUMIF('caseload data'!$C:$C,'divisional &amp; regional caseload%'!$B$8,'caseload data'!O:O)</f>
        <v>#DIV/0!</v>
      </c>
      <c r="N10" s="209" t="e">
        <f>SUMIFS('caseload data'!P:P,'caseload data'!$C:$C,'divisional &amp; regional caseload%'!$B$8,'caseload data'!$D:$D,"PO")/SUMIF('caseload data'!$C:$C,'divisional &amp; regional caseload%'!$B$8,'caseload data'!P:P)</f>
        <v>#DIV/0!</v>
      </c>
      <c r="O10" s="209" t="e">
        <f>SUMIFS('caseload data'!Q:Q,'caseload data'!$C:$C,'divisional &amp; regional caseload%'!$B$8,'caseload data'!$D:$D,"PO")/SUMIF('caseload data'!$C:$C,'divisional &amp; regional caseload%'!$B$8,'caseload data'!Q:Q)</f>
        <v>#DIV/0!</v>
      </c>
      <c r="P10" s="209" t="e">
        <f>SUMIFS('caseload data'!R:R,'caseload data'!$C:$C,'divisional &amp; regional caseload%'!$B$8,'caseload data'!$D:$D,"PO")/SUMIF('caseload data'!$C:$C,'divisional &amp; regional caseload%'!$B$8,'caseload data'!R:R)</f>
        <v>#DIV/0!</v>
      </c>
      <c r="Q10" s="209" t="e">
        <f>SUMIFS('caseload data'!S:S,'caseload data'!$C:$C,'divisional &amp; regional caseload%'!$B$8,'caseload data'!$D:$D,"PO")/SUMIF('caseload data'!$C:$C,'divisional &amp; regional caseload%'!$B$8,'caseload data'!S:S)</f>
        <v>#DIV/0!</v>
      </c>
      <c r="R10" s="209" t="e">
        <f>SUMIFS('caseload data'!T:T,'caseload data'!$C:$C,'divisional &amp; regional caseload%'!$B$8,'caseload data'!$D:$D,"PO")/SUMIF('caseload data'!$C:$C,'divisional &amp; regional caseload%'!$B$8,'caseload data'!T:T)</f>
        <v>#DIV/0!</v>
      </c>
      <c r="S10" s="95"/>
      <c r="T10" s="129" t="s">
        <v>184</v>
      </c>
      <c r="U10" s="209" t="e">
        <f>SUMIFS('caseload data'!E:E,'caseload data'!$C:$C,'divisional &amp; regional caseload%'!$T$8,'caseload data'!$D:$D,"PO")/SUMIF('caseload data'!$C:$C,'divisional &amp; regional caseload%'!$T$8,'caseload data'!E:E)</f>
        <v>#DIV/0!</v>
      </c>
      <c r="V10" s="209" t="e">
        <f>SUMIFS('caseload data'!F:F,'caseload data'!$C:$C,'divisional &amp; regional caseload%'!$T$8,'caseload data'!$D:$D,"PO")/SUMIF('caseload data'!$C:$C,'divisional &amp; regional caseload%'!$T$8,'caseload data'!F:F)</f>
        <v>#DIV/0!</v>
      </c>
      <c r="W10" s="209" t="e">
        <f>SUMIFS('caseload data'!G:G,'caseload data'!$C:$C,'divisional &amp; regional caseload%'!$T$8,'caseload data'!$D:$D,"PO")/SUMIF('caseload data'!$C:$C,'divisional &amp; regional caseload%'!$T$8,'caseload data'!G:G)</f>
        <v>#DIV/0!</v>
      </c>
      <c r="X10" s="209" t="e">
        <f>SUMIFS('caseload data'!H:H,'caseload data'!$C:$C,'divisional &amp; regional caseload%'!$T$8,'caseload data'!$D:$D,"PO")/SUMIF('caseload data'!$C:$C,'divisional &amp; regional caseload%'!$T$8,'caseload data'!H:H)</f>
        <v>#DIV/0!</v>
      </c>
      <c r="Y10" s="209" t="e">
        <f>SUMIFS('caseload data'!I:I,'caseload data'!$C:$C,'divisional &amp; regional caseload%'!$T$8,'caseload data'!$D:$D,"PO")/SUMIF('caseload data'!$C:$C,'divisional &amp; regional caseload%'!$T$8,'caseload data'!I:I)</f>
        <v>#DIV/0!</v>
      </c>
      <c r="Z10" s="209" t="e">
        <f>SUMIFS('caseload data'!J:J,'caseload data'!$C:$C,'divisional &amp; regional caseload%'!$T$8,'caseload data'!$D:$D,"PO")/SUMIF('caseload data'!$C:$C,'divisional &amp; regional caseload%'!$T$8,'caseload data'!J:J)</f>
        <v>#DIV/0!</v>
      </c>
      <c r="AA10" s="209" t="e">
        <f>SUMIFS('caseload data'!K:K,'caseload data'!$C:$C,'divisional &amp; regional caseload%'!$T$8,'caseload data'!$D:$D,"PO")/SUMIF('caseload data'!$C:$C,'divisional &amp; regional caseload%'!$T$8,'caseload data'!K:K)</f>
        <v>#DIV/0!</v>
      </c>
      <c r="AB10" s="209" t="e">
        <f>SUMIFS('caseload data'!L:L,'caseload data'!$C:$C,'divisional &amp; regional caseload%'!$T$8,'caseload data'!$D:$D,"PO")/SUMIF('caseload data'!$C:$C,'divisional &amp; regional caseload%'!$T$8,'caseload data'!L:L)</f>
        <v>#DIV/0!</v>
      </c>
      <c r="AC10" s="209" t="e">
        <f>SUMIFS('caseload data'!M:M,'caseload data'!$C:$C,'divisional &amp; regional caseload%'!$T$8,'caseload data'!$D:$D,"PO")/SUMIF('caseload data'!$C:$C,'divisional &amp; regional caseload%'!$T$8,'caseload data'!M:M)</f>
        <v>#DIV/0!</v>
      </c>
      <c r="AD10" s="209" t="e">
        <f>SUMIFS('caseload data'!N:N,'caseload data'!$C:$C,'divisional &amp; regional caseload%'!$T$8,'caseload data'!$D:$D,"PO")/SUMIF('caseload data'!$C:$C,'divisional &amp; regional caseload%'!$T$8,'caseload data'!N:N)</f>
        <v>#DIV/0!</v>
      </c>
      <c r="AE10" s="209" t="e">
        <f>SUMIFS('caseload data'!O:O,'caseload data'!$C:$C,'divisional &amp; regional caseload%'!$T$8,'caseload data'!$D:$D,"PO")/SUMIF('caseload data'!$C:$C,'divisional &amp; regional caseload%'!$T$8,'caseload data'!O:O)</f>
        <v>#DIV/0!</v>
      </c>
      <c r="AF10" s="209" t="e">
        <f>SUMIFS('caseload data'!P:P,'caseload data'!$C:$C,'divisional &amp; regional caseload%'!$T$8,'caseload data'!$D:$D,"PO")/SUMIF('caseload data'!$C:$C,'divisional &amp; regional caseload%'!$T$8,'caseload data'!P:P)</f>
        <v>#DIV/0!</v>
      </c>
      <c r="AG10" s="209" t="e">
        <f>SUMIFS('caseload data'!Q:Q,'caseload data'!$C:$C,'divisional &amp; regional caseload%'!$T$8,'caseload data'!$D:$D,"PO")/SUMIF('caseload data'!$C:$C,'divisional &amp; regional caseload%'!$T$8,'caseload data'!Q:Q)</f>
        <v>#DIV/0!</v>
      </c>
      <c r="AH10" s="209" t="e">
        <f>SUMIFS('caseload data'!R:R,'caseload data'!$C:$C,'divisional &amp; regional caseload%'!$T$8,'caseload data'!$D:$D,"PO")/SUMIF('caseload data'!$C:$C,'divisional &amp; regional caseload%'!$T$8,'caseload data'!R:R)</f>
        <v>#DIV/0!</v>
      </c>
      <c r="AI10" s="209" t="e">
        <f>SUMIFS('caseload data'!S:S,'caseload data'!$C:$C,'divisional &amp; regional caseload%'!$T$8,'caseload data'!$D:$D,"PO")/SUMIF('caseload data'!$C:$C,'divisional &amp; regional caseload%'!$T$8,'caseload data'!S:S)</f>
        <v>#DIV/0!</v>
      </c>
      <c r="AJ10" s="209" t="e">
        <f>SUMIFS('caseload data'!T:T,'caseload data'!$C:$C,'divisional &amp; regional caseload%'!$T$8,'caseload data'!$D:$D,"PO")/SUMIF('caseload data'!$C:$C,'divisional &amp; regional caseload%'!$T$8,'caseload data'!T:T)</f>
        <v>#DIV/0!</v>
      </c>
    </row>
    <row r="11" spans="1:50" x14ac:dyDescent="0.15">
      <c r="B11" s="130" t="s">
        <v>185</v>
      </c>
      <c r="C11" s="209" t="e">
        <f>SUMIFS('caseload data'!E:E,'caseload data'!$C:$C,'divisional &amp; regional caseload%'!$B$8,'caseload data'!$D:$D,"PSO")/SUMIF('caseload data'!$C:$C,'divisional &amp; regional caseload%'!$B$8,'caseload data'!E:E)</f>
        <v>#DIV/0!</v>
      </c>
      <c r="D11" s="209" t="e">
        <f>SUMIFS('caseload data'!F:F,'caseload data'!$C:$C,'divisional &amp; regional caseload%'!$B$8,'caseload data'!$D:$D,"PSO")/SUMIF('caseload data'!$C:$C,'divisional &amp; regional caseload%'!$B$8,'caseload data'!F:F)</f>
        <v>#DIV/0!</v>
      </c>
      <c r="E11" s="209" t="e">
        <f>SUMIFS('caseload data'!G:G,'caseload data'!$C:$C,'divisional &amp; regional caseload%'!$B$8,'caseload data'!$D:$D,"PSO")/SUMIF('caseload data'!$C:$C,'divisional &amp; regional caseload%'!$B$8,'caseload data'!G:G)</f>
        <v>#DIV/0!</v>
      </c>
      <c r="F11" s="209" t="e">
        <f>SUMIFS('caseload data'!H:H,'caseload data'!$C:$C,'divisional &amp; regional caseload%'!$B$8,'caseload data'!$D:$D,"PSO")/SUMIF('caseload data'!$C:$C,'divisional &amp; regional caseload%'!$B$8,'caseload data'!H:H)</f>
        <v>#DIV/0!</v>
      </c>
      <c r="G11" s="209" t="e">
        <f>SUMIFS('caseload data'!I:I,'caseload data'!$C:$C,'divisional &amp; regional caseload%'!$B$8,'caseload data'!$D:$D,"PSO")/SUMIF('caseload data'!$C:$C,'divisional &amp; regional caseload%'!$B$8,'caseload data'!I:I)</f>
        <v>#DIV/0!</v>
      </c>
      <c r="H11" s="209" t="e">
        <f>SUMIFS('caseload data'!J:J,'caseload data'!$C:$C,'divisional &amp; regional caseload%'!$B$8,'caseload data'!$D:$D,"PSO")/SUMIF('caseload data'!$C:$C,'divisional &amp; regional caseload%'!$B$8,'caseload data'!J:J)</f>
        <v>#DIV/0!</v>
      </c>
      <c r="I11" s="209" t="e">
        <f>SUMIFS('caseload data'!K:K,'caseload data'!$C:$C,'divisional &amp; regional caseload%'!$B$8,'caseload data'!$D:$D,"PSO")/SUMIF('caseload data'!$C:$C,'divisional &amp; regional caseload%'!$B$8,'caseload data'!K:K)</f>
        <v>#DIV/0!</v>
      </c>
      <c r="J11" s="209" t="e">
        <f>SUMIFS('caseload data'!L:L,'caseload data'!$C:$C,'divisional &amp; regional caseload%'!$B$8,'caseload data'!$D:$D,"PSO")/SUMIF('caseload data'!$C:$C,'divisional &amp; regional caseload%'!$B$8,'caseload data'!L:L)</f>
        <v>#DIV/0!</v>
      </c>
      <c r="K11" s="209" t="e">
        <f>SUMIFS('caseload data'!M:M,'caseload data'!$C:$C,'divisional &amp; regional caseload%'!$B$8,'caseload data'!$D:$D,"PSO")/SUMIF('caseload data'!$C:$C,'divisional &amp; regional caseload%'!$B$8,'caseload data'!M:M)</f>
        <v>#DIV/0!</v>
      </c>
      <c r="L11" s="209" t="e">
        <f>SUMIFS('caseload data'!N:N,'caseload data'!$C:$C,'divisional &amp; regional caseload%'!$B$8,'caseload data'!$D:$D,"PSO")/SUMIF('caseload data'!$C:$C,'divisional &amp; regional caseload%'!$B$8,'caseload data'!N:N)</f>
        <v>#DIV/0!</v>
      </c>
      <c r="M11" s="209" t="e">
        <f>SUMIFS('caseload data'!O:O,'caseload data'!$C:$C,'divisional &amp; regional caseload%'!$B$8,'caseload data'!$D:$D,"PSO")/SUMIF('caseload data'!$C:$C,'divisional &amp; regional caseload%'!$B$8,'caseload data'!O:O)</f>
        <v>#DIV/0!</v>
      </c>
      <c r="N11" s="209" t="e">
        <f>SUMIFS('caseload data'!P:P,'caseload data'!$C:$C,'divisional &amp; regional caseload%'!$B$8,'caseload data'!$D:$D,"PSO")/SUMIF('caseload data'!$C:$C,'divisional &amp; regional caseload%'!$B$8,'caseload data'!P:P)</f>
        <v>#DIV/0!</v>
      </c>
      <c r="O11" s="209" t="e">
        <f>SUMIFS('caseload data'!Q:Q,'caseload data'!$C:$C,'divisional &amp; regional caseload%'!$B$8,'caseload data'!$D:$D,"PSO")/SUMIF('caseload data'!$C:$C,'divisional &amp; regional caseload%'!$B$8,'caseload data'!Q:Q)</f>
        <v>#DIV/0!</v>
      </c>
      <c r="P11" s="209" t="e">
        <f>SUMIFS('caseload data'!R:R,'caseload data'!$C:$C,'divisional &amp; regional caseload%'!$B$8,'caseload data'!$D:$D,"PSO")/SUMIF('caseload data'!$C:$C,'divisional &amp; regional caseload%'!$B$8,'caseload data'!R:R)</f>
        <v>#DIV/0!</v>
      </c>
      <c r="Q11" s="209" t="e">
        <f>SUMIFS('caseload data'!S:S,'caseload data'!$C:$C,'divisional &amp; regional caseload%'!$B$8,'caseload data'!$D:$D,"PSO")/SUMIF('caseload data'!$C:$C,'divisional &amp; regional caseload%'!$B$8,'caseload data'!S:S)</f>
        <v>#DIV/0!</v>
      </c>
      <c r="R11" s="209" t="e">
        <f>SUMIFS('caseload data'!T:T,'caseload data'!$C:$C,'divisional &amp; regional caseload%'!$B$8,'caseload data'!$D:$D,"PSO")/SUMIF('caseload data'!$C:$C,'divisional &amp; regional caseload%'!$B$8,'caseload data'!T:T)</f>
        <v>#DIV/0!</v>
      </c>
      <c r="S11" s="95"/>
      <c r="T11" s="130" t="s">
        <v>185</v>
      </c>
      <c r="U11" s="209" t="e">
        <f>SUMIFS('caseload data'!E:E,'caseload data'!$C:$C,'divisional &amp; regional caseload%'!$T$8,'caseload data'!$D:$D,"PSO")/SUMIF('caseload data'!$C:$C,'divisional &amp; regional caseload%'!$T$8,'caseload data'!E:E)</f>
        <v>#DIV/0!</v>
      </c>
      <c r="V11" s="209" t="e">
        <f>SUMIFS('caseload data'!F:F,'caseload data'!$C:$C,'divisional &amp; regional caseload%'!$T$8,'caseload data'!$D:$D,"PSO")/SUMIF('caseload data'!$C:$C,'divisional &amp; regional caseload%'!$T$8,'caseload data'!F:F)</f>
        <v>#DIV/0!</v>
      </c>
      <c r="W11" s="209" t="e">
        <f>SUMIFS('caseload data'!G:G,'caseload data'!$C:$C,'divisional &amp; regional caseload%'!$T$8,'caseload data'!$D:$D,"PSO")/SUMIF('caseload data'!$C:$C,'divisional &amp; regional caseload%'!$T$8,'caseload data'!G:G)</f>
        <v>#DIV/0!</v>
      </c>
      <c r="X11" s="209" t="e">
        <f>SUMIFS('caseload data'!H:H,'caseload data'!$C:$C,'divisional &amp; regional caseload%'!$T$8,'caseload data'!$D:$D,"PSO")/SUMIF('caseload data'!$C:$C,'divisional &amp; regional caseload%'!$T$8,'caseload data'!H:H)</f>
        <v>#DIV/0!</v>
      </c>
      <c r="Y11" s="209" t="e">
        <f>SUMIFS('caseload data'!I:I,'caseload data'!$C:$C,'divisional &amp; regional caseload%'!$T$8,'caseload data'!$D:$D,"PSO")/SUMIF('caseload data'!$C:$C,'divisional &amp; regional caseload%'!$T$8,'caseload data'!I:I)</f>
        <v>#DIV/0!</v>
      </c>
      <c r="Z11" s="209" t="e">
        <f>SUMIFS('caseload data'!J:J,'caseload data'!$C:$C,'divisional &amp; regional caseload%'!$T$8,'caseload data'!$D:$D,"PSO")/SUMIF('caseload data'!$C:$C,'divisional &amp; regional caseload%'!$T$8,'caseload data'!J:J)</f>
        <v>#DIV/0!</v>
      </c>
      <c r="AA11" s="209" t="e">
        <f>SUMIFS('caseload data'!K:K,'caseload data'!$C:$C,'divisional &amp; regional caseload%'!$T$8,'caseload data'!$D:$D,"PSO")/SUMIF('caseload data'!$C:$C,'divisional &amp; regional caseload%'!$T$8,'caseload data'!K:K)</f>
        <v>#DIV/0!</v>
      </c>
      <c r="AB11" s="209" t="e">
        <f>SUMIFS('caseload data'!L:L,'caseload data'!$C:$C,'divisional &amp; regional caseload%'!$T$8,'caseload data'!$D:$D,"PSO")/SUMIF('caseload data'!$C:$C,'divisional &amp; regional caseload%'!$T$8,'caseload data'!L:L)</f>
        <v>#DIV/0!</v>
      </c>
      <c r="AC11" s="209" t="e">
        <f>SUMIFS('caseload data'!M:M,'caseload data'!$C:$C,'divisional &amp; regional caseload%'!$T$8,'caseload data'!$D:$D,"PSO")/SUMIF('caseload data'!$C:$C,'divisional &amp; regional caseload%'!$T$8,'caseload data'!M:M)</f>
        <v>#DIV/0!</v>
      </c>
      <c r="AD11" s="209" t="e">
        <f>SUMIFS('caseload data'!N:N,'caseload data'!$C:$C,'divisional &amp; regional caseload%'!$T$8,'caseload data'!$D:$D,"PSO")/SUMIF('caseload data'!$C:$C,'divisional &amp; regional caseload%'!$T$8,'caseload data'!N:N)</f>
        <v>#DIV/0!</v>
      </c>
      <c r="AE11" s="209" t="e">
        <f>SUMIFS('caseload data'!O:O,'caseload data'!$C:$C,'divisional &amp; regional caseload%'!$T$8,'caseload data'!$D:$D,"PSO")/SUMIF('caseload data'!$C:$C,'divisional &amp; regional caseload%'!$T$8,'caseload data'!O:O)</f>
        <v>#DIV/0!</v>
      </c>
      <c r="AF11" s="209" t="e">
        <f>SUMIFS('caseload data'!P:P,'caseload data'!$C:$C,'divisional &amp; regional caseload%'!$T$8,'caseload data'!$D:$D,"PSO")/SUMIF('caseload data'!$C:$C,'divisional &amp; regional caseload%'!$T$8,'caseload data'!P:P)</f>
        <v>#DIV/0!</v>
      </c>
      <c r="AG11" s="209" t="e">
        <f>SUMIFS('caseload data'!Q:Q,'caseload data'!$C:$C,'divisional &amp; regional caseload%'!$T$8,'caseload data'!$D:$D,"PSO")/SUMIF('caseload data'!$C:$C,'divisional &amp; regional caseload%'!$T$8,'caseload data'!Q:Q)</f>
        <v>#DIV/0!</v>
      </c>
      <c r="AH11" s="209" t="e">
        <f>SUMIFS('caseload data'!R:R,'caseload data'!$C:$C,'divisional &amp; regional caseload%'!$T$8,'caseload data'!$D:$D,"PSO")/SUMIF('caseload data'!$C:$C,'divisional &amp; regional caseload%'!$T$8,'caseload data'!R:R)</f>
        <v>#DIV/0!</v>
      </c>
      <c r="AI11" s="209" t="e">
        <f>SUMIFS('caseload data'!S:S,'caseload data'!$C:$C,'divisional &amp; regional caseload%'!$T$8,'caseload data'!$D:$D,"PSO")/SUMIF('caseload data'!$C:$C,'divisional &amp; regional caseload%'!$T$8,'caseload data'!S:S)</f>
        <v>#DIV/0!</v>
      </c>
      <c r="AJ11" s="209" t="e">
        <f>SUMIFS('caseload data'!T:T,'caseload data'!$C:$C,'divisional &amp; regional caseload%'!$T$8,'caseload data'!$D:$D,"PSO")/SUMIF('caseload data'!$C:$C,'divisional &amp; regional caseload%'!$T$8,'caseload data'!T:T)</f>
        <v>#DIV/0!</v>
      </c>
    </row>
    <row r="12" spans="1:50" x14ac:dyDescent="0.15">
      <c r="B12" s="130" t="s">
        <v>186</v>
      </c>
      <c r="C12" s="209" t="e">
        <f>SUMIFS('caseload data'!E:E,'caseload data'!$C:$C,'divisional &amp; regional caseload%'!$B$8,'caseload data'!$D:$D,"TPO")/SUMIF('caseload data'!$C:$C,'divisional &amp; regional caseload%'!$B$8,'caseload data'!E:E)</f>
        <v>#DIV/0!</v>
      </c>
      <c r="D12" s="209" t="e">
        <f>SUMIFS('caseload data'!F:F,'caseload data'!$C:$C,'divisional &amp; regional caseload%'!$B$8,'caseload data'!$D:$D,"TPO")/SUMIF('caseload data'!$C:$C,'divisional &amp; regional caseload%'!$B$8,'caseload data'!F:F)</f>
        <v>#DIV/0!</v>
      </c>
      <c r="E12" s="209" t="e">
        <f>SUMIFS('caseload data'!G:G,'caseload data'!$C:$C,'divisional &amp; regional caseload%'!$B$8,'caseload data'!$D:$D,"TPO")/SUMIF('caseload data'!$C:$C,'divisional &amp; regional caseload%'!$B$8,'caseload data'!G:G)</f>
        <v>#DIV/0!</v>
      </c>
      <c r="F12" s="209" t="e">
        <f>SUMIFS('caseload data'!H:H,'caseload data'!$C:$C,'divisional &amp; regional caseload%'!$B$8,'caseload data'!$D:$D,"TPO")/SUMIF('caseload data'!$C:$C,'divisional &amp; regional caseload%'!$B$8,'caseload data'!H:H)</f>
        <v>#DIV/0!</v>
      </c>
      <c r="G12" s="209" t="e">
        <f>SUMIFS('caseload data'!I:I,'caseload data'!$C:$C,'divisional &amp; regional caseload%'!$B$8,'caseload data'!$D:$D,"TPO")/SUMIF('caseload data'!$C:$C,'divisional &amp; regional caseload%'!$B$8,'caseload data'!I:I)</f>
        <v>#DIV/0!</v>
      </c>
      <c r="H12" s="209" t="e">
        <f>SUMIFS('caseload data'!J:J,'caseload data'!$C:$C,'divisional &amp; regional caseload%'!$B$8,'caseload data'!$D:$D,"TPO")/SUMIF('caseload data'!$C:$C,'divisional &amp; regional caseload%'!$B$8,'caseload data'!J:J)</f>
        <v>#DIV/0!</v>
      </c>
      <c r="I12" s="209" t="e">
        <f>SUMIFS('caseload data'!K:K,'caseload data'!$C:$C,'divisional &amp; regional caseload%'!$B$8,'caseload data'!$D:$D,"TPO")/SUMIF('caseload data'!$C:$C,'divisional &amp; regional caseload%'!$B$8,'caseload data'!K:K)</f>
        <v>#DIV/0!</v>
      </c>
      <c r="J12" s="209" t="e">
        <f>SUMIFS('caseload data'!L:L,'caseload data'!$C:$C,'divisional &amp; regional caseload%'!$B$8,'caseload data'!$D:$D,"TPO")/SUMIF('caseload data'!$C:$C,'divisional &amp; regional caseload%'!$B$8,'caseload data'!L:L)</f>
        <v>#DIV/0!</v>
      </c>
      <c r="K12" s="209" t="e">
        <f>SUMIFS('caseload data'!M:M,'caseload data'!$C:$C,'divisional &amp; regional caseload%'!$B$8,'caseload data'!$D:$D,"TPO")/SUMIF('caseload data'!$C:$C,'divisional &amp; regional caseload%'!$B$8,'caseload data'!M:M)</f>
        <v>#DIV/0!</v>
      </c>
      <c r="L12" s="209" t="e">
        <f>SUMIFS('caseload data'!N:N,'caseload data'!$C:$C,'divisional &amp; regional caseload%'!$B$8,'caseload data'!$D:$D,"TPO")/SUMIF('caseload data'!$C:$C,'divisional &amp; regional caseload%'!$B$8,'caseload data'!N:N)</f>
        <v>#DIV/0!</v>
      </c>
      <c r="M12" s="209" t="e">
        <f>SUMIFS('caseload data'!O:O,'caseload data'!$C:$C,'divisional &amp; regional caseload%'!$B$8,'caseload data'!$D:$D,"TPO")/SUMIF('caseload data'!$C:$C,'divisional &amp; regional caseload%'!$B$8,'caseload data'!O:O)</f>
        <v>#DIV/0!</v>
      </c>
      <c r="N12" s="209" t="e">
        <f>SUMIFS('caseload data'!P:P,'caseload data'!$C:$C,'divisional &amp; regional caseload%'!$B$8,'caseload data'!$D:$D,"TPO")/SUMIF('caseload data'!$C:$C,'divisional &amp; regional caseload%'!$B$8,'caseload data'!P:P)</f>
        <v>#DIV/0!</v>
      </c>
      <c r="O12" s="209" t="e">
        <f>SUMIFS('caseload data'!Q:Q,'caseload data'!$C:$C,'divisional &amp; regional caseload%'!$B$8,'caseload data'!$D:$D,"TPO")/SUMIF('caseload data'!$C:$C,'divisional &amp; regional caseload%'!$B$8,'caseload data'!Q:Q)</f>
        <v>#DIV/0!</v>
      </c>
      <c r="P12" s="209" t="e">
        <f>SUMIFS('caseload data'!R:R,'caseload data'!$C:$C,'divisional &amp; regional caseload%'!$B$8,'caseload data'!$D:$D,"TPO")/SUMIF('caseload data'!$C:$C,'divisional &amp; regional caseload%'!$B$8,'caseload data'!R:R)</f>
        <v>#DIV/0!</v>
      </c>
      <c r="Q12" s="209" t="e">
        <f>SUMIFS('caseload data'!S:S,'caseload data'!$C:$C,'divisional &amp; regional caseload%'!$B$8,'caseload data'!$D:$D,"TPO")/SUMIF('caseload data'!$C:$C,'divisional &amp; regional caseload%'!$B$8,'caseload data'!S:S)</f>
        <v>#DIV/0!</v>
      </c>
      <c r="R12" s="209" t="e">
        <f>SUMIFS('caseload data'!T:T,'caseload data'!$C:$C,'divisional &amp; regional caseload%'!$B$8,'caseload data'!$D:$D,"TPO")/SUMIF('caseload data'!$C:$C,'divisional &amp; regional caseload%'!$B$8,'caseload data'!T:T)</f>
        <v>#DIV/0!</v>
      </c>
      <c r="S12" s="95"/>
      <c r="T12" s="130" t="s">
        <v>186</v>
      </c>
      <c r="U12" s="209" t="e">
        <f>SUMIFS('caseload data'!E:E,'caseload data'!$C:$C,'divisional &amp; regional caseload%'!$T$8,'caseload data'!$D:$D,"TPO")/SUMIF('caseload data'!$C:$C,'divisional &amp; regional caseload%'!$T$8,'caseload data'!E:E)</f>
        <v>#DIV/0!</v>
      </c>
      <c r="V12" s="209" t="e">
        <f>SUMIFS('caseload data'!F:F,'caseload data'!$C:$C,'divisional &amp; regional caseload%'!$T$8,'caseload data'!$D:$D,"TPO")/SUMIF('caseload data'!$C:$C,'divisional &amp; regional caseload%'!$T$8,'caseload data'!F:F)</f>
        <v>#DIV/0!</v>
      </c>
      <c r="W12" s="209" t="e">
        <f>SUMIFS('caseload data'!G:G,'caseload data'!$C:$C,'divisional &amp; regional caseload%'!$T$8,'caseload data'!$D:$D,"TPO")/SUMIF('caseload data'!$C:$C,'divisional &amp; regional caseload%'!$T$8,'caseload data'!G:G)</f>
        <v>#DIV/0!</v>
      </c>
      <c r="X12" s="209" t="e">
        <f>SUMIFS('caseload data'!H:H,'caseload data'!$C:$C,'divisional &amp; regional caseload%'!$T$8,'caseload data'!$D:$D,"TPO")/SUMIF('caseload data'!$C:$C,'divisional &amp; regional caseload%'!$T$8,'caseload data'!H:H)</f>
        <v>#DIV/0!</v>
      </c>
      <c r="Y12" s="209" t="e">
        <f>SUMIFS('caseload data'!I:I,'caseload data'!$C:$C,'divisional &amp; regional caseload%'!$T$8,'caseload data'!$D:$D,"TPO")/SUMIF('caseload data'!$C:$C,'divisional &amp; regional caseload%'!$T$8,'caseload data'!I:I)</f>
        <v>#DIV/0!</v>
      </c>
      <c r="Z12" s="209" t="e">
        <f>SUMIFS('caseload data'!J:J,'caseload data'!$C:$C,'divisional &amp; regional caseload%'!$T$8,'caseload data'!$D:$D,"TPO")/SUMIF('caseload data'!$C:$C,'divisional &amp; regional caseload%'!$T$8,'caseload data'!J:J)</f>
        <v>#DIV/0!</v>
      </c>
      <c r="AA12" s="209" t="e">
        <f>SUMIFS('caseload data'!K:K,'caseload data'!$C:$C,'divisional &amp; regional caseload%'!$T$8,'caseload data'!$D:$D,"TPO")/SUMIF('caseload data'!$C:$C,'divisional &amp; regional caseload%'!$T$8,'caseload data'!K:K)</f>
        <v>#DIV/0!</v>
      </c>
      <c r="AB12" s="209" t="e">
        <f>SUMIFS('caseload data'!L:L,'caseload data'!$C:$C,'divisional &amp; regional caseload%'!$T$8,'caseload data'!$D:$D,"TPO")/SUMIF('caseload data'!$C:$C,'divisional &amp; regional caseload%'!$T$8,'caseload data'!L:L)</f>
        <v>#DIV/0!</v>
      </c>
      <c r="AC12" s="209" t="e">
        <f>SUMIFS('caseload data'!M:M,'caseload data'!$C:$C,'divisional &amp; regional caseload%'!$T$8,'caseload data'!$D:$D,"TPO")/SUMIF('caseload data'!$C:$C,'divisional &amp; regional caseload%'!$T$8,'caseload data'!M:M)</f>
        <v>#DIV/0!</v>
      </c>
      <c r="AD12" s="209" t="e">
        <f>SUMIFS('caseload data'!N:N,'caseload data'!$C:$C,'divisional &amp; regional caseload%'!$T$8,'caseload data'!$D:$D,"TPO")/SUMIF('caseload data'!$C:$C,'divisional &amp; regional caseload%'!$T$8,'caseload data'!N:N)</f>
        <v>#DIV/0!</v>
      </c>
      <c r="AE12" s="209" t="e">
        <f>SUMIFS('caseload data'!O:O,'caseload data'!$C:$C,'divisional &amp; regional caseload%'!$T$8,'caseload data'!$D:$D,"TPO")/SUMIF('caseload data'!$C:$C,'divisional &amp; regional caseload%'!$T$8,'caseload data'!O:O)</f>
        <v>#DIV/0!</v>
      </c>
      <c r="AF12" s="209" t="e">
        <f>SUMIFS('caseload data'!P:P,'caseload data'!$C:$C,'divisional &amp; regional caseload%'!$T$8,'caseload data'!$D:$D,"TPO")/SUMIF('caseload data'!$C:$C,'divisional &amp; regional caseload%'!$T$8,'caseload data'!P:P)</f>
        <v>#DIV/0!</v>
      </c>
      <c r="AG12" s="209" t="e">
        <f>SUMIFS('caseload data'!Q:Q,'caseload data'!$C:$C,'divisional &amp; regional caseload%'!$T$8,'caseload data'!$D:$D,"TPO")/SUMIF('caseload data'!$C:$C,'divisional &amp; regional caseload%'!$T$8,'caseload data'!Q:Q)</f>
        <v>#DIV/0!</v>
      </c>
      <c r="AH12" s="209" t="e">
        <f>SUMIFS('caseload data'!R:R,'caseload data'!$C:$C,'divisional &amp; regional caseload%'!$T$8,'caseload data'!$D:$D,"TPO")/SUMIF('caseload data'!$C:$C,'divisional &amp; regional caseload%'!$T$8,'caseload data'!R:R)</f>
        <v>#DIV/0!</v>
      </c>
      <c r="AI12" s="209" t="e">
        <f>SUMIFS('caseload data'!S:S,'caseload data'!$C:$C,'divisional &amp; regional caseload%'!$T$8,'caseload data'!$D:$D,"TPO")/SUMIF('caseload data'!$C:$C,'divisional &amp; regional caseload%'!$T$8,'caseload data'!S:S)</f>
        <v>#DIV/0!</v>
      </c>
      <c r="AJ12" s="209" t="e">
        <f>SUMIFS('caseload data'!T:T,'caseload data'!$C:$C,'divisional &amp; regional caseload%'!$T$8,'caseload data'!$D:$D,"TPO")/SUMIF('caseload data'!$C:$C,'divisional &amp; regional caseload%'!$T$8,'caseload data'!T:T)</f>
        <v>#DIV/0!</v>
      </c>
    </row>
    <row r="13" spans="1:50" x14ac:dyDescent="0.15">
      <c r="B13" s="131" t="s">
        <v>187</v>
      </c>
      <c r="C13" s="209" t="e">
        <f>SUMIFS('caseload data'!E:E,'caseload data'!$C:$C,'divisional &amp; regional caseload%'!$B$8,'caseload data'!$D:$D,"SPO")/SUMIF('caseload data'!$C:$C,'divisional &amp; regional caseload%'!$B$8,'caseload data'!E:E)</f>
        <v>#DIV/0!</v>
      </c>
      <c r="D13" s="209" t="e">
        <f>SUMIFS('caseload data'!F:F,'caseload data'!$C:$C,'divisional &amp; regional caseload%'!$B$8,'caseload data'!$D:$D,"SPO")/SUMIF('caseload data'!$C:$C,'divisional &amp; regional caseload%'!$B$8,'caseload data'!F:F)</f>
        <v>#DIV/0!</v>
      </c>
      <c r="E13" s="209" t="e">
        <f>SUMIFS('caseload data'!G:G,'caseload data'!$C:$C,'divisional &amp; regional caseload%'!$B$8,'caseload data'!$D:$D,"SPO")/SUMIF('caseload data'!$C:$C,'divisional &amp; regional caseload%'!$B$8,'caseload data'!G:G)</f>
        <v>#DIV/0!</v>
      </c>
      <c r="F13" s="209" t="e">
        <f>SUMIFS('caseload data'!H:H,'caseload data'!$C:$C,'divisional &amp; regional caseload%'!$B$8,'caseload data'!$D:$D,"SPO")/SUMIF('caseload data'!$C:$C,'divisional &amp; regional caseload%'!$B$8,'caseload data'!H:H)</f>
        <v>#DIV/0!</v>
      </c>
      <c r="G13" s="209" t="e">
        <f>SUMIFS('caseload data'!I:I,'caseload data'!$C:$C,'divisional &amp; regional caseload%'!$B$8,'caseload data'!$D:$D,"SPO")/SUMIF('caseload data'!$C:$C,'divisional &amp; regional caseload%'!$B$8,'caseload data'!I:I)</f>
        <v>#DIV/0!</v>
      </c>
      <c r="H13" s="209" t="e">
        <f>SUMIFS('caseload data'!J:J,'caseload data'!$C:$C,'divisional &amp; regional caseload%'!$B$8,'caseload data'!$D:$D,"SPO")/SUMIF('caseload data'!$C:$C,'divisional &amp; regional caseload%'!$B$8,'caseload data'!J:J)</f>
        <v>#DIV/0!</v>
      </c>
      <c r="I13" s="209" t="e">
        <f>SUMIFS('caseload data'!K:K,'caseload data'!$C:$C,'divisional &amp; regional caseload%'!$B$8,'caseload data'!$D:$D,"SPO")/SUMIF('caseload data'!$C:$C,'divisional &amp; regional caseload%'!$B$8,'caseload data'!K:K)</f>
        <v>#DIV/0!</v>
      </c>
      <c r="J13" s="209" t="e">
        <f>SUMIFS('caseload data'!L:L,'caseload data'!$C:$C,'divisional &amp; regional caseload%'!$B$8,'caseload data'!$D:$D,"SPO")/SUMIF('caseload data'!$C:$C,'divisional &amp; regional caseload%'!$B$8,'caseload data'!L:L)</f>
        <v>#DIV/0!</v>
      </c>
      <c r="K13" s="209" t="e">
        <f>SUMIFS('caseload data'!M:M,'caseload data'!$C:$C,'divisional &amp; regional caseload%'!$B$8,'caseload data'!$D:$D,"SPO")/SUMIF('caseload data'!$C:$C,'divisional &amp; regional caseload%'!$B$8,'caseload data'!M:M)</f>
        <v>#DIV/0!</v>
      </c>
      <c r="L13" s="209" t="e">
        <f>SUMIFS('caseload data'!N:N,'caseload data'!$C:$C,'divisional &amp; regional caseload%'!$B$8,'caseload data'!$D:$D,"SPO")/SUMIF('caseload data'!$C:$C,'divisional &amp; regional caseload%'!$B$8,'caseload data'!N:N)</f>
        <v>#DIV/0!</v>
      </c>
      <c r="M13" s="209" t="e">
        <f>SUMIFS('caseload data'!O:O,'caseload data'!$C:$C,'divisional &amp; regional caseload%'!$B$8,'caseload data'!$D:$D,"SPO")/SUMIF('caseload data'!$C:$C,'divisional &amp; regional caseload%'!$B$8,'caseload data'!O:O)</f>
        <v>#DIV/0!</v>
      </c>
      <c r="N13" s="209" t="e">
        <f>SUMIFS('caseload data'!P:P,'caseload data'!$C:$C,'divisional &amp; regional caseload%'!$B$8,'caseload data'!$D:$D,"SPO")/SUMIF('caseload data'!$C:$C,'divisional &amp; regional caseload%'!$B$8,'caseload data'!P:P)</f>
        <v>#DIV/0!</v>
      </c>
      <c r="O13" s="209" t="e">
        <f>SUMIFS('caseload data'!Q:Q,'caseload data'!$C:$C,'divisional &amp; regional caseload%'!$B$8,'caseload data'!$D:$D,"SPO")/SUMIF('caseload data'!$C:$C,'divisional &amp; regional caseload%'!$B$8,'caseload data'!Q:Q)</f>
        <v>#DIV/0!</v>
      </c>
      <c r="P13" s="209" t="e">
        <f>SUMIFS('caseload data'!R:R,'caseload data'!$C:$C,'divisional &amp; regional caseload%'!$B$8,'caseload data'!$D:$D,"SPO")/SUMIF('caseload data'!$C:$C,'divisional &amp; regional caseload%'!$B$8,'caseload data'!R:R)</f>
        <v>#DIV/0!</v>
      </c>
      <c r="Q13" s="209" t="e">
        <f>SUMIFS('caseload data'!S:S,'caseload data'!$C:$C,'divisional &amp; regional caseload%'!$B$8,'caseload data'!$D:$D,"SPO")/SUMIF('caseload data'!$C:$C,'divisional &amp; regional caseload%'!$B$8,'caseload data'!S:S)</f>
        <v>#DIV/0!</v>
      </c>
      <c r="R13" s="209" t="e">
        <f>SUMIFS('caseload data'!T:T,'caseload data'!$C:$C,'divisional &amp; regional caseload%'!$B$8,'caseload data'!$D:$D,"SPO")/SUMIF('caseload data'!$C:$C,'divisional &amp; regional caseload%'!$B$8,'caseload data'!T:T)</f>
        <v>#DIV/0!</v>
      </c>
      <c r="S13" s="95"/>
      <c r="T13" s="131" t="s">
        <v>187</v>
      </c>
      <c r="U13" s="209" t="e">
        <f>SUMIFS('caseload data'!E:E,'caseload data'!$C:$C,'divisional &amp; regional caseload%'!$T$8,'caseload data'!$D:$D,"SPO")/SUMIF('caseload data'!$C:$C,'divisional &amp; regional caseload%'!$T$8,'caseload data'!E:E)</f>
        <v>#DIV/0!</v>
      </c>
      <c r="V13" s="209" t="e">
        <f>SUMIFS('caseload data'!F:F,'caseload data'!$C:$C,'divisional &amp; regional caseload%'!$T$8,'caseload data'!$D:$D,"SPO")/SUMIF('caseload data'!$C:$C,'divisional &amp; regional caseload%'!$T$8,'caseload data'!F:F)</f>
        <v>#DIV/0!</v>
      </c>
      <c r="W13" s="209" t="e">
        <f>SUMIFS('caseload data'!G:G,'caseload data'!$C:$C,'divisional &amp; regional caseload%'!$T$8,'caseload data'!$D:$D,"SPO")/SUMIF('caseload data'!$C:$C,'divisional &amp; regional caseload%'!$T$8,'caseload data'!G:G)</f>
        <v>#DIV/0!</v>
      </c>
      <c r="X13" s="209" t="e">
        <f>SUMIFS('caseload data'!H:H,'caseload data'!$C:$C,'divisional &amp; regional caseload%'!$T$8,'caseload data'!$D:$D,"SPO")/SUMIF('caseload data'!$C:$C,'divisional &amp; regional caseload%'!$T$8,'caseload data'!H:H)</f>
        <v>#DIV/0!</v>
      </c>
      <c r="Y13" s="209" t="e">
        <f>SUMIFS('caseload data'!I:I,'caseload data'!$C:$C,'divisional &amp; regional caseload%'!$T$8,'caseload data'!$D:$D,"SPO")/SUMIF('caseload data'!$C:$C,'divisional &amp; regional caseload%'!$T$8,'caseload data'!I:I)</f>
        <v>#DIV/0!</v>
      </c>
      <c r="Z13" s="209" t="e">
        <f>SUMIFS('caseload data'!J:J,'caseload data'!$C:$C,'divisional &amp; regional caseload%'!$T$8,'caseload data'!$D:$D,"SPO")/SUMIF('caseload data'!$C:$C,'divisional &amp; regional caseload%'!$T$8,'caseload data'!J:J)</f>
        <v>#DIV/0!</v>
      </c>
      <c r="AA13" s="209" t="e">
        <f>SUMIFS('caseload data'!K:K,'caseload data'!$C:$C,'divisional &amp; regional caseload%'!$T$8,'caseload data'!$D:$D,"SPO")/SUMIF('caseload data'!$C:$C,'divisional &amp; regional caseload%'!$T$8,'caseload data'!K:K)</f>
        <v>#DIV/0!</v>
      </c>
      <c r="AB13" s="209" t="e">
        <f>SUMIFS('caseload data'!L:L,'caseload data'!$C:$C,'divisional &amp; regional caseload%'!$T$8,'caseload data'!$D:$D,"SPO")/SUMIF('caseload data'!$C:$C,'divisional &amp; regional caseload%'!$T$8,'caseload data'!L:L)</f>
        <v>#DIV/0!</v>
      </c>
      <c r="AC13" s="209" t="e">
        <f>SUMIFS('caseload data'!M:M,'caseload data'!$C:$C,'divisional &amp; regional caseload%'!$T$8,'caseload data'!$D:$D,"SPO")/SUMIF('caseload data'!$C:$C,'divisional &amp; regional caseload%'!$T$8,'caseload data'!M:M)</f>
        <v>#DIV/0!</v>
      </c>
      <c r="AD13" s="209" t="e">
        <f>SUMIFS('caseload data'!N:N,'caseload data'!$C:$C,'divisional &amp; regional caseload%'!$T$8,'caseload data'!$D:$D,"SPO")/SUMIF('caseload data'!$C:$C,'divisional &amp; regional caseload%'!$T$8,'caseload data'!N:N)</f>
        <v>#DIV/0!</v>
      </c>
      <c r="AE13" s="209" t="e">
        <f>SUMIFS('caseload data'!O:O,'caseload data'!$C:$C,'divisional &amp; regional caseload%'!$T$8,'caseload data'!$D:$D,"SPO")/SUMIF('caseload data'!$C:$C,'divisional &amp; regional caseload%'!$T$8,'caseload data'!O:O)</f>
        <v>#DIV/0!</v>
      </c>
      <c r="AF13" s="209" t="e">
        <f>SUMIFS('caseload data'!P:P,'caseload data'!$C:$C,'divisional &amp; regional caseload%'!$T$8,'caseload data'!$D:$D,"SPO")/SUMIF('caseload data'!$C:$C,'divisional &amp; regional caseload%'!$T$8,'caseload data'!P:P)</f>
        <v>#DIV/0!</v>
      </c>
      <c r="AG13" s="209" t="e">
        <f>SUMIFS('caseload data'!Q:Q,'caseload data'!$C:$C,'divisional &amp; regional caseload%'!$T$8,'caseload data'!$D:$D,"SPO")/SUMIF('caseload data'!$C:$C,'divisional &amp; regional caseload%'!$T$8,'caseload data'!Q:Q)</f>
        <v>#DIV/0!</v>
      </c>
      <c r="AH13" s="209" t="e">
        <f>SUMIFS('caseload data'!R:R,'caseload data'!$C:$C,'divisional &amp; regional caseload%'!$T$8,'caseload data'!$D:$D,"SPO")/SUMIF('caseload data'!$C:$C,'divisional &amp; regional caseload%'!$T$8,'caseload data'!R:R)</f>
        <v>#DIV/0!</v>
      </c>
      <c r="AI13" s="209" t="e">
        <f>SUMIFS('caseload data'!S:S,'caseload data'!$C:$C,'divisional &amp; regional caseload%'!$T$8,'caseload data'!$D:$D,"SPO")/SUMIF('caseload data'!$C:$C,'divisional &amp; regional caseload%'!$T$8,'caseload data'!S:S)</f>
        <v>#DIV/0!</v>
      </c>
      <c r="AJ13" s="209" t="e">
        <f>SUMIFS('caseload data'!T:T,'caseload data'!$C:$C,'divisional &amp; regional caseload%'!$T$8,'caseload data'!$D:$D,"SPO")/SUMIF('caseload data'!$C:$C,'divisional &amp; regional caseload%'!$T$8,'caseload data'!T:T)</f>
        <v>#DIV/0!</v>
      </c>
    </row>
    <row r="14" spans="1:50" x14ac:dyDescent="0.15">
      <c r="B14" s="183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183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</row>
    <row r="15" spans="1:50" ht="30" customHeight="1" x14ac:dyDescent="0.15">
      <c r="B15" s="182" t="str">
        <f>HLOOKUP($B$5,Region_Table,4,0)</f>
        <v>Cheshire East</v>
      </c>
      <c r="C15" s="359" t="s">
        <v>363</v>
      </c>
      <c r="D15" s="365"/>
      <c r="E15" s="365"/>
      <c r="F15" s="365"/>
      <c r="G15" s="365"/>
      <c r="H15" s="365"/>
      <c r="I15" s="365"/>
      <c r="J15" s="365"/>
      <c r="K15" s="365"/>
      <c r="L15" s="365"/>
      <c r="M15" s="368"/>
      <c r="N15" s="368"/>
      <c r="O15" s="369"/>
      <c r="P15" s="362">
        <f>SUMIF('caseload data'!$C:$C,'divisional &amp; regional caseload%'!B15,'caseload data'!V:V)</f>
        <v>0</v>
      </c>
      <c r="Q15" s="370"/>
      <c r="R15" s="371"/>
      <c r="S15" s="95"/>
      <c r="T15" s="182" t="str">
        <f>HLOOKUP($B$5,Region_Table,5,0)</f>
        <v>Cheshire West</v>
      </c>
      <c r="U15" s="359" t="s">
        <v>363</v>
      </c>
      <c r="V15" s="365"/>
      <c r="W15" s="365"/>
      <c r="X15" s="365"/>
      <c r="Y15" s="365"/>
      <c r="Z15" s="365"/>
      <c r="AA15" s="365"/>
      <c r="AB15" s="365"/>
      <c r="AC15" s="365"/>
      <c r="AD15" s="365"/>
      <c r="AE15" s="368"/>
      <c r="AF15" s="368"/>
      <c r="AG15" s="369"/>
      <c r="AH15" s="362">
        <f>SUMIF('caseload data'!$C:$C,'divisional &amp; regional caseload%'!T15,'caseload data'!V:V)</f>
        <v>0</v>
      </c>
      <c r="AI15" s="370"/>
      <c r="AJ15" s="371"/>
    </row>
    <row r="16" spans="1:50" x14ac:dyDescent="0.15">
      <c r="B16" s="127" t="s">
        <v>324</v>
      </c>
      <c r="C16" s="58" t="s">
        <v>504</v>
      </c>
      <c r="D16" s="58" t="s">
        <v>503</v>
      </c>
      <c r="E16" s="58" t="s">
        <v>502</v>
      </c>
      <c r="F16" s="58" t="s">
        <v>501</v>
      </c>
      <c r="G16" s="58" t="s">
        <v>510</v>
      </c>
      <c r="H16" s="58" t="s">
        <v>176</v>
      </c>
      <c r="I16" s="58" t="s">
        <v>177</v>
      </c>
      <c r="J16" s="58" t="s">
        <v>505</v>
      </c>
      <c r="K16" s="58" t="s">
        <v>507</v>
      </c>
      <c r="L16" s="58" t="s">
        <v>178</v>
      </c>
      <c r="M16" s="58" t="s">
        <v>179</v>
      </c>
      <c r="N16" s="58" t="s">
        <v>506</v>
      </c>
      <c r="O16" s="58" t="s">
        <v>508</v>
      </c>
      <c r="P16" s="58" t="s">
        <v>180</v>
      </c>
      <c r="Q16" s="58" t="s">
        <v>181</v>
      </c>
      <c r="R16" s="58" t="s">
        <v>509</v>
      </c>
      <c r="S16" s="95"/>
      <c r="T16" s="127" t="s">
        <v>324</v>
      </c>
      <c r="U16" s="58" t="s">
        <v>504</v>
      </c>
      <c r="V16" s="58" t="s">
        <v>503</v>
      </c>
      <c r="W16" s="58" t="s">
        <v>502</v>
      </c>
      <c r="X16" s="58" t="s">
        <v>501</v>
      </c>
      <c r="Y16" s="58" t="s">
        <v>510</v>
      </c>
      <c r="Z16" s="58" t="s">
        <v>176</v>
      </c>
      <c r="AA16" s="58" t="s">
        <v>177</v>
      </c>
      <c r="AB16" s="58" t="s">
        <v>505</v>
      </c>
      <c r="AC16" s="58" t="s">
        <v>507</v>
      </c>
      <c r="AD16" s="58" t="s">
        <v>178</v>
      </c>
      <c r="AE16" s="58" t="s">
        <v>179</v>
      </c>
      <c r="AF16" s="58" t="s">
        <v>506</v>
      </c>
      <c r="AG16" s="58" t="s">
        <v>508</v>
      </c>
      <c r="AH16" s="58" t="s">
        <v>180</v>
      </c>
      <c r="AI16" s="58" t="s">
        <v>181</v>
      </c>
      <c r="AJ16" s="58" t="s">
        <v>509</v>
      </c>
    </row>
    <row r="17" spans="2:36" x14ac:dyDescent="0.15">
      <c r="B17" s="129" t="s">
        <v>184</v>
      </c>
      <c r="C17" s="209" t="e">
        <f>SUMIFS('caseload data'!E:E,'caseload data'!$C:$C,'divisional &amp; regional caseload%'!$B$15,'caseload data'!$D:$D,"PO")/SUMIF('caseload data'!$C:$C,'divisional &amp; regional caseload%'!$B$15,'caseload data'!E:E)</f>
        <v>#DIV/0!</v>
      </c>
      <c r="D17" s="209" t="e">
        <f>SUMIFS('caseload data'!F:F,'caseload data'!$C:$C,'divisional &amp; regional caseload%'!$B$15,'caseload data'!$D:$D,"PO")/SUMIF('caseload data'!$C:$C,'divisional &amp; regional caseload%'!$B$15,'caseload data'!F:F)</f>
        <v>#DIV/0!</v>
      </c>
      <c r="E17" s="209" t="e">
        <f>SUMIFS('caseload data'!G:G,'caseload data'!$C:$C,'divisional &amp; regional caseload%'!$B$15,'caseload data'!$D:$D,"PO")/SUMIF('caseload data'!$C:$C,'divisional &amp; regional caseload%'!$B$15,'caseload data'!G:G)</f>
        <v>#DIV/0!</v>
      </c>
      <c r="F17" s="209" t="e">
        <f>SUMIFS('caseload data'!H:H,'caseload data'!$C:$C,'divisional &amp; regional caseload%'!$B$15,'caseload data'!$D:$D,"PO")/SUMIF('caseload data'!$C:$C,'divisional &amp; regional caseload%'!$B$15,'caseload data'!H:H)</f>
        <v>#DIV/0!</v>
      </c>
      <c r="G17" s="209" t="e">
        <f>SUMIFS('caseload data'!I:I,'caseload data'!$C:$C,'divisional &amp; regional caseload%'!$B$15,'caseload data'!$D:$D,"PO")/SUMIF('caseload data'!$C:$C,'divisional &amp; regional caseload%'!$B$15,'caseload data'!I:I)</f>
        <v>#DIV/0!</v>
      </c>
      <c r="H17" s="209" t="e">
        <f>SUMIFS('caseload data'!J:J,'caseload data'!$C:$C,'divisional &amp; regional caseload%'!$B$15,'caseload data'!$D:$D,"PO")/SUMIF('caseload data'!$C:$C,'divisional &amp; regional caseload%'!$B$15,'caseload data'!J:J)</f>
        <v>#DIV/0!</v>
      </c>
      <c r="I17" s="209" t="e">
        <f>SUMIFS('caseload data'!K:K,'caseload data'!$C:$C,'divisional &amp; regional caseload%'!$B$15,'caseload data'!$D:$D,"PO")/SUMIF('caseload data'!$C:$C,'divisional &amp; regional caseload%'!$B$15,'caseload data'!K:K)</f>
        <v>#DIV/0!</v>
      </c>
      <c r="J17" s="209" t="e">
        <f>SUMIFS('caseload data'!L:L,'caseload data'!$C:$C,'divisional &amp; regional caseload%'!$B$15,'caseload data'!$D:$D,"PO")/SUMIF('caseload data'!$C:$C,'divisional &amp; regional caseload%'!$B$15,'caseload data'!L:L)</f>
        <v>#DIV/0!</v>
      </c>
      <c r="K17" s="209" t="e">
        <f>SUMIFS('caseload data'!M:M,'caseload data'!$C:$C,'divisional &amp; regional caseload%'!$B$15,'caseload data'!$D:$D,"PO")/SUMIF('caseload data'!$C:$C,'divisional &amp; regional caseload%'!$B$15,'caseload data'!M:M)</f>
        <v>#DIV/0!</v>
      </c>
      <c r="L17" s="209" t="e">
        <f>SUMIFS('caseload data'!N:N,'caseload data'!$C:$C,'divisional &amp; regional caseload%'!$B$15,'caseload data'!$D:$D,"PO")/SUMIF('caseload data'!$C:$C,'divisional &amp; regional caseload%'!$B$15,'caseload data'!N:N)</f>
        <v>#DIV/0!</v>
      </c>
      <c r="M17" s="209" t="e">
        <f>SUMIFS('caseload data'!O:O,'caseload data'!$C:$C,'divisional &amp; regional caseload%'!$B$15,'caseload data'!$D:$D,"PO")/SUMIF('caseload data'!$C:$C,'divisional &amp; regional caseload%'!$B$15,'caseload data'!O:O)</f>
        <v>#DIV/0!</v>
      </c>
      <c r="N17" s="209" t="e">
        <f>SUMIFS('caseload data'!P:P,'caseload data'!$C:$C,'divisional &amp; regional caseload%'!$B$15,'caseload data'!$D:$D,"PO")/SUMIF('caseload data'!$C:$C,'divisional &amp; regional caseload%'!$B$15,'caseload data'!P:P)</f>
        <v>#DIV/0!</v>
      </c>
      <c r="O17" s="209" t="e">
        <f>SUMIFS('caseload data'!Q:Q,'caseload data'!$C:$C,'divisional &amp; regional caseload%'!$B$15,'caseload data'!$D:$D,"PO")/SUMIF('caseload data'!$C:$C,'divisional &amp; regional caseload%'!$B$15,'caseload data'!Q:Q)</f>
        <v>#DIV/0!</v>
      </c>
      <c r="P17" s="209" t="e">
        <f>SUMIFS('caseload data'!R:R,'caseload data'!$C:$C,'divisional &amp; regional caseload%'!$B$15,'caseload data'!$D:$D,"PO")/SUMIF('caseload data'!$C:$C,'divisional &amp; regional caseload%'!$B$15,'caseload data'!R:R)</f>
        <v>#DIV/0!</v>
      </c>
      <c r="Q17" s="209" t="e">
        <f>SUMIFS('caseload data'!S:S,'caseload data'!$C:$C,'divisional &amp; regional caseload%'!$B$15,'caseload data'!$D:$D,"PO")/SUMIF('caseload data'!$C:$C,'divisional &amp; regional caseload%'!$B$15,'caseload data'!S:S)</f>
        <v>#DIV/0!</v>
      </c>
      <c r="R17" s="209" t="e">
        <f>SUMIFS('caseload data'!T:T,'caseload data'!$C:$C,'divisional &amp; regional caseload%'!$B$15,'caseload data'!$D:$D,"PO")/SUMIF('caseload data'!$C:$C,'divisional &amp; regional caseload%'!$B$15,'caseload data'!T:T)</f>
        <v>#DIV/0!</v>
      </c>
      <c r="S17" s="95"/>
      <c r="T17" s="129" t="s">
        <v>184</v>
      </c>
      <c r="U17" s="209" t="e">
        <f>SUMIFS('caseload data'!E:E,'caseload data'!$C:$C,'divisional &amp; regional caseload%'!$T$15,'caseload data'!$D:$D,"PO")/SUMIF('caseload data'!$C:$C,'divisional &amp; regional caseload%'!$T$15,'caseload data'!E:E)</f>
        <v>#DIV/0!</v>
      </c>
      <c r="V17" s="209" t="e">
        <f>SUMIFS('caseload data'!F:F,'caseload data'!$C:$C,'divisional &amp; regional caseload%'!$T$15,'caseload data'!$D:$D,"PO")/SUMIF('caseload data'!$C:$C,'divisional &amp; regional caseload%'!$T$15,'caseload data'!F:F)</f>
        <v>#DIV/0!</v>
      </c>
      <c r="W17" s="209" t="e">
        <f>SUMIFS('caseload data'!G:G,'caseload data'!$C:$C,'divisional &amp; regional caseload%'!$T$15,'caseload data'!$D:$D,"PO")/SUMIF('caseload data'!$C:$C,'divisional &amp; regional caseload%'!$T$15,'caseload data'!G:G)</f>
        <v>#DIV/0!</v>
      </c>
      <c r="X17" s="209" t="e">
        <f>SUMIFS('caseload data'!H:H,'caseload data'!$C:$C,'divisional &amp; regional caseload%'!$T$15,'caseload data'!$D:$D,"PO")/SUMIF('caseload data'!$C:$C,'divisional &amp; regional caseload%'!$T$15,'caseload data'!H:H)</f>
        <v>#DIV/0!</v>
      </c>
      <c r="Y17" s="209" t="e">
        <f>SUMIFS('caseload data'!I:I,'caseload data'!$C:$C,'divisional &amp; regional caseload%'!$T$15,'caseload data'!$D:$D,"PO")/SUMIF('caseload data'!$C:$C,'divisional &amp; regional caseload%'!$T$15,'caseload data'!I:I)</f>
        <v>#DIV/0!</v>
      </c>
      <c r="Z17" s="209" t="e">
        <f>SUMIFS('caseload data'!J:J,'caseload data'!$C:$C,'divisional &amp; regional caseload%'!$T$15,'caseload data'!$D:$D,"PO")/SUMIF('caseload data'!$C:$C,'divisional &amp; regional caseload%'!$T$15,'caseload data'!J:J)</f>
        <v>#DIV/0!</v>
      </c>
      <c r="AA17" s="209" t="e">
        <f>SUMIFS('caseload data'!K:K,'caseload data'!$C:$C,'divisional &amp; regional caseload%'!$T$15,'caseload data'!$D:$D,"PO")/SUMIF('caseload data'!$C:$C,'divisional &amp; regional caseload%'!$T$15,'caseload data'!K:K)</f>
        <v>#DIV/0!</v>
      </c>
      <c r="AB17" s="209" t="e">
        <f>SUMIFS('caseload data'!L:L,'caseload data'!$C:$C,'divisional &amp; regional caseload%'!$T$15,'caseload data'!$D:$D,"PO")/SUMIF('caseload data'!$C:$C,'divisional &amp; regional caseload%'!$T$15,'caseload data'!L:L)</f>
        <v>#DIV/0!</v>
      </c>
      <c r="AC17" s="209" t="e">
        <f>SUMIFS('caseload data'!M:M,'caseload data'!$C:$C,'divisional &amp; regional caseload%'!$T$15,'caseload data'!$D:$D,"PO")/SUMIF('caseload data'!$C:$C,'divisional &amp; regional caseload%'!$T$15,'caseload data'!M:M)</f>
        <v>#DIV/0!</v>
      </c>
      <c r="AD17" s="209" t="e">
        <f>SUMIFS('caseload data'!N:N,'caseload data'!$C:$C,'divisional &amp; regional caseload%'!$T$15,'caseload data'!$D:$D,"PO")/SUMIF('caseload data'!$C:$C,'divisional &amp; regional caseload%'!$T$15,'caseload data'!N:N)</f>
        <v>#DIV/0!</v>
      </c>
      <c r="AE17" s="209" t="e">
        <f>SUMIFS('caseload data'!O:O,'caseload data'!$C:$C,'divisional &amp; regional caseload%'!$T$15,'caseload data'!$D:$D,"PO")/SUMIF('caseload data'!$C:$C,'divisional &amp; regional caseload%'!$T$15,'caseload data'!O:O)</f>
        <v>#DIV/0!</v>
      </c>
      <c r="AF17" s="209" t="e">
        <f>SUMIFS('caseload data'!P:P,'caseload data'!$C:$C,'divisional &amp; regional caseload%'!$T$15,'caseload data'!$D:$D,"PO")/SUMIF('caseload data'!$C:$C,'divisional &amp; regional caseload%'!$T$15,'caseload data'!P:P)</f>
        <v>#DIV/0!</v>
      </c>
      <c r="AG17" s="209" t="e">
        <f>SUMIFS('caseload data'!Q:Q,'caseload data'!$C:$C,'divisional &amp; regional caseload%'!$T$15,'caseload data'!$D:$D,"PO")/SUMIF('caseload data'!$C:$C,'divisional &amp; regional caseload%'!$T$15,'caseload data'!Q:Q)</f>
        <v>#DIV/0!</v>
      </c>
      <c r="AH17" s="209" t="e">
        <f>SUMIFS('caseload data'!R:R,'caseload data'!$C:$C,'divisional &amp; regional caseload%'!$T$15,'caseload data'!$D:$D,"PO")/SUMIF('caseload data'!$C:$C,'divisional &amp; regional caseload%'!$T$15,'caseload data'!R:R)</f>
        <v>#DIV/0!</v>
      </c>
      <c r="AI17" s="209" t="e">
        <f>SUMIFS('caseload data'!S:S,'caseload data'!$C:$C,'divisional &amp; regional caseload%'!$T$15,'caseload data'!$D:$D,"PO")/SUMIF('caseload data'!$C:$C,'divisional &amp; regional caseload%'!$T$15,'caseload data'!S:S)</f>
        <v>#DIV/0!</v>
      </c>
      <c r="AJ17" s="209" t="e">
        <f>SUMIFS('caseload data'!T:T,'caseload data'!$C:$C,'divisional &amp; regional caseload%'!$T$15,'caseload data'!$D:$D,"PO")/SUMIF('caseload data'!$C:$C,'divisional &amp; regional caseload%'!$T$15,'caseload data'!T:T)</f>
        <v>#DIV/0!</v>
      </c>
    </row>
    <row r="18" spans="2:36" x14ac:dyDescent="0.15">
      <c r="B18" s="130" t="s">
        <v>185</v>
      </c>
      <c r="C18" s="209" t="e">
        <f>SUMIFS('caseload data'!E:E,'caseload data'!$C:$C,'divisional &amp; regional caseload%'!$B$15,'caseload data'!$D:$D,"PSO")/SUMIF('caseload data'!$C:$C,'divisional &amp; regional caseload%'!$B$15,'caseload data'!E:E)</f>
        <v>#DIV/0!</v>
      </c>
      <c r="D18" s="209" t="e">
        <f>SUMIFS('caseload data'!F:F,'caseload data'!$C:$C,'divisional &amp; regional caseload%'!$B$15,'caseload data'!$D:$D,"PSO")/SUMIF('caseload data'!$C:$C,'divisional &amp; regional caseload%'!$B$15,'caseload data'!F:F)</f>
        <v>#DIV/0!</v>
      </c>
      <c r="E18" s="209" t="e">
        <f>SUMIFS('caseload data'!G:G,'caseload data'!$C:$C,'divisional &amp; regional caseload%'!$B$15,'caseload data'!$D:$D,"PSO")/SUMIF('caseload data'!$C:$C,'divisional &amp; regional caseload%'!$B$15,'caseload data'!G:G)</f>
        <v>#DIV/0!</v>
      </c>
      <c r="F18" s="209" t="e">
        <f>SUMIFS('caseload data'!H:H,'caseload data'!$C:$C,'divisional &amp; regional caseload%'!$B$15,'caseload data'!$D:$D,"PSO")/SUMIF('caseload data'!$C:$C,'divisional &amp; regional caseload%'!$B$15,'caseload data'!H:H)</f>
        <v>#DIV/0!</v>
      </c>
      <c r="G18" s="209" t="e">
        <f>SUMIFS('caseload data'!I:I,'caseload data'!$C:$C,'divisional &amp; regional caseload%'!$B$15,'caseload data'!$D:$D,"PSO")/SUMIF('caseload data'!$C:$C,'divisional &amp; regional caseload%'!$B$15,'caseload data'!I:I)</f>
        <v>#DIV/0!</v>
      </c>
      <c r="H18" s="209" t="e">
        <f>SUMIFS('caseload data'!J:J,'caseload data'!$C:$C,'divisional &amp; regional caseload%'!$B$15,'caseload data'!$D:$D,"PSO")/SUMIF('caseload data'!$C:$C,'divisional &amp; regional caseload%'!$B$15,'caseload data'!J:J)</f>
        <v>#DIV/0!</v>
      </c>
      <c r="I18" s="209" t="e">
        <f>SUMIFS('caseload data'!K:K,'caseload data'!$C:$C,'divisional &amp; regional caseload%'!$B$15,'caseload data'!$D:$D,"PSO")/SUMIF('caseload data'!$C:$C,'divisional &amp; regional caseload%'!$B$15,'caseload data'!K:K)</f>
        <v>#DIV/0!</v>
      </c>
      <c r="J18" s="209" t="e">
        <f>SUMIFS('caseload data'!L:L,'caseload data'!$C:$C,'divisional &amp; regional caseload%'!$B$15,'caseload data'!$D:$D,"PSO")/SUMIF('caseload data'!$C:$C,'divisional &amp; regional caseload%'!$B$15,'caseload data'!L:L)</f>
        <v>#DIV/0!</v>
      </c>
      <c r="K18" s="209" t="e">
        <f>SUMIFS('caseload data'!M:M,'caseload data'!$C:$C,'divisional &amp; regional caseload%'!$B$15,'caseload data'!$D:$D,"PSO")/SUMIF('caseload data'!$C:$C,'divisional &amp; regional caseload%'!$B$15,'caseload data'!M:M)</f>
        <v>#DIV/0!</v>
      </c>
      <c r="L18" s="209" t="e">
        <f>SUMIFS('caseload data'!N:N,'caseload data'!$C:$C,'divisional &amp; regional caseload%'!$B$15,'caseload data'!$D:$D,"PSO")/SUMIF('caseload data'!$C:$C,'divisional &amp; regional caseload%'!$B$15,'caseload data'!N:N)</f>
        <v>#DIV/0!</v>
      </c>
      <c r="M18" s="209" t="e">
        <f>SUMIFS('caseload data'!O:O,'caseload data'!$C:$C,'divisional &amp; regional caseload%'!$B$15,'caseload data'!$D:$D,"PSO")/SUMIF('caseload data'!$C:$C,'divisional &amp; regional caseload%'!$B$15,'caseload data'!O:O)</f>
        <v>#DIV/0!</v>
      </c>
      <c r="N18" s="209" t="e">
        <f>SUMIFS('caseload data'!P:P,'caseload data'!$C:$C,'divisional &amp; regional caseload%'!$B$15,'caseload data'!$D:$D,"PSO")/SUMIF('caseload data'!$C:$C,'divisional &amp; regional caseload%'!$B$15,'caseload data'!P:P)</f>
        <v>#DIV/0!</v>
      </c>
      <c r="O18" s="209" t="e">
        <f>SUMIFS('caseload data'!Q:Q,'caseload data'!$C:$C,'divisional &amp; regional caseload%'!$B$15,'caseload data'!$D:$D,"PSO")/SUMIF('caseload data'!$C:$C,'divisional &amp; regional caseload%'!$B$15,'caseload data'!Q:Q)</f>
        <v>#DIV/0!</v>
      </c>
      <c r="P18" s="209" t="e">
        <f>SUMIFS('caseload data'!R:R,'caseload data'!$C:$C,'divisional &amp; regional caseload%'!$B$15,'caseload data'!$D:$D,"PSO")/SUMIF('caseload data'!$C:$C,'divisional &amp; regional caseload%'!$B$15,'caseload data'!R:R)</f>
        <v>#DIV/0!</v>
      </c>
      <c r="Q18" s="209" t="e">
        <f>SUMIFS('caseload data'!S:S,'caseload data'!$C:$C,'divisional &amp; regional caseload%'!$B$15,'caseload data'!$D:$D,"PSO")/SUMIF('caseload data'!$C:$C,'divisional &amp; regional caseload%'!$B$15,'caseload data'!S:S)</f>
        <v>#DIV/0!</v>
      </c>
      <c r="R18" s="209" t="e">
        <f>SUMIFS('caseload data'!T:T,'caseload data'!$C:$C,'divisional &amp; regional caseload%'!$B$15,'caseload data'!$D:$D,"PSO")/SUMIF('caseload data'!$C:$C,'divisional &amp; regional caseload%'!$B$15,'caseload data'!T:T)</f>
        <v>#DIV/0!</v>
      </c>
      <c r="S18" s="95"/>
      <c r="T18" s="130" t="s">
        <v>185</v>
      </c>
      <c r="U18" s="209" t="e">
        <f>SUMIFS('caseload data'!E:E,'caseload data'!$C:$C,'divisional &amp; regional caseload%'!$T$15,'caseload data'!$D:$D,"PSO")/SUMIF('caseload data'!$C:$C,'divisional &amp; regional caseload%'!$T$15,'caseload data'!E:E)</f>
        <v>#DIV/0!</v>
      </c>
      <c r="V18" s="209" t="e">
        <f>SUMIFS('caseload data'!F:F,'caseload data'!$C:$C,'divisional &amp; regional caseload%'!$T$15,'caseload data'!$D:$D,"PSO")/SUMIF('caseload data'!$C:$C,'divisional &amp; regional caseload%'!$T$15,'caseload data'!F:F)</f>
        <v>#DIV/0!</v>
      </c>
      <c r="W18" s="209" t="e">
        <f>SUMIFS('caseload data'!G:G,'caseload data'!$C:$C,'divisional &amp; regional caseload%'!$T$15,'caseload data'!$D:$D,"PSO")/SUMIF('caseload data'!$C:$C,'divisional &amp; regional caseload%'!$T$15,'caseload data'!G:G)</f>
        <v>#DIV/0!</v>
      </c>
      <c r="X18" s="209" t="e">
        <f>SUMIFS('caseload data'!H:H,'caseload data'!$C:$C,'divisional &amp; regional caseload%'!$T$15,'caseload data'!$D:$D,"PSO")/SUMIF('caseload data'!$C:$C,'divisional &amp; regional caseload%'!$T$15,'caseload data'!H:H)</f>
        <v>#DIV/0!</v>
      </c>
      <c r="Y18" s="209" t="e">
        <f>SUMIFS('caseload data'!I:I,'caseload data'!$C:$C,'divisional &amp; regional caseload%'!$T$15,'caseload data'!$D:$D,"PSO")/SUMIF('caseload data'!$C:$C,'divisional &amp; regional caseload%'!$T$15,'caseload data'!I:I)</f>
        <v>#DIV/0!</v>
      </c>
      <c r="Z18" s="209" t="e">
        <f>SUMIFS('caseload data'!J:J,'caseload data'!$C:$C,'divisional &amp; regional caseload%'!$T$15,'caseload data'!$D:$D,"PSO")/SUMIF('caseload data'!$C:$C,'divisional &amp; regional caseload%'!$T$15,'caseload data'!J:J)</f>
        <v>#DIV/0!</v>
      </c>
      <c r="AA18" s="209" t="e">
        <f>SUMIFS('caseload data'!K:K,'caseload data'!$C:$C,'divisional &amp; regional caseload%'!$T$15,'caseload data'!$D:$D,"PSO")/SUMIF('caseload data'!$C:$C,'divisional &amp; regional caseload%'!$T$15,'caseload data'!K:K)</f>
        <v>#DIV/0!</v>
      </c>
      <c r="AB18" s="209" t="e">
        <f>SUMIFS('caseload data'!L:L,'caseload data'!$C:$C,'divisional &amp; regional caseload%'!$T$15,'caseload data'!$D:$D,"PSO")/SUMIF('caseload data'!$C:$C,'divisional &amp; regional caseload%'!$T$15,'caseload data'!L:L)</f>
        <v>#DIV/0!</v>
      </c>
      <c r="AC18" s="209" t="e">
        <f>SUMIFS('caseload data'!M:M,'caseload data'!$C:$C,'divisional &amp; regional caseload%'!$T$15,'caseload data'!$D:$D,"PSO")/SUMIF('caseload data'!$C:$C,'divisional &amp; regional caseload%'!$T$15,'caseload data'!M:M)</f>
        <v>#DIV/0!</v>
      </c>
      <c r="AD18" s="209" t="e">
        <f>SUMIFS('caseload data'!N:N,'caseload data'!$C:$C,'divisional &amp; regional caseload%'!$T$15,'caseload data'!$D:$D,"PSO")/SUMIF('caseload data'!$C:$C,'divisional &amp; regional caseload%'!$T$15,'caseload data'!N:N)</f>
        <v>#DIV/0!</v>
      </c>
      <c r="AE18" s="209" t="e">
        <f>SUMIFS('caseload data'!O:O,'caseload data'!$C:$C,'divisional &amp; regional caseload%'!$T$15,'caseload data'!$D:$D,"PSO")/SUMIF('caseload data'!$C:$C,'divisional &amp; regional caseload%'!$T$15,'caseload data'!O:O)</f>
        <v>#DIV/0!</v>
      </c>
      <c r="AF18" s="209" t="e">
        <f>SUMIFS('caseload data'!P:P,'caseload data'!$C:$C,'divisional &amp; regional caseload%'!$T$15,'caseload data'!$D:$D,"PSO")/SUMIF('caseload data'!$C:$C,'divisional &amp; regional caseload%'!$T$15,'caseload data'!P:P)</f>
        <v>#DIV/0!</v>
      </c>
      <c r="AG18" s="209" t="e">
        <f>SUMIFS('caseload data'!Q:Q,'caseload data'!$C:$C,'divisional &amp; regional caseload%'!$T$15,'caseload data'!$D:$D,"PSO")/SUMIF('caseload data'!$C:$C,'divisional &amp; regional caseload%'!$T$15,'caseload data'!Q:Q)</f>
        <v>#DIV/0!</v>
      </c>
      <c r="AH18" s="209" t="e">
        <f>SUMIFS('caseload data'!R:R,'caseload data'!$C:$C,'divisional &amp; regional caseload%'!$T$15,'caseload data'!$D:$D,"PSO")/SUMIF('caseload data'!$C:$C,'divisional &amp; regional caseload%'!$T$15,'caseload data'!R:R)</f>
        <v>#DIV/0!</v>
      </c>
      <c r="AI18" s="209" t="e">
        <f>SUMIFS('caseload data'!S:S,'caseload data'!$C:$C,'divisional &amp; regional caseload%'!$T$15,'caseload data'!$D:$D,"PSO")/SUMIF('caseload data'!$C:$C,'divisional &amp; regional caseload%'!$T$15,'caseload data'!S:S)</f>
        <v>#DIV/0!</v>
      </c>
      <c r="AJ18" s="209" t="e">
        <f>SUMIFS('caseload data'!T:T,'caseload data'!$C:$C,'divisional &amp; regional caseload%'!$T$15,'caseload data'!$D:$D,"PSO")/SUMIF('caseload data'!$C:$C,'divisional &amp; regional caseload%'!$T$15,'caseload data'!T:T)</f>
        <v>#DIV/0!</v>
      </c>
    </row>
    <row r="19" spans="2:36" x14ac:dyDescent="0.15">
      <c r="B19" s="130" t="s">
        <v>186</v>
      </c>
      <c r="C19" s="209" t="e">
        <f>SUMIFS('caseload data'!E:E,'caseload data'!$C:$C,'divisional &amp; regional caseload%'!$B$15,'caseload data'!$D:$D,"TPO")/SUMIF('caseload data'!$C:$C,'divisional &amp; regional caseload%'!$B$15,'caseload data'!E:E)</f>
        <v>#DIV/0!</v>
      </c>
      <c r="D19" s="209" t="e">
        <f>SUMIFS('caseload data'!F:F,'caseload data'!$C:$C,'divisional &amp; regional caseload%'!$B$15,'caseload data'!$D:$D,"TPO")/SUMIF('caseload data'!$C:$C,'divisional &amp; regional caseload%'!$B$15,'caseload data'!F:F)</f>
        <v>#DIV/0!</v>
      </c>
      <c r="E19" s="209" t="e">
        <f>SUMIFS('caseload data'!G:G,'caseload data'!$C:$C,'divisional &amp; regional caseload%'!$B$15,'caseload data'!$D:$D,"TPO")/SUMIF('caseload data'!$C:$C,'divisional &amp; regional caseload%'!$B$15,'caseload data'!G:G)</f>
        <v>#DIV/0!</v>
      </c>
      <c r="F19" s="209" t="e">
        <f>SUMIFS('caseload data'!H:H,'caseload data'!$C:$C,'divisional &amp; regional caseload%'!$B$15,'caseload data'!$D:$D,"TPO")/SUMIF('caseload data'!$C:$C,'divisional &amp; regional caseload%'!$B$15,'caseload data'!H:H)</f>
        <v>#DIV/0!</v>
      </c>
      <c r="G19" s="209" t="e">
        <f>SUMIFS('caseload data'!I:I,'caseload data'!$C:$C,'divisional &amp; regional caseload%'!$B$15,'caseload data'!$D:$D,"TPO")/SUMIF('caseload data'!$C:$C,'divisional &amp; regional caseload%'!$B$15,'caseload data'!I:I)</f>
        <v>#DIV/0!</v>
      </c>
      <c r="H19" s="209" t="e">
        <f>SUMIFS('caseload data'!J:J,'caseload data'!$C:$C,'divisional &amp; regional caseload%'!$B$15,'caseload data'!$D:$D,"TPO")/SUMIF('caseload data'!$C:$C,'divisional &amp; regional caseload%'!$B$15,'caseload data'!J:J)</f>
        <v>#DIV/0!</v>
      </c>
      <c r="I19" s="209" t="e">
        <f>SUMIFS('caseload data'!K:K,'caseload data'!$C:$C,'divisional &amp; regional caseload%'!$B$15,'caseload data'!$D:$D,"TPO")/SUMIF('caseload data'!$C:$C,'divisional &amp; regional caseload%'!$B$15,'caseload data'!K:K)</f>
        <v>#DIV/0!</v>
      </c>
      <c r="J19" s="209" t="e">
        <f>SUMIFS('caseload data'!L:L,'caseload data'!$C:$C,'divisional &amp; regional caseload%'!$B$15,'caseload data'!$D:$D,"TPO")/SUMIF('caseload data'!$C:$C,'divisional &amp; regional caseload%'!$B$15,'caseload data'!L:L)</f>
        <v>#DIV/0!</v>
      </c>
      <c r="K19" s="209" t="e">
        <f>SUMIFS('caseload data'!M:M,'caseload data'!$C:$C,'divisional &amp; regional caseload%'!$B$15,'caseload data'!$D:$D,"TPO")/SUMIF('caseload data'!$C:$C,'divisional &amp; regional caseload%'!$B$15,'caseload data'!M:M)</f>
        <v>#DIV/0!</v>
      </c>
      <c r="L19" s="209" t="e">
        <f>SUMIFS('caseload data'!N:N,'caseload data'!$C:$C,'divisional &amp; regional caseload%'!$B$15,'caseload data'!$D:$D,"TPO")/SUMIF('caseload data'!$C:$C,'divisional &amp; regional caseload%'!$B$15,'caseload data'!N:N)</f>
        <v>#DIV/0!</v>
      </c>
      <c r="M19" s="209" t="e">
        <f>SUMIFS('caseload data'!O:O,'caseload data'!$C:$C,'divisional &amp; regional caseload%'!$B$15,'caseload data'!$D:$D,"TPO")/SUMIF('caseload data'!$C:$C,'divisional &amp; regional caseload%'!$B$15,'caseload data'!O:O)</f>
        <v>#DIV/0!</v>
      </c>
      <c r="N19" s="209" t="e">
        <f>SUMIFS('caseload data'!P:P,'caseload data'!$C:$C,'divisional &amp; regional caseload%'!$B$15,'caseload data'!$D:$D,"TPO")/SUMIF('caseload data'!$C:$C,'divisional &amp; regional caseload%'!$B$15,'caseload data'!P:P)</f>
        <v>#DIV/0!</v>
      </c>
      <c r="O19" s="209" t="e">
        <f>SUMIFS('caseload data'!Q:Q,'caseload data'!$C:$C,'divisional &amp; regional caseload%'!$B$15,'caseload data'!$D:$D,"TPO")/SUMIF('caseload data'!$C:$C,'divisional &amp; regional caseload%'!$B$15,'caseload data'!Q:Q)</f>
        <v>#DIV/0!</v>
      </c>
      <c r="P19" s="209" t="e">
        <f>SUMIFS('caseload data'!R:R,'caseload data'!$C:$C,'divisional &amp; regional caseload%'!$B$15,'caseload data'!$D:$D,"TPO")/SUMIF('caseload data'!$C:$C,'divisional &amp; regional caseload%'!$B$15,'caseload data'!R:R)</f>
        <v>#DIV/0!</v>
      </c>
      <c r="Q19" s="209" t="e">
        <f>SUMIFS('caseload data'!S:S,'caseload data'!$C:$C,'divisional &amp; regional caseload%'!$B$15,'caseload data'!$D:$D,"TPO")/SUMIF('caseload data'!$C:$C,'divisional &amp; regional caseload%'!$B$15,'caseload data'!S:S)</f>
        <v>#DIV/0!</v>
      </c>
      <c r="R19" s="209" t="e">
        <f>SUMIFS('caseload data'!T:T,'caseload data'!$C:$C,'divisional &amp; regional caseload%'!$B$15,'caseload data'!$D:$D,"TPO")/SUMIF('caseload data'!$C:$C,'divisional &amp; regional caseload%'!$B$15,'caseload data'!T:T)</f>
        <v>#DIV/0!</v>
      </c>
      <c r="S19" s="95"/>
      <c r="T19" s="130" t="s">
        <v>186</v>
      </c>
      <c r="U19" s="209" t="e">
        <f>SUMIFS('caseload data'!E:E,'caseload data'!$C:$C,'divisional &amp; regional caseload%'!$T$15,'caseload data'!$D:$D,"TPO")/SUMIF('caseload data'!$C:$C,'divisional &amp; regional caseload%'!$T$15,'caseload data'!E:E)</f>
        <v>#DIV/0!</v>
      </c>
      <c r="V19" s="209" t="e">
        <f>SUMIFS('caseload data'!F:F,'caseload data'!$C:$C,'divisional &amp; regional caseload%'!$T$15,'caseload data'!$D:$D,"TPO")/SUMIF('caseload data'!$C:$C,'divisional &amp; regional caseload%'!$T$15,'caseload data'!F:F)</f>
        <v>#DIV/0!</v>
      </c>
      <c r="W19" s="209" t="e">
        <f>SUMIFS('caseload data'!G:G,'caseload data'!$C:$C,'divisional &amp; regional caseload%'!$T$15,'caseload data'!$D:$D,"TPO")/SUMIF('caseload data'!$C:$C,'divisional &amp; regional caseload%'!$T$15,'caseload data'!G:G)</f>
        <v>#DIV/0!</v>
      </c>
      <c r="X19" s="209" t="e">
        <f>SUMIFS('caseload data'!H:H,'caseload data'!$C:$C,'divisional &amp; regional caseload%'!$T$15,'caseload data'!$D:$D,"TPO")/SUMIF('caseload data'!$C:$C,'divisional &amp; regional caseload%'!$T$15,'caseload data'!H:H)</f>
        <v>#DIV/0!</v>
      </c>
      <c r="Y19" s="209" t="e">
        <f>SUMIFS('caseload data'!I:I,'caseload data'!$C:$C,'divisional &amp; regional caseload%'!$T$15,'caseload data'!$D:$D,"TPO")/SUMIF('caseload data'!$C:$C,'divisional &amp; regional caseload%'!$T$15,'caseload data'!I:I)</f>
        <v>#DIV/0!</v>
      </c>
      <c r="Z19" s="209" t="e">
        <f>SUMIFS('caseload data'!J:J,'caseload data'!$C:$C,'divisional &amp; regional caseload%'!$T$15,'caseload data'!$D:$D,"TPO")/SUMIF('caseload data'!$C:$C,'divisional &amp; regional caseload%'!$T$15,'caseload data'!J:J)</f>
        <v>#DIV/0!</v>
      </c>
      <c r="AA19" s="209" t="e">
        <f>SUMIFS('caseload data'!K:K,'caseload data'!$C:$C,'divisional &amp; regional caseload%'!$T$15,'caseload data'!$D:$D,"TPO")/SUMIF('caseload data'!$C:$C,'divisional &amp; regional caseload%'!$T$15,'caseload data'!K:K)</f>
        <v>#DIV/0!</v>
      </c>
      <c r="AB19" s="209" t="e">
        <f>SUMIFS('caseload data'!L:L,'caseload data'!$C:$C,'divisional &amp; regional caseload%'!$T$15,'caseload data'!$D:$D,"TPO")/SUMIF('caseload data'!$C:$C,'divisional &amp; regional caseload%'!$T$15,'caseload data'!L:L)</f>
        <v>#DIV/0!</v>
      </c>
      <c r="AC19" s="209" t="e">
        <f>SUMIFS('caseload data'!M:M,'caseload data'!$C:$C,'divisional &amp; regional caseload%'!$T$15,'caseload data'!$D:$D,"TPO")/SUMIF('caseload data'!$C:$C,'divisional &amp; regional caseload%'!$T$15,'caseload data'!M:M)</f>
        <v>#DIV/0!</v>
      </c>
      <c r="AD19" s="209" t="e">
        <f>SUMIFS('caseload data'!N:N,'caseload data'!$C:$C,'divisional &amp; regional caseload%'!$T$15,'caseload data'!$D:$D,"TPO")/SUMIF('caseload data'!$C:$C,'divisional &amp; regional caseload%'!$T$15,'caseload data'!N:N)</f>
        <v>#DIV/0!</v>
      </c>
      <c r="AE19" s="209" t="e">
        <f>SUMIFS('caseload data'!O:O,'caseload data'!$C:$C,'divisional &amp; regional caseload%'!$T$15,'caseload data'!$D:$D,"TPO")/SUMIF('caseload data'!$C:$C,'divisional &amp; regional caseload%'!$T$15,'caseload data'!O:O)</f>
        <v>#DIV/0!</v>
      </c>
      <c r="AF19" s="209" t="e">
        <f>SUMIFS('caseload data'!P:P,'caseload data'!$C:$C,'divisional &amp; regional caseload%'!$T$15,'caseload data'!$D:$D,"TPO")/SUMIF('caseload data'!$C:$C,'divisional &amp; regional caseload%'!$T$15,'caseload data'!P:P)</f>
        <v>#DIV/0!</v>
      </c>
      <c r="AG19" s="209" t="e">
        <f>SUMIFS('caseload data'!Q:Q,'caseload data'!$C:$C,'divisional &amp; regional caseload%'!$T$15,'caseload data'!$D:$D,"TPO")/SUMIF('caseload data'!$C:$C,'divisional &amp; regional caseload%'!$T$15,'caseload data'!Q:Q)</f>
        <v>#DIV/0!</v>
      </c>
      <c r="AH19" s="209" t="e">
        <f>SUMIFS('caseload data'!R:R,'caseload data'!$C:$C,'divisional &amp; regional caseload%'!$T$15,'caseload data'!$D:$D,"TPO")/SUMIF('caseload data'!$C:$C,'divisional &amp; regional caseload%'!$T$15,'caseload data'!R:R)</f>
        <v>#DIV/0!</v>
      </c>
      <c r="AI19" s="209" t="e">
        <f>SUMIFS('caseload data'!S:S,'caseload data'!$C:$C,'divisional &amp; regional caseload%'!$T$15,'caseload data'!$D:$D,"TPO")/SUMIF('caseload data'!$C:$C,'divisional &amp; regional caseload%'!$T$15,'caseload data'!S:S)</f>
        <v>#DIV/0!</v>
      </c>
      <c r="AJ19" s="209" t="e">
        <f>SUMIFS('caseload data'!T:T,'caseload data'!$C:$C,'divisional &amp; regional caseload%'!$T$15,'caseload data'!$D:$D,"TPO")/SUMIF('caseload data'!$C:$C,'divisional &amp; regional caseload%'!$T$15,'caseload data'!T:T)</f>
        <v>#DIV/0!</v>
      </c>
    </row>
    <row r="20" spans="2:36" x14ac:dyDescent="0.15">
      <c r="B20" s="131" t="s">
        <v>187</v>
      </c>
      <c r="C20" s="209" t="e">
        <f>SUMIFS('caseload data'!E:E,'caseload data'!$C:$C,'divisional &amp; regional caseload%'!$B$15,'caseload data'!$D:$D,"SPO")/SUMIF('caseload data'!$C:$C,'divisional &amp; regional caseload%'!$B$15,'caseload data'!E:E)</f>
        <v>#DIV/0!</v>
      </c>
      <c r="D20" s="209" t="e">
        <f>SUMIFS('caseload data'!F:F,'caseload data'!$C:$C,'divisional &amp; regional caseload%'!$B$15,'caseload data'!$D:$D,"SPO")/SUMIF('caseload data'!$C:$C,'divisional &amp; regional caseload%'!$B$15,'caseload data'!F:F)</f>
        <v>#DIV/0!</v>
      </c>
      <c r="E20" s="209" t="e">
        <f>SUMIFS('caseload data'!G:G,'caseload data'!$C:$C,'divisional &amp; regional caseload%'!$B$15,'caseload data'!$D:$D,"SPO")/SUMIF('caseload data'!$C:$C,'divisional &amp; regional caseload%'!$B$15,'caseload data'!G:G)</f>
        <v>#DIV/0!</v>
      </c>
      <c r="F20" s="209" t="e">
        <f>SUMIFS('caseload data'!H:H,'caseload data'!$C:$C,'divisional &amp; regional caseload%'!$B$15,'caseload data'!$D:$D,"SPO")/SUMIF('caseload data'!$C:$C,'divisional &amp; regional caseload%'!$B$15,'caseload data'!H:H)</f>
        <v>#DIV/0!</v>
      </c>
      <c r="G20" s="209" t="e">
        <f>SUMIFS('caseload data'!I:I,'caseload data'!$C:$C,'divisional &amp; regional caseload%'!$B$15,'caseload data'!$D:$D,"SPO")/SUMIF('caseload data'!$C:$C,'divisional &amp; regional caseload%'!$B$15,'caseload data'!I:I)</f>
        <v>#DIV/0!</v>
      </c>
      <c r="H20" s="209" t="e">
        <f>SUMIFS('caseload data'!J:J,'caseload data'!$C:$C,'divisional &amp; regional caseload%'!$B$15,'caseload data'!$D:$D,"SPO")/SUMIF('caseload data'!$C:$C,'divisional &amp; regional caseload%'!$B$15,'caseload data'!J:J)</f>
        <v>#DIV/0!</v>
      </c>
      <c r="I20" s="209" t="e">
        <f>SUMIFS('caseload data'!K:K,'caseload data'!$C:$C,'divisional &amp; regional caseload%'!$B$15,'caseload data'!$D:$D,"SPO")/SUMIF('caseload data'!$C:$C,'divisional &amp; regional caseload%'!$B$15,'caseload data'!K:K)</f>
        <v>#DIV/0!</v>
      </c>
      <c r="J20" s="209" t="e">
        <f>SUMIFS('caseload data'!L:L,'caseload data'!$C:$C,'divisional &amp; regional caseload%'!$B$15,'caseload data'!$D:$D,"SPO")/SUMIF('caseload data'!$C:$C,'divisional &amp; regional caseload%'!$B$15,'caseload data'!L:L)</f>
        <v>#DIV/0!</v>
      </c>
      <c r="K20" s="209" t="e">
        <f>SUMIFS('caseload data'!M:M,'caseload data'!$C:$C,'divisional &amp; regional caseload%'!$B$15,'caseload data'!$D:$D,"SPO")/SUMIF('caseload data'!$C:$C,'divisional &amp; regional caseload%'!$B$15,'caseload data'!M:M)</f>
        <v>#DIV/0!</v>
      </c>
      <c r="L20" s="209" t="e">
        <f>SUMIFS('caseload data'!N:N,'caseload data'!$C:$C,'divisional &amp; regional caseload%'!$B$15,'caseload data'!$D:$D,"SPO")/SUMIF('caseload data'!$C:$C,'divisional &amp; regional caseload%'!$B$15,'caseload data'!N:N)</f>
        <v>#DIV/0!</v>
      </c>
      <c r="M20" s="209" t="e">
        <f>SUMIFS('caseload data'!O:O,'caseload data'!$C:$C,'divisional &amp; regional caseload%'!$B$15,'caseload data'!$D:$D,"SPO")/SUMIF('caseload data'!$C:$C,'divisional &amp; regional caseload%'!$B$15,'caseload data'!O:O)</f>
        <v>#DIV/0!</v>
      </c>
      <c r="N20" s="209" t="e">
        <f>SUMIFS('caseload data'!P:P,'caseload data'!$C:$C,'divisional &amp; regional caseload%'!$B$15,'caseload data'!$D:$D,"SPO")/SUMIF('caseload data'!$C:$C,'divisional &amp; regional caseload%'!$B$15,'caseload data'!P:P)</f>
        <v>#DIV/0!</v>
      </c>
      <c r="O20" s="209" t="e">
        <f>SUMIFS('caseload data'!Q:Q,'caseload data'!$C:$C,'divisional &amp; regional caseload%'!$B$15,'caseload data'!$D:$D,"SPO")/SUMIF('caseload data'!$C:$C,'divisional &amp; regional caseload%'!$B$15,'caseload data'!Q:Q)</f>
        <v>#DIV/0!</v>
      </c>
      <c r="P20" s="209" t="e">
        <f>SUMIFS('caseload data'!R:R,'caseload data'!$C:$C,'divisional &amp; regional caseload%'!$B$15,'caseload data'!$D:$D,"SPO")/SUMIF('caseload data'!$C:$C,'divisional &amp; regional caseload%'!$B$15,'caseload data'!R:R)</f>
        <v>#DIV/0!</v>
      </c>
      <c r="Q20" s="209" t="e">
        <f>SUMIFS('caseload data'!S:S,'caseload data'!$C:$C,'divisional &amp; regional caseload%'!$B$15,'caseload data'!$D:$D,"SPO")/SUMIF('caseload data'!$C:$C,'divisional &amp; regional caseload%'!$B$15,'caseload data'!S:S)</f>
        <v>#DIV/0!</v>
      </c>
      <c r="R20" s="209" t="e">
        <f>SUMIFS('caseload data'!T:T,'caseload data'!$C:$C,'divisional &amp; regional caseload%'!$B$15,'caseload data'!$D:$D,"SPO")/SUMIF('caseload data'!$C:$C,'divisional &amp; regional caseload%'!$B$15,'caseload data'!T:T)</f>
        <v>#DIV/0!</v>
      </c>
      <c r="S20" s="95"/>
      <c r="T20" s="131" t="s">
        <v>187</v>
      </c>
      <c r="U20" s="209" t="e">
        <f>SUMIFS('caseload data'!E:E,'caseload data'!$C:$C,'divisional &amp; regional caseload%'!$T$15,'caseload data'!$D:$D,"SPO")/SUMIF('caseload data'!$C:$C,'divisional &amp; regional caseload%'!$T$15,'caseload data'!E:E)</f>
        <v>#DIV/0!</v>
      </c>
      <c r="V20" s="209" t="e">
        <f>SUMIFS('caseload data'!F:F,'caseload data'!$C:$C,'divisional &amp; regional caseload%'!$T$15,'caseload data'!$D:$D,"SPO")/SUMIF('caseload data'!$C:$C,'divisional &amp; regional caseload%'!$T$15,'caseload data'!F:F)</f>
        <v>#DIV/0!</v>
      </c>
      <c r="W20" s="209" t="e">
        <f>SUMIFS('caseload data'!G:G,'caseload data'!$C:$C,'divisional &amp; regional caseload%'!$T$15,'caseload data'!$D:$D,"SPO")/SUMIF('caseload data'!$C:$C,'divisional &amp; regional caseload%'!$T$15,'caseload data'!G:G)</f>
        <v>#DIV/0!</v>
      </c>
      <c r="X20" s="209" t="e">
        <f>SUMIFS('caseload data'!H:H,'caseload data'!$C:$C,'divisional &amp; regional caseload%'!$T$15,'caseload data'!$D:$D,"SPO")/SUMIF('caseload data'!$C:$C,'divisional &amp; regional caseload%'!$T$15,'caseload data'!H:H)</f>
        <v>#DIV/0!</v>
      </c>
      <c r="Y20" s="209" t="e">
        <f>SUMIFS('caseload data'!I:I,'caseload data'!$C:$C,'divisional &amp; regional caseload%'!$T$15,'caseload data'!$D:$D,"SPO")/SUMIF('caseload data'!$C:$C,'divisional &amp; regional caseload%'!$T$15,'caseload data'!I:I)</f>
        <v>#DIV/0!</v>
      </c>
      <c r="Z20" s="209" t="e">
        <f>SUMIFS('caseload data'!J:J,'caseload data'!$C:$C,'divisional &amp; regional caseload%'!$T$15,'caseload data'!$D:$D,"SPO")/SUMIF('caseload data'!$C:$C,'divisional &amp; regional caseload%'!$T$15,'caseload data'!J:J)</f>
        <v>#DIV/0!</v>
      </c>
      <c r="AA20" s="209" t="e">
        <f>SUMIFS('caseload data'!K:K,'caseload data'!$C:$C,'divisional &amp; regional caseload%'!$T$15,'caseload data'!$D:$D,"SPO")/SUMIF('caseload data'!$C:$C,'divisional &amp; regional caseload%'!$T$15,'caseload data'!K:K)</f>
        <v>#DIV/0!</v>
      </c>
      <c r="AB20" s="209" t="e">
        <f>SUMIFS('caseload data'!L:L,'caseload data'!$C:$C,'divisional &amp; regional caseload%'!$T$15,'caseload data'!$D:$D,"SPO")/SUMIF('caseload data'!$C:$C,'divisional &amp; regional caseload%'!$T$15,'caseload data'!L:L)</f>
        <v>#DIV/0!</v>
      </c>
      <c r="AC20" s="209" t="e">
        <f>SUMIFS('caseload data'!M:M,'caseload data'!$C:$C,'divisional &amp; regional caseload%'!$T$15,'caseload data'!$D:$D,"SPO")/SUMIF('caseload data'!$C:$C,'divisional &amp; regional caseload%'!$T$15,'caseload data'!M:M)</f>
        <v>#DIV/0!</v>
      </c>
      <c r="AD20" s="209" t="e">
        <f>SUMIFS('caseload data'!N:N,'caseload data'!$C:$C,'divisional &amp; regional caseload%'!$T$15,'caseload data'!$D:$D,"SPO")/SUMIF('caseload data'!$C:$C,'divisional &amp; regional caseload%'!$T$15,'caseload data'!N:N)</f>
        <v>#DIV/0!</v>
      </c>
      <c r="AE20" s="209" t="e">
        <f>SUMIFS('caseload data'!O:O,'caseload data'!$C:$C,'divisional &amp; regional caseload%'!$T$15,'caseload data'!$D:$D,"SPO")/SUMIF('caseload data'!$C:$C,'divisional &amp; regional caseload%'!$T$15,'caseload data'!O:O)</f>
        <v>#DIV/0!</v>
      </c>
      <c r="AF20" s="209" t="e">
        <f>SUMIFS('caseload data'!P:P,'caseload data'!$C:$C,'divisional &amp; regional caseload%'!$T$15,'caseload data'!$D:$D,"SPO")/SUMIF('caseload data'!$C:$C,'divisional &amp; regional caseload%'!$T$15,'caseload data'!P:P)</f>
        <v>#DIV/0!</v>
      </c>
      <c r="AG20" s="209" t="e">
        <f>SUMIFS('caseload data'!Q:Q,'caseload data'!$C:$C,'divisional &amp; regional caseload%'!$T$15,'caseload data'!$D:$D,"SPO")/SUMIF('caseload data'!$C:$C,'divisional &amp; regional caseload%'!$T$15,'caseload data'!Q:Q)</f>
        <v>#DIV/0!</v>
      </c>
      <c r="AH20" s="209" t="e">
        <f>SUMIFS('caseload data'!R:R,'caseload data'!$C:$C,'divisional &amp; regional caseload%'!$T$15,'caseload data'!$D:$D,"SPO")/SUMIF('caseload data'!$C:$C,'divisional &amp; regional caseload%'!$T$15,'caseload data'!R:R)</f>
        <v>#DIV/0!</v>
      </c>
      <c r="AI20" s="209" t="e">
        <f>SUMIFS('caseload data'!S:S,'caseload data'!$C:$C,'divisional &amp; regional caseload%'!$T$15,'caseload data'!$D:$D,"SPO")/SUMIF('caseload data'!$C:$C,'divisional &amp; regional caseload%'!$T$15,'caseload data'!S:S)</f>
        <v>#DIV/0!</v>
      </c>
      <c r="AJ20" s="209" t="e">
        <f>SUMIFS('caseload data'!T:T,'caseload data'!$C:$C,'divisional &amp; regional caseload%'!$T$15,'caseload data'!$D:$D,"SPO")/SUMIF('caseload data'!$C:$C,'divisional &amp; regional caseload%'!$T$15,'caseload data'!T:T)</f>
        <v>#DIV/0!</v>
      </c>
    </row>
    <row r="21" spans="2:36" x14ac:dyDescent="0.15">
      <c r="B21" s="183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183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</row>
    <row r="22" spans="2:36" ht="30.75" customHeight="1" x14ac:dyDescent="0.15">
      <c r="B22" s="182" t="str">
        <f>HLOOKUP($B$5,Region_Table,6,0)</f>
        <v>Cumbria - N51</v>
      </c>
      <c r="C22" s="359" t="s">
        <v>363</v>
      </c>
      <c r="D22" s="365"/>
      <c r="E22" s="365"/>
      <c r="F22" s="365"/>
      <c r="G22" s="365"/>
      <c r="H22" s="365"/>
      <c r="I22" s="365"/>
      <c r="J22" s="365"/>
      <c r="K22" s="365"/>
      <c r="L22" s="365"/>
      <c r="M22" s="368"/>
      <c r="N22" s="368"/>
      <c r="O22" s="369"/>
      <c r="P22" s="362">
        <f>SUMIF('caseload data'!$C:$C,'divisional &amp; regional caseload%'!B22,'caseload data'!V:V)</f>
        <v>0</v>
      </c>
      <c r="Q22" s="370"/>
      <c r="R22" s="371"/>
      <c r="S22" s="95"/>
      <c r="T22" s="182" t="str">
        <f>HLOOKUP($B$5,Region_Table,7,0)</f>
        <v>East Lancashire</v>
      </c>
      <c r="U22" s="359" t="s">
        <v>363</v>
      </c>
      <c r="V22" s="365"/>
      <c r="W22" s="365"/>
      <c r="X22" s="365"/>
      <c r="Y22" s="365"/>
      <c r="Z22" s="365"/>
      <c r="AA22" s="365"/>
      <c r="AB22" s="365"/>
      <c r="AC22" s="365"/>
      <c r="AD22" s="365"/>
      <c r="AE22" s="368"/>
      <c r="AF22" s="368"/>
      <c r="AG22" s="369"/>
      <c r="AH22" s="362">
        <f>SUMIF('caseload data'!$C:$C,'divisional &amp; regional caseload%'!T22,'caseload data'!V:V)</f>
        <v>0</v>
      </c>
      <c r="AI22" s="370"/>
      <c r="AJ22" s="371"/>
    </row>
    <row r="23" spans="2:36" x14ac:dyDescent="0.15">
      <c r="B23" s="127" t="s">
        <v>324</v>
      </c>
      <c r="C23" s="58" t="s">
        <v>504</v>
      </c>
      <c r="D23" s="58" t="s">
        <v>503</v>
      </c>
      <c r="E23" s="58" t="s">
        <v>502</v>
      </c>
      <c r="F23" s="58" t="s">
        <v>501</v>
      </c>
      <c r="G23" s="58" t="s">
        <v>510</v>
      </c>
      <c r="H23" s="58" t="s">
        <v>176</v>
      </c>
      <c r="I23" s="58" t="s">
        <v>177</v>
      </c>
      <c r="J23" s="58" t="s">
        <v>505</v>
      </c>
      <c r="K23" s="58" t="s">
        <v>507</v>
      </c>
      <c r="L23" s="58" t="s">
        <v>178</v>
      </c>
      <c r="M23" s="58" t="s">
        <v>179</v>
      </c>
      <c r="N23" s="58" t="s">
        <v>506</v>
      </c>
      <c r="O23" s="58" t="s">
        <v>508</v>
      </c>
      <c r="P23" s="58" t="s">
        <v>180</v>
      </c>
      <c r="Q23" s="58" t="s">
        <v>181</v>
      </c>
      <c r="R23" s="58" t="s">
        <v>509</v>
      </c>
      <c r="S23" s="95"/>
      <c r="T23" s="127" t="s">
        <v>324</v>
      </c>
      <c r="U23" s="58" t="s">
        <v>504</v>
      </c>
      <c r="V23" s="58" t="s">
        <v>503</v>
      </c>
      <c r="W23" s="58" t="s">
        <v>502</v>
      </c>
      <c r="X23" s="58" t="s">
        <v>501</v>
      </c>
      <c r="Y23" s="58" t="s">
        <v>510</v>
      </c>
      <c r="Z23" s="58" t="s">
        <v>176</v>
      </c>
      <c r="AA23" s="58" t="s">
        <v>177</v>
      </c>
      <c r="AB23" s="58" t="s">
        <v>505</v>
      </c>
      <c r="AC23" s="58" t="s">
        <v>507</v>
      </c>
      <c r="AD23" s="58" t="s">
        <v>178</v>
      </c>
      <c r="AE23" s="58" t="s">
        <v>179</v>
      </c>
      <c r="AF23" s="58" t="s">
        <v>506</v>
      </c>
      <c r="AG23" s="58" t="s">
        <v>508</v>
      </c>
      <c r="AH23" s="58" t="s">
        <v>180</v>
      </c>
      <c r="AI23" s="58" t="s">
        <v>181</v>
      </c>
      <c r="AJ23" s="58" t="s">
        <v>509</v>
      </c>
    </row>
    <row r="24" spans="2:36" x14ac:dyDescent="0.15">
      <c r="B24" s="129" t="s">
        <v>184</v>
      </c>
      <c r="C24" s="209" t="e">
        <f>SUMIFS('caseload data'!E:E,'caseload data'!$C:$C,'divisional &amp; regional caseload%'!$B$22,'caseload data'!$D:$D,"PO")/SUMIF('caseload data'!$C:$C,'divisional &amp; regional caseload%'!$B$22,'caseload data'!E:E)</f>
        <v>#DIV/0!</v>
      </c>
      <c r="D24" s="209" t="e">
        <f>SUMIFS('caseload data'!F:F,'caseload data'!$C:$C,'divisional &amp; regional caseload%'!$B$22,'caseload data'!$D:$D,"PO")/SUMIF('caseload data'!$C:$C,'divisional &amp; regional caseload%'!$B$22,'caseload data'!F:F)</f>
        <v>#DIV/0!</v>
      </c>
      <c r="E24" s="209" t="e">
        <f>SUMIFS('caseload data'!G:G,'caseload data'!$C:$C,'divisional &amp; regional caseload%'!$B$22,'caseload data'!$D:$D,"PO")/SUMIF('caseload data'!$C:$C,'divisional &amp; regional caseload%'!$B$22,'caseload data'!G:G)</f>
        <v>#DIV/0!</v>
      </c>
      <c r="F24" s="209" t="e">
        <f>SUMIFS('caseload data'!H:H,'caseload data'!$C:$C,'divisional &amp; regional caseload%'!$B$22,'caseload data'!$D:$D,"PO")/SUMIF('caseload data'!$C:$C,'divisional &amp; regional caseload%'!$B$22,'caseload data'!H:H)</f>
        <v>#DIV/0!</v>
      </c>
      <c r="G24" s="209" t="e">
        <f>SUMIFS('caseload data'!I:I,'caseload data'!$C:$C,'divisional &amp; regional caseload%'!$B$22,'caseload data'!$D:$D,"PO")/SUMIF('caseload data'!$C:$C,'divisional &amp; regional caseload%'!$B$22,'caseload data'!I:I)</f>
        <v>#DIV/0!</v>
      </c>
      <c r="H24" s="209" t="e">
        <f>SUMIFS('caseload data'!J:J,'caseload data'!$C:$C,'divisional &amp; regional caseload%'!$B$22,'caseload data'!$D:$D,"PO")/SUMIF('caseload data'!$C:$C,'divisional &amp; regional caseload%'!$B$22,'caseload data'!J:J)</f>
        <v>#DIV/0!</v>
      </c>
      <c r="I24" s="209" t="e">
        <f>SUMIFS('caseload data'!K:K,'caseload data'!$C:$C,'divisional &amp; regional caseload%'!$B$22,'caseload data'!$D:$D,"PO")/SUMIF('caseload data'!$C:$C,'divisional &amp; regional caseload%'!$B$22,'caseload data'!K:K)</f>
        <v>#DIV/0!</v>
      </c>
      <c r="J24" s="209" t="e">
        <f>SUMIFS('caseload data'!L:L,'caseload data'!$C:$C,'divisional &amp; regional caseload%'!$B$22,'caseload data'!$D:$D,"PO")/SUMIF('caseload data'!$C:$C,'divisional &amp; regional caseload%'!$B$22,'caseload data'!L:L)</f>
        <v>#DIV/0!</v>
      </c>
      <c r="K24" s="209" t="e">
        <f>SUMIFS('caseload data'!M:M,'caseload data'!$C:$C,'divisional &amp; regional caseload%'!$B$22,'caseload data'!$D:$D,"PO")/SUMIF('caseload data'!$C:$C,'divisional &amp; regional caseload%'!$B$22,'caseload data'!M:M)</f>
        <v>#DIV/0!</v>
      </c>
      <c r="L24" s="209" t="e">
        <f>SUMIFS('caseload data'!N:N,'caseload data'!$C:$C,'divisional &amp; regional caseload%'!$B$22,'caseload data'!$D:$D,"PO")/SUMIF('caseload data'!$C:$C,'divisional &amp; regional caseload%'!$B$22,'caseload data'!N:N)</f>
        <v>#DIV/0!</v>
      </c>
      <c r="M24" s="209" t="e">
        <f>SUMIFS('caseload data'!O:O,'caseload data'!$C:$C,'divisional &amp; regional caseload%'!$B$22,'caseload data'!$D:$D,"PO")/SUMIF('caseload data'!$C:$C,'divisional &amp; regional caseload%'!$B$22,'caseload data'!O:O)</f>
        <v>#DIV/0!</v>
      </c>
      <c r="N24" s="209" t="e">
        <f>SUMIFS('caseload data'!P:P,'caseload data'!$C:$C,'divisional &amp; regional caseload%'!$B$22,'caseload data'!$D:$D,"PO")/SUMIF('caseload data'!$C:$C,'divisional &amp; regional caseload%'!$B$22,'caseload data'!P:P)</f>
        <v>#DIV/0!</v>
      </c>
      <c r="O24" s="209" t="e">
        <f>SUMIFS('caseload data'!Q:Q,'caseload data'!$C:$C,'divisional &amp; regional caseload%'!$B$22,'caseload data'!$D:$D,"PO")/SUMIF('caseload data'!$C:$C,'divisional &amp; regional caseload%'!$B$22,'caseload data'!Q:Q)</f>
        <v>#DIV/0!</v>
      </c>
      <c r="P24" s="209" t="e">
        <f>SUMIFS('caseload data'!R:R,'caseload data'!$C:$C,'divisional &amp; regional caseload%'!$B$22,'caseload data'!$D:$D,"PO")/SUMIF('caseload data'!$C:$C,'divisional &amp; regional caseload%'!$B$22,'caseload data'!R:R)</f>
        <v>#DIV/0!</v>
      </c>
      <c r="Q24" s="209" t="e">
        <f>SUMIFS('caseload data'!S:S,'caseload data'!$C:$C,'divisional &amp; regional caseload%'!$B$22,'caseload data'!$D:$D,"PO")/SUMIF('caseload data'!$C:$C,'divisional &amp; regional caseload%'!$B$22,'caseload data'!S:S)</f>
        <v>#DIV/0!</v>
      </c>
      <c r="R24" s="209" t="e">
        <f>SUMIFS('caseload data'!T:T,'caseload data'!$C:$C,'divisional &amp; regional caseload%'!$B$22,'caseload data'!$D:$D,"PO")/SUMIF('caseload data'!$C:$C,'divisional &amp; regional caseload%'!$B$22,'caseload data'!T:T)</f>
        <v>#DIV/0!</v>
      </c>
      <c r="S24" s="95"/>
      <c r="T24" s="129" t="s">
        <v>184</v>
      </c>
      <c r="U24" s="209" t="str">
        <f>IFERROR(SUMIFS('caseload data'!E:E,'caseload data'!$C:$C,'divisional &amp; regional caseload%'!$T$22,'caseload data'!$D:$D,"PO")/SUMIF('caseload data'!$C:$C,'divisional &amp; regional caseload%'!$T$22,'caseload data'!E:E),"")</f>
        <v/>
      </c>
      <c r="V24" s="209" t="str">
        <f>IFERROR(SUMIFS('caseload data'!F:F,'caseload data'!$C:$C,'divisional &amp; regional caseload%'!$T$22,'caseload data'!$D:$D,"PO")/SUMIF('caseload data'!$C:$C,'divisional &amp; regional caseload%'!$T$22,'caseload data'!F:F),"")</f>
        <v/>
      </c>
      <c r="W24" s="209" t="str">
        <f>IFERROR(SUMIFS('caseload data'!G:G,'caseload data'!$C:$C,'divisional &amp; regional caseload%'!$T$22,'caseload data'!$D:$D,"PO")/SUMIF('caseload data'!$C:$C,'divisional &amp; regional caseload%'!$T$22,'caseload data'!G:G),"")</f>
        <v/>
      </c>
      <c r="X24" s="209" t="str">
        <f>IFERROR(SUMIFS('caseload data'!H:H,'caseload data'!$C:$C,'divisional &amp; regional caseload%'!$T$22,'caseload data'!$D:$D,"PO")/SUMIF('caseload data'!$C:$C,'divisional &amp; regional caseload%'!$T$22,'caseload data'!H:H),"")</f>
        <v/>
      </c>
      <c r="Y24" s="209" t="str">
        <f>IFERROR(SUMIFS('caseload data'!I:I,'caseload data'!$C:$C,'divisional &amp; regional caseload%'!$T$22,'caseload data'!$D:$D,"PO")/SUMIF('caseload data'!$C:$C,'divisional &amp; regional caseload%'!$T$22,'caseload data'!I:I),"")</f>
        <v/>
      </c>
      <c r="Z24" s="209" t="str">
        <f>IFERROR(SUMIFS('caseload data'!J:J,'caseload data'!$C:$C,'divisional &amp; regional caseload%'!$T$22,'caseload data'!$D:$D,"PO")/SUMIF('caseload data'!$C:$C,'divisional &amp; regional caseload%'!$T$22,'caseload data'!J:J),"")</f>
        <v/>
      </c>
      <c r="AA24" s="209" t="str">
        <f>IFERROR(SUMIFS('caseload data'!K:K,'caseload data'!$C:$C,'divisional &amp; regional caseload%'!$T$22,'caseload data'!$D:$D,"PO")/SUMIF('caseload data'!$C:$C,'divisional &amp; regional caseload%'!$T$22,'caseload data'!K:K),"")</f>
        <v/>
      </c>
      <c r="AB24" s="209" t="str">
        <f>IFERROR(SUMIFS('caseload data'!L:L,'caseload data'!$C:$C,'divisional &amp; regional caseload%'!$T$22,'caseload data'!$D:$D,"PO")/SUMIF('caseload data'!$C:$C,'divisional &amp; regional caseload%'!$T$22,'caseload data'!L:L),"")</f>
        <v/>
      </c>
      <c r="AC24" s="209" t="str">
        <f>IFERROR(SUMIFS('caseload data'!M:M,'caseload data'!$C:$C,'divisional &amp; regional caseload%'!$T$22,'caseload data'!$D:$D,"PO")/SUMIF('caseload data'!$C:$C,'divisional &amp; regional caseload%'!$T$22,'caseload data'!M:M),"")</f>
        <v/>
      </c>
      <c r="AD24" s="209" t="str">
        <f>IFERROR(SUMIFS('caseload data'!N:N,'caseload data'!$C:$C,'divisional &amp; regional caseload%'!$T$22,'caseload data'!$D:$D,"PO")/SUMIF('caseload data'!$C:$C,'divisional &amp; regional caseload%'!$T$22,'caseload data'!N:N),"")</f>
        <v/>
      </c>
      <c r="AE24" s="209" t="str">
        <f>IFERROR(SUMIFS('caseload data'!O:O,'caseload data'!$C:$C,'divisional &amp; regional caseload%'!$T$22,'caseload data'!$D:$D,"PO")/SUMIF('caseload data'!$C:$C,'divisional &amp; regional caseload%'!$T$22,'caseload data'!O:O),"")</f>
        <v/>
      </c>
      <c r="AF24" s="209" t="str">
        <f>IFERROR(SUMIFS('caseload data'!P:P,'caseload data'!$C:$C,'divisional &amp; regional caseload%'!$T$22,'caseload data'!$D:$D,"PO")/SUMIF('caseload data'!$C:$C,'divisional &amp; regional caseload%'!$T$22,'caseload data'!P:P),"")</f>
        <v/>
      </c>
      <c r="AG24" s="209" t="str">
        <f>IFERROR(SUMIFS('caseload data'!Q:Q,'caseload data'!$C:$C,'divisional &amp; regional caseload%'!$T$22,'caseload data'!$D:$D,"PO")/SUMIF('caseload data'!$C:$C,'divisional &amp; regional caseload%'!$T$22,'caseload data'!Q:Q),"")</f>
        <v/>
      </c>
      <c r="AH24" s="209" t="str">
        <f>IFERROR(SUMIFS('caseload data'!R:R,'caseload data'!$C:$C,'divisional &amp; regional caseload%'!$T$22,'caseload data'!$D:$D,"PO")/SUMIF('caseload data'!$C:$C,'divisional &amp; regional caseload%'!$T$22,'caseload data'!R:R),"")</f>
        <v/>
      </c>
      <c r="AI24" s="209" t="str">
        <f>IFERROR(SUMIFS('caseload data'!S:S,'caseload data'!$C:$C,'divisional &amp; regional caseload%'!$T$22,'caseload data'!$D:$D,"PO")/SUMIF('caseload data'!$C:$C,'divisional &amp; regional caseload%'!$T$22,'caseload data'!S:S),"")</f>
        <v/>
      </c>
      <c r="AJ24" s="209" t="str">
        <f>IFERROR(SUMIFS('caseload data'!T:T,'caseload data'!$C:$C,'divisional &amp; regional caseload%'!$T$22,'caseload data'!$D:$D,"PO")/SUMIF('caseload data'!$C:$C,'divisional &amp; regional caseload%'!$T$22,'caseload data'!T:T),"")</f>
        <v/>
      </c>
    </row>
    <row r="25" spans="2:36" x14ac:dyDescent="0.15">
      <c r="B25" s="130" t="s">
        <v>185</v>
      </c>
      <c r="C25" s="209" t="e">
        <f>SUMIFS('caseload data'!E:E,'caseload data'!$C:$C,'divisional &amp; regional caseload%'!$B$22,'caseload data'!$D:$D,"PSO")/SUMIF('caseload data'!$C:$C,'divisional &amp; regional caseload%'!$B$22,'caseload data'!E:E)</f>
        <v>#DIV/0!</v>
      </c>
      <c r="D25" s="209" t="e">
        <f>SUMIFS('caseload data'!F:F,'caseload data'!$C:$C,'divisional &amp; regional caseload%'!$B$22,'caseload data'!$D:$D,"PSO")/SUMIF('caseload data'!$C:$C,'divisional &amp; regional caseload%'!$B$22,'caseload data'!F:F)</f>
        <v>#DIV/0!</v>
      </c>
      <c r="E25" s="209" t="e">
        <f>SUMIFS('caseload data'!G:G,'caseload data'!$C:$C,'divisional &amp; regional caseload%'!$B$22,'caseload data'!$D:$D,"PSO")/SUMIF('caseload data'!$C:$C,'divisional &amp; regional caseload%'!$B$22,'caseload data'!G:G)</f>
        <v>#DIV/0!</v>
      </c>
      <c r="F25" s="209" t="e">
        <f>SUMIFS('caseload data'!H:H,'caseload data'!$C:$C,'divisional &amp; regional caseload%'!$B$22,'caseload data'!$D:$D,"PSO")/SUMIF('caseload data'!$C:$C,'divisional &amp; regional caseload%'!$B$22,'caseload data'!H:H)</f>
        <v>#DIV/0!</v>
      </c>
      <c r="G25" s="209" t="e">
        <f>SUMIFS('caseload data'!I:I,'caseload data'!$C:$C,'divisional &amp; regional caseload%'!$B$22,'caseload data'!$D:$D,"PSO")/SUMIF('caseload data'!$C:$C,'divisional &amp; regional caseload%'!$B$22,'caseload data'!I:I)</f>
        <v>#DIV/0!</v>
      </c>
      <c r="H25" s="209" t="e">
        <f>SUMIFS('caseload data'!J:J,'caseload data'!$C:$C,'divisional &amp; regional caseload%'!$B$22,'caseload data'!$D:$D,"PSO")/SUMIF('caseload data'!$C:$C,'divisional &amp; regional caseload%'!$B$22,'caseload data'!J:J)</f>
        <v>#DIV/0!</v>
      </c>
      <c r="I25" s="209" t="e">
        <f>SUMIFS('caseload data'!K:K,'caseload data'!$C:$C,'divisional &amp; regional caseload%'!$B$22,'caseload data'!$D:$D,"PSO")/SUMIF('caseload data'!$C:$C,'divisional &amp; regional caseload%'!$B$22,'caseload data'!K:K)</f>
        <v>#DIV/0!</v>
      </c>
      <c r="J25" s="209" t="e">
        <f>SUMIFS('caseload data'!L:L,'caseload data'!$C:$C,'divisional &amp; regional caseload%'!$B$22,'caseload data'!$D:$D,"PSO")/SUMIF('caseload data'!$C:$C,'divisional &amp; regional caseload%'!$B$22,'caseload data'!L:L)</f>
        <v>#DIV/0!</v>
      </c>
      <c r="K25" s="209" t="e">
        <f>SUMIFS('caseload data'!M:M,'caseload data'!$C:$C,'divisional &amp; regional caseload%'!$B$22,'caseload data'!$D:$D,"PSO")/SUMIF('caseload data'!$C:$C,'divisional &amp; regional caseload%'!$B$22,'caseload data'!M:M)</f>
        <v>#DIV/0!</v>
      </c>
      <c r="L25" s="209" t="e">
        <f>SUMIFS('caseload data'!N:N,'caseload data'!$C:$C,'divisional &amp; regional caseload%'!$B$22,'caseload data'!$D:$D,"PSO")/SUMIF('caseload data'!$C:$C,'divisional &amp; regional caseload%'!$B$22,'caseload data'!N:N)</f>
        <v>#DIV/0!</v>
      </c>
      <c r="M25" s="209" t="e">
        <f>SUMIFS('caseload data'!O:O,'caseload data'!$C:$C,'divisional &amp; regional caseload%'!$B$22,'caseload data'!$D:$D,"PSO")/SUMIF('caseload data'!$C:$C,'divisional &amp; regional caseload%'!$B$22,'caseload data'!O:O)</f>
        <v>#DIV/0!</v>
      </c>
      <c r="N25" s="209" t="e">
        <f>SUMIFS('caseload data'!P:P,'caseload data'!$C:$C,'divisional &amp; regional caseload%'!$B$22,'caseload data'!$D:$D,"PSO")/SUMIF('caseload data'!$C:$C,'divisional &amp; regional caseload%'!$B$22,'caseload data'!P:P)</f>
        <v>#DIV/0!</v>
      </c>
      <c r="O25" s="209" t="e">
        <f>SUMIFS('caseload data'!Q:Q,'caseload data'!$C:$C,'divisional &amp; regional caseload%'!$B$22,'caseload data'!$D:$D,"PSO")/SUMIF('caseload data'!$C:$C,'divisional &amp; regional caseload%'!$B$22,'caseload data'!Q:Q)</f>
        <v>#DIV/0!</v>
      </c>
      <c r="P25" s="209" t="e">
        <f>SUMIFS('caseload data'!R:R,'caseload data'!$C:$C,'divisional &amp; regional caseload%'!$B$22,'caseload data'!$D:$D,"PSO")/SUMIF('caseload data'!$C:$C,'divisional &amp; regional caseload%'!$B$22,'caseload data'!R:R)</f>
        <v>#DIV/0!</v>
      </c>
      <c r="Q25" s="209" t="e">
        <f>SUMIFS('caseload data'!S:S,'caseload data'!$C:$C,'divisional &amp; regional caseload%'!$B$22,'caseload data'!$D:$D,"PSO")/SUMIF('caseload data'!$C:$C,'divisional &amp; regional caseload%'!$B$22,'caseload data'!S:S)</f>
        <v>#DIV/0!</v>
      </c>
      <c r="R25" s="209" t="e">
        <f>SUMIFS('caseload data'!T:T,'caseload data'!$C:$C,'divisional &amp; regional caseload%'!$B$22,'caseload data'!$D:$D,"PSO")/SUMIF('caseload data'!$C:$C,'divisional &amp; regional caseload%'!$B$22,'caseload data'!T:T)</f>
        <v>#DIV/0!</v>
      </c>
      <c r="S25" s="95"/>
      <c r="T25" s="130" t="s">
        <v>185</v>
      </c>
      <c r="U25" s="209" t="str">
        <f>IFERROR(SUMIFS('caseload data'!E:E,'caseload data'!$C:$C,'divisional &amp; regional caseload%'!$T$22,'caseload data'!$D:$D,"PSO")/SUMIF('caseload data'!$C:$C,'divisional &amp; regional caseload%'!$T$22,'caseload data'!E:E),"")</f>
        <v/>
      </c>
      <c r="V25" s="209" t="str">
        <f>IFERROR(SUMIFS('caseload data'!F:F,'caseload data'!$C:$C,'divisional &amp; regional caseload%'!$T$22,'caseload data'!$D:$D,"PSO")/SUMIF('caseload data'!$C:$C,'divisional &amp; regional caseload%'!$T$22,'caseload data'!F:F),"")</f>
        <v/>
      </c>
      <c r="W25" s="209" t="str">
        <f>IFERROR(SUMIFS('caseload data'!G:G,'caseload data'!$C:$C,'divisional &amp; regional caseload%'!$T$22,'caseload data'!$D:$D,"PSO")/SUMIF('caseload data'!$C:$C,'divisional &amp; regional caseload%'!$T$22,'caseload data'!G:G),"")</f>
        <v/>
      </c>
      <c r="X25" s="209" t="str">
        <f>IFERROR(SUMIFS('caseload data'!H:H,'caseload data'!$C:$C,'divisional &amp; regional caseload%'!$T$22,'caseload data'!$D:$D,"PSO")/SUMIF('caseload data'!$C:$C,'divisional &amp; regional caseload%'!$T$22,'caseload data'!H:H),"")</f>
        <v/>
      </c>
      <c r="Y25" s="209" t="str">
        <f>IFERROR(SUMIFS('caseload data'!I:I,'caseload data'!$C:$C,'divisional &amp; regional caseload%'!$T$22,'caseload data'!$D:$D,"PSO")/SUMIF('caseload data'!$C:$C,'divisional &amp; regional caseload%'!$T$22,'caseload data'!I:I),"")</f>
        <v/>
      </c>
      <c r="Z25" s="209" t="str">
        <f>IFERROR(SUMIFS('caseload data'!J:J,'caseload data'!$C:$C,'divisional &amp; regional caseload%'!$T$22,'caseload data'!$D:$D,"PSO")/SUMIF('caseload data'!$C:$C,'divisional &amp; regional caseload%'!$T$22,'caseload data'!J:J),"")</f>
        <v/>
      </c>
      <c r="AA25" s="209" t="str">
        <f>IFERROR(SUMIFS('caseload data'!K:K,'caseload data'!$C:$C,'divisional &amp; regional caseload%'!$T$22,'caseload data'!$D:$D,"PSO")/SUMIF('caseload data'!$C:$C,'divisional &amp; regional caseload%'!$T$22,'caseload data'!K:K),"")</f>
        <v/>
      </c>
      <c r="AB25" s="209" t="str">
        <f>IFERROR(SUMIFS('caseload data'!L:L,'caseload data'!$C:$C,'divisional &amp; regional caseload%'!$T$22,'caseload data'!$D:$D,"PSO")/SUMIF('caseload data'!$C:$C,'divisional &amp; regional caseload%'!$T$22,'caseload data'!L:L),"")</f>
        <v/>
      </c>
      <c r="AC25" s="209" t="str">
        <f>IFERROR(SUMIFS('caseload data'!M:M,'caseload data'!$C:$C,'divisional &amp; regional caseload%'!$T$22,'caseload data'!$D:$D,"PSO")/SUMIF('caseload data'!$C:$C,'divisional &amp; regional caseload%'!$T$22,'caseload data'!M:M),"")</f>
        <v/>
      </c>
      <c r="AD25" s="209" t="str">
        <f>IFERROR(SUMIFS('caseload data'!N:N,'caseload data'!$C:$C,'divisional &amp; regional caseload%'!$T$22,'caseload data'!$D:$D,"PSO")/SUMIF('caseload data'!$C:$C,'divisional &amp; regional caseload%'!$T$22,'caseload data'!N:N),"")</f>
        <v/>
      </c>
      <c r="AE25" s="209" t="str">
        <f>IFERROR(SUMIFS('caseload data'!O:O,'caseload data'!$C:$C,'divisional &amp; regional caseload%'!$T$22,'caseload data'!$D:$D,"PSO")/SUMIF('caseload data'!$C:$C,'divisional &amp; regional caseload%'!$T$22,'caseload data'!O:O),"")</f>
        <v/>
      </c>
      <c r="AF25" s="209" t="str">
        <f>IFERROR(SUMIFS('caseload data'!P:P,'caseload data'!$C:$C,'divisional &amp; regional caseload%'!$T$22,'caseload data'!$D:$D,"PSO")/SUMIF('caseload data'!$C:$C,'divisional &amp; regional caseload%'!$T$22,'caseload data'!P:P),"")</f>
        <v/>
      </c>
      <c r="AG25" s="209" t="str">
        <f>IFERROR(SUMIFS('caseload data'!Q:Q,'caseload data'!$C:$C,'divisional &amp; regional caseload%'!$T$22,'caseload data'!$D:$D,"PSO")/SUMIF('caseload data'!$C:$C,'divisional &amp; regional caseload%'!$T$22,'caseload data'!Q:Q),"")</f>
        <v/>
      </c>
      <c r="AH25" s="209" t="str">
        <f>IFERROR(SUMIFS('caseload data'!R:R,'caseload data'!$C:$C,'divisional &amp; regional caseload%'!$T$22,'caseload data'!$D:$D,"PSO")/SUMIF('caseload data'!$C:$C,'divisional &amp; regional caseload%'!$T$22,'caseload data'!R:R),"")</f>
        <v/>
      </c>
      <c r="AI25" s="209" t="str">
        <f>IFERROR(SUMIFS('caseload data'!S:S,'caseload data'!$C:$C,'divisional &amp; regional caseload%'!$T$22,'caseload data'!$D:$D,"PSO")/SUMIF('caseload data'!$C:$C,'divisional &amp; regional caseload%'!$T$22,'caseload data'!S:S),"")</f>
        <v/>
      </c>
      <c r="AJ25" s="209" t="str">
        <f>IFERROR(SUMIFS('caseload data'!T:T,'caseload data'!$C:$C,'divisional &amp; regional caseload%'!$T$22,'caseload data'!$D:$D,"PSO")/SUMIF('caseload data'!$C:$C,'divisional &amp; regional caseload%'!$T$22,'caseload data'!T:T),"")</f>
        <v/>
      </c>
    </row>
    <row r="26" spans="2:36" x14ac:dyDescent="0.15">
      <c r="B26" s="130" t="s">
        <v>186</v>
      </c>
      <c r="C26" s="209" t="e">
        <f>SUMIFS('caseload data'!E:E,'caseload data'!$C:$C,'divisional &amp; regional caseload%'!$B$22,'caseload data'!$D:$D,"TPO")/SUMIF('caseload data'!$C:$C,'divisional &amp; regional caseload%'!$B$22,'caseload data'!E:E)</f>
        <v>#DIV/0!</v>
      </c>
      <c r="D26" s="209" t="e">
        <f>SUMIFS('caseload data'!F:F,'caseload data'!$C:$C,'divisional &amp; regional caseload%'!$B$22,'caseload data'!$D:$D,"TPO")/SUMIF('caseload data'!$C:$C,'divisional &amp; regional caseload%'!$B$22,'caseload data'!F:F)</f>
        <v>#DIV/0!</v>
      </c>
      <c r="E26" s="209" t="e">
        <f>SUMIFS('caseload data'!G:G,'caseload data'!$C:$C,'divisional &amp; regional caseload%'!$B$22,'caseload data'!$D:$D,"TPO")/SUMIF('caseload data'!$C:$C,'divisional &amp; regional caseload%'!$B$22,'caseload data'!G:G)</f>
        <v>#DIV/0!</v>
      </c>
      <c r="F26" s="209" t="e">
        <f>SUMIFS('caseload data'!H:H,'caseload data'!$C:$C,'divisional &amp; regional caseload%'!$B$22,'caseload data'!$D:$D,"TPO")/SUMIF('caseload data'!$C:$C,'divisional &amp; regional caseload%'!$B$22,'caseload data'!H:H)</f>
        <v>#DIV/0!</v>
      </c>
      <c r="G26" s="209" t="e">
        <f>SUMIFS('caseload data'!I:I,'caseload data'!$C:$C,'divisional &amp; regional caseload%'!$B$22,'caseload data'!$D:$D,"TPO")/SUMIF('caseload data'!$C:$C,'divisional &amp; regional caseload%'!$B$22,'caseload data'!I:I)</f>
        <v>#DIV/0!</v>
      </c>
      <c r="H26" s="209" t="e">
        <f>SUMIFS('caseload data'!J:J,'caseload data'!$C:$C,'divisional &amp; regional caseload%'!$B$22,'caseload data'!$D:$D,"TPO")/SUMIF('caseload data'!$C:$C,'divisional &amp; regional caseload%'!$B$22,'caseload data'!J:J)</f>
        <v>#DIV/0!</v>
      </c>
      <c r="I26" s="209" t="e">
        <f>SUMIFS('caseload data'!K:K,'caseload data'!$C:$C,'divisional &amp; regional caseload%'!$B$22,'caseload data'!$D:$D,"TPO")/SUMIF('caseload data'!$C:$C,'divisional &amp; regional caseload%'!$B$22,'caseload data'!K:K)</f>
        <v>#DIV/0!</v>
      </c>
      <c r="J26" s="209" t="e">
        <f>SUMIFS('caseload data'!L:L,'caseload data'!$C:$C,'divisional &amp; regional caseload%'!$B$22,'caseload data'!$D:$D,"TPO")/SUMIF('caseload data'!$C:$C,'divisional &amp; regional caseload%'!$B$22,'caseload data'!L:L)</f>
        <v>#DIV/0!</v>
      </c>
      <c r="K26" s="209" t="e">
        <f>SUMIFS('caseload data'!M:M,'caseload data'!$C:$C,'divisional &amp; regional caseload%'!$B$22,'caseload data'!$D:$D,"TPO")/SUMIF('caseload data'!$C:$C,'divisional &amp; regional caseload%'!$B$22,'caseload data'!M:M)</f>
        <v>#DIV/0!</v>
      </c>
      <c r="L26" s="209" t="e">
        <f>SUMIFS('caseload data'!N:N,'caseload data'!$C:$C,'divisional &amp; regional caseload%'!$B$22,'caseload data'!$D:$D,"TPO")/SUMIF('caseload data'!$C:$C,'divisional &amp; regional caseload%'!$B$22,'caseload data'!N:N)</f>
        <v>#DIV/0!</v>
      </c>
      <c r="M26" s="209" t="e">
        <f>SUMIFS('caseload data'!O:O,'caseload data'!$C:$C,'divisional &amp; regional caseload%'!$B$22,'caseload data'!$D:$D,"TPO")/SUMIF('caseload data'!$C:$C,'divisional &amp; regional caseload%'!$B$22,'caseload data'!O:O)</f>
        <v>#DIV/0!</v>
      </c>
      <c r="N26" s="209" t="e">
        <f>SUMIFS('caseload data'!P:P,'caseload data'!$C:$C,'divisional &amp; regional caseload%'!$B$22,'caseload data'!$D:$D,"TPO")/SUMIF('caseload data'!$C:$C,'divisional &amp; regional caseload%'!$B$22,'caseload data'!P:P)</f>
        <v>#DIV/0!</v>
      </c>
      <c r="O26" s="209" t="e">
        <f>SUMIFS('caseload data'!Q:Q,'caseload data'!$C:$C,'divisional &amp; regional caseload%'!$B$22,'caseload data'!$D:$D,"TPO")/SUMIF('caseload data'!$C:$C,'divisional &amp; regional caseload%'!$B$22,'caseload data'!Q:Q)</f>
        <v>#DIV/0!</v>
      </c>
      <c r="P26" s="209" t="e">
        <f>SUMIFS('caseload data'!R:R,'caseload data'!$C:$C,'divisional &amp; regional caseload%'!$B$22,'caseload data'!$D:$D,"TPO")/SUMIF('caseload data'!$C:$C,'divisional &amp; regional caseload%'!$B$22,'caseload data'!R:R)</f>
        <v>#DIV/0!</v>
      </c>
      <c r="Q26" s="209" t="e">
        <f>SUMIFS('caseload data'!S:S,'caseload data'!$C:$C,'divisional &amp; regional caseload%'!$B$22,'caseload data'!$D:$D,"TPO")/SUMIF('caseload data'!$C:$C,'divisional &amp; regional caseload%'!$B$22,'caseload data'!S:S)</f>
        <v>#DIV/0!</v>
      </c>
      <c r="R26" s="209" t="e">
        <f>SUMIFS('caseload data'!T:T,'caseload data'!$C:$C,'divisional &amp; regional caseload%'!$B$22,'caseload data'!$D:$D,"TPO")/SUMIF('caseload data'!$C:$C,'divisional &amp; regional caseload%'!$B$22,'caseload data'!T:T)</f>
        <v>#DIV/0!</v>
      </c>
      <c r="S26" s="95"/>
      <c r="T26" s="130" t="s">
        <v>186</v>
      </c>
      <c r="U26" s="209" t="str">
        <f>IFERROR(SUMIFS('caseload data'!E:E,'caseload data'!$C:$C,'divisional &amp; regional caseload%'!$T$22,'caseload data'!$D:$D,"TPO")/SUMIF('caseload data'!$C:$C,'divisional &amp; regional caseload%'!$T$22,'caseload data'!E:E),"")</f>
        <v/>
      </c>
      <c r="V26" s="209" t="str">
        <f>IFERROR(SUMIFS('caseload data'!F:F,'caseload data'!$C:$C,'divisional &amp; regional caseload%'!$T$22,'caseload data'!$D:$D,"TPO")/SUMIF('caseload data'!$C:$C,'divisional &amp; regional caseload%'!$T$22,'caseload data'!F:F),"")</f>
        <v/>
      </c>
      <c r="W26" s="209" t="str">
        <f>IFERROR(SUMIFS('caseload data'!G:G,'caseload data'!$C:$C,'divisional &amp; regional caseload%'!$T$22,'caseload data'!$D:$D,"TPO")/SUMIF('caseload data'!$C:$C,'divisional &amp; regional caseload%'!$T$22,'caseload data'!G:G),"")</f>
        <v/>
      </c>
      <c r="X26" s="209" t="str">
        <f>IFERROR(SUMIFS('caseload data'!H:H,'caseload data'!$C:$C,'divisional &amp; regional caseload%'!$T$22,'caseload data'!$D:$D,"TPO")/SUMIF('caseload data'!$C:$C,'divisional &amp; regional caseload%'!$T$22,'caseload data'!H:H),"")</f>
        <v/>
      </c>
      <c r="Y26" s="209" t="str">
        <f>IFERROR(SUMIFS('caseload data'!I:I,'caseload data'!$C:$C,'divisional &amp; regional caseload%'!$T$22,'caseload data'!$D:$D,"TPO")/SUMIF('caseload data'!$C:$C,'divisional &amp; regional caseload%'!$T$22,'caseload data'!I:I),"")</f>
        <v/>
      </c>
      <c r="Z26" s="209" t="str">
        <f>IFERROR(SUMIFS('caseload data'!J:J,'caseload data'!$C:$C,'divisional &amp; regional caseload%'!$T$22,'caseload data'!$D:$D,"TPO")/SUMIF('caseload data'!$C:$C,'divisional &amp; regional caseload%'!$T$22,'caseload data'!J:J),"")</f>
        <v/>
      </c>
      <c r="AA26" s="209" t="str">
        <f>IFERROR(SUMIFS('caseload data'!K:K,'caseload data'!$C:$C,'divisional &amp; regional caseload%'!$T$22,'caseload data'!$D:$D,"TPO")/SUMIF('caseload data'!$C:$C,'divisional &amp; regional caseload%'!$T$22,'caseload data'!K:K),"")</f>
        <v/>
      </c>
      <c r="AB26" s="209" t="str">
        <f>IFERROR(SUMIFS('caseload data'!L:L,'caseload data'!$C:$C,'divisional &amp; regional caseload%'!$T$22,'caseload data'!$D:$D,"TPO")/SUMIF('caseload data'!$C:$C,'divisional &amp; regional caseload%'!$T$22,'caseload data'!L:L),"")</f>
        <v/>
      </c>
      <c r="AC26" s="209" t="str">
        <f>IFERROR(SUMIFS('caseload data'!M:M,'caseload data'!$C:$C,'divisional &amp; regional caseload%'!$T$22,'caseload data'!$D:$D,"TPO")/SUMIF('caseload data'!$C:$C,'divisional &amp; regional caseload%'!$T$22,'caseload data'!M:M),"")</f>
        <v/>
      </c>
      <c r="AD26" s="209" t="str">
        <f>IFERROR(SUMIFS('caseload data'!N:N,'caseload data'!$C:$C,'divisional &amp; regional caseload%'!$T$22,'caseload data'!$D:$D,"TPO")/SUMIF('caseload data'!$C:$C,'divisional &amp; regional caseload%'!$T$22,'caseload data'!N:N),"")</f>
        <v/>
      </c>
      <c r="AE26" s="209" t="str">
        <f>IFERROR(SUMIFS('caseload data'!O:O,'caseload data'!$C:$C,'divisional &amp; regional caseload%'!$T$22,'caseload data'!$D:$D,"TPO")/SUMIF('caseload data'!$C:$C,'divisional &amp; regional caseload%'!$T$22,'caseload data'!O:O),"")</f>
        <v/>
      </c>
      <c r="AF26" s="209" t="str">
        <f>IFERROR(SUMIFS('caseload data'!P:P,'caseload data'!$C:$C,'divisional &amp; regional caseload%'!$T$22,'caseload data'!$D:$D,"TPO")/SUMIF('caseload data'!$C:$C,'divisional &amp; regional caseload%'!$T$22,'caseload data'!P:P),"")</f>
        <v/>
      </c>
      <c r="AG26" s="209" t="str">
        <f>IFERROR(SUMIFS('caseload data'!Q:Q,'caseload data'!$C:$C,'divisional &amp; regional caseload%'!$T$22,'caseload data'!$D:$D,"TPO")/SUMIF('caseload data'!$C:$C,'divisional &amp; regional caseload%'!$T$22,'caseload data'!Q:Q),"")</f>
        <v/>
      </c>
      <c r="AH26" s="209" t="str">
        <f>IFERROR(SUMIFS('caseload data'!R:R,'caseload data'!$C:$C,'divisional &amp; regional caseload%'!$T$22,'caseload data'!$D:$D,"TPO")/SUMIF('caseload data'!$C:$C,'divisional &amp; regional caseload%'!$T$22,'caseload data'!R:R),"")</f>
        <v/>
      </c>
      <c r="AI26" s="209" t="str">
        <f>IFERROR(SUMIFS('caseload data'!S:S,'caseload data'!$C:$C,'divisional &amp; regional caseload%'!$T$22,'caseload data'!$D:$D,"TPO")/SUMIF('caseload data'!$C:$C,'divisional &amp; regional caseload%'!$T$22,'caseload data'!S:S),"")</f>
        <v/>
      </c>
      <c r="AJ26" s="209" t="str">
        <f>IFERROR(SUMIFS('caseload data'!T:T,'caseload data'!$C:$C,'divisional &amp; regional caseload%'!$T$22,'caseload data'!$D:$D,"TPO")/SUMIF('caseload data'!$C:$C,'divisional &amp; regional caseload%'!$T$22,'caseload data'!T:T),"")</f>
        <v/>
      </c>
    </row>
    <row r="27" spans="2:36" x14ac:dyDescent="0.15">
      <c r="B27" s="131" t="s">
        <v>187</v>
      </c>
      <c r="C27" s="209" t="e">
        <f>SUMIFS('caseload data'!E:E,'caseload data'!$C:$C,'divisional &amp; regional caseload%'!$B$22,'caseload data'!$D:$D,"SPO")/SUMIF('caseload data'!$C:$C,'divisional &amp; regional caseload%'!$B$22,'caseload data'!E:E)</f>
        <v>#DIV/0!</v>
      </c>
      <c r="D27" s="209" t="e">
        <f>SUMIFS('caseload data'!F:F,'caseload data'!$C:$C,'divisional &amp; regional caseload%'!$B$22,'caseload data'!$D:$D,"SPO")/SUMIF('caseload data'!$C:$C,'divisional &amp; regional caseload%'!$B$22,'caseload data'!F:F)</f>
        <v>#DIV/0!</v>
      </c>
      <c r="E27" s="209" t="e">
        <f>SUMIFS('caseload data'!G:G,'caseload data'!$C:$C,'divisional &amp; regional caseload%'!$B$22,'caseload data'!$D:$D,"SPO")/SUMIF('caseload data'!$C:$C,'divisional &amp; regional caseload%'!$B$22,'caseload data'!G:G)</f>
        <v>#DIV/0!</v>
      </c>
      <c r="F27" s="209" t="e">
        <f>SUMIFS('caseload data'!H:H,'caseload data'!$C:$C,'divisional &amp; regional caseload%'!$B$22,'caseload data'!$D:$D,"SPO")/SUMIF('caseload data'!$C:$C,'divisional &amp; regional caseload%'!$B$22,'caseload data'!H:H)</f>
        <v>#DIV/0!</v>
      </c>
      <c r="G27" s="209" t="e">
        <f>SUMIFS('caseload data'!I:I,'caseload data'!$C:$C,'divisional &amp; regional caseload%'!$B$22,'caseload data'!$D:$D,"SPO")/SUMIF('caseload data'!$C:$C,'divisional &amp; regional caseload%'!$B$22,'caseload data'!I:I)</f>
        <v>#DIV/0!</v>
      </c>
      <c r="H27" s="209" t="e">
        <f>SUMIFS('caseload data'!J:J,'caseload data'!$C:$C,'divisional &amp; regional caseload%'!$B$22,'caseload data'!$D:$D,"SPO")/SUMIF('caseload data'!$C:$C,'divisional &amp; regional caseload%'!$B$22,'caseload data'!J:J)</f>
        <v>#DIV/0!</v>
      </c>
      <c r="I27" s="209" t="e">
        <f>SUMIFS('caseload data'!K:K,'caseload data'!$C:$C,'divisional &amp; regional caseload%'!$B$22,'caseload data'!$D:$D,"SPO")/SUMIF('caseload data'!$C:$C,'divisional &amp; regional caseload%'!$B$22,'caseload data'!K:K)</f>
        <v>#DIV/0!</v>
      </c>
      <c r="J27" s="209" t="e">
        <f>SUMIFS('caseload data'!L:L,'caseload data'!$C:$C,'divisional &amp; regional caseload%'!$B$22,'caseload data'!$D:$D,"SPO")/SUMIF('caseload data'!$C:$C,'divisional &amp; regional caseload%'!$B$22,'caseload data'!L:L)</f>
        <v>#DIV/0!</v>
      </c>
      <c r="K27" s="209" t="e">
        <f>SUMIFS('caseload data'!M:M,'caseload data'!$C:$C,'divisional &amp; regional caseload%'!$B$22,'caseload data'!$D:$D,"SPO")/SUMIF('caseload data'!$C:$C,'divisional &amp; regional caseload%'!$B$22,'caseload data'!M:M)</f>
        <v>#DIV/0!</v>
      </c>
      <c r="L27" s="209" t="e">
        <f>SUMIFS('caseload data'!N:N,'caseload data'!$C:$C,'divisional &amp; regional caseload%'!$B$22,'caseload data'!$D:$D,"SPO")/SUMIF('caseload data'!$C:$C,'divisional &amp; regional caseload%'!$B$22,'caseload data'!N:N)</f>
        <v>#DIV/0!</v>
      </c>
      <c r="M27" s="209" t="e">
        <f>SUMIFS('caseload data'!O:O,'caseload data'!$C:$C,'divisional &amp; regional caseload%'!$B$22,'caseload data'!$D:$D,"SPO")/SUMIF('caseload data'!$C:$C,'divisional &amp; regional caseload%'!$B$22,'caseload data'!O:O)</f>
        <v>#DIV/0!</v>
      </c>
      <c r="N27" s="209" t="e">
        <f>SUMIFS('caseload data'!P:P,'caseload data'!$C:$C,'divisional &amp; regional caseload%'!$B$22,'caseload data'!$D:$D,"SPO")/SUMIF('caseload data'!$C:$C,'divisional &amp; regional caseload%'!$B$22,'caseload data'!P:P)</f>
        <v>#DIV/0!</v>
      </c>
      <c r="O27" s="209" t="e">
        <f>SUMIFS('caseload data'!Q:Q,'caseload data'!$C:$C,'divisional &amp; regional caseload%'!$B$22,'caseload data'!$D:$D,"SPO")/SUMIF('caseload data'!$C:$C,'divisional &amp; regional caseload%'!$B$22,'caseload data'!Q:Q)</f>
        <v>#DIV/0!</v>
      </c>
      <c r="P27" s="209" t="e">
        <f>SUMIFS('caseload data'!R:R,'caseload data'!$C:$C,'divisional &amp; regional caseload%'!$B$22,'caseload data'!$D:$D,"SPO")/SUMIF('caseload data'!$C:$C,'divisional &amp; regional caseload%'!$B$22,'caseload data'!R:R)</f>
        <v>#DIV/0!</v>
      </c>
      <c r="Q27" s="209" t="e">
        <f>SUMIFS('caseload data'!S:S,'caseload data'!$C:$C,'divisional &amp; regional caseload%'!$B$22,'caseload data'!$D:$D,"SPO")/SUMIF('caseload data'!$C:$C,'divisional &amp; regional caseload%'!$B$22,'caseload data'!S:S)</f>
        <v>#DIV/0!</v>
      </c>
      <c r="R27" s="209" t="e">
        <f>SUMIFS('caseload data'!T:T,'caseload data'!$C:$C,'divisional &amp; regional caseload%'!$B$22,'caseload data'!$D:$D,"SPO")/SUMIF('caseload data'!$C:$C,'divisional &amp; regional caseload%'!$B$22,'caseload data'!T:T)</f>
        <v>#DIV/0!</v>
      </c>
      <c r="S27" s="95"/>
      <c r="T27" s="131" t="s">
        <v>187</v>
      </c>
      <c r="U27" s="209" t="str">
        <f>IFERROR(SUMIFS('caseload data'!E:E,'caseload data'!$C:$C,'divisional &amp; regional caseload%'!$T$22,'caseload data'!$D:$D,"SPO")/SUMIF('caseload data'!$C:$C,'divisional &amp; regional caseload%'!$T$22,'caseload data'!E:E),"")</f>
        <v/>
      </c>
      <c r="V27" s="209" t="str">
        <f>IFERROR(SUMIFS('caseload data'!F:F,'caseload data'!$C:$C,'divisional &amp; regional caseload%'!$T$22,'caseload data'!$D:$D,"SPO")/SUMIF('caseload data'!$C:$C,'divisional &amp; regional caseload%'!$T$22,'caseload data'!F:F),"")</f>
        <v/>
      </c>
      <c r="W27" s="209" t="str">
        <f>IFERROR(SUMIFS('caseload data'!G:G,'caseload data'!$C:$C,'divisional &amp; regional caseload%'!$T$22,'caseload data'!$D:$D,"SPO")/SUMIF('caseload data'!$C:$C,'divisional &amp; regional caseload%'!$T$22,'caseload data'!G:G),"")</f>
        <v/>
      </c>
      <c r="X27" s="209" t="str">
        <f>IFERROR(SUMIFS('caseload data'!H:H,'caseload data'!$C:$C,'divisional &amp; regional caseload%'!$T$22,'caseload data'!$D:$D,"SPO")/SUMIF('caseload data'!$C:$C,'divisional &amp; regional caseload%'!$T$22,'caseload data'!H:H),"")</f>
        <v/>
      </c>
      <c r="Y27" s="209" t="str">
        <f>IFERROR(SUMIFS('caseload data'!I:I,'caseload data'!$C:$C,'divisional &amp; regional caseload%'!$T$22,'caseload data'!$D:$D,"SPO")/SUMIF('caseload data'!$C:$C,'divisional &amp; regional caseload%'!$T$22,'caseload data'!I:I),"")</f>
        <v/>
      </c>
      <c r="Z27" s="209" t="str">
        <f>IFERROR(SUMIFS('caseload data'!J:J,'caseload data'!$C:$C,'divisional &amp; regional caseload%'!$T$22,'caseload data'!$D:$D,"SPO")/SUMIF('caseload data'!$C:$C,'divisional &amp; regional caseload%'!$T$22,'caseload data'!J:J),"")</f>
        <v/>
      </c>
      <c r="AA27" s="209" t="str">
        <f>IFERROR(SUMIFS('caseload data'!K:K,'caseload data'!$C:$C,'divisional &amp; regional caseload%'!$T$22,'caseload data'!$D:$D,"SPO")/SUMIF('caseload data'!$C:$C,'divisional &amp; regional caseload%'!$T$22,'caseload data'!K:K),"")</f>
        <v/>
      </c>
      <c r="AB27" s="209" t="str">
        <f>IFERROR(SUMIFS('caseload data'!L:L,'caseload data'!$C:$C,'divisional &amp; regional caseload%'!$T$22,'caseload data'!$D:$D,"SPO")/SUMIF('caseload data'!$C:$C,'divisional &amp; regional caseload%'!$T$22,'caseload data'!L:L),"")</f>
        <v/>
      </c>
      <c r="AC27" s="209" t="str">
        <f>IFERROR(SUMIFS('caseload data'!M:M,'caseload data'!$C:$C,'divisional &amp; regional caseload%'!$T$22,'caseload data'!$D:$D,"SPO")/SUMIF('caseload data'!$C:$C,'divisional &amp; regional caseload%'!$T$22,'caseload data'!M:M),"")</f>
        <v/>
      </c>
      <c r="AD27" s="209" t="str">
        <f>IFERROR(SUMIFS('caseload data'!N:N,'caseload data'!$C:$C,'divisional &amp; regional caseload%'!$T$22,'caseload data'!$D:$D,"SPO")/SUMIF('caseload data'!$C:$C,'divisional &amp; regional caseload%'!$T$22,'caseload data'!N:N),"")</f>
        <v/>
      </c>
      <c r="AE27" s="209" t="str">
        <f>IFERROR(SUMIFS('caseload data'!O:O,'caseload data'!$C:$C,'divisional &amp; regional caseload%'!$T$22,'caseload data'!$D:$D,"SPO")/SUMIF('caseload data'!$C:$C,'divisional &amp; regional caseload%'!$T$22,'caseload data'!O:O),"")</f>
        <v/>
      </c>
      <c r="AF27" s="209" t="str">
        <f>IFERROR(SUMIFS('caseload data'!P:P,'caseload data'!$C:$C,'divisional &amp; regional caseload%'!$T$22,'caseload data'!$D:$D,"SPO")/SUMIF('caseload data'!$C:$C,'divisional &amp; regional caseload%'!$T$22,'caseload data'!P:P),"")</f>
        <v/>
      </c>
      <c r="AG27" s="209" t="str">
        <f>IFERROR(SUMIFS('caseload data'!Q:Q,'caseload data'!$C:$C,'divisional &amp; regional caseload%'!$T$22,'caseload data'!$D:$D,"SPO")/SUMIF('caseload data'!$C:$C,'divisional &amp; regional caseload%'!$T$22,'caseload data'!Q:Q),"")</f>
        <v/>
      </c>
      <c r="AH27" s="209" t="str">
        <f>IFERROR(SUMIFS('caseload data'!R:R,'caseload data'!$C:$C,'divisional &amp; regional caseload%'!$T$22,'caseload data'!$D:$D,"SPO")/SUMIF('caseload data'!$C:$C,'divisional &amp; regional caseload%'!$T$22,'caseload data'!R:R),"")</f>
        <v/>
      </c>
      <c r="AI27" s="209" t="str">
        <f>IFERROR(SUMIFS('caseload data'!S:S,'caseload data'!$C:$C,'divisional &amp; regional caseload%'!$T$22,'caseload data'!$D:$D,"SPO")/SUMIF('caseload data'!$C:$C,'divisional &amp; regional caseload%'!$T$22,'caseload data'!S:S),"")</f>
        <v/>
      </c>
      <c r="AJ27" s="209" t="str">
        <f>IFERROR(SUMIFS('caseload data'!T:T,'caseload data'!$C:$C,'divisional &amp; regional caseload%'!$T$22,'caseload data'!$D:$D,"SPO")/SUMIF('caseload data'!$C:$C,'divisional &amp; regional caseload%'!$T$22,'caseload data'!T:T),"")</f>
        <v/>
      </c>
    </row>
    <row r="28" spans="2:36" x14ac:dyDescent="0.15">
      <c r="B28" s="183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183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</row>
    <row r="29" spans="2:36" ht="29.25" customHeight="1" x14ac:dyDescent="0.15">
      <c r="B29" s="182" t="str">
        <f>HLOOKUP($B$5,Region_Table,8,0)</f>
        <v>Halton and Warrington</v>
      </c>
      <c r="C29" s="359" t="s">
        <v>363</v>
      </c>
      <c r="D29" s="365"/>
      <c r="E29" s="365"/>
      <c r="F29" s="365"/>
      <c r="G29" s="365"/>
      <c r="H29" s="365"/>
      <c r="I29" s="365"/>
      <c r="J29" s="365"/>
      <c r="K29" s="365"/>
      <c r="L29" s="365"/>
      <c r="M29" s="368"/>
      <c r="N29" s="368"/>
      <c r="O29" s="369"/>
      <c r="P29" s="362">
        <f>SUMIF('caseload data'!$C:$C,'divisional &amp; regional caseload%'!B29,'caseload data'!V:V)</f>
        <v>0</v>
      </c>
      <c r="Q29" s="370"/>
      <c r="R29" s="371"/>
      <c r="S29" s="95"/>
      <c r="T29" s="182" t="str">
        <f>HLOOKUP($B$5,Region_Table,9,0)</f>
        <v>Knowsley and St Helens</v>
      </c>
      <c r="U29" s="359" t="s">
        <v>363</v>
      </c>
      <c r="V29" s="365"/>
      <c r="W29" s="365"/>
      <c r="X29" s="365"/>
      <c r="Y29" s="365"/>
      <c r="Z29" s="365"/>
      <c r="AA29" s="365"/>
      <c r="AB29" s="365"/>
      <c r="AC29" s="365"/>
      <c r="AD29" s="365"/>
      <c r="AE29" s="368"/>
      <c r="AF29" s="368"/>
      <c r="AG29" s="369"/>
      <c r="AH29" s="362">
        <f>SUMIF('caseload data'!$C:$C,'divisional &amp; regional caseload%'!T29,'caseload data'!V:V)</f>
        <v>0</v>
      </c>
      <c r="AI29" s="370"/>
      <c r="AJ29" s="371"/>
    </row>
    <row r="30" spans="2:36" x14ac:dyDescent="0.15">
      <c r="B30" s="127" t="s">
        <v>324</v>
      </c>
      <c r="C30" s="58" t="s">
        <v>504</v>
      </c>
      <c r="D30" s="58" t="s">
        <v>503</v>
      </c>
      <c r="E30" s="58" t="s">
        <v>502</v>
      </c>
      <c r="F30" s="58" t="s">
        <v>501</v>
      </c>
      <c r="G30" s="58" t="s">
        <v>510</v>
      </c>
      <c r="H30" s="58" t="s">
        <v>176</v>
      </c>
      <c r="I30" s="58" t="s">
        <v>177</v>
      </c>
      <c r="J30" s="58" t="s">
        <v>505</v>
      </c>
      <c r="K30" s="58" t="s">
        <v>507</v>
      </c>
      <c r="L30" s="58" t="s">
        <v>178</v>
      </c>
      <c r="M30" s="58" t="s">
        <v>179</v>
      </c>
      <c r="N30" s="58" t="s">
        <v>506</v>
      </c>
      <c r="O30" s="58" t="s">
        <v>508</v>
      </c>
      <c r="P30" s="58" t="s">
        <v>180</v>
      </c>
      <c r="Q30" s="58" t="s">
        <v>181</v>
      </c>
      <c r="R30" s="58" t="s">
        <v>509</v>
      </c>
      <c r="S30" s="95"/>
      <c r="T30" s="127" t="s">
        <v>324</v>
      </c>
      <c r="U30" s="58" t="s">
        <v>504</v>
      </c>
      <c r="V30" s="58" t="s">
        <v>503</v>
      </c>
      <c r="W30" s="58" t="s">
        <v>502</v>
      </c>
      <c r="X30" s="58" t="s">
        <v>501</v>
      </c>
      <c r="Y30" s="58" t="s">
        <v>510</v>
      </c>
      <c r="Z30" s="58" t="s">
        <v>176</v>
      </c>
      <c r="AA30" s="58" t="s">
        <v>177</v>
      </c>
      <c r="AB30" s="58" t="s">
        <v>505</v>
      </c>
      <c r="AC30" s="58" t="s">
        <v>507</v>
      </c>
      <c r="AD30" s="58" t="s">
        <v>178</v>
      </c>
      <c r="AE30" s="58" t="s">
        <v>179</v>
      </c>
      <c r="AF30" s="58" t="s">
        <v>506</v>
      </c>
      <c r="AG30" s="58" t="s">
        <v>508</v>
      </c>
      <c r="AH30" s="58" t="s">
        <v>180</v>
      </c>
      <c r="AI30" s="58" t="s">
        <v>181</v>
      </c>
      <c r="AJ30" s="58" t="s">
        <v>509</v>
      </c>
    </row>
    <row r="31" spans="2:36" x14ac:dyDescent="0.15">
      <c r="B31" s="129" t="s">
        <v>184</v>
      </c>
      <c r="C31" s="209" t="str">
        <f>IFERROR(SUMIFS('caseload data'!E:E,'caseload data'!$C:$C,'divisional &amp; regional caseload%'!$B$29,'caseload data'!$D:$D,"PO")/SUMIF('caseload data'!$C:$C,'divisional &amp; regional caseload%'!$B$29,'caseload data'!E:E),"")</f>
        <v/>
      </c>
      <c r="D31" s="209" t="str">
        <f>IFERROR(SUMIFS('caseload data'!F:F,'caseload data'!$C:$C,'divisional &amp; regional caseload%'!$B$29,'caseload data'!$D:$D,"PO")/SUMIF('caseload data'!$C:$C,'divisional &amp; regional caseload%'!$B$29,'caseload data'!F:F),"")</f>
        <v/>
      </c>
      <c r="E31" s="209" t="str">
        <f>IFERROR(SUMIFS('caseload data'!G:G,'caseload data'!$C:$C,'divisional &amp; regional caseload%'!$B$29,'caseload data'!$D:$D,"PO")/SUMIF('caseload data'!$C:$C,'divisional &amp; regional caseload%'!$B$29,'caseload data'!G:G),"")</f>
        <v/>
      </c>
      <c r="F31" s="209" t="str">
        <f>IFERROR(SUMIFS('caseload data'!H:H,'caseload data'!$C:$C,'divisional &amp; regional caseload%'!$B$29,'caseload data'!$D:$D,"PO")/SUMIF('caseload data'!$C:$C,'divisional &amp; regional caseload%'!$B$29,'caseload data'!H:H),"")</f>
        <v/>
      </c>
      <c r="G31" s="209" t="str">
        <f>IFERROR(SUMIFS('caseload data'!I:I,'caseload data'!$C:$C,'divisional &amp; regional caseload%'!$B$29,'caseload data'!$D:$D,"PO")/SUMIF('caseload data'!$C:$C,'divisional &amp; regional caseload%'!$B$29,'caseload data'!I:I),"")</f>
        <v/>
      </c>
      <c r="H31" s="209" t="str">
        <f>IFERROR(SUMIFS('caseload data'!J:J,'caseload data'!$C:$C,'divisional &amp; regional caseload%'!$B$29,'caseload data'!$D:$D,"PO")/SUMIF('caseload data'!$C:$C,'divisional &amp; regional caseload%'!$B$29,'caseload data'!J:J),"")</f>
        <v/>
      </c>
      <c r="I31" s="209" t="str">
        <f>IFERROR(SUMIFS('caseload data'!K:K,'caseload data'!$C:$C,'divisional &amp; regional caseload%'!$B$29,'caseload data'!$D:$D,"PO")/SUMIF('caseload data'!$C:$C,'divisional &amp; regional caseload%'!$B$29,'caseload data'!K:K),"")</f>
        <v/>
      </c>
      <c r="J31" s="209" t="str">
        <f>IFERROR(SUMIFS('caseload data'!L:L,'caseload data'!$C:$C,'divisional &amp; regional caseload%'!$B$29,'caseload data'!$D:$D,"PO")/SUMIF('caseload data'!$C:$C,'divisional &amp; regional caseload%'!$B$29,'caseload data'!L:L),"")</f>
        <v/>
      </c>
      <c r="K31" s="209" t="str">
        <f>IFERROR(SUMIFS('caseload data'!M:M,'caseload data'!$C:$C,'divisional &amp; regional caseload%'!$B$29,'caseload data'!$D:$D,"PO")/SUMIF('caseload data'!$C:$C,'divisional &amp; regional caseload%'!$B$29,'caseload data'!M:M),"")</f>
        <v/>
      </c>
      <c r="L31" s="209" t="str">
        <f>IFERROR(SUMIFS('caseload data'!N:N,'caseload data'!$C:$C,'divisional &amp; regional caseload%'!$B$29,'caseload data'!$D:$D,"PO")/SUMIF('caseload data'!$C:$C,'divisional &amp; regional caseload%'!$B$29,'caseload data'!N:N),"")</f>
        <v/>
      </c>
      <c r="M31" s="209" t="str">
        <f>IFERROR(SUMIFS('caseload data'!O:O,'caseload data'!$C:$C,'divisional &amp; regional caseload%'!$B$29,'caseload data'!$D:$D,"PO")/SUMIF('caseload data'!$C:$C,'divisional &amp; regional caseload%'!$B$29,'caseload data'!O:O),"")</f>
        <v/>
      </c>
      <c r="N31" s="209" t="str">
        <f>IFERROR(SUMIFS('caseload data'!P:P,'caseload data'!$C:$C,'divisional &amp; regional caseload%'!$B$29,'caseload data'!$D:$D,"PO")/SUMIF('caseload data'!$C:$C,'divisional &amp; regional caseload%'!$B$29,'caseload data'!P:P),"")</f>
        <v/>
      </c>
      <c r="O31" s="209" t="str">
        <f>IFERROR(SUMIFS('caseload data'!Q:Q,'caseload data'!$C:$C,'divisional &amp; regional caseload%'!$B$29,'caseload data'!$D:$D,"PO")/SUMIF('caseload data'!$C:$C,'divisional &amp; regional caseload%'!$B$29,'caseload data'!Q:Q),"")</f>
        <v/>
      </c>
      <c r="P31" s="209" t="str">
        <f>IFERROR(SUMIFS('caseload data'!R:R,'caseload data'!$C:$C,'divisional &amp; regional caseload%'!$B$29,'caseload data'!$D:$D,"PO")/SUMIF('caseload data'!$C:$C,'divisional &amp; regional caseload%'!$B$29,'caseload data'!R:R),"")</f>
        <v/>
      </c>
      <c r="Q31" s="209" t="str">
        <f>IFERROR(SUMIFS('caseload data'!S:S,'caseload data'!$C:$C,'divisional &amp; regional caseload%'!$B$29,'caseload data'!$D:$D,"PO")/SUMIF('caseload data'!$C:$C,'divisional &amp; regional caseload%'!$B$29,'caseload data'!S:S),"")</f>
        <v/>
      </c>
      <c r="R31" s="209" t="str">
        <f>IFERROR(SUMIFS('caseload data'!T:T,'caseload data'!$C:$C,'divisional &amp; regional caseload%'!$B$29,'caseload data'!$D:$D,"PO")/SUMIF('caseload data'!$C:$C,'divisional &amp; regional caseload%'!$B$29,'caseload data'!T:T),"")</f>
        <v/>
      </c>
      <c r="S31" s="95"/>
      <c r="T31" s="129" t="s">
        <v>184</v>
      </c>
      <c r="U31" s="209" t="str">
        <f>IFERROR(SUMIFS('caseload data'!E:E,'caseload data'!$C:$C,'divisional &amp; regional caseload%'!$T$29,'caseload data'!$D:$D,"PO")/SUMIF('caseload data'!$C:$C,'divisional &amp; regional caseload%'!$T$29,'caseload data'!E:E),"")</f>
        <v/>
      </c>
      <c r="V31" s="209" t="str">
        <f>IFERROR(SUMIFS('caseload data'!F:F,'caseload data'!$C:$C,'divisional &amp; regional caseload%'!$T$29,'caseload data'!$D:$D,"PO")/SUMIF('caseload data'!$C:$C,'divisional &amp; regional caseload%'!$T$29,'caseload data'!F:F),"")</f>
        <v/>
      </c>
      <c r="W31" s="209" t="str">
        <f>IFERROR(SUMIFS('caseload data'!G:G,'caseload data'!$C:$C,'divisional &amp; regional caseload%'!$T$29,'caseload data'!$D:$D,"PO")/SUMIF('caseload data'!$C:$C,'divisional &amp; regional caseload%'!$T$29,'caseload data'!G:G),"")</f>
        <v/>
      </c>
      <c r="X31" s="209" t="str">
        <f>IFERROR(SUMIFS('caseload data'!H:H,'caseload data'!$C:$C,'divisional &amp; regional caseload%'!$T$29,'caseload data'!$D:$D,"PO")/SUMIF('caseload data'!$C:$C,'divisional &amp; regional caseload%'!$T$29,'caseload data'!H:H),"")</f>
        <v/>
      </c>
      <c r="Y31" s="209" t="str">
        <f>IFERROR(SUMIFS('caseload data'!I:I,'caseload data'!$C:$C,'divisional &amp; regional caseload%'!$T$29,'caseload data'!$D:$D,"PO")/SUMIF('caseload data'!$C:$C,'divisional &amp; regional caseload%'!$T$29,'caseload data'!I:I),"")</f>
        <v/>
      </c>
      <c r="Z31" s="209" t="str">
        <f>IFERROR(SUMIFS('caseload data'!J:J,'caseload data'!$C:$C,'divisional &amp; regional caseload%'!$T$29,'caseload data'!$D:$D,"PO")/SUMIF('caseload data'!$C:$C,'divisional &amp; regional caseload%'!$T$29,'caseload data'!J:J),"")</f>
        <v/>
      </c>
      <c r="AA31" s="209" t="str">
        <f>IFERROR(SUMIFS('caseload data'!K:K,'caseload data'!$C:$C,'divisional &amp; regional caseload%'!$T$29,'caseload data'!$D:$D,"PO")/SUMIF('caseload data'!$C:$C,'divisional &amp; regional caseload%'!$T$29,'caseload data'!K:K),"")</f>
        <v/>
      </c>
      <c r="AB31" s="209" t="str">
        <f>IFERROR(SUMIFS('caseload data'!L:L,'caseload data'!$C:$C,'divisional &amp; regional caseload%'!$T$29,'caseload data'!$D:$D,"PO")/SUMIF('caseload data'!$C:$C,'divisional &amp; regional caseload%'!$T$29,'caseload data'!L:L),"")</f>
        <v/>
      </c>
      <c r="AC31" s="209" t="str">
        <f>IFERROR(SUMIFS('caseload data'!M:M,'caseload data'!$C:$C,'divisional &amp; regional caseload%'!$T$29,'caseload data'!$D:$D,"PO")/SUMIF('caseload data'!$C:$C,'divisional &amp; regional caseload%'!$T$29,'caseload data'!M:M),"")</f>
        <v/>
      </c>
      <c r="AD31" s="209" t="str">
        <f>IFERROR(SUMIFS('caseload data'!N:N,'caseload data'!$C:$C,'divisional &amp; regional caseload%'!$T$29,'caseload data'!$D:$D,"PO")/SUMIF('caseload data'!$C:$C,'divisional &amp; regional caseload%'!$T$29,'caseload data'!N:N),"")</f>
        <v/>
      </c>
      <c r="AE31" s="209" t="str">
        <f>IFERROR(SUMIFS('caseload data'!O:O,'caseload data'!$C:$C,'divisional &amp; regional caseload%'!$T$29,'caseload data'!$D:$D,"PO")/SUMIF('caseload data'!$C:$C,'divisional &amp; regional caseload%'!$T$29,'caseload data'!O:O),"")</f>
        <v/>
      </c>
      <c r="AF31" s="209" t="str">
        <f>IFERROR(SUMIFS('caseload data'!P:P,'caseload data'!$C:$C,'divisional &amp; regional caseload%'!$T$29,'caseload data'!$D:$D,"PO")/SUMIF('caseload data'!$C:$C,'divisional &amp; regional caseload%'!$T$29,'caseload data'!P:P),"")</f>
        <v/>
      </c>
      <c r="AG31" s="209" t="str">
        <f>IFERROR(SUMIFS('caseload data'!Q:Q,'caseload data'!$C:$C,'divisional &amp; regional caseload%'!$T$29,'caseload data'!$D:$D,"PO")/SUMIF('caseload data'!$C:$C,'divisional &amp; regional caseload%'!$T$29,'caseload data'!Q:Q),"")</f>
        <v/>
      </c>
      <c r="AH31" s="209" t="str">
        <f>IFERROR(SUMIFS('caseload data'!R:R,'caseload data'!$C:$C,'divisional &amp; regional caseload%'!$T$29,'caseload data'!$D:$D,"PO")/SUMIF('caseload data'!$C:$C,'divisional &amp; regional caseload%'!$T$29,'caseload data'!R:R),"")</f>
        <v/>
      </c>
      <c r="AI31" s="209" t="str">
        <f>IFERROR(SUMIFS('caseload data'!S:S,'caseload data'!$C:$C,'divisional &amp; regional caseload%'!$T$29,'caseload data'!$D:$D,"PO")/SUMIF('caseload data'!$C:$C,'divisional &amp; regional caseload%'!$T$29,'caseload data'!S:S),"")</f>
        <v/>
      </c>
      <c r="AJ31" s="209" t="str">
        <f>IFERROR(SUMIFS('caseload data'!T:T,'caseload data'!$C:$C,'divisional &amp; regional caseload%'!$T$29,'caseload data'!$D:$D,"PO")/SUMIF('caseload data'!$C:$C,'divisional &amp; regional caseload%'!$T$29,'caseload data'!T:T),"")</f>
        <v/>
      </c>
    </row>
    <row r="32" spans="2:36" x14ac:dyDescent="0.15">
      <c r="B32" s="130" t="s">
        <v>185</v>
      </c>
      <c r="C32" s="209" t="str">
        <f>IFERROR(SUMIFS('caseload data'!E:E,'caseload data'!$C:$C,'divisional &amp; regional caseload%'!$B$29,'caseload data'!$D:$D,"PSO")/SUMIF('caseload data'!$C:$C,'divisional &amp; regional caseload%'!$B$29,'caseload data'!E:E),"")</f>
        <v/>
      </c>
      <c r="D32" s="209" t="str">
        <f>IFERROR(SUMIFS('caseload data'!F:F,'caseload data'!$C:$C,'divisional &amp; regional caseload%'!$B$29,'caseload data'!$D:$D,"PSO")/SUMIF('caseload data'!$C:$C,'divisional &amp; regional caseload%'!$B$29,'caseload data'!F:F),"")</f>
        <v/>
      </c>
      <c r="E32" s="209" t="str">
        <f>IFERROR(SUMIFS('caseload data'!G:G,'caseload data'!$C:$C,'divisional &amp; regional caseload%'!$B$29,'caseload data'!$D:$D,"PSO")/SUMIF('caseload data'!$C:$C,'divisional &amp; regional caseload%'!$B$29,'caseload data'!G:G),"")</f>
        <v/>
      </c>
      <c r="F32" s="209" t="str">
        <f>IFERROR(SUMIFS('caseload data'!H:H,'caseload data'!$C:$C,'divisional &amp; regional caseload%'!$B$29,'caseload data'!$D:$D,"PSO")/SUMIF('caseload data'!$C:$C,'divisional &amp; regional caseload%'!$B$29,'caseload data'!H:H),"")</f>
        <v/>
      </c>
      <c r="G32" s="209" t="str">
        <f>IFERROR(SUMIFS('caseload data'!I:I,'caseload data'!$C:$C,'divisional &amp; regional caseload%'!$B$29,'caseload data'!$D:$D,"PSO")/SUMIF('caseload data'!$C:$C,'divisional &amp; regional caseload%'!$B$29,'caseload data'!I:I),"")</f>
        <v/>
      </c>
      <c r="H32" s="209" t="str">
        <f>IFERROR(SUMIFS('caseload data'!J:J,'caseload data'!$C:$C,'divisional &amp; regional caseload%'!$B$29,'caseload data'!$D:$D,"PSO")/SUMIF('caseload data'!$C:$C,'divisional &amp; regional caseload%'!$B$29,'caseload data'!J:J),"")</f>
        <v/>
      </c>
      <c r="I32" s="209" t="str">
        <f>IFERROR(SUMIFS('caseload data'!K:K,'caseload data'!$C:$C,'divisional &amp; regional caseload%'!$B$29,'caseload data'!$D:$D,"PSO")/SUMIF('caseload data'!$C:$C,'divisional &amp; regional caseload%'!$B$29,'caseload data'!K:K),"")</f>
        <v/>
      </c>
      <c r="J32" s="209" t="str">
        <f>IFERROR(SUMIFS('caseload data'!L:L,'caseload data'!$C:$C,'divisional &amp; regional caseload%'!$B$29,'caseload data'!$D:$D,"PSO")/SUMIF('caseload data'!$C:$C,'divisional &amp; regional caseload%'!$B$29,'caseload data'!L:L),"")</f>
        <v/>
      </c>
      <c r="K32" s="209" t="str">
        <f>IFERROR(SUMIFS('caseload data'!M:M,'caseload data'!$C:$C,'divisional &amp; regional caseload%'!$B$29,'caseload data'!$D:$D,"PSO")/SUMIF('caseload data'!$C:$C,'divisional &amp; regional caseload%'!$B$29,'caseload data'!M:M),"")</f>
        <v/>
      </c>
      <c r="L32" s="209" t="str">
        <f>IFERROR(SUMIFS('caseload data'!N:N,'caseload data'!$C:$C,'divisional &amp; regional caseload%'!$B$29,'caseload data'!$D:$D,"PSO")/SUMIF('caseload data'!$C:$C,'divisional &amp; regional caseload%'!$B$29,'caseload data'!N:N),"")</f>
        <v/>
      </c>
      <c r="M32" s="209" t="str">
        <f>IFERROR(SUMIFS('caseload data'!O:O,'caseload data'!$C:$C,'divisional &amp; regional caseload%'!$B$29,'caseload data'!$D:$D,"PSO")/SUMIF('caseload data'!$C:$C,'divisional &amp; regional caseload%'!$B$29,'caseload data'!O:O),"")</f>
        <v/>
      </c>
      <c r="N32" s="209" t="str">
        <f>IFERROR(SUMIFS('caseload data'!P:P,'caseload data'!$C:$C,'divisional &amp; regional caseload%'!$B$29,'caseload data'!$D:$D,"PSO")/SUMIF('caseload data'!$C:$C,'divisional &amp; regional caseload%'!$B$29,'caseload data'!P:P),"")</f>
        <v/>
      </c>
      <c r="O32" s="209" t="str">
        <f>IFERROR(SUMIFS('caseload data'!Q:Q,'caseload data'!$C:$C,'divisional &amp; regional caseload%'!$B$29,'caseload data'!$D:$D,"PSO")/SUMIF('caseload data'!$C:$C,'divisional &amp; regional caseload%'!$B$29,'caseload data'!Q:Q),"")</f>
        <v/>
      </c>
      <c r="P32" s="209" t="str">
        <f>IFERROR(SUMIFS('caseload data'!R:R,'caseload data'!$C:$C,'divisional &amp; regional caseload%'!$B$29,'caseload data'!$D:$D,"PSO")/SUMIF('caseload data'!$C:$C,'divisional &amp; regional caseload%'!$B$29,'caseload data'!R:R),"")</f>
        <v/>
      </c>
      <c r="Q32" s="209" t="str">
        <f>IFERROR(SUMIFS('caseload data'!S:S,'caseload data'!$C:$C,'divisional &amp; regional caseload%'!$B$29,'caseload data'!$D:$D,"PSO")/SUMIF('caseload data'!$C:$C,'divisional &amp; regional caseload%'!$B$29,'caseload data'!S:S),"")</f>
        <v/>
      </c>
      <c r="R32" s="209" t="str">
        <f>IFERROR(SUMIFS('caseload data'!T:T,'caseload data'!$C:$C,'divisional &amp; regional caseload%'!$B$29,'caseload data'!$D:$D,"PSO")/SUMIF('caseload data'!$C:$C,'divisional &amp; regional caseload%'!$B$29,'caseload data'!T:T),"")</f>
        <v/>
      </c>
      <c r="S32" s="95"/>
      <c r="T32" s="130" t="s">
        <v>185</v>
      </c>
      <c r="U32" s="209" t="str">
        <f>IFERROR(SUMIFS('caseload data'!E:E,'caseload data'!$C:$C,'divisional &amp; regional caseload%'!$T$29,'caseload data'!$D:$D,"PSO")/SUMIF('caseload data'!$C:$C,'divisional &amp; regional caseload%'!$T$29,'caseload data'!E:E),"")</f>
        <v/>
      </c>
      <c r="V32" s="209" t="str">
        <f>IFERROR(SUMIFS('caseload data'!F:F,'caseload data'!$C:$C,'divisional &amp; regional caseload%'!$T$29,'caseload data'!$D:$D,"PSO")/SUMIF('caseload data'!$C:$C,'divisional &amp; regional caseload%'!$T$29,'caseload data'!F:F),"")</f>
        <v/>
      </c>
      <c r="W32" s="209" t="str">
        <f>IFERROR(SUMIFS('caseload data'!G:G,'caseload data'!$C:$C,'divisional &amp; regional caseload%'!$T$29,'caseload data'!$D:$D,"PSO")/SUMIF('caseload data'!$C:$C,'divisional &amp; regional caseload%'!$T$29,'caseload data'!G:G),"")</f>
        <v/>
      </c>
      <c r="X32" s="209" t="str">
        <f>IFERROR(SUMIFS('caseload data'!H:H,'caseload data'!$C:$C,'divisional &amp; regional caseload%'!$T$29,'caseload data'!$D:$D,"PSO")/SUMIF('caseload data'!$C:$C,'divisional &amp; regional caseload%'!$T$29,'caseload data'!H:H),"")</f>
        <v/>
      </c>
      <c r="Y32" s="209" t="str">
        <f>IFERROR(SUMIFS('caseload data'!I:I,'caseload data'!$C:$C,'divisional &amp; regional caseload%'!$T$29,'caseload data'!$D:$D,"PSO")/SUMIF('caseload data'!$C:$C,'divisional &amp; regional caseload%'!$T$29,'caseload data'!I:I),"")</f>
        <v/>
      </c>
      <c r="Z32" s="209" t="str">
        <f>IFERROR(SUMIFS('caseload data'!J:J,'caseload data'!$C:$C,'divisional &amp; regional caseload%'!$T$29,'caseload data'!$D:$D,"PSO")/SUMIF('caseload data'!$C:$C,'divisional &amp; regional caseload%'!$T$29,'caseload data'!J:J),"")</f>
        <v/>
      </c>
      <c r="AA32" s="209" t="str">
        <f>IFERROR(SUMIFS('caseload data'!K:K,'caseload data'!$C:$C,'divisional &amp; regional caseload%'!$T$29,'caseload data'!$D:$D,"PSO")/SUMIF('caseload data'!$C:$C,'divisional &amp; regional caseload%'!$T$29,'caseload data'!K:K),"")</f>
        <v/>
      </c>
      <c r="AB32" s="209" t="str">
        <f>IFERROR(SUMIFS('caseload data'!L:L,'caseload data'!$C:$C,'divisional &amp; regional caseload%'!$T$29,'caseload data'!$D:$D,"PSO")/SUMIF('caseload data'!$C:$C,'divisional &amp; regional caseload%'!$T$29,'caseload data'!L:L),"")</f>
        <v/>
      </c>
      <c r="AC32" s="209" t="str">
        <f>IFERROR(SUMIFS('caseload data'!M:M,'caseload data'!$C:$C,'divisional &amp; regional caseload%'!$T$29,'caseload data'!$D:$D,"PSO")/SUMIF('caseload data'!$C:$C,'divisional &amp; regional caseload%'!$T$29,'caseload data'!M:M),"")</f>
        <v/>
      </c>
      <c r="AD32" s="209" t="str">
        <f>IFERROR(SUMIFS('caseload data'!N:N,'caseload data'!$C:$C,'divisional &amp; regional caseload%'!$T$29,'caseload data'!$D:$D,"PSO")/SUMIF('caseload data'!$C:$C,'divisional &amp; regional caseload%'!$T$29,'caseload data'!N:N),"")</f>
        <v/>
      </c>
      <c r="AE32" s="209" t="str">
        <f>IFERROR(SUMIFS('caseload data'!O:O,'caseload data'!$C:$C,'divisional &amp; regional caseload%'!$T$29,'caseload data'!$D:$D,"PSO")/SUMIF('caseload data'!$C:$C,'divisional &amp; regional caseload%'!$T$29,'caseload data'!O:O),"")</f>
        <v/>
      </c>
      <c r="AF32" s="209" t="str">
        <f>IFERROR(SUMIFS('caseload data'!P:P,'caseload data'!$C:$C,'divisional &amp; regional caseload%'!$T$29,'caseload data'!$D:$D,"PSO")/SUMIF('caseload data'!$C:$C,'divisional &amp; regional caseload%'!$T$29,'caseload data'!P:P),"")</f>
        <v/>
      </c>
      <c r="AG32" s="209" t="str">
        <f>IFERROR(SUMIFS('caseload data'!Q:Q,'caseload data'!$C:$C,'divisional &amp; regional caseload%'!$T$29,'caseload data'!$D:$D,"PSO")/SUMIF('caseload data'!$C:$C,'divisional &amp; regional caseload%'!$T$29,'caseload data'!Q:Q),"")</f>
        <v/>
      </c>
      <c r="AH32" s="209" t="str">
        <f>IFERROR(SUMIFS('caseload data'!R:R,'caseload data'!$C:$C,'divisional &amp; regional caseload%'!$T$29,'caseload data'!$D:$D,"PSO")/SUMIF('caseload data'!$C:$C,'divisional &amp; regional caseload%'!$T$29,'caseload data'!R:R),"")</f>
        <v/>
      </c>
      <c r="AI32" s="209" t="str">
        <f>IFERROR(SUMIFS('caseload data'!S:S,'caseload data'!$C:$C,'divisional &amp; regional caseload%'!$T$29,'caseload data'!$D:$D,"PSO")/SUMIF('caseload data'!$C:$C,'divisional &amp; regional caseload%'!$T$29,'caseload data'!S:S),"")</f>
        <v/>
      </c>
      <c r="AJ32" s="209" t="str">
        <f>IFERROR(SUMIFS('caseload data'!T:T,'caseload data'!$C:$C,'divisional &amp; regional caseload%'!$T$29,'caseload data'!$D:$D,"PSO")/SUMIF('caseload data'!$C:$C,'divisional &amp; regional caseload%'!$T$29,'caseload data'!T:T),"")</f>
        <v/>
      </c>
    </row>
    <row r="33" spans="2:36" x14ac:dyDescent="0.15">
      <c r="B33" s="130" t="s">
        <v>186</v>
      </c>
      <c r="C33" s="209" t="str">
        <f>IFERROR(SUMIFS('caseload data'!E:E,'caseload data'!$C:$C,'divisional &amp; regional caseload%'!$B$29,'caseload data'!$D:$D,"TPO")/SUMIF('caseload data'!$C:$C,'divisional &amp; regional caseload%'!$B$29,'caseload data'!E:E),"")</f>
        <v/>
      </c>
      <c r="D33" s="209" t="str">
        <f>IFERROR(SUMIFS('caseload data'!F:F,'caseload data'!$C:$C,'divisional &amp; regional caseload%'!$B$29,'caseload data'!$D:$D,"TPO")/SUMIF('caseload data'!$C:$C,'divisional &amp; regional caseload%'!$B$29,'caseload data'!F:F),"")</f>
        <v/>
      </c>
      <c r="E33" s="209" t="str">
        <f>IFERROR(SUMIFS('caseload data'!G:G,'caseload data'!$C:$C,'divisional &amp; regional caseload%'!$B$29,'caseload data'!$D:$D,"TPO")/SUMIF('caseload data'!$C:$C,'divisional &amp; regional caseload%'!$B$29,'caseload data'!G:G),"")</f>
        <v/>
      </c>
      <c r="F33" s="209" t="str">
        <f>IFERROR(SUMIFS('caseload data'!H:H,'caseload data'!$C:$C,'divisional &amp; regional caseload%'!$B$29,'caseload data'!$D:$D,"TPO")/SUMIF('caseload data'!$C:$C,'divisional &amp; regional caseload%'!$B$29,'caseload data'!H:H),"")</f>
        <v/>
      </c>
      <c r="G33" s="209" t="str">
        <f>IFERROR(SUMIFS('caseload data'!I:I,'caseload data'!$C:$C,'divisional &amp; regional caseload%'!$B$29,'caseload data'!$D:$D,"TPO")/SUMIF('caseload data'!$C:$C,'divisional &amp; regional caseload%'!$B$29,'caseload data'!I:I),"")</f>
        <v/>
      </c>
      <c r="H33" s="209" t="str">
        <f>IFERROR(SUMIFS('caseload data'!J:J,'caseload data'!$C:$C,'divisional &amp; regional caseload%'!$B$29,'caseload data'!$D:$D,"TPO")/SUMIF('caseload data'!$C:$C,'divisional &amp; regional caseload%'!$B$29,'caseload data'!J:J),"")</f>
        <v/>
      </c>
      <c r="I33" s="209" t="str">
        <f>IFERROR(SUMIFS('caseload data'!K:K,'caseload data'!$C:$C,'divisional &amp; regional caseload%'!$B$29,'caseload data'!$D:$D,"TPO")/SUMIF('caseload data'!$C:$C,'divisional &amp; regional caseload%'!$B$29,'caseload data'!K:K),"")</f>
        <v/>
      </c>
      <c r="J33" s="209" t="str">
        <f>IFERROR(SUMIFS('caseload data'!L:L,'caseload data'!$C:$C,'divisional &amp; regional caseload%'!$B$29,'caseload data'!$D:$D,"TPO")/SUMIF('caseload data'!$C:$C,'divisional &amp; regional caseload%'!$B$29,'caseload data'!L:L),"")</f>
        <v/>
      </c>
      <c r="K33" s="209" t="str">
        <f>IFERROR(SUMIFS('caseload data'!M:M,'caseload data'!$C:$C,'divisional &amp; regional caseload%'!$B$29,'caseload data'!$D:$D,"TPO")/SUMIF('caseload data'!$C:$C,'divisional &amp; regional caseload%'!$B$29,'caseload data'!M:M),"")</f>
        <v/>
      </c>
      <c r="L33" s="209" t="str">
        <f>IFERROR(SUMIFS('caseload data'!N:N,'caseload data'!$C:$C,'divisional &amp; regional caseload%'!$B$29,'caseload data'!$D:$D,"TPO")/SUMIF('caseload data'!$C:$C,'divisional &amp; regional caseload%'!$B$29,'caseload data'!N:N),"")</f>
        <v/>
      </c>
      <c r="M33" s="209" t="str">
        <f>IFERROR(SUMIFS('caseload data'!O:O,'caseload data'!$C:$C,'divisional &amp; regional caseload%'!$B$29,'caseload data'!$D:$D,"TPO")/SUMIF('caseload data'!$C:$C,'divisional &amp; regional caseload%'!$B$29,'caseload data'!O:O),"")</f>
        <v/>
      </c>
      <c r="N33" s="209" t="str">
        <f>IFERROR(SUMIFS('caseload data'!P:P,'caseload data'!$C:$C,'divisional &amp; regional caseload%'!$B$29,'caseload data'!$D:$D,"TPO")/SUMIF('caseload data'!$C:$C,'divisional &amp; regional caseload%'!$B$29,'caseload data'!P:P),"")</f>
        <v/>
      </c>
      <c r="O33" s="209" t="str">
        <f>IFERROR(SUMIFS('caseload data'!Q:Q,'caseload data'!$C:$C,'divisional &amp; regional caseload%'!$B$29,'caseload data'!$D:$D,"TPO")/SUMIF('caseload data'!$C:$C,'divisional &amp; regional caseload%'!$B$29,'caseload data'!Q:Q),"")</f>
        <v/>
      </c>
      <c r="P33" s="209" t="str">
        <f>IFERROR(SUMIFS('caseload data'!R:R,'caseload data'!$C:$C,'divisional &amp; regional caseload%'!$B$29,'caseload data'!$D:$D,"TPO")/SUMIF('caseload data'!$C:$C,'divisional &amp; regional caseload%'!$B$29,'caseload data'!R:R),"")</f>
        <v/>
      </c>
      <c r="Q33" s="209" t="str">
        <f>IFERROR(SUMIFS('caseload data'!S:S,'caseload data'!$C:$C,'divisional &amp; regional caseload%'!$B$29,'caseload data'!$D:$D,"TPO")/SUMIF('caseload data'!$C:$C,'divisional &amp; regional caseload%'!$B$29,'caseload data'!S:S),"")</f>
        <v/>
      </c>
      <c r="R33" s="209" t="str">
        <f>IFERROR(SUMIFS('caseload data'!T:T,'caseload data'!$C:$C,'divisional &amp; regional caseload%'!$B$29,'caseload data'!$D:$D,"TPO")/SUMIF('caseload data'!$C:$C,'divisional &amp; regional caseload%'!$B$29,'caseload data'!T:T),"")</f>
        <v/>
      </c>
      <c r="S33" s="95"/>
      <c r="T33" s="130" t="s">
        <v>186</v>
      </c>
      <c r="U33" s="209" t="str">
        <f>IFERROR(SUMIFS('caseload data'!E:E,'caseload data'!$C:$C,'divisional &amp; regional caseload%'!$T$29,'caseload data'!$D:$D,"TPO")/SUMIF('caseload data'!$C:$C,'divisional &amp; regional caseload%'!$T$29,'caseload data'!E:E),"")</f>
        <v/>
      </c>
      <c r="V33" s="209" t="str">
        <f>IFERROR(SUMIFS('caseload data'!F:F,'caseload data'!$C:$C,'divisional &amp; regional caseload%'!$T$29,'caseload data'!$D:$D,"TPO")/SUMIF('caseload data'!$C:$C,'divisional &amp; regional caseload%'!$T$29,'caseload data'!F:F),"")</f>
        <v/>
      </c>
      <c r="W33" s="209" t="str">
        <f>IFERROR(SUMIFS('caseload data'!G:G,'caseload data'!$C:$C,'divisional &amp; regional caseload%'!$T$29,'caseload data'!$D:$D,"TPO")/SUMIF('caseload data'!$C:$C,'divisional &amp; regional caseload%'!$T$29,'caseload data'!G:G),"")</f>
        <v/>
      </c>
      <c r="X33" s="209" t="str">
        <f>IFERROR(SUMIFS('caseload data'!H:H,'caseload data'!$C:$C,'divisional &amp; regional caseload%'!$T$29,'caseload data'!$D:$D,"TPO")/SUMIF('caseload data'!$C:$C,'divisional &amp; regional caseload%'!$T$29,'caseload data'!H:H),"")</f>
        <v/>
      </c>
      <c r="Y33" s="209" t="str">
        <f>IFERROR(SUMIFS('caseload data'!I:I,'caseload data'!$C:$C,'divisional &amp; regional caseload%'!$T$29,'caseload data'!$D:$D,"TPO")/SUMIF('caseload data'!$C:$C,'divisional &amp; regional caseload%'!$T$29,'caseload data'!I:I),"")</f>
        <v/>
      </c>
      <c r="Z33" s="209" t="str">
        <f>IFERROR(SUMIFS('caseload data'!J:J,'caseload data'!$C:$C,'divisional &amp; regional caseload%'!$T$29,'caseload data'!$D:$D,"TPO")/SUMIF('caseload data'!$C:$C,'divisional &amp; regional caseload%'!$T$29,'caseload data'!J:J),"")</f>
        <v/>
      </c>
      <c r="AA33" s="209" t="str">
        <f>IFERROR(SUMIFS('caseload data'!K:K,'caseload data'!$C:$C,'divisional &amp; regional caseload%'!$T$29,'caseload data'!$D:$D,"TPO")/SUMIF('caseload data'!$C:$C,'divisional &amp; regional caseload%'!$T$29,'caseload data'!K:K),"")</f>
        <v/>
      </c>
      <c r="AB33" s="209" t="str">
        <f>IFERROR(SUMIFS('caseload data'!L:L,'caseload data'!$C:$C,'divisional &amp; regional caseload%'!$T$29,'caseload data'!$D:$D,"TPO")/SUMIF('caseload data'!$C:$C,'divisional &amp; regional caseload%'!$T$29,'caseload data'!L:L),"")</f>
        <v/>
      </c>
      <c r="AC33" s="209" t="str">
        <f>IFERROR(SUMIFS('caseload data'!M:M,'caseload data'!$C:$C,'divisional &amp; regional caseload%'!$T$29,'caseload data'!$D:$D,"TPO")/SUMIF('caseload data'!$C:$C,'divisional &amp; regional caseload%'!$T$29,'caseload data'!M:M),"")</f>
        <v/>
      </c>
      <c r="AD33" s="209" t="str">
        <f>IFERROR(SUMIFS('caseload data'!N:N,'caseload data'!$C:$C,'divisional &amp; regional caseload%'!$T$29,'caseload data'!$D:$D,"TPO")/SUMIF('caseload data'!$C:$C,'divisional &amp; regional caseload%'!$T$29,'caseload data'!N:N),"")</f>
        <v/>
      </c>
      <c r="AE33" s="209" t="str">
        <f>IFERROR(SUMIFS('caseload data'!O:O,'caseload data'!$C:$C,'divisional &amp; regional caseload%'!$T$29,'caseload data'!$D:$D,"TPO")/SUMIF('caseload data'!$C:$C,'divisional &amp; regional caseload%'!$T$29,'caseload data'!O:O),"")</f>
        <v/>
      </c>
      <c r="AF33" s="209" t="str">
        <f>IFERROR(SUMIFS('caseload data'!P:P,'caseload data'!$C:$C,'divisional &amp; regional caseload%'!$T$29,'caseload data'!$D:$D,"TPO")/SUMIF('caseload data'!$C:$C,'divisional &amp; regional caseload%'!$T$29,'caseload data'!P:P),"")</f>
        <v/>
      </c>
      <c r="AG33" s="209" t="str">
        <f>IFERROR(SUMIFS('caseload data'!Q:Q,'caseload data'!$C:$C,'divisional &amp; regional caseload%'!$T$29,'caseload data'!$D:$D,"TPO")/SUMIF('caseload data'!$C:$C,'divisional &amp; regional caseload%'!$T$29,'caseload data'!Q:Q),"")</f>
        <v/>
      </c>
      <c r="AH33" s="209" t="str">
        <f>IFERROR(SUMIFS('caseload data'!R:R,'caseload data'!$C:$C,'divisional &amp; regional caseload%'!$T$29,'caseload data'!$D:$D,"TPO")/SUMIF('caseload data'!$C:$C,'divisional &amp; regional caseload%'!$T$29,'caseload data'!R:R),"")</f>
        <v/>
      </c>
      <c r="AI33" s="209" t="str">
        <f>IFERROR(SUMIFS('caseload data'!S:S,'caseload data'!$C:$C,'divisional &amp; regional caseload%'!$T$29,'caseload data'!$D:$D,"TPO")/SUMIF('caseload data'!$C:$C,'divisional &amp; regional caseload%'!$T$29,'caseload data'!S:S),"")</f>
        <v/>
      </c>
      <c r="AJ33" s="209" t="str">
        <f>IFERROR(SUMIFS('caseload data'!T:T,'caseload data'!$C:$C,'divisional &amp; regional caseload%'!$T$29,'caseload data'!$D:$D,"TPO")/SUMIF('caseload data'!$C:$C,'divisional &amp; regional caseload%'!$T$29,'caseload data'!T:T),"")</f>
        <v/>
      </c>
    </row>
    <row r="34" spans="2:36" x14ac:dyDescent="0.15">
      <c r="B34" s="131" t="s">
        <v>187</v>
      </c>
      <c r="C34" s="209" t="str">
        <f>IFERROR(SUMIFS('caseload data'!E:E,'caseload data'!$C:$C,'divisional &amp; regional caseload%'!$B$29,'caseload data'!$D:$D,"SPO")/SUMIF('caseload data'!$C:$C,'divisional &amp; regional caseload%'!$B$29,'caseload data'!E:E),"")</f>
        <v/>
      </c>
      <c r="D34" s="209" t="str">
        <f>IFERROR(SUMIFS('caseload data'!F:F,'caseload data'!$C:$C,'divisional &amp; regional caseload%'!$B$29,'caseload data'!$D:$D,"SPO")/SUMIF('caseload data'!$C:$C,'divisional &amp; regional caseload%'!$B$29,'caseload data'!F:F),"")</f>
        <v/>
      </c>
      <c r="E34" s="209" t="str">
        <f>IFERROR(SUMIFS('caseload data'!G:G,'caseload data'!$C:$C,'divisional &amp; regional caseload%'!$B$29,'caseload data'!$D:$D,"SPO")/SUMIF('caseload data'!$C:$C,'divisional &amp; regional caseload%'!$B$29,'caseload data'!G:G),"")</f>
        <v/>
      </c>
      <c r="F34" s="209" t="str">
        <f>IFERROR(SUMIFS('caseload data'!H:H,'caseload data'!$C:$C,'divisional &amp; regional caseload%'!$B$29,'caseload data'!$D:$D,"SPO")/SUMIF('caseload data'!$C:$C,'divisional &amp; regional caseload%'!$B$29,'caseload data'!H:H),"")</f>
        <v/>
      </c>
      <c r="G34" s="209" t="str">
        <f>IFERROR(SUMIFS('caseload data'!I:I,'caseload data'!$C:$C,'divisional &amp; regional caseload%'!$B$29,'caseload data'!$D:$D,"SPO")/SUMIF('caseload data'!$C:$C,'divisional &amp; regional caseload%'!$B$29,'caseload data'!I:I),"")</f>
        <v/>
      </c>
      <c r="H34" s="209" t="str">
        <f>IFERROR(SUMIFS('caseload data'!J:J,'caseload data'!$C:$C,'divisional &amp; regional caseload%'!$B$29,'caseload data'!$D:$D,"SPO")/SUMIF('caseload data'!$C:$C,'divisional &amp; regional caseload%'!$B$29,'caseload data'!J:J),"")</f>
        <v/>
      </c>
      <c r="I34" s="209" t="str">
        <f>IFERROR(SUMIFS('caseload data'!K:K,'caseload data'!$C:$C,'divisional &amp; regional caseload%'!$B$29,'caseload data'!$D:$D,"SPO")/SUMIF('caseload data'!$C:$C,'divisional &amp; regional caseload%'!$B$29,'caseload data'!K:K),"")</f>
        <v/>
      </c>
      <c r="J34" s="209" t="str">
        <f>IFERROR(SUMIFS('caseload data'!L:L,'caseload data'!$C:$C,'divisional &amp; regional caseload%'!$B$29,'caseload data'!$D:$D,"SPO")/SUMIF('caseload data'!$C:$C,'divisional &amp; regional caseload%'!$B$29,'caseload data'!L:L),"")</f>
        <v/>
      </c>
      <c r="K34" s="209" t="str">
        <f>IFERROR(SUMIFS('caseload data'!M:M,'caseload data'!$C:$C,'divisional &amp; regional caseload%'!$B$29,'caseload data'!$D:$D,"SPO")/SUMIF('caseload data'!$C:$C,'divisional &amp; regional caseload%'!$B$29,'caseload data'!M:M),"")</f>
        <v/>
      </c>
      <c r="L34" s="209" t="str">
        <f>IFERROR(SUMIFS('caseload data'!N:N,'caseload data'!$C:$C,'divisional &amp; regional caseload%'!$B$29,'caseload data'!$D:$D,"SPO")/SUMIF('caseload data'!$C:$C,'divisional &amp; regional caseload%'!$B$29,'caseload data'!N:N),"")</f>
        <v/>
      </c>
      <c r="M34" s="209" t="str">
        <f>IFERROR(SUMIFS('caseload data'!O:O,'caseload data'!$C:$C,'divisional &amp; regional caseload%'!$B$29,'caseload data'!$D:$D,"SPO")/SUMIF('caseload data'!$C:$C,'divisional &amp; regional caseload%'!$B$29,'caseload data'!O:O),"")</f>
        <v/>
      </c>
      <c r="N34" s="209" t="str">
        <f>IFERROR(SUMIFS('caseload data'!P:P,'caseload data'!$C:$C,'divisional &amp; regional caseload%'!$B$29,'caseload data'!$D:$D,"SPO")/SUMIF('caseload data'!$C:$C,'divisional &amp; regional caseload%'!$B$29,'caseload data'!P:P),"")</f>
        <v/>
      </c>
      <c r="O34" s="209" t="str">
        <f>IFERROR(SUMIFS('caseload data'!Q:Q,'caseload data'!$C:$C,'divisional &amp; regional caseload%'!$B$29,'caseload data'!$D:$D,"SPO")/SUMIF('caseload data'!$C:$C,'divisional &amp; regional caseload%'!$B$29,'caseload data'!Q:Q),"")</f>
        <v/>
      </c>
      <c r="P34" s="209" t="str">
        <f>IFERROR(SUMIFS('caseload data'!R:R,'caseload data'!$C:$C,'divisional &amp; regional caseload%'!$B$29,'caseload data'!$D:$D,"SPO")/SUMIF('caseload data'!$C:$C,'divisional &amp; regional caseload%'!$B$29,'caseload data'!R:R),"")</f>
        <v/>
      </c>
      <c r="Q34" s="209" t="str">
        <f>IFERROR(SUMIFS('caseload data'!S:S,'caseload data'!$C:$C,'divisional &amp; regional caseload%'!$B$29,'caseload data'!$D:$D,"SPO")/SUMIF('caseload data'!$C:$C,'divisional &amp; regional caseload%'!$B$29,'caseload data'!S:S),"")</f>
        <v/>
      </c>
      <c r="R34" s="209" t="str">
        <f>IFERROR(SUMIFS('caseload data'!T:T,'caseload data'!$C:$C,'divisional &amp; regional caseload%'!$B$29,'caseload data'!$D:$D,"SPO")/SUMIF('caseload data'!$C:$C,'divisional &amp; regional caseload%'!$B$29,'caseload data'!T:T),"")</f>
        <v/>
      </c>
      <c r="S34" s="95"/>
      <c r="T34" s="131" t="s">
        <v>187</v>
      </c>
      <c r="U34" s="209" t="str">
        <f>IFERROR(SUMIFS('caseload data'!E:E,'caseload data'!$C:$C,'divisional &amp; regional caseload%'!$T$29,'caseload data'!$D:$D,"SPO")/SUMIF('caseload data'!$C:$C,'divisional &amp; regional caseload%'!$T$29,'caseload data'!E:E),"")</f>
        <v/>
      </c>
      <c r="V34" s="209" t="str">
        <f>IFERROR(SUMIFS('caseload data'!F:F,'caseload data'!$C:$C,'divisional &amp; regional caseload%'!$T$29,'caseload data'!$D:$D,"SPO")/SUMIF('caseload data'!$C:$C,'divisional &amp; regional caseload%'!$T$29,'caseload data'!F:F),"")</f>
        <v/>
      </c>
      <c r="W34" s="209" t="str">
        <f>IFERROR(SUMIFS('caseload data'!G:G,'caseload data'!$C:$C,'divisional &amp; regional caseload%'!$T$29,'caseload data'!$D:$D,"SPO")/SUMIF('caseload data'!$C:$C,'divisional &amp; regional caseload%'!$T$29,'caseload data'!G:G),"")</f>
        <v/>
      </c>
      <c r="X34" s="209" t="str">
        <f>IFERROR(SUMIFS('caseload data'!H:H,'caseload data'!$C:$C,'divisional &amp; regional caseload%'!$T$29,'caseload data'!$D:$D,"SPO")/SUMIF('caseload data'!$C:$C,'divisional &amp; regional caseload%'!$T$29,'caseload data'!H:H),"")</f>
        <v/>
      </c>
      <c r="Y34" s="209" t="str">
        <f>IFERROR(SUMIFS('caseload data'!I:I,'caseload data'!$C:$C,'divisional &amp; regional caseload%'!$T$29,'caseload data'!$D:$D,"SPO")/SUMIF('caseload data'!$C:$C,'divisional &amp; regional caseload%'!$T$29,'caseload data'!I:I),"")</f>
        <v/>
      </c>
      <c r="Z34" s="209" t="str">
        <f>IFERROR(SUMIFS('caseload data'!J:J,'caseload data'!$C:$C,'divisional &amp; regional caseload%'!$T$29,'caseload data'!$D:$D,"SPO")/SUMIF('caseload data'!$C:$C,'divisional &amp; regional caseload%'!$T$29,'caseload data'!J:J),"")</f>
        <v/>
      </c>
      <c r="AA34" s="209" t="str">
        <f>IFERROR(SUMIFS('caseload data'!K:K,'caseload data'!$C:$C,'divisional &amp; regional caseload%'!$T$29,'caseload data'!$D:$D,"SPO")/SUMIF('caseload data'!$C:$C,'divisional &amp; regional caseload%'!$T$29,'caseload data'!K:K),"")</f>
        <v/>
      </c>
      <c r="AB34" s="209" t="str">
        <f>IFERROR(SUMIFS('caseload data'!L:L,'caseload data'!$C:$C,'divisional &amp; regional caseload%'!$T$29,'caseload data'!$D:$D,"SPO")/SUMIF('caseload data'!$C:$C,'divisional &amp; regional caseload%'!$T$29,'caseload data'!L:L),"")</f>
        <v/>
      </c>
      <c r="AC34" s="209" t="str">
        <f>IFERROR(SUMIFS('caseload data'!M:M,'caseload data'!$C:$C,'divisional &amp; regional caseload%'!$T$29,'caseload data'!$D:$D,"SPO")/SUMIF('caseload data'!$C:$C,'divisional &amp; regional caseload%'!$T$29,'caseload data'!M:M),"")</f>
        <v/>
      </c>
      <c r="AD34" s="209" t="str">
        <f>IFERROR(SUMIFS('caseload data'!N:N,'caseload data'!$C:$C,'divisional &amp; regional caseload%'!$T$29,'caseload data'!$D:$D,"SPO")/SUMIF('caseload data'!$C:$C,'divisional &amp; regional caseload%'!$T$29,'caseload data'!N:N),"")</f>
        <v/>
      </c>
      <c r="AE34" s="209" t="str">
        <f>IFERROR(SUMIFS('caseload data'!O:O,'caseload data'!$C:$C,'divisional &amp; regional caseload%'!$T$29,'caseload data'!$D:$D,"SPO")/SUMIF('caseload data'!$C:$C,'divisional &amp; regional caseload%'!$T$29,'caseload data'!O:O),"")</f>
        <v/>
      </c>
      <c r="AF34" s="209" t="str">
        <f>IFERROR(SUMIFS('caseload data'!P:P,'caseload data'!$C:$C,'divisional &amp; regional caseload%'!$T$29,'caseload data'!$D:$D,"SPO")/SUMIF('caseload data'!$C:$C,'divisional &amp; regional caseload%'!$T$29,'caseload data'!P:P),"")</f>
        <v/>
      </c>
      <c r="AG34" s="209" t="str">
        <f>IFERROR(SUMIFS('caseload data'!Q:Q,'caseload data'!$C:$C,'divisional &amp; regional caseload%'!$T$29,'caseload data'!$D:$D,"SPO")/SUMIF('caseload data'!$C:$C,'divisional &amp; regional caseload%'!$T$29,'caseload data'!Q:Q),"")</f>
        <v/>
      </c>
      <c r="AH34" s="209" t="str">
        <f>IFERROR(SUMIFS('caseload data'!R:R,'caseload data'!$C:$C,'divisional &amp; regional caseload%'!$T$29,'caseload data'!$D:$D,"SPO")/SUMIF('caseload data'!$C:$C,'divisional &amp; regional caseload%'!$T$29,'caseload data'!R:R),"")</f>
        <v/>
      </c>
      <c r="AI34" s="209" t="str">
        <f>IFERROR(SUMIFS('caseload data'!S:S,'caseload data'!$C:$C,'divisional &amp; regional caseload%'!$T$29,'caseload data'!$D:$D,"SPO")/SUMIF('caseload data'!$C:$C,'divisional &amp; regional caseload%'!$T$29,'caseload data'!S:S),"")</f>
        <v/>
      </c>
      <c r="AJ34" s="209" t="str">
        <f>IFERROR(SUMIFS('caseload data'!T:T,'caseload data'!$C:$C,'divisional &amp; regional caseload%'!$T$29,'caseload data'!$D:$D,"SPO")/SUMIF('caseload data'!$C:$C,'divisional &amp; regional caseload%'!$T$29,'caseload data'!T:T),"")</f>
        <v/>
      </c>
    </row>
    <row r="35" spans="2:36" x14ac:dyDescent="0.15">
      <c r="B35" s="183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183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</row>
    <row r="36" spans="2:36" ht="27.75" customHeight="1" x14ac:dyDescent="0.15">
      <c r="B36" s="182" t="str">
        <f>HLOOKUP($B$5,Region_Table,10,0)</f>
        <v>Liverpool North - N51</v>
      </c>
      <c r="C36" s="359" t="s">
        <v>364</v>
      </c>
      <c r="D36" s="365"/>
      <c r="E36" s="365"/>
      <c r="F36" s="365"/>
      <c r="G36" s="365"/>
      <c r="H36" s="365"/>
      <c r="I36" s="365"/>
      <c r="J36" s="365"/>
      <c r="K36" s="365"/>
      <c r="L36" s="365"/>
      <c r="M36" s="368"/>
      <c r="N36" s="368"/>
      <c r="O36" s="369"/>
      <c r="P36" s="362">
        <f>SUMIF('caseload data'!$C:$C,'divisional &amp; regional caseload%'!B36,'caseload data'!V:V)</f>
        <v>0</v>
      </c>
      <c r="Q36" s="370"/>
      <c r="R36" s="371"/>
      <c r="S36" s="95"/>
      <c r="T36" s="182" t="str">
        <f>HLOOKUP($B$5,Region_Table,11,0)</f>
        <v>Liverpool South - N51</v>
      </c>
      <c r="U36" s="359" t="s">
        <v>363</v>
      </c>
      <c r="V36" s="365"/>
      <c r="W36" s="365"/>
      <c r="X36" s="365"/>
      <c r="Y36" s="365"/>
      <c r="Z36" s="365"/>
      <c r="AA36" s="365"/>
      <c r="AB36" s="365"/>
      <c r="AC36" s="365"/>
      <c r="AD36" s="365"/>
      <c r="AE36" s="368"/>
      <c r="AF36" s="368"/>
      <c r="AG36" s="369"/>
      <c r="AH36" s="362">
        <f>SUMIF('caseload data'!$C:$C,'divisional &amp; regional caseload%'!T36,'caseload data'!V:V)</f>
        <v>0</v>
      </c>
      <c r="AI36" s="370"/>
      <c r="AJ36" s="371"/>
    </row>
    <row r="37" spans="2:36" x14ac:dyDescent="0.15">
      <c r="B37" s="127" t="s">
        <v>324</v>
      </c>
      <c r="C37" s="58" t="s">
        <v>504</v>
      </c>
      <c r="D37" s="58" t="s">
        <v>503</v>
      </c>
      <c r="E37" s="58" t="s">
        <v>502</v>
      </c>
      <c r="F37" s="58" t="s">
        <v>501</v>
      </c>
      <c r="G37" s="58" t="s">
        <v>510</v>
      </c>
      <c r="H37" s="58" t="s">
        <v>176</v>
      </c>
      <c r="I37" s="58" t="s">
        <v>177</v>
      </c>
      <c r="J37" s="58" t="s">
        <v>505</v>
      </c>
      <c r="K37" s="58" t="s">
        <v>507</v>
      </c>
      <c r="L37" s="58" t="s">
        <v>178</v>
      </c>
      <c r="M37" s="58" t="s">
        <v>179</v>
      </c>
      <c r="N37" s="58" t="s">
        <v>506</v>
      </c>
      <c r="O37" s="58" t="s">
        <v>508</v>
      </c>
      <c r="P37" s="58" t="s">
        <v>180</v>
      </c>
      <c r="Q37" s="58" t="s">
        <v>181</v>
      </c>
      <c r="R37" s="58" t="s">
        <v>509</v>
      </c>
      <c r="S37" s="95"/>
      <c r="T37" s="127" t="s">
        <v>324</v>
      </c>
      <c r="U37" s="58" t="s">
        <v>504</v>
      </c>
      <c r="V37" s="58" t="s">
        <v>503</v>
      </c>
      <c r="W37" s="58" t="s">
        <v>502</v>
      </c>
      <c r="X37" s="58" t="s">
        <v>501</v>
      </c>
      <c r="Y37" s="58" t="s">
        <v>510</v>
      </c>
      <c r="Z37" s="58" t="s">
        <v>176</v>
      </c>
      <c r="AA37" s="58" t="s">
        <v>177</v>
      </c>
      <c r="AB37" s="58" t="s">
        <v>505</v>
      </c>
      <c r="AC37" s="58" t="s">
        <v>507</v>
      </c>
      <c r="AD37" s="58" t="s">
        <v>178</v>
      </c>
      <c r="AE37" s="58" t="s">
        <v>179</v>
      </c>
      <c r="AF37" s="58" t="s">
        <v>506</v>
      </c>
      <c r="AG37" s="58" t="s">
        <v>508</v>
      </c>
      <c r="AH37" s="58" t="s">
        <v>180</v>
      </c>
      <c r="AI37" s="58" t="s">
        <v>181</v>
      </c>
      <c r="AJ37" s="58" t="s">
        <v>509</v>
      </c>
    </row>
    <row r="38" spans="2:36" x14ac:dyDescent="0.15">
      <c r="B38" s="129" t="s">
        <v>184</v>
      </c>
      <c r="C38" s="209" t="str">
        <f>IFERROR(SUMIFS('caseload data'!E:E,'caseload data'!$C:$C,'divisional &amp; regional caseload%'!$B$36,'caseload data'!$D:$D,"PO")/SUMIF('caseload data'!$C:$C,'divisional &amp; regional caseload%'!$B$36,'caseload data'!E:E),"")</f>
        <v/>
      </c>
      <c r="D38" s="209" t="str">
        <f>IFERROR(SUMIFS('caseload data'!F:F,'caseload data'!$C:$C,'divisional &amp; regional caseload%'!$B$36,'caseload data'!$D:$D,"PO")/SUMIF('caseload data'!$C:$C,'divisional &amp; regional caseload%'!$B$36,'caseload data'!F:F),"")</f>
        <v/>
      </c>
      <c r="E38" s="209" t="str">
        <f>IFERROR(SUMIFS('caseload data'!G:G,'caseload data'!$C:$C,'divisional &amp; regional caseload%'!$B$36,'caseload data'!$D:$D,"PO")/SUMIF('caseload data'!$C:$C,'divisional &amp; regional caseload%'!$B$36,'caseload data'!G:G),"")</f>
        <v/>
      </c>
      <c r="F38" s="209" t="str">
        <f>IFERROR(SUMIFS('caseload data'!H:H,'caseload data'!$C:$C,'divisional &amp; regional caseload%'!$B$36,'caseload data'!$D:$D,"PO")/SUMIF('caseload data'!$C:$C,'divisional &amp; regional caseload%'!$B$36,'caseload data'!H:H),"")</f>
        <v/>
      </c>
      <c r="G38" s="209" t="str">
        <f>IFERROR(SUMIFS('caseload data'!I:I,'caseload data'!$C:$C,'divisional &amp; regional caseload%'!$B$36,'caseload data'!$D:$D,"PO")/SUMIF('caseload data'!$C:$C,'divisional &amp; regional caseload%'!$B$36,'caseload data'!I:I),"")</f>
        <v/>
      </c>
      <c r="H38" s="209" t="str">
        <f>IFERROR(SUMIFS('caseload data'!J:J,'caseload data'!$C:$C,'divisional &amp; regional caseload%'!$B$36,'caseload data'!$D:$D,"PO")/SUMIF('caseload data'!$C:$C,'divisional &amp; regional caseload%'!$B$36,'caseload data'!J:J),"")</f>
        <v/>
      </c>
      <c r="I38" s="209" t="str">
        <f>IFERROR(SUMIFS('caseload data'!K:K,'caseload data'!$C:$C,'divisional &amp; regional caseload%'!$B$36,'caseload data'!$D:$D,"PO")/SUMIF('caseload data'!$C:$C,'divisional &amp; regional caseload%'!$B$36,'caseload data'!K:K),"")</f>
        <v/>
      </c>
      <c r="J38" s="209" t="str">
        <f>IFERROR(SUMIFS('caseload data'!L:L,'caseload data'!$C:$C,'divisional &amp; regional caseload%'!$B$36,'caseload data'!$D:$D,"PO")/SUMIF('caseload data'!$C:$C,'divisional &amp; regional caseload%'!$B$36,'caseload data'!L:L),"")</f>
        <v/>
      </c>
      <c r="K38" s="209" t="str">
        <f>IFERROR(SUMIFS('caseload data'!M:M,'caseload data'!$C:$C,'divisional &amp; regional caseload%'!$B$36,'caseload data'!$D:$D,"PO")/SUMIF('caseload data'!$C:$C,'divisional &amp; regional caseload%'!$B$36,'caseload data'!M:M),"")</f>
        <v/>
      </c>
      <c r="L38" s="209" t="str">
        <f>IFERROR(SUMIFS('caseload data'!N:N,'caseload data'!$C:$C,'divisional &amp; regional caseload%'!$B$36,'caseload data'!$D:$D,"PO")/SUMIF('caseload data'!$C:$C,'divisional &amp; regional caseload%'!$B$36,'caseload data'!N:N),"")</f>
        <v/>
      </c>
      <c r="M38" s="209" t="str">
        <f>IFERROR(SUMIFS('caseload data'!O:O,'caseload data'!$C:$C,'divisional &amp; regional caseload%'!$B$36,'caseload data'!$D:$D,"PO")/SUMIF('caseload data'!$C:$C,'divisional &amp; regional caseload%'!$B$36,'caseload data'!O:O),"")</f>
        <v/>
      </c>
      <c r="N38" s="209" t="str">
        <f>IFERROR(SUMIFS('caseload data'!P:P,'caseload data'!$C:$C,'divisional &amp; regional caseload%'!$B$36,'caseload data'!$D:$D,"PO")/SUMIF('caseload data'!$C:$C,'divisional &amp; regional caseload%'!$B$36,'caseload data'!P:P),"")</f>
        <v/>
      </c>
      <c r="O38" s="209" t="str">
        <f>IFERROR(SUMIFS('caseload data'!Q:Q,'caseload data'!$C:$C,'divisional &amp; regional caseload%'!$B$36,'caseload data'!$D:$D,"PO")/SUMIF('caseload data'!$C:$C,'divisional &amp; regional caseload%'!$B$36,'caseload data'!Q:Q),"")</f>
        <v/>
      </c>
      <c r="P38" s="209" t="str">
        <f>IFERROR(SUMIFS('caseload data'!R:R,'caseload data'!$C:$C,'divisional &amp; regional caseload%'!$B$36,'caseload data'!$D:$D,"PO")/SUMIF('caseload data'!$C:$C,'divisional &amp; regional caseload%'!$B$36,'caseload data'!R:R),"")</f>
        <v/>
      </c>
      <c r="Q38" s="209" t="str">
        <f>IFERROR(SUMIFS('caseload data'!S:S,'caseload data'!$C:$C,'divisional &amp; regional caseload%'!$B$36,'caseload data'!$D:$D,"PO")/SUMIF('caseload data'!$C:$C,'divisional &amp; regional caseload%'!$B$36,'caseload data'!S:S),"")</f>
        <v/>
      </c>
      <c r="R38" s="209" t="str">
        <f>IFERROR(SUMIFS('caseload data'!T:T,'caseload data'!$C:$C,'divisional &amp; regional caseload%'!$B$36,'caseload data'!$D:$D,"PO")/SUMIF('caseload data'!$C:$C,'divisional &amp; regional caseload%'!$B$36,'caseload data'!T:T),"")</f>
        <v/>
      </c>
      <c r="S38" s="95"/>
      <c r="T38" s="129" t="s">
        <v>184</v>
      </c>
      <c r="U38" s="209" t="str">
        <f>IFERROR(SUMIFS('caseload data'!E:E,'caseload data'!$C:$C,'divisional &amp; regional caseload%'!$T$36,'caseload data'!$D:$D,"PO")/SUMIF('caseload data'!$C:$C,'divisional &amp; regional caseload%'!$T$36,'caseload data'!E:E),"")</f>
        <v/>
      </c>
      <c r="V38" s="209" t="str">
        <f>IFERROR(SUMIFS('caseload data'!F:F,'caseload data'!$C:$C,'divisional &amp; regional caseload%'!$T$36,'caseload data'!$D:$D,"PO")/SUMIF('caseload data'!$C:$C,'divisional &amp; regional caseload%'!$T$36,'caseload data'!F:F),"")</f>
        <v/>
      </c>
      <c r="W38" s="209" t="str">
        <f>IFERROR(SUMIFS('caseload data'!G:G,'caseload data'!$C:$C,'divisional &amp; regional caseload%'!$T$36,'caseload data'!$D:$D,"PO")/SUMIF('caseload data'!$C:$C,'divisional &amp; regional caseload%'!$T$36,'caseload data'!G:G),"")</f>
        <v/>
      </c>
      <c r="X38" s="209" t="str">
        <f>IFERROR(SUMIFS('caseload data'!H:H,'caseload data'!$C:$C,'divisional &amp; regional caseload%'!$T$36,'caseload data'!$D:$D,"PO")/SUMIF('caseload data'!$C:$C,'divisional &amp; regional caseload%'!$T$36,'caseload data'!H:H),"")</f>
        <v/>
      </c>
      <c r="Y38" s="209" t="str">
        <f>IFERROR(SUMIFS('caseload data'!I:I,'caseload data'!$C:$C,'divisional &amp; regional caseload%'!$T$36,'caseload data'!$D:$D,"PO")/SUMIF('caseload data'!$C:$C,'divisional &amp; regional caseload%'!$T$36,'caseload data'!I:I),"")</f>
        <v/>
      </c>
      <c r="Z38" s="209" t="str">
        <f>IFERROR(SUMIFS('caseload data'!J:J,'caseload data'!$C:$C,'divisional &amp; regional caseload%'!$T$36,'caseload data'!$D:$D,"PO")/SUMIF('caseload data'!$C:$C,'divisional &amp; regional caseload%'!$T$36,'caseload data'!J:J),"")</f>
        <v/>
      </c>
      <c r="AA38" s="209" t="str">
        <f>IFERROR(SUMIFS('caseload data'!K:K,'caseload data'!$C:$C,'divisional &amp; regional caseload%'!$T$36,'caseload data'!$D:$D,"PO")/SUMIF('caseload data'!$C:$C,'divisional &amp; regional caseload%'!$T$36,'caseload data'!K:K),"")</f>
        <v/>
      </c>
      <c r="AB38" s="209" t="str">
        <f>IFERROR(SUMIFS('caseload data'!L:L,'caseload data'!$C:$C,'divisional &amp; regional caseload%'!$T$36,'caseload data'!$D:$D,"PO")/SUMIF('caseload data'!$C:$C,'divisional &amp; regional caseload%'!$T$36,'caseload data'!L:L),"")</f>
        <v/>
      </c>
      <c r="AC38" s="209" t="str">
        <f>IFERROR(SUMIFS('caseload data'!M:M,'caseload data'!$C:$C,'divisional &amp; regional caseload%'!$T$36,'caseload data'!$D:$D,"PO")/SUMIF('caseload data'!$C:$C,'divisional &amp; regional caseload%'!$T$36,'caseload data'!M:M),"")</f>
        <v/>
      </c>
      <c r="AD38" s="209" t="str">
        <f>IFERROR(SUMIFS('caseload data'!N:N,'caseload data'!$C:$C,'divisional &amp; regional caseload%'!$T$36,'caseload data'!$D:$D,"PO")/SUMIF('caseload data'!$C:$C,'divisional &amp; regional caseload%'!$T$36,'caseload data'!N:N),"")</f>
        <v/>
      </c>
      <c r="AE38" s="209" t="str">
        <f>IFERROR(SUMIFS('caseload data'!O:O,'caseload data'!$C:$C,'divisional &amp; regional caseload%'!$T$36,'caseload data'!$D:$D,"PO")/SUMIF('caseload data'!$C:$C,'divisional &amp; regional caseload%'!$T$36,'caseload data'!O:O),"")</f>
        <v/>
      </c>
      <c r="AF38" s="209" t="str">
        <f>IFERROR(SUMIFS('caseload data'!P:P,'caseload data'!$C:$C,'divisional &amp; regional caseload%'!$T$36,'caseload data'!$D:$D,"PO")/SUMIF('caseload data'!$C:$C,'divisional &amp; regional caseload%'!$T$36,'caseload data'!P:P),"")</f>
        <v/>
      </c>
      <c r="AG38" s="209" t="str">
        <f>IFERROR(SUMIFS('caseload data'!Q:Q,'caseload data'!$C:$C,'divisional &amp; regional caseload%'!$T$36,'caseload data'!$D:$D,"PO")/SUMIF('caseload data'!$C:$C,'divisional &amp; regional caseload%'!$T$36,'caseload data'!Q:Q),"")</f>
        <v/>
      </c>
      <c r="AH38" s="209" t="str">
        <f>IFERROR(SUMIFS('caseload data'!R:R,'caseload data'!$C:$C,'divisional &amp; regional caseload%'!$T$36,'caseload data'!$D:$D,"PO")/SUMIF('caseload data'!$C:$C,'divisional &amp; regional caseload%'!$T$36,'caseload data'!R:R),"")</f>
        <v/>
      </c>
      <c r="AI38" s="209" t="str">
        <f>IFERROR(SUMIFS('caseload data'!S:S,'caseload data'!$C:$C,'divisional &amp; regional caseload%'!$T$36,'caseload data'!$D:$D,"PO")/SUMIF('caseload data'!$C:$C,'divisional &amp; regional caseload%'!$T$36,'caseload data'!S:S),"")</f>
        <v/>
      </c>
      <c r="AJ38" s="209" t="str">
        <f>IFERROR(SUMIFS('caseload data'!T:T,'caseload data'!$C:$C,'divisional &amp; regional caseload%'!$T$36,'caseload data'!$D:$D,"PO")/SUMIF('caseload data'!$C:$C,'divisional &amp; regional caseload%'!$T$36,'caseload data'!T:T),"")</f>
        <v/>
      </c>
    </row>
    <row r="39" spans="2:36" x14ac:dyDescent="0.15">
      <c r="B39" s="130" t="s">
        <v>185</v>
      </c>
      <c r="C39" s="209" t="str">
        <f>IFERROR(SUMIFS('caseload data'!E:E,'caseload data'!$C:$C,'divisional &amp; regional caseload%'!$B$36,'caseload data'!$D:$D,"PSO")/SUMIF('caseload data'!$C:$C,'divisional &amp; regional caseload%'!$B$36,'caseload data'!E:E),"")</f>
        <v/>
      </c>
      <c r="D39" s="209" t="str">
        <f>IFERROR(SUMIFS('caseload data'!F:F,'caseload data'!$C:$C,'divisional &amp; regional caseload%'!$B$36,'caseload data'!$D:$D,"PSO")/SUMIF('caseload data'!$C:$C,'divisional &amp; regional caseload%'!$B$36,'caseload data'!F:F),"")</f>
        <v/>
      </c>
      <c r="E39" s="209" t="str">
        <f>IFERROR(SUMIFS('caseload data'!G:G,'caseload data'!$C:$C,'divisional &amp; regional caseload%'!$B$36,'caseload data'!$D:$D,"PSO")/SUMIF('caseload data'!$C:$C,'divisional &amp; regional caseload%'!$B$36,'caseload data'!G:G),"")</f>
        <v/>
      </c>
      <c r="F39" s="209" t="str">
        <f>IFERROR(SUMIFS('caseload data'!H:H,'caseload data'!$C:$C,'divisional &amp; regional caseload%'!$B$36,'caseload data'!$D:$D,"PSO")/SUMIF('caseload data'!$C:$C,'divisional &amp; regional caseload%'!$B$36,'caseload data'!H:H),"")</f>
        <v/>
      </c>
      <c r="G39" s="209" t="str">
        <f>IFERROR(SUMIFS('caseload data'!I:I,'caseload data'!$C:$C,'divisional &amp; regional caseload%'!$B$36,'caseload data'!$D:$D,"PSO")/SUMIF('caseload data'!$C:$C,'divisional &amp; regional caseload%'!$B$36,'caseload data'!I:I),"")</f>
        <v/>
      </c>
      <c r="H39" s="209" t="str">
        <f>IFERROR(SUMIFS('caseload data'!J:J,'caseload data'!$C:$C,'divisional &amp; regional caseload%'!$B$36,'caseload data'!$D:$D,"PSO")/SUMIF('caseload data'!$C:$C,'divisional &amp; regional caseload%'!$B$36,'caseload data'!J:J),"")</f>
        <v/>
      </c>
      <c r="I39" s="209" t="str">
        <f>IFERROR(SUMIFS('caseload data'!K:K,'caseload data'!$C:$C,'divisional &amp; regional caseload%'!$B$36,'caseload data'!$D:$D,"PSO")/SUMIF('caseload data'!$C:$C,'divisional &amp; regional caseload%'!$B$36,'caseload data'!K:K),"")</f>
        <v/>
      </c>
      <c r="J39" s="209" t="str">
        <f>IFERROR(SUMIFS('caseload data'!L:L,'caseload data'!$C:$C,'divisional &amp; regional caseload%'!$B$36,'caseload data'!$D:$D,"PSO")/SUMIF('caseload data'!$C:$C,'divisional &amp; regional caseload%'!$B$36,'caseload data'!L:L),"")</f>
        <v/>
      </c>
      <c r="K39" s="209" t="str">
        <f>IFERROR(SUMIFS('caseload data'!M:M,'caseload data'!$C:$C,'divisional &amp; regional caseload%'!$B$36,'caseload data'!$D:$D,"PSO")/SUMIF('caseload data'!$C:$C,'divisional &amp; regional caseload%'!$B$36,'caseload data'!M:M),"")</f>
        <v/>
      </c>
      <c r="L39" s="209" t="str">
        <f>IFERROR(SUMIFS('caseload data'!N:N,'caseload data'!$C:$C,'divisional &amp; regional caseload%'!$B$36,'caseload data'!$D:$D,"PSO")/SUMIF('caseload data'!$C:$C,'divisional &amp; regional caseload%'!$B$36,'caseload data'!N:N),"")</f>
        <v/>
      </c>
      <c r="M39" s="209" t="str">
        <f>IFERROR(SUMIFS('caseload data'!O:O,'caseload data'!$C:$C,'divisional &amp; regional caseload%'!$B$36,'caseload data'!$D:$D,"PSO")/SUMIF('caseload data'!$C:$C,'divisional &amp; regional caseload%'!$B$36,'caseload data'!O:O),"")</f>
        <v/>
      </c>
      <c r="N39" s="209" t="str">
        <f>IFERROR(SUMIFS('caseload data'!P:P,'caseload data'!$C:$C,'divisional &amp; regional caseload%'!$B$36,'caseload data'!$D:$D,"PSO")/SUMIF('caseload data'!$C:$C,'divisional &amp; regional caseload%'!$B$36,'caseload data'!P:P),"")</f>
        <v/>
      </c>
      <c r="O39" s="209" t="str">
        <f>IFERROR(SUMIFS('caseload data'!Q:Q,'caseload data'!$C:$C,'divisional &amp; regional caseload%'!$B$36,'caseload data'!$D:$D,"PSO")/SUMIF('caseload data'!$C:$C,'divisional &amp; regional caseload%'!$B$36,'caseload data'!Q:Q),"")</f>
        <v/>
      </c>
      <c r="P39" s="209" t="str">
        <f>IFERROR(SUMIFS('caseload data'!R:R,'caseload data'!$C:$C,'divisional &amp; regional caseload%'!$B$36,'caseload data'!$D:$D,"PSO")/SUMIF('caseload data'!$C:$C,'divisional &amp; regional caseload%'!$B$36,'caseload data'!R:R),"")</f>
        <v/>
      </c>
      <c r="Q39" s="209" t="str">
        <f>IFERROR(SUMIFS('caseload data'!S:S,'caseload data'!$C:$C,'divisional &amp; regional caseload%'!$B$36,'caseload data'!$D:$D,"PSO")/SUMIF('caseload data'!$C:$C,'divisional &amp; regional caseload%'!$B$36,'caseload data'!S:S),"")</f>
        <v/>
      </c>
      <c r="R39" s="209" t="str">
        <f>IFERROR(SUMIFS('caseload data'!T:T,'caseload data'!$C:$C,'divisional &amp; regional caseload%'!$B$36,'caseload data'!$D:$D,"PSO")/SUMIF('caseload data'!$C:$C,'divisional &amp; regional caseload%'!$B$36,'caseload data'!T:T),"")</f>
        <v/>
      </c>
      <c r="S39" s="95"/>
      <c r="T39" s="130" t="s">
        <v>185</v>
      </c>
      <c r="U39" s="209" t="str">
        <f>IFERROR(SUMIFS('caseload data'!E:E,'caseload data'!$C:$C,'divisional &amp; regional caseload%'!$T$36,'caseload data'!$D:$D,"PSO")/SUMIF('caseload data'!$C:$C,'divisional &amp; regional caseload%'!$T$36,'caseload data'!E:E),"")</f>
        <v/>
      </c>
      <c r="V39" s="209" t="str">
        <f>IFERROR(SUMIFS('caseload data'!F:F,'caseload data'!$C:$C,'divisional &amp; regional caseload%'!$T$36,'caseload data'!$D:$D,"PSO")/SUMIF('caseload data'!$C:$C,'divisional &amp; regional caseload%'!$T$36,'caseload data'!F:F),"")</f>
        <v/>
      </c>
      <c r="W39" s="209" t="str">
        <f>IFERROR(SUMIFS('caseload data'!G:G,'caseload data'!$C:$C,'divisional &amp; regional caseload%'!$T$36,'caseload data'!$D:$D,"PSO")/SUMIF('caseload data'!$C:$C,'divisional &amp; regional caseload%'!$T$36,'caseload data'!G:G),"")</f>
        <v/>
      </c>
      <c r="X39" s="209" t="str">
        <f>IFERROR(SUMIFS('caseload data'!H:H,'caseload data'!$C:$C,'divisional &amp; regional caseload%'!$T$36,'caseload data'!$D:$D,"PSO")/SUMIF('caseload data'!$C:$C,'divisional &amp; regional caseload%'!$T$36,'caseload data'!H:H),"")</f>
        <v/>
      </c>
      <c r="Y39" s="209" t="str">
        <f>IFERROR(SUMIFS('caseload data'!I:I,'caseload data'!$C:$C,'divisional &amp; regional caseload%'!$T$36,'caseload data'!$D:$D,"PSO")/SUMIF('caseload data'!$C:$C,'divisional &amp; regional caseload%'!$T$36,'caseload data'!I:I),"")</f>
        <v/>
      </c>
      <c r="Z39" s="209" t="str">
        <f>IFERROR(SUMIFS('caseload data'!J:J,'caseload data'!$C:$C,'divisional &amp; regional caseload%'!$T$36,'caseload data'!$D:$D,"PSO")/SUMIF('caseload data'!$C:$C,'divisional &amp; regional caseload%'!$T$36,'caseload data'!J:J),"")</f>
        <v/>
      </c>
      <c r="AA39" s="209" t="str">
        <f>IFERROR(SUMIFS('caseload data'!K:K,'caseload data'!$C:$C,'divisional &amp; regional caseload%'!$T$36,'caseload data'!$D:$D,"PSO")/SUMIF('caseload data'!$C:$C,'divisional &amp; regional caseload%'!$T$36,'caseload data'!K:K),"")</f>
        <v/>
      </c>
      <c r="AB39" s="209" t="str">
        <f>IFERROR(SUMIFS('caseload data'!L:L,'caseload data'!$C:$C,'divisional &amp; regional caseload%'!$T$36,'caseload data'!$D:$D,"PSO")/SUMIF('caseload data'!$C:$C,'divisional &amp; regional caseload%'!$T$36,'caseload data'!L:L),"")</f>
        <v/>
      </c>
      <c r="AC39" s="209" t="str">
        <f>IFERROR(SUMIFS('caseload data'!M:M,'caseload data'!$C:$C,'divisional &amp; regional caseload%'!$T$36,'caseload data'!$D:$D,"PSO")/SUMIF('caseload data'!$C:$C,'divisional &amp; regional caseload%'!$T$36,'caseload data'!M:M),"")</f>
        <v/>
      </c>
      <c r="AD39" s="209" t="str">
        <f>IFERROR(SUMIFS('caseload data'!N:N,'caseload data'!$C:$C,'divisional &amp; regional caseload%'!$T$36,'caseload data'!$D:$D,"PSO")/SUMIF('caseload data'!$C:$C,'divisional &amp; regional caseload%'!$T$36,'caseload data'!N:N),"")</f>
        <v/>
      </c>
      <c r="AE39" s="209" t="str">
        <f>IFERROR(SUMIFS('caseload data'!O:O,'caseload data'!$C:$C,'divisional &amp; regional caseload%'!$T$36,'caseload data'!$D:$D,"PSO")/SUMIF('caseload data'!$C:$C,'divisional &amp; regional caseload%'!$T$36,'caseload data'!O:O),"")</f>
        <v/>
      </c>
      <c r="AF39" s="209" t="str">
        <f>IFERROR(SUMIFS('caseload data'!P:P,'caseload data'!$C:$C,'divisional &amp; regional caseload%'!$T$36,'caseload data'!$D:$D,"PSO")/SUMIF('caseload data'!$C:$C,'divisional &amp; regional caseload%'!$T$36,'caseload data'!P:P),"")</f>
        <v/>
      </c>
      <c r="AG39" s="209" t="str">
        <f>IFERROR(SUMIFS('caseload data'!Q:Q,'caseload data'!$C:$C,'divisional &amp; regional caseload%'!$T$36,'caseload data'!$D:$D,"PSO")/SUMIF('caseload data'!$C:$C,'divisional &amp; regional caseload%'!$T$36,'caseload data'!Q:Q),"")</f>
        <v/>
      </c>
      <c r="AH39" s="209" t="str">
        <f>IFERROR(SUMIFS('caseload data'!R:R,'caseload data'!$C:$C,'divisional &amp; regional caseload%'!$T$36,'caseload data'!$D:$D,"PSO")/SUMIF('caseload data'!$C:$C,'divisional &amp; regional caseload%'!$T$36,'caseload data'!R:R),"")</f>
        <v/>
      </c>
      <c r="AI39" s="209" t="str">
        <f>IFERROR(SUMIFS('caseload data'!S:S,'caseload data'!$C:$C,'divisional &amp; regional caseload%'!$T$36,'caseload data'!$D:$D,"PSO")/SUMIF('caseload data'!$C:$C,'divisional &amp; regional caseload%'!$T$36,'caseload data'!S:S),"")</f>
        <v/>
      </c>
      <c r="AJ39" s="209" t="str">
        <f>IFERROR(SUMIFS('caseload data'!T:T,'caseload data'!$C:$C,'divisional &amp; regional caseload%'!$T$36,'caseload data'!$D:$D,"PSO")/SUMIF('caseload data'!$C:$C,'divisional &amp; regional caseload%'!$T$36,'caseload data'!T:T),"")</f>
        <v/>
      </c>
    </row>
    <row r="40" spans="2:36" x14ac:dyDescent="0.15">
      <c r="B40" s="130" t="s">
        <v>186</v>
      </c>
      <c r="C40" s="209" t="str">
        <f>IFERROR(SUMIFS('caseload data'!E:E,'caseload data'!$C:$C,'divisional &amp; regional caseload%'!$B$36,'caseload data'!$D:$D,"TPO")/SUMIF('caseload data'!$C:$C,'divisional &amp; regional caseload%'!$B$36,'caseload data'!E:E),"")</f>
        <v/>
      </c>
      <c r="D40" s="209" t="str">
        <f>IFERROR(SUMIFS('caseload data'!F:F,'caseload data'!$C:$C,'divisional &amp; regional caseload%'!$B$36,'caseload data'!$D:$D,"TPO")/SUMIF('caseload data'!$C:$C,'divisional &amp; regional caseload%'!$B$36,'caseload data'!F:F),"")</f>
        <v/>
      </c>
      <c r="E40" s="209" t="str">
        <f>IFERROR(SUMIFS('caseload data'!G:G,'caseload data'!$C:$C,'divisional &amp; regional caseload%'!$B$36,'caseload data'!$D:$D,"TPO")/SUMIF('caseload data'!$C:$C,'divisional &amp; regional caseload%'!$B$36,'caseload data'!G:G),"")</f>
        <v/>
      </c>
      <c r="F40" s="209" t="str">
        <f>IFERROR(SUMIFS('caseload data'!H:H,'caseload data'!$C:$C,'divisional &amp; regional caseload%'!$B$36,'caseload data'!$D:$D,"TPO")/SUMIF('caseload data'!$C:$C,'divisional &amp; regional caseload%'!$B$36,'caseload data'!H:H),"")</f>
        <v/>
      </c>
      <c r="G40" s="209" t="str">
        <f>IFERROR(SUMIFS('caseload data'!I:I,'caseload data'!$C:$C,'divisional &amp; regional caseload%'!$B$36,'caseload data'!$D:$D,"TPO")/SUMIF('caseload data'!$C:$C,'divisional &amp; regional caseload%'!$B$36,'caseload data'!I:I),"")</f>
        <v/>
      </c>
      <c r="H40" s="209" t="str">
        <f>IFERROR(SUMIFS('caseload data'!J:J,'caseload data'!$C:$C,'divisional &amp; regional caseload%'!$B$36,'caseload data'!$D:$D,"TPO")/SUMIF('caseload data'!$C:$C,'divisional &amp; regional caseload%'!$B$36,'caseload data'!J:J),"")</f>
        <v/>
      </c>
      <c r="I40" s="209" t="str">
        <f>IFERROR(SUMIFS('caseload data'!K:K,'caseload data'!$C:$C,'divisional &amp; regional caseload%'!$B$36,'caseload data'!$D:$D,"TPO")/SUMIF('caseload data'!$C:$C,'divisional &amp; regional caseload%'!$B$36,'caseload data'!K:K),"")</f>
        <v/>
      </c>
      <c r="J40" s="209" t="str">
        <f>IFERROR(SUMIFS('caseload data'!L:L,'caseload data'!$C:$C,'divisional &amp; regional caseload%'!$B$36,'caseload data'!$D:$D,"TPO")/SUMIF('caseload data'!$C:$C,'divisional &amp; regional caseload%'!$B$36,'caseload data'!L:L),"")</f>
        <v/>
      </c>
      <c r="K40" s="209" t="str">
        <f>IFERROR(SUMIFS('caseload data'!M:M,'caseload data'!$C:$C,'divisional &amp; regional caseload%'!$B$36,'caseload data'!$D:$D,"TPO")/SUMIF('caseload data'!$C:$C,'divisional &amp; regional caseload%'!$B$36,'caseload data'!M:M),"")</f>
        <v/>
      </c>
      <c r="L40" s="209" t="str">
        <f>IFERROR(SUMIFS('caseload data'!N:N,'caseload data'!$C:$C,'divisional &amp; regional caseload%'!$B$36,'caseload data'!$D:$D,"TPO")/SUMIF('caseload data'!$C:$C,'divisional &amp; regional caseload%'!$B$36,'caseload data'!N:N),"")</f>
        <v/>
      </c>
      <c r="M40" s="209" t="str">
        <f>IFERROR(SUMIFS('caseload data'!O:O,'caseload data'!$C:$C,'divisional &amp; regional caseload%'!$B$36,'caseload data'!$D:$D,"TPO")/SUMIF('caseload data'!$C:$C,'divisional &amp; regional caseload%'!$B$36,'caseload data'!O:O),"")</f>
        <v/>
      </c>
      <c r="N40" s="209" t="str">
        <f>IFERROR(SUMIFS('caseload data'!P:P,'caseload data'!$C:$C,'divisional &amp; regional caseload%'!$B$36,'caseload data'!$D:$D,"TPO")/SUMIF('caseload data'!$C:$C,'divisional &amp; regional caseload%'!$B$36,'caseload data'!P:P),"")</f>
        <v/>
      </c>
      <c r="O40" s="209" t="str">
        <f>IFERROR(SUMIFS('caseload data'!Q:Q,'caseload data'!$C:$C,'divisional &amp; regional caseload%'!$B$36,'caseload data'!$D:$D,"TPO")/SUMIF('caseload data'!$C:$C,'divisional &amp; regional caseload%'!$B$36,'caseload data'!Q:Q),"")</f>
        <v/>
      </c>
      <c r="P40" s="209" t="str">
        <f>IFERROR(SUMIFS('caseload data'!R:R,'caseload data'!$C:$C,'divisional &amp; regional caseload%'!$B$36,'caseload data'!$D:$D,"TPO")/SUMIF('caseload data'!$C:$C,'divisional &amp; regional caseload%'!$B$36,'caseload data'!R:R),"")</f>
        <v/>
      </c>
      <c r="Q40" s="209" t="str">
        <f>IFERROR(SUMIFS('caseload data'!S:S,'caseload data'!$C:$C,'divisional &amp; regional caseload%'!$B$36,'caseload data'!$D:$D,"TPO")/SUMIF('caseload data'!$C:$C,'divisional &amp; regional caseload%'!$B$36,'caseload data'!S:S),"")</f>
        <v/>
      </c>
      <c r="R40" s="209" t="str">
        <f>IFERROR(SUMIFS('caseload data'!T:T,'caseload data'!$C:$C,'divisional &amp; regional caseload%'!$B$36,'caseload data'!$D:$D,"TPO")/SUMIF('caseload data'!$C:$C,'divisional &amp; regional caseload%'!$B$36,'caseload data'!T:T),"")</f>
        <v/>
      </c>
      <c r="S40" s="95"/>
      <c r="T40" s="130" t="s">
        <v>186</v>
      </c>
      <c r="U40" s="209" t="str">
        <f>IFERROR(SUMIFS('caseload data'!E:E,'caseload data'!$C:$C,'divisional &amp; regional caseload%'!$T$36,'caseload data'!$D:$D,"TPO")/SUMIF('caseload data'!$C:$C,'divisional &amp; regional caseload%'!$T$36,'caseload data'!E:E),"")</f>
        <v/>
      </c>
      <c r="V40" s="209" t="str">
        <f>IFERROR(SUMIFS('caseload data'!F:F,'caseload data'!$C:$C,'divisional &amp; regional caseload%'!$T$36,'caseload data'!$D:$D,"TPO")/SUMIF('caseload data'!$C:$C,'divisional &amp; regional caseload%'!$T$36,'caseload data'!F:F),"")</f>
        <v/>
      </c>
      <c r="W40" s="209" t="str">
        <f>IFERROR(SUMIFS('caseload data'!G:G,'caseload data'!$C:$C,'divisional &amp; regional caseload%'!$T$36,'caseload data'!$D:$D,"TPO")/SUMIF('caseload data'!$C:$C,'divisional &amp; regional caseload%'!$T$36,'caseload data'!G:G),"")</f>
        <v/>
      </c>
      <c r="X40" s="209" t="str">
        <f>IFERROR(SUMIFS('caseload data'!H:H,'caseload data'!$C:$C,'divisional &amp; regional caseload%'!$T$36,'caseload data'!$D:$D,"TPO")/SUMIF('caseload data'!$C:$C,'divisional &amp; regional caseload%'!$T$36,'caseload data'!H:H),"")</f>
        <v/>
      </c>
      <c r="Y40" s="209" t="str">
        <f>IFERROR(SUMIFS('caseload data'!I:I,'caseload data'!$C:$C,'divisional &amp; regional caseload%'!$T$36,'caseload data'!$D:$D,"TPO")/SUMIF('caseload data'!$C:$C,'divisional &amp; regional caseload%'!$T$36,'caseload data'!I:I),"")</f>
        <v/>
      </c>
      <c r="Z40" s="209" t="str">
        <f>IFERROR(SUMIFS('caseload data'!J:J,'caseload data'!$C:$C,'divisional &amp; regional caseload%'!$T$36,'caseload data'!$D:$D,"TPO")/SUMIF('caseload data'!$C:$C,'divisional &amp; regional caseload%'!$T$36,'caseload data'!J:J),"")</f>
        <v/>
      </c>
      <c r="AA40" s="209" t="str">
        <f>IFERROR(SUMIFS('caseload data'!K:K,'caseload data'!$C:$C,'divisional &amp; regional caseload%'!$T$36,'caseload data'!$D:$D,"TPO")/SUMIF('caseload data'!$C:$C,'divisional &amp; regional caseload%'!$T$36,'caseload data'!K:K),"")</f>
        <v/>
      </c>
      <c r="AB40" s="209" t="str">
        <f>IFERROR(SUMIFS('caseload data'!L:L,'caseload data'!$C:$C,'divisional &amp; regional caseload%'!$T$36,'caseload data'!$D:$D,"TPO")/SUMIF('caseload data'!$C:$C,'divisional &amp; regional caseload%'!$T$36,'caseload data'!L:L),"")</f>
        <v/>
      </c>
      <c r="AC40" s="209" t="str">
        <f>IFERROR(SUMIFS('caseload data'!M:M,'caseload data'!$C:$C,'divisional &amp; regional caseload%'!$T$36,'caseload data'!$D:$D,"TPO")/SUMIF('caseload data'!$C:$C,'divisional &amp; regional caseload%'!$T$36,'caseload data'!M:M),"")</f>
        <v/>
      </c>
      <c r="AD40" s="209" t="str">
        <f>IFERROR(SUMIFS('caseload data'!N:N,'caseload data'!$C:$C,'divisional &amp; regional caseload%'!$T$36,'caseload data'!$D:$D,"TPO")/SUMIF('caseload data'!$C:$C,'divisional &amp; regional caseload%'!$T$36,'caseload data'!N:N),"")</f>
        <v/>
      </c>
      <c r="AE40" s="209" t="str">
        <f>IFERROR(SUMIFS('caseload data'!O:O,'caseload data'!$C:$C,'divisional &amp; regional caseload%'!$T$36,'caseload data'!$D:$D,"TPO")/SUMIF('caseload data'!$C:$C,'divisional &amp; regional caseload%'!$T$36,'caseload data'!O:O),"")</f>
        <v/>
      </c>
      <c r="AF40" s="209" t="str">
        <f>IFERROR(SUMIFS('caseload data'!P:P,'caseload data'!$C:$C,'divisional &amp; regional caseload%'!$T$36,'caseload data'!$D:$D,"TPO")/SUMIF('caseload data'!$C:$C,'divisional &amp; regional caseload%'!$T$36,'caseload data'!P:P),"")</f>
        <v/>
      </c>
      <c r="AG40" s="209" t="str">
        <f>IFERROR(SUMIFS('caseload data'!Q:Q,'caseload data'!$C:$C,'divisional &amp; regional caseload%'!$T$36,'caseload data'!$D:$D,"TPO")/SUMIF('caseload data'!$C:$C,'divisional &amp; regional caseload%'!$T$36,'caseload data'!Q:Q),"")</f>
        <v/>
      </c>
      <c r="AH40" s="209" t="str">
        <f>IFERROR(SUMIFS('caseload data'!R:R,'caseload data'!$C:$C,'divisional &amp; regional caseload%'!$T$36,'caseload data'!$D:$D,"TPO")/SUMIF('caseload data'!$C:$C,'divisional &amp; regional caseload%'!$T$36,'caseload data'!R:R),"")</f>
        <v/>
      </c>
      <c r="AI40" s="209" t="str">
        <f>IFERROR(SUMIFS('caseload data'!S:S,'caseload data'!$C:$C,'divisional &amp; regional caseload%'!$T$36,'caseload data'!$D:$D,"TPO")/SUMIF('caseload data'!$C:$C,'divisional &amp; regional caseload%'!$T$36,'caseload data'!S:S),"")</f>
        <v/>
      </c>
      <c r="AJ40" s="209" t="str">
        <f>IFERROR(SUMIFS('caseload data'!T:T,'caseload data'!$C:$C,'divisional &amp; regional caseload%'!$T$36,'caseload data'!$D:$D,"TPO")/SUMIF('caseload data'!$C:$C,'divisional &amp; regional caseload%'!$T$36,'caseload data'!T:T),"")</f>
        <v/>
      </c>
    </row>
    <row r="41" spans="2:36" x14ac:dyDescent="0.15">
      <c r="B41" s="131" t="s">
        <v>187</v>
      </c>
      <c r="C41" s="209" t="str">
        <f>IFERROR(SUMIFS('caseload data'!E:E,'caseload data'!$C:$C,'divisional &amp; regional caseload%'!$B$36,'caseload data'!$D:$D,"SPO")/SUMIF('caseload data'!$C:$C,'divisional &amp; regional caseload%'!$B$36,'caseload data'!E:E),"")</f>
        <v/>
      </c>
      <c r="D41" s="209" t="str">
        <f>IFERROR(SUMIFS('caseload data'!F:F,'caseload data'!$C:$C,'divisional &amp; regional caseload%'!$B$36,'caseload data'!$D:$D,"SPO")/SUMIF('caseload data'!$C:$C,'divisional &amp; regional caseload%'!$B$36,'caseload data'!F:F),"")</f>
        <v/>
      </c>
      <c r="E41" s="209" t="str">
        <f>IFERROR(SUMIFS('caseload data'!G:G,'caseload data'!$C:$C,'divisional &amp; regional caseload%'!$B$36,'caseload data'!$D:$D,"SPO")/SUMIF('caseload data'!$C:$C,'divisional &amp; regional caseload%'!$B$36,'caseload data'!G:G),"")</f>
        <v/>
      </c>
      <c r="F41" s="209" t="str">
        <f>IFERROR(SUMIFS('caseload data'!H:H,'caseload data'!$C:$C,'divisional &amp; regional caseload%'!$B$36,'caseload data'!$D:$D,"SPO")/SUMIF('caseload data'!$C:$C,'divisional &amp; regional caseload%'!$B$36,'caseload data'!H:H),"")</f>
        <v/>
      </c>
      <c r="G41" s="209" t="str">
        <f>IFERROR(SUMIFS('caseload data'!I:I,'caseload data'!$C:$C,'divisional &amp; regional caseload%'!$B$36,'caseload data'!$D:$D,"SPO")/SUMIF('caseload data'!$C:$C,'divisional &amp; regional caseload%'!$B$36,'caseload data'!I:I),"")</f>
        <v/>
      </c>
      <c r="H41" s="209" t="str">
        <f>IFERROR(SUMIFS('caseload data'!J:J,'caseload data'!$C:$C,'divisional &amp; regional caseload%'!$B$36,'caseload data'!$D:$D,"SPO")/SUMIF('caseload data'!$C:$C,'divisional &amp; regional caseload%'!$B$36,'caseload data'!J:J),"")</f>
        <v/>
      </c>
      <c r="I41" s="209" t="str">
        <f>IFERROR(SUMIFS('caseload data'!K:K,'caseload data'!$C:$C,'divisional &amp; regional caseload%'!$B$36,'caseload data'!$D:$D,"SPO")/SUMIF('caseload data'!$C:$C,'divisional &amp; regional caseload%'!$B$36,'caseload data'!K:K),"")</f>
        <v/>
      </c>
      <c r="J41" s="209" t="str">
        <f>IFERROR(SUMIFS('caseload data'!L:L,'caseload data'!$C:$C,'divisional &amp; regional caseload%'!$B$36,'caseload data'!$D:$D,"SPO")/SUMIF('caseload data'!$C:$C,'divisional &amp; regional caseload%'!$B$36,'caseload data'!L:L),"")</f>
        <v/>
      </c>
      <c r="K41" s="209" t="str">
        <f>IFERROR(SUMIFS('caseload data'!M:M,'caseload data'!$C:$C,'divisional &amp; regional caseload%'!$B$36,'caseload data'!$D:$D,"SPO")/SUMIF('caseload data'!$C:$C,'divisional &amp; regional caseload%'!$B$36,'caseload data'!M:M),"")</f>
        <v/>
      </c>
      <c r="L41" s="209" t="str">
        <f>IFERROR(SUMIFS('caseload data'!N:N,'caseload data'!$C:$C,'divisional &amp; regional caseload%'!$B$36,'caseload data'!$D:$D,"SPO")/SUMIF('caseload data'!$C:$C,'divisional &amp; regional caseload%'!$B$36,'caseload data'!N:N),"")</f>
        <v/>
      </c>
      <c r="M41" s="209" t="str">
        <f>IFERROR(SUMIFS('caseload data'!O:O,'caseload data'!$C:$C,'divisional &amp; regional caseload%'!$B$36,'caseload data'!$D:$D,"SPO")/SUMIF('caseload data'!$C:$C,'divisional &amp; regional caseload%'!$B$36,'caseload data'!O:O),"")</f>
        <v/>
      </c>
      <c r="N41" s="209" t="str">
        <f>IFERROR(SUMIFS('caseload data'!P:P,'caseload data'!$C:$C,'divisional &amp; regional caseload%'!$B$36,'caseload data'!$D:$D,"SPO")/SUMIF('caseload data'!$C:$C,'divisional &amp; regional caseload%'!$B$36,'caseload data'!P:P),"")</f>
        <v/>
      </c>
      <c r="O41" s="209" t="str">
        <f>IFERROR(SUMIFS('caseload data'!Q:Q,'caseload data'!$C:$C,'divisional &amp; regional caseload%'!$B$36,'caseload data'!$D:$D,"SPO")/SUMIF('caseload data'!$C:$C,'divisional &amp; regional caseload%'!$B$36,'caseload data'!Q:Q),"")</f>
        <v/>
      </c>
      <c r="P41" s="209" t="str">
        <f>IFERROR(SUMIFS('caseload data'!R:R,'caseload data'!$C:$C,'divisional &amp; regional caseload%'!$B$36,'caseload data'!$D:$D,"SPO")/SUMIF('caseload data'!$C:$C,'divisional &amp; regional caseload%'!$B$36,'caseload data'!R:R),"")</f>
        <v/>
      </c>
      <c r="Q41" s="209" t="str">
        <f>IFERROR(SUMIFS('caseload data'!S:S,'caseload data'!$C:$C,'divisional &amp; regional caseload%'!$B$36,'caseload data'!$D:$D,"SPO")/SUMIF('caseload data'!$C:$C,'divisional &amp; regional caseload%'!$B$36,'caseload data'!S:S),"")</f>
        <v/>
      </c>
      <c r="R41" s="209" t="str">
        <f>IFERROR(SUMIFS('caseload data'!T:T,'caseload data'!$C:$C,'divisional &amp; regional caseload%'!$B$36,'caseload data'!$D:$D,"SPO")/SUMIF('caseload data'!$C:$C,'divisional &amp; regional caseload%'!$B$36,'caseload data'!T:T),"")</f>
        <v/>
      </c>
      <c r="S41" s="95"/>
      <c r="T41" s="131" t="s">
        <v>187</v>
      </c>
      <c r="U41" s="209" t="str">
        <f>IFERROR(SUMIFS('caseload data'!E:E,'caseload data'!$C:$C,'divisional &amp; regional caseload%'!$T$36,'caseload data'!$D:$D,"SPO")/SUMIF('caseload data'!$C:$C,'divisional &amp; regional caseload%'!$T$36,'caseload data'!E:E),"")</f>
        <v/>
      </c>
      <c r="V41" s="209" t="str">
        <f>IFERROR(SUMIFS('caseload data'!F:F,'caseload data'!$C:$C,'divisional &amp; regional caseload%'!$T$36,'caseload data'!$D:$D,"SPO")/SUMIF('caseload data'!$C:$C,'divisional &amp; regional caseload%'!$T$36,'caseload data'!F:F),"")</f>
        <v/>
      </c>
      <c r="W41" s="209" t="str">
        <f>IFERROR(SUMIFS('caseload data'!G:G,'caseload data'!$C:$C,'divisional &amp; regional caseload%'!$T$36,'caseload data'!$D:$D,"SPO")/SUMIF('caseload data'!$C:$C,'divisional &amp; regional caseload%'!$T$36,'caseload data'!G:G),"")</f>
        <v/>
      </c>
      <c r="X41" s="209" t="str">
        <f>IFERROR(SUMIFS('caseload data'!H:H,'caseload data'!$C:$C,'divisional &amp; regional caseload%'!$T$36,'caseload data'!$D:$D,"SPO")/SUMIF('caseload data'!$C:$C,'divisional &amp; regional caseload%'!$T$36,'caseload data'!H:H),"")</f>
        <v/>
      </c>
      <c r="Y41" s="209" t="str">
        <f>IFERROR(SUMIFS('caseload data'!I:I,'caseload data'!$C:$C,'divisional &amp; regional caseload%'!$T$36,'caseload data'!$D:$D,"SPO")/SUMIF('caseload data'!$C:$C,'divisional &amp; regional caseload%'!$T$36,'caseload data'!I:I),"")</f>
        <v/>
      </c>
      <c r="Z41" s="209" t="str">
        <f>IFERROR(SUMIFS('caseload data'!J:J,'caseload data'!$C:$C,'divisional &amp; regional caseload%'!$T$36,'caseload data'!$D:$D,"SPO")/SUMIF('caseload data'!$C:$C,'divisional &amp; regional caseload%'!$T$36,'caseload data'!J:J),"")</f>
        <v/>
      </c>
      <c r="AA41" s="209" t="str">
        <f>IFERROR(SUMIFS('caseload data'!K:K,'caseload data'!$C:$C,'divisional &amp; regional caseload%'!$T$36,'caseload data'!$D:$D,"SPO")/SUMIF('caseload data'!$C:$C,'divisional &amp; regional caseload%'!$T$36,'caseload data'!K:K),"")</f>
        <v/>
      </c>
      <c r="AB41" s="209" t="str">
        <f>IFERROR(SUMIFS('caseload data'!L:L,'caseload data'!$C:$C,'divisional &amp; regional caseload%'!$T$36,'caseload data'!$D:$D,"SPO")/SUMIF('caseload data'!$C:$C,'divisional &amp; regional caseload%'!$T$36,'caseload data'!L:L),"")</f>
        <v/>
      </c>
      <c r="AC41" s="209" t="str">
        <f>IFERROR(SUMIFS('caseload data'!M:M,'caseload data'!$C:$C,'divisional &amp; regional caseload%'!$T$36,'caseload data'!$D:$D,"SPO")/SUMIF('caseload data'!$C:$C,'divisional &amp; regional caseload%'!$T$36,'caseload data'!M:M),"")</f>
        <v/>
      </c>
      <c r="AD41" s="209" t="str">
        <f>IFERROR(SUMIFS('caseload data'!N:N,'caseload data'!$C:$C,'divisional &amp; regional caseload%'!$T$36,'caseload data'!$D:$D,"SPO")/SUMIF('caseload data'!$C:$C,'divisional &amp; regional caseload%'!$T$36,'caseload data'!N:N),"")</f>
        <v/>
      </c>
      <c r="AE41" s="209" t="str">
        <f>IFERROR(SUMIFS('caseload data'!O:O,'caseload data'!$C:$C,'divisional &amp; regional caseload%'!$T$36,'caseload data'!$D:$D,"SPO")/SUMIF('caseload data'!$C:$C,'divisional &amp; regional caseload%'!$T$36,'caseload data'!O:O),"")</f>
        <v/>
      </c>
      <c r="AF41" s="209" t="str">
        <f>IFERROR(SUMIFS('caseload data'!P:P,'caseload data'!$C:$C,'divisional &amp; regional caseload%'!$T$36,'caseload data'!$D:$D,"SPO")/SUMIF('caseload data'!$C:$C,'divisional &amp; regional caseload%'!$T$36,'caseload data'!P:P),"")</f>
        <v/>
      </c>
      <c r="AG41" s="209" t="str">
        <f>IFERROR(SUMIFS('caseload data'!Q:Q,'caseload data'!$C:$C,'divisional &amp; regional caseload%'!$T$36,'caseload data'!$D:$D,"SPO")/SUMIF('caseload data'!$C:$C,'divisional &amp; regional caseload%'!$T$36,'caseload data'!Q:Q),"")</f>
        <v/>
      </c>
      <c r="AH41" s="209" t="str">
        <f>IFERROR(SUMIFS('caseload data'!R:R,'caseload data'!$C:$C,'divisional &amp; regional caseload%'!$T$36,'caseload data'!$D:$D,"SPO")/SUMIF('caseload data'!$C:$C,'divisional &amp; regional caseload%'!$T$36,'caseload data'!R:R),"")</f>
        <v/>
      </c>
      <c r="AI41" s="209" t="str">
        <f>IFERROR(SUMIFS('caseload data'!S:S,'caseload data'!$C:$C,'divisional &amp; regional caseload%'!$T$36,'caseload data'!$D:$D,"SPO")/SUMIF('caseload data'!$C:$C,'divisional &amp; regional caseload%'!$T$36,'caseload data'!S:S),"")</f>
        <v/>
      </c>
      <c r="AJ41" s="209" t="str">
        <f>IFERROR(SUMIFS('caseload data'!T:T,'caseload data'!$C:$C,'divisional &amp; regional caseload%'!$T$36,'caseload data'!$D:$D,"SPO")/SUMIF('caseload data'!$C:$C,'divisional &amp; regional caseload%'!$T$36,'caseload data'!T:T),"")</f>
        <v/>
      </c>
    </row>
    <row r="42" spans="2:36" x14ac:dyDescent="0.15">
      <c r="B42" s="183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183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</row>
    <row r="43" spans="2:36" ht="29.25" customHeight="1" x14ac:dyDescent="0.15">
      <c r="B43" s="182" t="str">
        <f>HLOOKUP($B$5,Region_Table,12,0)</f>
        <v>Merseyside Resettle - N51</v>
      </c>
      <c r="C43" s="359" t="s">
        <v>363</v>
      </c>
      <c r="D43" s="365"/>
      <c r="E43" s="365"/>
      <c r="F43" s="365"/>
      <c r="G43" s="365"/>
      <c r="H43" s="365"/>
      <c r="I43" s="365"/>
      <c r="J43" s="365"/>
      <c r="K43" s="365"/>
      <c r="L43" s="365"/>
      <c r="M43" s="368"/>
      <c r="N43" s="368"/>
      <c r="O43" s="369"/>
      <c r="P43" s="362">
        <f>SUMIF('caseload data'!$C:$C,'divisional &amp; regional caseload%'!B43,'caseload data'!V:V)</f>
        <v>0</v>
      </c>
      <c r="Q43" s="370"/>
      <c r="R43" s="371"/>
      <c r="S43" s="95"/>
      <c r="T43" s="182" t="str">
        <f>HLOOKUP($B$5,Region_Table,13,0)</f>
        <v>North West Lancashire</v>
      </c>
      <c r="U43" s="359" t="s">
        <v>363</v>
      </c>
      <c r="V43" s="365"/>
      <c r="W43" s="365"/>
      <c r="X43" s="365"/>
      <c r="Y43" s="365"/>
      <c r="Z43" s="365"/>
      <c r="AA43" s="365"/>
      <c r="AB43" s="365"/>
      <c r="AC43" s="365"/>
      <c r="AD43" s="365"/>
      <c r="AE43" s="368"/>
      <c r="AF43" s="368"/>
      <c r="AG43" s="369"/>
      <c r="AH43" s="362">
        <f>SUMIF('caseload data'!$C:$C,'divisional &amp; regional caseload%'!T43,'caseload data'!V:V)</f>
        <v>0</v>
      </c>
      <c r="AI43" s="370"/>
      <c r="AJ43" s="371"/>
    </row>
    <row r="44" spans="2:36" x14ac:dyDescent="0.15">
      <c r="B44" s="127" t="s">
        <v>324</v>
      </c>
      <c r="C44" s="58" t="s">
        <v>504</v>
      </c>
      <c r="D44" s="58" t="s">
        <v>503</v>
      </c>
      <c r="E44" s="58" t="s">
        <v>502</v>
      </c>
      <c r="F44" s="58" t="s">
        <v>501</v>
      </c>
      <c r="G44" s="58" t="s">
        <v>510</v>
      </c>
      <c r="H44" s="58" t="s">
        <v>176</v>
      </c>
      <c r="I44" s="58" t="s">
        <v>177</v>
      </c>
      <c r="J44" s="58" t="s">
        <v>505</v>
      </c>
      <c r="K44" s="58" t="s">
        <v>507</v>
      </c>
      <c r="L44" s="58" t="s">
        <v>178</v>
      </c>
      <c r="M44" s="58" t="s">
        <v>179</v>
      </c>
      <c r="N44" s="58" t="s">
        <v>506</v>
      </c>
      <c r="O44" s="58" t="s">
        <v>508</v>
      </c>
      <c r="P44" s="58" t="s">
        <v>180</v>
      </c>
      <c r="Q44" s="58" t="s">
        <v>181</v>
      </c>
      <c r="R44" s="58" t="s">
        <v>509</v>
      </c>
      <c r="S44" s="95"/>
      <c r="T44" s="127" t="s">
        <v>324</v>
      </c>
      <c r="U44" s="58" t="s">
        <v>504</v>
      </c>
      <c r="V44" s="58" t="s">
        <v>503</v>
      </c>
      <c r="W44" s="58" t="s">
        <v>502</v>
      </c>
      <c r="X44" s="58" t="s">
        <v>501</v>
      </c>
      <c r="Y44" s="58" t="s">
        <v>510</v>
      </c>
      <c r="Z44" s="58" t="s">
        <v>176</v>
      </c>
      <c r="AA44" s="58" t="s">
        <v>177</v>
      </c>
      <c r="AB44" s="58" t="s">
        <v>505</v>
      </c>
      <c r="AC44" s="58" t="s">
        <v>507</v>
      </c>
      <c r="AD44" s="58" t="s">
        <v>178</v>
      </c>
      <c r="AE44" s="58" t="s">
        <v>179</v>
      </c>
      <c r="AF44" s="58" t="s">
        <v>506</v>
      </c>
      <c r="AG44" s="58" t="s">
        <v>508</v>
      </c>
      <c r="AH44" s="58" t="s">
        <v>180</v>
      </c>
      <c r="AI44" s="58" t="s">
        <v>181</v>
      </c>
      <c r="AJ44" s="58" t="s">
        <v>509</v>
      </c>
    </row>
    <row r="45" spans="2:36" x14ac:dyDescent="0.15">
      <c r="B45" s="129" t="s">
        <v>184</v>
      </c>
      <c r="C45" s="209" t="str">
        <f>IFERROR(SUMIFS('caseload data'!E:E,'caseload data'!$C:$C,'divisional &amp; regional caseload%'!$B$43,'caseload data'!$D:$D,"PO")/SUMIF('caseload data'!$C:$C,'divisional &amp; regional caseload%'!$B$43,'caseload data'!E:E),"")</f>
        <v/>
      </c>
      <c r="D45" s="209" t="str">
        <f>IFERROR(SUMIFS('caseload data'!F:F,'caseload data'!$C:$C,'divisional &amp; regional caseload%'!$B$43,'caseload data'!$D:$D,"PO")/SUMIF('caseload data'!$C:$C,'divisional &amp; regional caseload%'!$B$43,'caseload data'!F:F),"")</f>
        <v/>
      </c>
      <c r="E45" s="209" t="str">
        <f>IFERROR(SUMIFS('caseload data'!G:G,'caseload data'!$C:$C,'divisional &amp; regional caseload%'!$B$43,'caseload data'!$D:$D,"PO")/SUMIF('caseload data'!$C:$C,'divisional &amp; regional caseload%'!$B$43,'caseload data'!G:G),"")</f>
        <v/>
      </c>
      <c r="F45" s="209" t="str">
        <f>IFERROR(SUMIFS('caseload data'!H:H,'caseload data'!$C:$C,'divisional &amp; regional caseload%'!$B$43,'caseload data'!$D:$D,"PO")/SUMIF('caseload data'!$C:$C,'divisional &amp; regional caseload%'!$B$43,'caseload data'!H:H),"")</f>
        <v/>
      </c>
      <c r="G45" s="209" t="str">
        <f>IFERROR(SUMIFS('caseload data'!I:I,'caseload data'!$C:$C,'divisional &amp; regional caseload%'!$B$43,'caseload data'!$D:$D,"PO")/SUMIF('caseload data'!$C:$C,'divisional &amp; regional caseload%'!$B$43,'caseload data'!I:I),"")</f>
        <v/>
      </c>
      <c r="H45" s="209" t="str">
        <f>IFERROR(SUMIFS('caseload data'!J:J,'caseload data'!$C:$C,'divisional &amp; regional caseload%'!$B$43,'caseload data'!$D:$D,"PO")/SUMIF('caseload data'!$C:$C,'divisional &amp; regional caseload%'!$B$43,'caseload data'!J:J),"")</f>
        <v/>
      </c>
      <c r="I45" s="209" t="str">
        <f>IFERROR(SUMIFS('caseload data'!K:K,'caseload data'!$C:$C,'divisional &amp; regional caseload%'!$B$43,'caseload data'!$D:$D,"PO")/SUMIF('caseload data'!$C:$C,'divisional &amp; regional caseload%'!$B$43,'caseload data'!K:K),"")</f>
        <v/>
      </c>
      <c r="J45" s="209" t="str">
        <f>IFERROR(SUMIFS('caseload data'!L:L,'caseload data'!$C:$C,'divisional &amp; regional caseload%'!$B$43,'caseload data'!$D:$D,"PO")/SUMIF('caseload data'!$C:$C,'divisional &amp; regional caseload%'!$B$43,'caseload data'!L:L),"")</f>
        <v/>
      </c>
      <c r="K45" s="209" t="str">
        <f>IFERROR(SUMIFS('caseload data'!M:M,'caseload data'!$C:$C,'divisional &amp; regional caseload%'!$B$43,'caseload data'!$D:$D,"PO")/SUMIF('caseload data'!$C:$C,'divisional &amp; regional caseload%'!$B$43,'caseload data'!M:M),"")</f>
        <v/>
      </c>
      <c r="L45" s="209" t="str">
        <f>IFERROR(SUMIFS('caseload data'!N:N,'caseload data'!$C:$C,'divisional &amp; regional caseload%'!$B$43,'caseload data'!$D:$D,"PO")/SUMIF('caseload data'!$C:$C,'divisional &amp; regional caseload%'!$B$43,'caseload data'!N:N),"")</f>
        <v/>
      </c>
      <c r="M45" s="209" t="str">
        <f>IFERROR(SUMIFS('caseload data'!O:O,'caseload data'!$C:$C,'divisional &amp; regional caseload%'!$B$43,'caseload data'!$D:$D,"PO")/SUMIF('caseload data'!$C:$C,'divisional &amp; regional caseload%'!$B$43,'caseload data'!O:O),"")</f>
        <v/>
      </c>
      <c r="N45" s="209" t="str">
        <f>IFERROR(SUMIFS('caseload data'!P:P,'caseload data'!$C:$C,'divisional &amp; regional caseload%'!$B$43,'caseload data'!$D:$D,"PO")/SUMIF('caseload data'!$C:$C,'divisional &amp; regional caseload%'!$B$43,'caseload data'!P:P),"")</f>
        <v/>
      </c>
      <c r="O45" s="209" t="str">
        <f>IFERROR(SUMIFS('caseload data'!Q:Q,'caseload data'!$C:$C,'divisional &amp; regional caseload%'!$B$43,'caseload data'!$D:$D,"PO")/SUMIF('caseload data'!$C:$C,'divisional &amp; regional caseload%'!$B$43,'caseload data'!Q:Q),"")</f>
        <v/>
      </c>
      <c r="P45" s="209" t="str">
        <f>IFERROR(SUMIFS('caseload data'!R:R,'caseload data'!$C:$C,'divisional &amp; regional caseload%'!$B$43,'caseload data'!$D:$D,"PO")/SUMIF('caseload data'!$C:$C,'divisional &amp; regional caseload%'!$B$43,'caseload data'!R:R),"")</f>
        <v/>
      </c>
      <c r="Q45" s="209" t="str">
        <f>IFERROR(SUMIFS('caseload data'!S:S,'caseload data'!$C:$C,'divisional &amp; regional caseload%'!$B$43,'caseload data'!$D:$D,"PO")/SUMIF('caseload data'!$C:$C,'divisional &amp; regional caseload%'!$B$43,'caseload data'!S:S),"")</f>
        <v/>
      </c>
      <c r="R45" s="209" t="str">
        <f>IFERROR(SUMIFS('caseload data'!T:T,'caseload data'!$C:$C,'divisional &amp; regional caseload%'!$B$43,'caseload data'!$D:$D,"PO")/SUMIF('caseload data'!$C:$C,'divisional &amp; regional caseload%'!$B$43,'caseload data'!T:T),"")</f>
        <v/>
      </c>
      <c r="S45" s="95"/>
      <c r="T45" s="129" t="s">
        <v>184</v>
      </c>
      <c r="U45" s="209" t="str">
        <f>IFERROR(SUMIFS('caseload data'!E:E,'caseload data'!$C:$C,'divisional &amp; regional caseload%'!$T$43,'caseload data'!$D:$D,"PO")/SUMIF('caseload data'!$C:$C,'divisional &amp; regional caseload%'!$T$43,'caseload data'!E:E),"")</f>
        <v/>
      </c>
      <c r="V45" s="209" t="str">
        <f>IFERROR(SUMIFS('caseload data'!F:F,'caseload data'!$C:$C,'divisional &amp; regional caseload%'!$T$43,'caseload data'!$D:$D,"PO")/SUMIF('caseload data'!$C:$C,'divisional &amp; regional caseload%'!$T$43,'caseload data'!F:F),"")</f>
        <v/>
      </c>
      <c r="W45" s="209" t="str">
        <f>IFERROR(SUMIFS('caseload data'!G:G,'caseload data'!$C:$C,'divisional &amp; regional caseload%'!$T$43,'caseload data'!$D:$D,"PO")/SUMIF('caseload data'!$C:$C,'divisional &amp; regional caseload%'!$T$43,'caseload data'!G:G),"")</f>
        <v/>
      </c>
      <c r="X45" s="209" t="str">
        <f>IFERROR(SUMIFS('caseload data'!H:H,'caseload data'!$C:$C,'divisional &amp; regional caseload%'!$T$43,'caseload data'!$D:$D,"PO")/SUMIF('caseload data'!$C:$C,'divisional &amp; regional caseload%'!$T$43,'caseload data'!H:H),"")</f>
        <v/>
      </c>
      <c r="Y45" s="209" t="str">
        <f>IFERROR(SUMIFS('caseload data'!I:I,'caseload data'!$C:$C,'divisional &amp; regional caseload%'!$T$43,'caseload data'!$D:$D,"PO")/SUMIF('caseload data'!$C:$C,'divisional &amp; regional caseload%'!$T$43,'caseload data'!I:I),"")</f>
        <v/>
      </c>
      <c r="Z45" s="209" t="str">
        <f>IFERROR(SUMIFS('caseload data'!J:J,'caseload data'!$C:$C,'divisional &amp; regional caseload%'!$T$43,'caseload data'!$D:$D,"PO")/SUMIF('caseload data'!$C:$C,'divisional &amp; regional caseload%'!$T$43,'caseload data'!J:J),"")</f>
        <v/>
      </c>
      <c r="AA45" s="209" t="str">
        <f>IFERROR(SUMIFS('caseload data'!K:K,'caseload data'!$C:$C,'divisional &amp; regional caseload%'!$T$43,'caseload data'!$D:$D,"PO")/SUMIF('caseload data'!$C:$C,'divisional &amp; regional caseload%'!$T$43,'caseload data'!K:K),"")</f>
        <v/>
      </c>
      <c r="AB45" s="209" t="str">
        <f>IFERROR(SUMIFS('caseload data'!L:L,'caseload data'!$C:$C,'divisional &amp; regional caseload%'!$T$43,'caseload data'!$D:$D,"PO")/SUMIF('caseload data'!$C:$C,'divisional &amp; regional caseload%'!$T$43,'caseload data'!L:L),"")</f>
        <v/>
      </c>
      <c r="AC45" s="209" t="str">
        <f>IFERROR(SUMIFS('caseload data'!M:M,'caseload data'!$C:$C,'divisional &amp; regional caseload%'!$T$43,'caseload data'!$D:$D,"PO")/SUMIF('caseload data'!$C:$C,'divisional &amp; regional caseload%'!$T$43,'caseload data'!M:M),"")</f>
        <v/>
      </c>
      <c r="AD45" s="209" t="str">
        <f>IFERROR(SUMIFS('caseload data'!N:N,'caseload data'!$C:$C,'divisional &amp; regional caseload%'!$T$43,'caseload data'!$D:$D,"PO")/SUMIF('caseload data'!$C:$C,'divisional &amp; regional caseload%'!$T$43,'caseload data'!N:N),"")</f>
        <v/>
      </c>
      <c r="AE45" s="209" t="str">
        <f>IFERROR(SUMIFS('caseload data'!O:O,'caseload data'!$C:$C,'divisional &amp; regional caseload%'!$T$43,'caseload data'!$D:$D,"PO")/SUMIF('caseload data'!$C:$C,'divisional &amp; regional caseload%'!$T$43,'caseload data'!O:O),"")</f>
        <v/>
      </c>
      <c r="AF45" s="209" t="str">
        <f>IFERROR(SUMIFS('caseload data'!P:P,'caseload data'!$C:$C,'divisional &amp; regional caseload%'!$T$43,'caseload data'!$D:$D,"PO")/SUMIF('caseload data'!$C:$C,'divisional &amp; regional caseload%'!$T$43,'caseload data'!P:P),"")</f>
        <v/>
      </c>
      <c r="AG45" s="209" t="str">
        <f>IFERROR(SUMIFS('caseload data'!Q:Q,'caseload data'!$C:$C,'divisional &amp; regional caseload%'!$T$43,'caseload data'!$D:$D,"PO")/SUMIF('caseload data'!$C:$C,'divisional &amp; regional caseload%'!$T$43,'caseload data'!Q:Q),"")</f>
        <v/>
      </c>
      <c r="AH45" s="209" t="str">
        <f>IFERROR(SUMIFS('caseload data'!R:R,'caseload data'!$C:$C,'divisional &amp; regional caseload%'!$T$43,'caseload data'!$D:$D,"PO")/SUMIF('caseload data'!$C:$C,'divisional &amp; regional caseload%'!$T$43,'caseload data'!R:R),"")</f>
        <v/>
      </c>
      <c r="AI45" s="209" t="str">
        <f>IFERROR(SUMIFS('caseload data'!S:S,'caseload data'!$C:$C,'divisional &amp; regional caseload%'!$T$43,'caseload data'!$D:$D,"PO")/SUMIF('caseload data'!$C:$C,'divisional &amp; regional caseload%'!$T$43,'caseload data'!S:S),"")</f>
        <v/>
      </c>
      <c r="AJ45" s="209" t="str">
        <f>IFERROR(SUMIFS('caseload data'!T:T,'caseload data'!$C:$C,'divisional &amp; regional caseload%'!$T$43,'caseload data'!$D:$D,"PO")/SUMIF('caseload data'!$C:$C,'divisional &amp; regional caseload%'!$T$43,'caseload data'!T:T),"")</f>
        <v/>
      </c>
    </row>
    <row r="46" spans="2:36" x14ac:dyDescent="0.15">
      <c r="B46" s="130" t="s">
        <v>185</v>
      </c>
      <c r="C46" s="209" t="str">
        <f>IFERROR(SUMIFS('caseload data'!E:E,'caseload data'!$C:$C,'divisional &amp; regional caseload%'!$B$43,'caseload data'!$D:$D,"PSO")/SUMIF('caseload data'!$C:$C,'divisional &amp; regional caseload%'!$B$43,'caseload data'!E:E),"")</f>
        <v/>
      </c>
      <c r="D46" s="209" t="str">
        <f>IFERROR(SUMIFS('caseload data'!F:F,'caseload data'!$C:$C,'divisional &amp; regional caseload%'!$B$43,'caseload data'!$D:$D,"PSO")/SUMIF('caseload data'!$C:$C,'divisional &amp; regional caseload%'!$B$43,'caseload data'!F:F),"")</f>
        <v/>
      </c>
      <c r="E46" s="209" t="str">
        <f>IFERROR(SUMIFS('caseload data'!G:G,'caseload data'!$C:$C,'divisional &amp; regional caseload%'!$B$43,'caseload data'!$D:$D,"PSO")/SUMIF('caseload data'!$C:$C,'divisional &amp; regional caseload%'!$B$43,'caseload data'!G:G),"")</f>
        <v/>
      </c>
      <c r="F46" s="209" t="str">
        <f>IFERROR(SUMIFS('caseload data'!H:H,'caseload data'!$C:$C,'divisional &amp; regional caseload%'!$B$43,'caseload data'!$D:$D,"PSO")/SUMIF('caseload data'!$C:$C,'divisional &amp; regional caseload%'!$B$43,'caseload data'!H:H),"")</f>
        <v/>
      </c>
      <c r="G46" s="209" t="str">
        <f>IFERROR(SUMIFS('caseload data'!I:I,'caseload data'!$C:$C,'divisional &amp; regional caseload%'!$B$43,'caseload data'!$D:$D,"PSO")/SUMIF('caseload data'!$C:$C,'divisional &amp; regional caseload%'!$B$43,'caseload data'!I:I),"")</f>
        <v/>
      </c>
      <c r="H46" s="209" t="str">
        <f>IFERROR(SUMIFS('caseload data'!J:J,'caseload data'!$C:$C,'divisional &amp; regional caseload%'!$B$43,'caseload data'!$D:$D,"PSO")/SUMIF('caseload data'!$C:$C,'divisional &amp; regional caseload%'!$B$43,'caseload data'!J:J),"")</f>
        <v/>
      </c>
      <c r="I46" s="209" t="str">
        <f>IFERROR(SUMIFS('caseload data'!K:K,'caseload data'!$C:$C,'divisional &amp; regional caseload%'!$B$43,'caseload data'!$D:$D,"PSO")/SUMIF('caseload data'!$C:$C,'divisional &amp; regional caseload%'!$B$43,'caseload data'!K:K),"")</f>
        <v/>
      </c>
      <c r="J46" s="209" t="str">
        <f>IFERROR(SUMIFS('caseload data'!L:L,'caseload data'!$C:$C,'divisional &amp; regional caseload%'!$B$43,'caseload data'!$D:$D,"PSO")/SUMIF('caseload data'!$C:$C,'divisional &amp; regional caseload%'!$B$43,'caseload data'!L:L),"")</f>
        <v/>
      </c>
      <c r="K46" s="209" t="str">
        <f>IFERROR(SUMIFS('caseload data'!M:M,'caseload data'!$C:$C,'divisional &amp; regional caseload%'!$B$43,'caseload data'!$D:$D,"PSO")/SUMIF('caseload data'!$C:$C,'divisional &amp; regional caseload%'!$B$43,'caseload data'!M:M),"")</f>
        <v/>
      </c>
      <c r="L46" s="209" t="str">
        <f>IFERROR(SUMIFS('caseload data'!N:N,'caseload data'!$C:$C,'divisional &amp; regional caseload%'!$B$43,'caseload data'!$D:$D,"PSO")/SUMIF('caseload data'!$C:$C,'divisional &amp; regional caseload%'!$B$43,'caseload data'!N:N),"")</f>
        <v/>
      </c>
      <c r="M46" s="209" t="str">
        <f>IFERROR(SUMIFS('caseload data'!O:O,'caseload data'!$C:$C,'divisional &amp; regional caseload%'!$B$43,'caseload data'!$D:$D,"PSO")/SUMIF('caseload data'!$C:$C,'divisional &amp; regional caseload%'!$B$43,'caseload data'!O:O),"")</f>
        <v/>
      </c>
      <c r="N46" s="209" t="str">
        <f>IFERROR(SUMIFS('caseload data'!P:P,'caseload data'!$C:$C,'divisional &amp; regional caseload%'!$B$43,'caseload data'!$D:$D,"PSO")/SUMIF('caseload data'!$C:$C,'divisional &amp; regional caseload%'!$B$43,'caseload data'!P:P),"")</f>
        <v/>
      </c>
      <c r="O46" s="209" t="str">
        <f>IFERROR(SUMIFS('caseload data'!Q:Q,'caseload data'!$C:$C,'divisional &amp; regional caseload%'!$B$43,'caseload data'!$D:$D,"PSO")/SUMIF('caseload data'!$C:$C,'divisional &amp; regional caseload%'!$B$43,'caseload data'!Q:Q),"")</f>
        <v/>
      </c>
      <c r="P46" s="209" t="str">
        <f>IFERROR(SUMIFS('caseload data'!R:R,'caseload data'!$C:$C,'divisional &amp; regional caseload%'!$B$43,'caseload data'!$D:$D,"PSO")/SUMIF('caseload data'!$C:$C,'divisional &amp; regional caseload%'!$B$43,'caseload data'!R:R),"")</f>
        <v/>
      </c>
      <c r="Q46" s="209" t="str">
        <f>IFERROR(SUMIFS('caseload data'!S:S,'caseload data'!$C:$C,'divisional &amp; regional caseload%'!$B$43,'caseload data'!$D:$D,"PSO")/SUMIF('caseload data'!$C:$C,'divisional &amp; regional caseload%'!$B$43,'caseload data'!S:S),"")</f>
        <v/>
      </c>
      <c r="R46" s="209" t="str">
        <f>IFERROR(SUMIFS('caseload data'!T:T,'caseload data'!$C:$C,'divisional &amp; regional caseload%'!$B$43,'caseload data'!$D:$D,"PSO")/SUMIF('caseload data'!$C:$C,'divisional &amp; regional caseload%'!$B$43,'caseload data'!T:T),"")</f>
        <v/>
      </c>
      <c r="S46" s="95"/>
      <c r="T46" s="130" t="s">
        <v>185</v>
      </c>
      <c r="U46" s="209" t="str">
        <f>IFERROR(SUMIFS('caseload data'!E:E,'caseload data'!$C:$C,'divisional &amp; regional caseload%'!$T$43,'caseload data'!$D:$D,"PSO")/SUMIF('caseload data'!$C:$C,'divisional &amp; regional caseload%'!$T$36,'caseload data'!E:E),"")</f>
        <v/>
      </c>
      <c r="V46" s="209" t="str">
        <f>IFERROR(SUMIFS('caseload data'!F:F,'caseload data'!$C:$C,'divisional &amp; regional caseload%'!$T$43,'caseload data'!$D:$D,"PSO")/SUMIF('caseload data'!$C:$C,'divisional &amp; regional caseload%'!$T$36,'caseload data'!F:F),"")</f>
        <v/>
      </c>
      <c r="W46" s="209" t="str">
        <f>IFERROR(SUMIFS('caseload data'!G:G,'caseload data'!$C:$C,'divisional &amp; regional caseload%'!$T$43,'caseload data'!$D:$D,"PSO")/SUMIF('caseload data'!$C:$C,'divisional &amp; regional caseload%'!$T$36,'caseload data'!G:G),"")</f>
        <v/>
      </c>
      <c r="X46" s="209" t="str">
        <f>IFERROR(SUMIFS('caseload data'!H:H,'caseload data'!$C:$C,'divisional &amp; regional caseload%'!$T$43,'caseload data'!$D:$D,"PSO")/SUMIF('caseload data'!$C:$C,'divisional &amp; regional caseload%'!$T$36,'caseload data'!H:H),"")</f>
        <v/>
      </c>
      <c r="Y46" s="209" t="str">
        <f>IFERROR(SUMIFS('caseload data'!I:I,'caseload data'!$C:$C,'divisional &amp; regional caseload%'!$T$43,'caseload data'!$D:$D,"PSO")/SUMIF('caseload data'!$C:$C,'divisional &amp; regional caseload%'!$T$36,'caseload data'!I:I),"")</f>
        <v/>
      </c>
      <c r="Z46" s="209" t="str">
        <f>IFERROR(SUMIFS('caseload data'!J:J,'caseload data'!$C:$C,'divisional &amp; regional caseload%'!$T$43,'caseload data'!$D:$D,"PSO")/SUMIF('caseload data'!$C:$C,'divisional &amp; regional caseload%'!$T$36,'caseload data'!J:J),"")</f>
        <v/>
      </c>
      <c r="AA46" s="209" t="str">
        <f>IFERROR(SUMIFS('caseload data'!K:K,'caseload data'!$C:$C,'divisional &amp; regional caseload%'!$T$43,'caseload data'!$D:$D,"PSO")/SUMIF('caseload data'!$C:$C,'divisional &amp; regional caseload%'!$T$36,'caseload data'!K:K),"")</f>
        <v/>
      </c>
      <c r="AB46" s="209" t="str">
        <f>IFERROR(SUMIFS('caseload data'!L:L,'caseload data'!$C:$C,'divisional &amp; regional caseload%'!$T$43,'caseload data'!$D:$D,"PSO")/SUMIF('caseload data'!$C:$C,'divisional &amp; regional caseload%'!$T$36,'caseload data'!L:L),"")</f>
        <v/>
      </c>
      <c r="AC46" s="209" t="str">
        <f>IFERROR(SUMIFS('caseload data'!M:M,'caseload data'!$C:$C,'divisional &amp; regional caseload%'!$T$43,'caseload data'!$D:$D,"PSO")/SUMIF('caseload data'!$C:$C,'divisional &amp; regional caseload%'!$T$36,'caseload data'!M:M),"")</f>
        <v/>
      </c>
      <c r="AD46" s="209" t="str">
        <f>IFERROR(SUMIFS('caseload data'!N:N,'caseload data'!$C:$C,'divisional &amp; regional caseload%'!$T$43,'caseload data'!$D:$D,"PSO")/SUMIF('caseload data'!$C:$C,'divisional &amp; regional caseload%'!$T$36,'caseload data'!N:N),"")</f>
        <v/>
      </c>
      <c r="AE46" s="209" t="str">
        <f>IFERROR(SUMIFS('caseload data'!O:O,'caseload data'!$C:$C,'divisional &amp; regional caseload%'!$T$43,'caseload data'!$D:$D,"PSO")/SUMIF('caseload data'!$C:$C,'divisional &amp; regional caseload%'!$T$36,'caseload data'!O:O),"")</f>
        <v/>
      </c>
      <c r="AF46" s="209" t="str">
        <f>IFERROR(SUMIFS('caseload data'!P:P,'caseload data'!$C:$C,'divisional &amp; regional caseload%'!$T$43,'caseload data'!$D:$D,"PSO")/SUMIF('caseload data'!$C:$C,'divisional &amp; regional caseload%'!$T$36,'caseload data'!P:P),"")</f>
        <v/>
      </c>
      <c r="AG46" s="209" t="str">
        <f>IFERROR(SUMIFS('caseload data'!Q:Q,'caseload data'!$C:$C,'divisional &amp; regional caseload%'!$T$43,'caseload data'!$D:$D,"PSO")/SUMIF('caseload data'!$C:$C,'divisional &amp; regional caseload%'!$T$36,'caseload data'!Q:Q),"")</f>
        <v/>
      </c>
      <c r="AH46" s="209" t="str">
        <f>IFERROR(SUMIFS('caseload data'!R:R,'caseload data'!$C:$C,'divisional &amp; regional caseload%'!$T$43,'caseload data'!$D:$D,"PSO")/SUMIF('caseload data'!$C:$C,'divisional &amp; regional caseload%'!$T$36,'caseload data'!R:R),"")</f>
        <v/>
      </c>
      <c r="AI46" s="209" t="str">
        <f>IFERROR(SUMIFS('caseload data'!S:S,'caseload data'!$C:$C,'divisional &amp; regional caseload%'!$T$43,'caseload data'!$D:$D,"PSO")/SUMIF('caseload data'!$C:$C,'divisional &amp; regional caseload%'!$T$36,'caseload data'!S:S),"")</f>
        <v/>
      </c>
      <c r="AJ46" s="209" t="str">
        <f>IFERROR(SUMIFS('caseload data'!T:T,'caseload data'!$C:$C,'divisional &amp; regional caseload%'!$T$43,'caseload data'!$D:$D,"PSO")/SUMIF('caseload data'!$C:$C,'divisional &amp; regional caseload%'!$T$36,'caseload data'!T:T),"")</f>
        <v/>
      </c>
    </row>
    <row r="47" spans="2:36" x14ac:dyDescent="0.15">
      <c r="B47" s="130" t="s">
        <v>186</v>
      </c>
      <c r="C47" s="209" t="str">
        <f>IFERROR(SUMIFS('caseload data'!E:E,'caseload data'!$C:$C,'divisional &amp; regional caseload%'!$B$43,'caseload data'!$D:$D,"TPO")/SUMIF('caseload data'!$C:$C,'divisional &amp; regional caseload%'!$B$43,'caseload data'!E:E),"")</f>
        <v/>
      </c>
      <c r="D47" s="209" t="str">
        <f>IFERROR(SUMIFS('caseload data'!F:F,'caseload data'!$C:$C,'divisional &amp; regional caseload%'!$B$43,'caseload data'!$D:$D,"TPO")/SUMIF('caseload data'!$C:$C,'divisional &amp; regional caseload%'!$B$43,'caseload data'!F:F),"")</f>
        <v/>
      </c>
      <c r="E47" s="209" t="str">
        <f>IFERROR(SUMIFS('caseload data'!G:G,'caseload data'!$C:$C,'divisional &amp; regional caseload%'!$B$43,'caseload data'!$D:$D,"TPO")/SUMIF('caseload data'!$C:$C,'divisional &amp; regional caseload%'!$B$43,'caseload data'!G:G),"")</f>
        <v/>
      </c>
      <c r="F47" s="209" t="str">
        <f>IFERROR(SUMIFS('caseload data'!H:H,'caseload data'!$C:$C,'divisional &amp; regional caseload%'!$B$43,'caseload data'!$D:$D,"TPO")/SUMIF('caseload data'!$C:$C,'divisional &amp; regional caseload%'!$B$43,'caseload data'!H:H),"")</f>
        <v/>
      </c>
      <c r="G47" s="209" t="str">
        <f>IFERROR(SUMIFS('caseload data'!I:I,'caseload data'!$C:$C,'divisional &amp; regional caseload%'!$B$43,'caseload data'!$D:$D,"TPO")/SUMIF('caseload data'!$C:$C,'divisional &amp; regional caseload%'!$B$43,'caseload data'!I:I),"")</f>
        <v/>
      </c>
      <c r="H47" s="209" t="str">
        <f>IFERROR(SUMIFS('caseload data'!J:J,'caseload data'!$C:$C,'divisional &amp; regional caseload%'!$B$43,'caseload data'!$D:$D,"TPO")/SUMIF('caseload data'!$C:$C,'divisional &amp; regional caseload%'!$B$43,'caseload data'!J:J),"")</f>
        <v/>
      </c>
      <c r="I47" s="209" t="str">
        <f>IFERROR(SUMIFS('caseload data'!K:K,'caseload data'!$C:$C,'divisional &amp; regional caseload%'!$B$43,'caseload data'!$D:$D,"TPO")/SUMIF('caseload data'!$C:$C,'divisional &amp; regional caseload%'!$B$43,'caseload data'!K:K),"")</f>
        <v/>
      </c>
      <c r="J47" s="209" t="str">
        <f>IFERROR(SUMIFS('caseload data'!L:L,'caseload data'!$C:$C,'divisional &amp; regional caseload%'!$B$43,'caseload data'!$D:$D,"TPO")/SUMIF('caseload data'!$C:$C,'divisional &amp; regional caseload%'!$B$43,'caseload data'!L:L),"")</f>
        <v/>
      </c>
      <c r="K47" s="209" t="str">
        <f>IFERROR(SUMIFS('caseload data'!M:M,'caseload data'!$C:$C,'divisional &amp; regional caseload%'!$B$43,'caseload data'!$D:$D,"TPO")/SUMIF('caseload data'!$C:$C,'divisional &amp; regional caseload%'!$B$43,'caseload data'!M:M),"")</f>
        <v/>
      </c>
      <c r="L47" s="209" t="str">
        <f>IFERROR(SUMIFS('caseload data'!N:N,'caseload data'!$C:$C,'divisional &amp; regional caseload%'!$B$43,'caseload data'!$D:$D,"TPO")/SUMIF('caseload data'!$C:$C,'divisional &amp; regional caseload%'!$B$43,'caseload data'!N:N),"")</f>
        <v/>
      </c>
      <c r="M47" s="209" t="str">
        <f>IFERROR(SUMIFS('caseload data'!O:O,'caseload data'!$C:$C,'divisional &amp; regional caseload%'!$B$43,'caseload data'!$D:$D,"TPO")/SUMIF('caseload data'!$C:$C,'divisional &amp; regional caseload%'!$B$43,'caseload data'!O:O),"")</f>
        <v/>
      </c>
      <c r="N47" s="209" t="str">
        <f>IFERROR(SUMIFS('caseload data'!P:P,'caseload data'!$C:$C,'divisional &amp; regional caseload%'!$B$43,'caseload data'!$D:$D,"TPO")/SUMIF('caseload data'!$C:$C,'divisional &amp; regional caseload%'!$B$43,'caseload data'!P:P),"")</f>
        <v/>
      </c>
      <c r="O47" s="209" t="str">
        <f>IFERROR(SUMIFS('caseload data'!Q:Q,'caseload data'!$C:$C,'divisional &amp; regional caseload%'!$B$43,'caseload data'!$D:$D,"TPO")/SUMIF('caseload data'!$C:$C,'divisional &amp; regional caseload%'!$B$43,'caseload data'!Q:Q),"")</f>
        <v/>
      </c>
      <c r="P47" s="209" t="str">
        <f>IFERROR(SUMIFS('caseload data'!R:R,'caseload data'!$C:$C,'divisional &amp; regional caseload%'!$B$43,'caseload data'!$D:$D,"TPO")/SUMIF('caseload data'!$C:$C,'divisional &amp; regional caseload%'!$B$43,'caseload data'!R:R),"")</f>
        <v/>
      </c>
      <c r="Q47" s="209" t="str">
        <f>IFERROR(SUMIFS('caseload data'!S:S,'caseload data'!$C:$C,'divisional &amp; regional caseload%'!$B$43,'caseload data'!$D:$D,"TPO")/SUMIF('caseload data'!$C:$C,'divisional &amp; regional caseload%'!$B$43,'caseload data'!S:S),"")</f>
        <v/>
      </c>
      <c r="R47" s="209" t="str">
        <f>IFERROR(SUMIFS('caseload data'!T:T,'caseload data'!$C:$C,'divisional &amp; regional caseload%'!$B$43,'caseload data'!$D:$D,"TPO")/SUMIF('caseload data'!$C:$C,'divisional &amp; regional caseload%'!$B$43,'caseload data'!T:T),"")</f>
        <v/>
      </c>
      <c r="S47" s="95"/>
      <c r="T47" s="130" t="s">
        <v>186</v>
      </c>
      <c r="U47" s="209" t="str">
        <f>IFERROR(SUMIFS('caseload data'!E:E,'caseload data'!$C:$C,'divisional &amp; regional caseload%'!$T$43,'caseload data'!$D:$D,"TPO")/SUMIF('caseload data'!$C:$C,'divisional &amp; regional caseload%'!$T$36,'caseload data'!E:E),"")</f>
        <v/>
      </c>
      <c r="V47" s="209" t="str">
        <f>IFERROR(SUMIFS('caseload data'!F:F,'caseload data'!$C:$C,'divisional &amp; regional caseload%'!$T$43,'caseload data'!$D:$D,"TPO")/SUMIF('caseload data'!$C:$C,'divisional &amp; regional caseload%'!$T$36,'caseload data'!F:F),"")</f>
        <v/>
      </c>
      <c r="W47" s="209" t="str">
        <f>IFERROR(SUMIFS('caseload data'!G:G,'caseload data'!$C:$C,'divisional &amp; regional caseload%'!$T$43,'caseload data'!$D:$D,"TPO")/SUMIF('caseload data'!$C:$C,'divisional &amp; regional caseload%'!$T$36,'caseload data'!G:G),"")</f>
        <v/>
      </c>
      <c r="X47" s="209" t="str">
        <f>IFERROR(SUMIFS('caseload data'!H:H,'caseload data'!$C:$C,'divisional &amp; regional caseload%'!$T$43,'caseload data'!$D:$D,"TPO")/SUMIF('caseload data'!$C:$C,'divisional &amp; regional caseload%'!$T$36,'caseload data'!H:H),"")</f>
        <v/>
      </c>
      <c r="Y47" s="209" t="str">
        <f>IFERROR(SUMIFS('caseload data'!I:I,'caseload data'!$C:$C,'divisional &amp; regional caseload%'!$T$43,'caseload data'!$D:$D,"TPO")/SUMIF('caseload data'!$C:$C,'divisional &amp; regional caseload%'!$T$36,'caseload data'!I:I),"")</f>
        <v/>
      </c>
      <c r="Z47" s="209" t="str">
        <f>IFERROR(SUMIFS('caseload data'!J:J,'caseload data'!$C:$C,'divisional &amp; regional caseload%'!$T$43,'caseload data'!$D:$D,"TPO")/SUMIF('caseload data'!$C:$C,'divisional &amp; regional caseload%'!$T$36,'caseload data'!J:J),"")</f>
        <v/>
      </c>
      <c r="AA47" s="209" t="str">
        <f>IFERROR(SUMIFS('caseload data'!K:K,'caseload data'!$C:$C,'divisional &amp; regional caseload%'!$T$43,'caseload data'!$D:$D,"TPO")/SUMIF('caseload data'!$C:$C,'divisional &amp; regional caseload%'!$T$36,'caseload data'!K:K),"")</f>
        <v/>
      </c>
      <c r="AB47" s="209" t="str">
        <f>IFERROR(SUMIFS('caseload data'!L:L,'caseload data'!$C:$C,'divisional &amp; regional caseload%'!$T$43,'caseload data'!$D:$D,"TPO")/SUMIF('caseload data'!$C:$C,'divisional &amp; regional caseload%'!$T$36,'caseload data'!L:L),"")</f>
        <v/>
      </c>
      <c r="AC47" s="209" t="str">
        <f>IFERROR(SUMIFS('caseload data'!M:M,'caseload data'!$C:$C,'divisional &amp; regional caseload%'!$T$43,'caseload data'!$D:$D,"TPO")/SUMIF('caseload data'!$C:$C,'divisional &amp; regional caseload%'!$T$36,'caseload data'!M:M),"")</f>
        <v/>
      </c>
      <c r="AD47" s="209" t="str">
        <f>IFERROR(SUMIFS('caseload data'!N:N,'caseload data'!$C:$C,'divisional &amp; regional caseload%'!$T$43,'caseload data'!$D:$D,"TPO")/SUMIF('caseload data'!$C:$C,'divisional &amp; regional caseload%'!$T$36,'caseload data'!N:N),"")</f>
        <v/>
      </c>
      <c r="AE47" s="209" t="str">
        <f>IFERROR(SUMIFS('caseload data'!O:O,'caseload data'!$C:$C,'divisional &amp; regional caseload%'!$T$43,'caseload data'!$D:$D,"TPO")/SUMIF('caseload data'!$C:$C,'divisional &amp; regional caseload%'!$T$36,'caseload data'!O:O),"")</f>
        <v/>
      </c>
      <c r="AF47" s="209" t="str">
        <f>IFERROR(SUMIFS('caseload data'!P:P,'caseload data'!$C:$C,'divisional &amp; regional caseload%'!$T$43,'caseload data'!$D:$D,"TPO")/SUMIF('caseload data'!$C:$C,'divisional &amp; regional caseload%'!$T$36,'caseload data'!P:P),"")</f>
        <v/>
      </c>
      <c r="AG47" s="209" t="str">
        <f>IFERROR(SUMIFS('caseload data'!Q:Q,'caseload data'!$C:$C,'divisional &amp; regional caseload%'!$T$43,'caseload data'!$D:$D,"TPO")/SUMIF('caseload data'!$C:$C,'divisional &amp; regional caseload%'!$T$36,'caseload data'!Q:Q),"")</f>
        <v/>
      </c>
      <c r="AH47" s="209" t="str">
        <f>IFERROR(SUMIFS('caseload data'!R:R,'caseload data'!$C:$C,'divisional &amp; regional caseload%'!$T$43,'caseload data'!$D:$D,"TPO")/SUMIF('caseload data'!$C:$C,'divisional &amp; regional caseload%'!$T$36,'caseload data'!R:R),"")</f>
        <v/>
      </c>
      <c r="AI47" s="209" t="str">
        <f>IFERROR(SUMIFS('caseload data'!S:S,'caseload data'!$C:$C,'divisional &amp; regional caseload%'!$T$43,'caseload data'!$D:$D,"TPO")/SUMIF('caseload data'!$C:$C,'divisional &amp; regional caseload%'!$T$36,'caseload data'!S:S),"")</f>
        <v/>
      </c>
      <c r="AJ47" s="209" t="str">
        <f>IFERROR(SUMIFS('caseload data'!T:T,'caseload data'!$C:$C,'divisional &amp; regional caseload%'!$T$43,'caseload data'!$D:$D,"TPO")/SUMIF('caseload data'!$C:$C,'divisional &amp; regional caseload%'!$T$36,'caseload data'!T:T),"")</f>
        <v/>
      </c>
    </row>
    <row r="48" spans="2:36" x14ac:dyDescent="0.15">
      <c r="B48" s="131" t="s">
        <v>187</v>
      </c>
      <c r="C48" s="209" t="str">
        <f>IFERROR(SUMIFS('caseload data'!E:E,'caseload data'!$C:$C,'divisional &amp; regional caseload%'!$B$43,'caseload data'!$D:$D,"SPO")/SUMIF('caseload data'!$C:$C,'divisional &amp; regional caseload%'!$B$43,'caseload data'!E:E),"")</f>
        <v/>
      </c>
      <c r="D48" s="209" t="str">
        <f>IFERROR(SUMIFS('caseload data'!F:F,'caseload data'!$C:$C,'divisional &amp; regional caseload%'!$B$43,'caseload data'!$D:$D,"SPO")/SUMIF('caseload data'!$C:$C,'divisional &amp; regional caseload%'!$B$43,'caseload data'!F:F),"")</f>
        <v/>
      </c>
      <c r="E48" s="209" t="str">
        <f>IFERROR(SUMIFS('caseload data'!G:G,'caseload data'!$C:$C,'divisional &amp; regional caseload%'!$B$43,'caseload data'!$D:$D,"SPO")/SUMIF('caseload data'!$C:$C,'divisional &amp; regional caseload%'!$B$43,'caseload data'!G:G),"")</f>
        <v/>
      </c>
      <c r="F48" s="209" t="str">
        <f>IFERROR(SUMIFS('caseload data'!H:H,'caseload data'!$C:$C,'divisional &amp; regional caseload%'!$B$43,'caseload data'!$D:$D,"SPO")/SUMIF('caseload data'!$C:$C,'divisional &amp; regional caseload%'!$B$43,'caseload data'!H:H),"")</f>
        <v/>
      </c>
      <c r="G48" s="209" t="str">
        <f>IFERROR(SUMIFS('caseload data'!I:I,'caseload data'!$C:$C,'divisional &amp; regional caseload%'!$B$43,'caseload data'!$D:$D,"SPO")/SUMIF('caseload data'!$C:$C,'divisional &amp; regional caseload%'!$B$43,'caseload data'!I:I),"")</f>
        <v/>
      </c>
      <c r="H48" s="209" t="str">
        <f>IFERROR(SUMIFS('caseload data'!J:J,'caseload data'!$C:$C,'divisional &amp; regional caseload%'!$B$43,'caseload data'!$D:$D,"SPO")/SUMIF('caseload data'!$C:$C,'divisional &amp; regional caseload%'!$B$43,'caseload data'!J:J),"")</f>
        <v/>
      </c>
      <c r="I48" s="209" t="str">
        <f>IFERROR(SUMIFS('caseload data'!K:K,'caseload data'!$C:$C,'divisional &amp; regional caseload%'!$B$43,'caseload data'!$D:$D,"SPO")/SUMIF('caseload data'!$C:$C,'divisional &amp; regional caseload%'!$B$43,'caseload data'!K:K),"")</f>
        <v/>
      </c>
      <c r="J48" s="209" t="str">
        <f>IFERROR(SUMIFS('caseload data'!L:L,'caseload data'!$C:$C,'divisional &amp; regional caseload%'!$B$43,'caseload data'!$D:$D,"SPO")/SUMIF('caseload data'!$C:$C,'divisional &amp; regional caseload%'!$B$43,'caseload data'!L:L),"")</f>
        <v/>
      </c>
      <c r="K48" s="209" t="str">
        <f>IFERROR(SUMIFS('caseload data'!M:M,'caseload data'!$C:$C,'divisional &amp; regional caseload%'!$B$43,'caseload data'!$D:$D,"SPO")/SUMIF('caseload data'!$C:$C,'divisional &amp; regional caseload%'!$B$43,'caseload data'!M:M),"")</f>
        <v/>
      </c>
      <c r="L48" s="209" t="str">
        <f>IFERROR(SUMIFS('caseload data'!N:N,'caseload data'!$C:$C,'divisional &amp; regional caseload%'!$B$43,'caseload data'!$D:$D,"SPO")/SUMIF('caseload data'!$C:$C,'divisional &amp; regional caseload%'!$B$43,'caseload data'!N:N),"")</f>
        <v/>
      </c>
      <c r="M48" s="209" t="str">
        <f>IFERROR(SUMIFS('caseload data'!O:O,'caseload data'!$C:$C,'divisional &amp; regional caseload%'!$B$43,'caseload data'!$D:$D,"SPO")/SUMIF('caseload data'!$C:$C,'divisional &amp; regional caseload%'!$B$43,'caseload data'!O:O),"")</f>
        <v/>
      </c>
      <c r="N48" s="209" t="str">
        <f>IFERROR(SUMIFS('caseload data'!P:P,'caseload data'!$C:$C,'divisional &amp; regional caseload%'!$B$43,'caseload data'!$D:$D,"SPO")/SUMIF('caseload data'!$C:$C,'divisional &amp; regional caseload%'!$B$43,'caseload data'!P:P),"")</f>
        <v/>
      </c>
      <c r="O48" s="209" t="str">
        <f>IFERROR(SUMIFS('caseload data'!Q:Q,'caseload data'!$C:$C,'divisional &amp; regional caseload%'!$B$43,'caseload data'!$D:$D,"SPO")/SUMIF('caseload data'!$C:$C,'divisional &amp; regional caseload%'!$B$43,'caseload data'!Q:Q),"")</f>
        <v/>
      </c>
      <c r="P48" s="209" t="str">
        <f>IFERROR(SUMIFS('caseload data'!R:R,'caseload data'!$C:$C,'divisional &amp; regional caseload%'!$B$43,'caseload data'!$D:$D,"SPO")/SUMIF('caseload data'!$C:$C,'divisional &amp; regional caseload%'!$B$43,'caseload data'!R:R),"")</f>
        <v/>
      </c>
      <c r="Q48" s="209" t="str">
        <f>IFERROR(SUMIFS('caseload data'!S:S,'caseload data'!$C:$C,'divisional &amp; regional caseload%'!$B$43,'caseload data'!$D:$D,"SPO")/SUMIF('caseload data'!$C:$C,'divisional &amp; regional caseload%'!$B$43,'caseload data'!S:S),"")</f>
        <v/>
      </c>
      <c r="R48" s="209" t="str">
        <f>IFERROR(SUMIFS('caseload data'!T:T,'caseload data'!$C:$C,'divisional &amp; regional caseload%'!$B$43,'caseload data'!$D:$D,"SPO")/SUMIF('caseload data'!$C:$C,'divisional &amp; regional caseload%'!$B$43,'caseload data'!T:T),"")</f>
        <v/>
      </c>
      <c r="S48" s="95"/>
      <c r="T48" s="131" t="s">
        <v>187</v>
      </c>
      <c r="U48" s="209" t="str">
        <f>IFERROR(SUMIFS('caseload data'!E:E,'caseload data'!$C:$C,'divisional &amp; regional caseload%'!$T$43,'caseload data'!$D:$D,"SPO")/SUMIF('caseload data'!$C:$C,'divisional &amp; regional caseload%'!$T$36,'caseload data'!E:E),"")</f>
        <v/>
      </c>
      <c r="V48" s="209" t="str">
        <f>IFERROR(SUMIFS('caseload data'!F:F,'caseload data'!$C:$C,'divisional &amp; regional caseload%'!$T$43,'caseload data'!$D:$D,"SPO")/SUMIF('caseload data'!$C:$C,'divisional &amp; regional caseload%'!$T$36,'caseload data'!F:F),"")</f>
        <v/>
      </c>
      <c r="W48" s="209" t="str">
        <f>IFERROR(SUMIFS('caseload data'!G:G,'caseload data'!$C:$C,'divisional &amp; regional caseload%'!$T$43,'caseload data'!$D:$D,"SPO")/SUMIF('caseload data'!$C:$C,'divisional &amp; regional caseload%'!$T$36,'caseload data'!G:G),"")</f>
        <v/>
      </c>
      <c r="X48" s="209" t="str">
        <f>IFERROR(SUMIFS('caseload data'!H:H,'caseload data'!$C:$C,'divisional &amp; regional caseload%'!$T$43,'caseload data'!$D:$D,"SPO")/SUMIF('caseload data'!$C:$C,'divisional &amp; regional caseload%'!$T$36,'caseload data'!H:H),"")</f>
        <v/>
      </c>
      <c r="Y48" s="209" t="str">
        <f>IFERROR(SUMIFS('caseload data'!I:I,'caseload data'!$C:$C,'divisional &amp; regional caseload%'!$T$43,'caseload data'!$D:$D,"SPO")/SUMIF('caseload data'!$C:$C,'divisional &amp; regional caseload%'!$T$36,'caseload data'!I:I),"")</f>
        <v/>
      </c>
      <c r="Z48" s="209" t="str">
        <f>IFERROR(SUMIFS('caseload data'!J:J,'caseload data'!$C:$C,'divisional &amp; regional caseload%'!$T$43,'caseload data'!$D:$D,"SPO")/SUMIF('caseload data'!$C:$C,'divisional &amp; regional caseload%'!$T$36,'caseload data'!J:J),"")</f>
        <v/>
      </c>
      <c r="AA48" s="209" t="str">
        <f>IFERROR(SUMIFS('caseload data'!K:K,'caseload data'!$C:$C,'divisional &amp; regional caseload%'!$T$43,'caseload data'!$D:$D,"SPO")/SUMIF('caseload data'!$C:$C,'divisional &amp; regional caseload%'!$T$36,'caseload data'!K:K),"")</f>
        <v/>
      </c>
      <c r="AB48" s="209" t="str">
        <f>IFERROR(SUMIFS('caseload data'!L:L,'caseload data'!$C:$C,'divisional &amp; regional caseload%'!$T$43,'caseload data'!$D:$D,"SPO")/SUMIF('caseload data'!$C:$C,'divisional &amp; regional caseload%'!$T$36,'caseload data'!L:L),"")</f>
        <v/>
      </c>
      <c r="AC48" s="209" t="str">
        <f>IFERROR(SUMIFS('caseload data'!M:M,'caseload data'!$C:$C,'divisional &amp; regional caseload%'!$T$43,'caseload data'!$D:$D,"SPO")/SUMIF('caseload data'!$C:$C,'divisional &amp; regional caseload%'!$T$36,'caseload data'!M:M),"")</f>
        <v/>
      </c>
      <c r="AD48" s="209" t="str">
        <f>IFERROR(SUMIFS('caseload data'!N:N,'caseload data'!$C:$C,'divisional &amp; regional caseload%'!$T$43,'caseload data'!$D:$D,"SPO")/SUMIF('caseload data'!$C:$C,'divisional &amp; regional caseload%'!$T$36,'caseload data'!N:N),"")</f>
        <v/>
      </c>
      <c r="AE48" s="209" t="str">
        <f>IFERROR(SUMIFS('caseload data'!O:O,'caseload data'!$C:$C,'divisional &amp; regional caseload%'!$T$43,'caseload data'!$D:$D,"SPO")/SUMIF('caseload data'!$C:$C,'divisional &amp; regional caseload%'!$T$36,'caseload data'!O:O),"")</f>
        <v/>
      </c>
      <c r="AF48" s="209" t="str">
        <f>IFERROR(SUMIFS('caseload data'!P:P,'caseload data'!$C:$C,'divisional &amp; regional caseload%'!$T$43,'caseload data'!$D:$D,"SPO")/SUMIF('caseload data'!$C:$C,'divisional &amp; regional caseload%'!$T$36,'caseload data'!P:P),"")</f>
        <v/>
      </c>
      <c r="AG48" s="209" t="str">
        <f>IFERROR(SUMIFS('caseload data'!Q:Q,'caseload data'!$C:$C,'divisional &amp; regional caseload%'!$T$43,'caseload data'!$D:$D,"SPO")/SUMIF('caseload data'!$C:$C,'divisional &amp; regional caseload%'!$T$36,'caseload data'!Q:Q),"")</f>
        <v/>
      </c>
      <c r="AH48" s="209" t="str">
        <f>IFERROR(SUMIFS('caseload data'!R:R,'caseload data'!$C:$C,'divisional &amp; regional caseload%'!$T$43,'caseload data'!$D:$D,"SPO")/SUMIF('caseload data'!$C:$C,'divisional &amp; regional caseload%'!$T$36,'caseload data'!R:R),"")</f>
        <v/>
      </c>
      <c r="AI48" s="209" t="str">
        <f>IFERROR(SUMIFS('caseload data'!S:S,'caseload data'!$C:$C,'divisional &amp; regional caseload%'!$T$43,'caseload data'!$D:$D,"SPO")/SUMIF('caseload data'!$C:$C,'divisional &amp; regional caseload%'!$T$36,'caseload data'!S:S),"")</f>
        <v/>
      </c>
      <c r="AJ48" s="209" t="str">
        <f>IFERROR(SUMIFS('caseload data'!T:T,'caseload data'!$C:$C,'divisional &amp; regional caseload%'!$T$43,'caseload data'!$D:$D,"SPO")/SUMIF('caseload data'!$C:$C,'divisional &amp; regional caseload%'!$T$36,'caseload data'!T:T),"")</f>
        <v/>
      </c>
    </row>
    <row r="49" spans="2:36" x14ac:dyDescent="0.15">
      <c r="B49" s="183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183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</row>
    <row r="50" spans="2:36" ht="30" customHeight="1" x14ac:dyDescent="0.15">
      <c r="B50" s="182" t="str">
        <f>HLOOKUP($B$5,Region_Table,14,0)</f>
        <v>Sefton</v>
      </c>
      <c r="C50" s="359" t="s">
        <v>363</v>
      </c>
      <c r="D50" s="365"/>
      <c r="E50" s="365"/>
      <c r="F50" s="365"/>
      <c r="G50" s="365"/>
      <c r="H50" s="365"/>
      <c r="I50" s="365"/>
      <c r="J50" s="365"/>
      <c r="K50" s="365"/>
      <c r="L50" s="365"/>
      <c r="M50" s="368"/>
      <c r="N50" s="368"/>
      <c r="O50" s="369"/>
      <c r="P50" s="362">
        <f>SUMIF('caseload data'!$C:$C,'divisional &amp; regional caseload%'!B50,'caseload data'!V:V)</f>
        <v>0</v>
      </c>
      <c r="Q50" s="370"/>
      <c r="R50" s="371"/>
      <c r="S50" s="95"/>
      <c r="T50" s="182" t="str">
        <f>HLOOKUP($B$5,Region_Table,15,0)</f>
        <v>Wirral - N51</v>
      </c>
      <c r="U50" s="359" t="s">
        <v>363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8"/>
      <c r="AF50" s="368"/>
      <c r="AG50" s="369"/>
      <c r="AH50" s="362">
        <f>SUMIF('caseload data'!$C:$C,'divisional &amp; regional caseload%'!T50,'caseload data'!V:V)</f>
        <v>0</v>
      </c>
      <c r="AI50" s="370"/>
      <c r="AJ50" s="371"/>
    </row>
    <row r="51" spans="2:36" x14ac:dyDescent="0.15">
      <c r="B51" s="127" t="s">
        <v>324</v>
      </c>
      <c r="C51" s="58" t="s">
        <v>504</v>
      </c>
      <c r="D51" s="58" t="s">
        <v>503</v>
      </c>
      <c r="E51" s="58" t="s">
        <v>502</v>
      </c>
      <c r="F51" s="58" t="s">
        <v>501</v>
      </c>
      <c r="G51" s="58" t="s">
        <v>510</v>
      </c>
      <c r="H51" s="58" t="s">
        <v>176</v>
      </c>
      <c r="I51" s="58" t="s">
        <v>177</v>
      </c>
      <c r="J51" s="58" t="s">
        <v>505</v>
      </c>
      <c r="K51" s="58" t="s">
        <v>507</v>
      </c>
      <c r="L51" s="58" t="s">
        <v>178</v>
      </c>
      <c r="M51" s="58" t="s">
        <v>179</v>
      </c>
      <c r="N51" s="58" t="s">
        <v>506</v>
      </c>
      <c r="O51" s="58" t="s">
        <v>508</v>
      </c>
      <c r="P51" s="58" t="s">
        <v>180</v>
      </c>
      <c r="Q51" s="58" t="s">
        <v>181</v>
      </c>
      <c r="R51" s="58" t="s">
        <v>509</v>
      </c>
      <c r="S51" s="95"/>
      <c r="T51" s="127" t="s">
        <v>324</v>
      </c>
      <c r="U51" s="58" t="s">
        <v>504</v>
      </c>
      <c r="V51" s="58" t="s">
        <v>503</v>
      </c>
      <c r="W51" s="58" t="s">
        <v>502</v>
      </c>
      <c r="X51" s="58" t="s">
        <v>501</v>
      </c>
      <c r="Y51" s="58" t="s">
        <v>510</v>
      </c>
      <c r="Z51" s="58" t="s">
        <v>176</v>
      </c>
      <c r="AA51" s="58" t="s">
        <v>177</v>
      </c>
      <c r="AB51" s="58" t="s">
        <v>505</v>
      </c>
      <c r="AC51" s="58" t="s">
        <v>507</v>
      </c>
      <c r="AD51" s="58" t="s">
        <v>178</v>
      </c>
      <c r="AE51" s="58" t="s">
        <v>179</v>
      </c>
      <c r="AF51" s="58" t="s">
        <v>506</v>
      </c>
      <c r="AG51" s="58" t="s">
        <v>508</v>
      </c>
      <c r="AH51" s="58" t="s">
        <v>180</v>
      </c>
      <c r="AI51" s="58" t="s">
        <v>181</v>
      </c>
      <c r="AJ51" s="58" t="s">
        <v>509</v>
      </c>
    </row>
    <row r="52" spans="2:36" x14ac:dyDescent="0.15">
      <c r="B52" s="129" t="s">
        <v>184</v>
      </c>
      <c r="C52" s="209" t="str">
        <f>IFERROR(SUMIFS('caseload data'!E:E,'caseload data'!$C:$C,'divisional &amp; regional caseload%'!$B$50,'caseload data'!$D:$D,"PO")/SUMIF('caseload data'!$C:$C,'divisional &amp; regional caseload%'!$B$50,'caseload data'!E:E),"")</f>
        <v/>
      </c>
      <c r="D52" s="209" t="str">
        <f>IFERROR(SUMIFS('caseload data'!F:F,'caseload data'!$C:$C,'divisional &amp; regional caseload%'!$B$50,'caseload data'!$D:$D,"PO")/SUMIF('caseload data'!$C:$C,'divisional &amp; regional caseload%'!$B$50,'caseload data'!F:F),"")</f>
        <v/>
      </c>
      <c r="E52" s="209" t="str">
        <f>IFERROR(SUMIFS('caseload data'!G:G,'caseload data'!$C:$C,'divisional &amp; regional caseload%'!$B$50,'caseload data'!$D:$D,"PO")/SUMIF('caseload data'!$C:$C,'divisional &amp; regional caseload%'!$B$50,'caseload data'!G:G),"")</f>
        <v/>
      </c>
      <c r="F52" s="209" t="str">
        <f>IFERROR(SUMIFS('caseload data'!H:H,'caseload data'!$C:$C,'divisional &amp; regional caseload%'!$B$50,'caseload data'!$D:$D,"PO")/SUMIF('caseload data'!$C:$C,'divisional &amp; regional caseload%'!$B$50,'caseload data'!H:H),"")</f>
        <v/>
      </c>
      <c r="G52" s="209" t="str">
        <f>IFERROR(SUMIFS('caseload data'!I:I,'caseload data'!$C:$C,'divisional &amp; regional caseload%'!$B$50,'caseload data'!$D:$D,"PO")/SUMIF('caseload data'!$C:$C,'divisional &amp; regional caseload%'!$B$50,'caseload data'!I:I),"")</f>
        <v/>
      </c>
      <c r="H52" s="209" t="str">
        <f>IFERROR(SUMIFS('caseload data'!J:J,'caseload data'!$C:$C,'divisional &amp; regional caseload%'!$B$50,'caseload data'!$D:$D,"PO")/SUMIF('caseload data'!$C:$C,'divisional &amp; regional caseload%'!$B$50,'caseload data'!J:J),"")</f>
        <v/>
      </c>
      <c r="I52" s="209" t="str">
        <f>IFERROR(SUMIFS('caseload data'!K:K,'caseload data'!$C:$C,'divisional &amp; regional caseload%'!$B$50,'caseload data'!$D:$D,"PO")/SUMIF('caseload data'!$C:$C,'divisional &amp; regional caseload%'!$B$50,'caseload data'!K:K),"")</f>
        <v/>
      </c>
      <c r="J52" s="209" t="str">
        <f>IFERROR(SUMIFS('caseload data'!L:L,'caseload data'!$C:$C,'divisional &amp; regional caseload%'!$B$50,'caseload data'!$D:$D,"PO")/SUMIF('caseload data'!$C:$C,'divisional &amp; regional caseload%'!$B$50,'caseload data'!L:L),"")</f>
        <v/>
      </c>
      <c r="K52" s="209" t="str">
        <f>IFERROR(SUMIFS('caseload data'!M:M,'caseload data'!$C:$C,'divisional &amp; regional caseload%'!$B$50,'caseload data'!$D:$D,"PO")/SUMIF('caseload data'!$C:$C,'divisional &amp; regional caseload%'!$B$50,'caseload data'!M:M),"")</f>
        <v/>
      </c>
      <c r="L52" s="209" t="str">
        <f>IFERROR(SUMIFS('caseload data'!N:N,'caseload data'!$C:$C,'divisional &amp; regional caseload%'!$B$50,'caseload data'!$D:$D,"PO")/SUMIF('caseload data'!$C:$C,'divisional &amp; regional caseload%'!$B$50,'caseload data'!N:N),"")</f>
        <v/>
      </c>
      <c r="M52" s="209" t="str">
        <f>IFERROR(SUMIFS('caseload data'!O:O,'caseload data'!$C:$C,'divisional &amp; regional caseload%'!$B$50,'caseload data'!$D:$D,"PO")/SUMIF('caseload data'!$C:$C,'divisional &amp; regional caseload%'!$B$50,'caseload data'!O:O),"")</f>
        <v/>
      </c>
      <c r="N52" s="209" t="str">
        <f>IFERROR(SUMIFS('caseload data'!P:P,'caseload data'!$C:$C,'divisional &amp; regional caseload%'!$B$50,'caseload data'!$D:$D,"PO")/SUMIF('caseload data'!$C:$C,'divisional &amp; regional caseload%'!$B$50,'caseload data'!P:P),"")</f>
        <v/>
      </c>
      <c r="O52" s="209" t="str">
        <f>IFERROR(SUMIFS('caseload data'!Q:Q,'caseload data'!$C:$C,'divisional &amp; regional caseload%'!$B$50,'caseload data'!$D:$D,"PO")/SUMIF('caseload data'!$C:$C,'divisional &amp; regional caseload%'!$B$50,'caseload data'!Q:Q),"")</f>
        <v/>
      </c>
      <c r="P52" s="209" t="str">
        <f>IFERROR(SUMIFS('caseload data'!R:R,'caseload data'!$C:$C,'divisional &amp; regional caseload%'!$B$50,'caseload data'!$D:$D,"PO")/SUMIF('caseload data'!$C:$C,'divisional &amp; regional caseload%'!$B$50,'caseload data'!R:R),"")</f>
        <v/>
      </c>
      <c r="Q52" s="209" t="str">
        <f>IFERROR(SUMIFS('caseload data'!S:S,'caseload data'!$C:$C,'divisional &amp; regional caseload%'!$B$50,'caseload data'!$D:$D,"PO")/SUMIF('caseload data'!$C:$C,'divisional &amp; regional caseload%'!$B$50,'caseload data'!S:S),"")</f>
        <v/>
      </c>
      <c r="R52" s="209" t="str">
        <f>IFERROR(SUMIFS('caseload data'!T:T,'caseload data'!$C:$C,'divisional &amp; regional caseload%'!$B$50,'caseload data'!$D:$D,"PO")/SUMIF('caseload data'!$C:$C,'divisional &amp; regional caseload%'!$B$50,'caseload data'!T:T),"")</f>
        <v/>
      </c>
      <c r="S52" s="95"/>
      <c r="T52" s="129" t="s">
        <v>184</v>
      </c>
      <c r="U52" s="209" t="str">
        <f>IFERROR(SUMIFS('caseload data'!E:E,'caseload data'!$C:$C,'divisional &amp; regional caseload%'!$T$50,'caseload data'!$D:$D,"PO")/SUMIF('caseload data'!$C:$C,'divisional &amp; regional caseload%'!$T$50,'caseload data'!E:E),"")</f>
        <v/>
      </c>
      <c r="V52" s="209" t="str">
        <f>IFERROR(SUMIFS('caseload data'!F:F,'caseload data'!$C:$C,'divisional &amp; regional caseload%'!$T$50,'caseload data'!$D:$D,"PO")/SUMIF('caseload data'!$C:$C,'divisional &amp; regional caseload%'!$T$50,'caseload data'!F:F),"")</f>
        <v/>
      </c>
      <c r="W52" s="209" t="str">
        <f>IFERROR(SUMIFS('caseload data'!G:G,'caseload data'!$C:$C,'divisional &amp; regional caseload%'!$T$50,'caseload data'!$D:$D,"PO")/SUMIF('caseload data'!$C:$C,'divisional &amp; regional caseload%'!$T$50,'caseload data'!G:G),"")</f>
        <v/>
      </c>
      <c r="X52" s="209" t="str">
        <f>IFERROR(SUMIFS('caseload data'!H:H,'caseload data'!$C:$C,'divisional &amp; regional caseload%'!$T$50,'caseload data'!$D:$D,"PO")/SUMIF('caseload data'!$C:$C,'divisional &amp; regional caseload%'!$T$50,'caseload data'!H:H),"")</f>
        <v/>
      </c>
      <c r="Y52" s="209" t="str">
        <f>IFERROR(SUMIFS('caseload data'!I:I,'caseload data'!$C:$C,'divisional &amp; regional caseload%'!$T$50,'caseload data'!$D:$D,"PO")/SUMIF('caseload data'!$C:$C,'divisional &amp; regional caseload%'!$T$50,'caseload data'!I:I),"")</f>
        <v/>
      </c>
      <c r="Z52" s="209" t="str">
        <f>IFERROR(SUMIFS('caseload data'!J:J,'caseload data'!$C:$C,'divisional &amp; regional caseload%'!$T$50,'caseload data'!$D:$D,"PO")/SUMIF('caseload data'!$C:$C,'divisional &amp; regional caseload%'!$T$50,'caseload data'!J:J),"")</f>
        <v/>
      </c>
      <c r="AA52" s="209" t="str">
        <f>IFERROR(SUMIFS('caseload data'!K:K,'caseload data'!$C:$C,'divisional &amp; regional caseload%'!$T$50,'caseload data'!$D:$D,"PO")/SUMIF('caseload data'!$C:$C,'divisional &amp; regional caseload%'!$T$50,'caseload data'!K:K),"")</f>
        <v/>
      </c>
      <c r="AB52" s="209" t="str">
        <f>IFERROR(SUMIFS('caseload data'!L:L,'caseload data'!$C:$C,'divisional &amp; regional caseload%'!$T$50,'caseload data'!$D:$D,"PO")/SUMIF('caseload data'!$C:$C,'divisional &amp; regional caseload%'!$T$50,'caseload data'!L:L),"")</f>
        <v/>
      </c>
      <c r="AC52" s="209" t="str">
        <f>IFERROR(SUMIFS('caseload data'!M:M,'caseload data'!$C:$C,'divisional &amp; regional caseload%'!$T$50,'caseload data'!$D:$D,"PO")/SUMIF('caseload data'!$C:$C,'divisional &amp; regional caseload%'!$T$50,'caseload data'!M:M),"")</f>
        <v/>
      </c>
      <c r="AD52" s="209" t="str">
        <f>IFERROR(SUMIFS('caseload data'!N:N,'caseload data'!$C:$C,'divisional &amp; regional caseload%'!$T$50,'caseload data'!$D:$D,"PO")/SUMIF('caseload data'!$C:$C,'divisional &amp; regional caseload%'!$T$50,'caseload data'!N:N),"")</f>
        <v/>
      </c>
      <c r="AE52" s="209" t="str">
        <f>IFERROR(SUMIFS('caseload data'!O:O,'caseload data'!$C:$C,'divisional &amp; regional caseload%'!$T$50,'caseload data'!$D:$D,"PO")/SUMIF('caseload data'!$C:$C,'divisional &amp; regional caseload%'!$T$50,'caseload data'!O:O),"")</f>
        <v/>
      </c>
      <c r="AF52" s="209" t="str">
        <f>IFERROR(SUMIFS('caseload data'!P:P,'caseload data'!$C:$C,'divisional &amp; regional caseload%'!$T$50,'caseload data'!$D:$D,"PO")/SUMIF('caseload data'!$C:$C,'divisional &amp; regional caseload%'!$T$50,'caseload data'!P:P),"")</f>
        <v/>
      </c>
      <c r="AG52" s="209" t="str">
        <f>IFERROR(SUMIFS('caseload data'!Q:Q,'caseload data'!$C:$C,'divisional &amp; regional caseload%'!$T$50,'caseload data'!$D:$D,"PO")/SUMIF('caseload data'!$C:$C,'divisional &amp; regional caseload%'!$T$50,'caseload data'!Q:Q),"")</f>
        <v/>
      </c>
      <c r="AH52" s="209" t="str">
        <f>IFERROR(SUMIFS('caseload data'!R:R,'caseload data'!$C:$C,'divisional &amp; regional caseload%'!$T$50,'caseload data'!$D:$D,"PO")/SUMIF('caseload data'!$C:$C,'divisional &amp; regional caseload%'!$T$50,'caseload data'!R:R),"")</f>
        <v/>
      </c>
      <c r="AI52" s="209" t="str">
        <f>IFERROR(SUMIFS('caseload data'!S:S,'caseload data'!$C:$C,'divisional &amp; regional caseload%'!$T$50,'caseload data'!$D:$D,"PO")/SUMIF('caseload data'!$C:$C,'divisional &amp; regional caseload%'!$T$50,'caseload data'!S:S),"")</f>
        <v/>
      </c>
      <c r="AJ52" s="209" t="str">
        <f>IFERROR(SUMIFS('caseload data'!T:T,'caseload data'!$C:$C,'divisional &amp; regional caseload%'!$T$50,'caseload data'!$D:$D,"PO")/SUMIF('caseload data'!$C:$C,'divisional &amp; regional caseload%'!$T$50,'caseload data'!T:T),"")</f>
        <v/>
      </c>
    </row>
    <row r="53" spans="2:36" x14ac:dyDescent="0.15">
      <c r="B53" s="130" t="s">
        <v>185</v>
      </c>
      <c r="C53" s="209" t="str">
        <f>IFERROR(SUMIFS('caseload data'!E:E,'caseload data'!$C:$C,'divisional &amp; regional caseload%'!$B$50,'caseload data'!$D:$D,"PSO")/SUMIF('caseload data'!$C:$C,'divisional &amp; regional caseload%'!$B$50,'caseload data'!E:E),"")</f>
        <v/>
      </c>
      <c r="D53" s="209" t="str">
        <f>IFERROR(SUMIFS('caseload data'!F:F,'caseload data'!$C:$C,'divisional &amp; regional caseload%'!$B$50,'caseload data'!$D:$D,"PSO")/SUMIF('caseload data'!$C:$C,'divisional &amp; regional caseload%'!$B$50,'caseload data'!F:F),"")</f>
        <v/>
      </c>
      <c r="E53" s="209" t="str">
        <f>IFERROR(SUMIFS('caseload data'!G:G,'caseload data'!$C:$C,'divisional &amp; regional caseload%'!$B$50,'caseload data'!$D:$D,"PSO")/SUMIF('caseload data'!$C:$C,'divisional &amp; regional caseload%'!$B$50,'caseload data'!G:G),"")</f>
        <v/>
      </c>
      <c r="F53" s="209" t="str">
        <f>IFERROR(SUMIFS('caseload data'!H:H,'caseload data'!$C:$C,'divisional &amp; regional caseload%'!$B$50,'caseload data'!$D:$D,"PSO")/SUMIF('caseload data'!$C:$C,'divisional &amp; regional caseload%'!$B$50,'caseload data'!H:H),"")</f>
        <v/>
      </c>
      <c r="G53" s="209" t="str">
        <f>IFERROR(SUMIFS('caseload data'!I:I,'caseload data'!$C:$C,'divisional &amp; regional caseload%'!$B$50,'caseload data'!$D:$D,"PSO")/SUMIF('caseload data'!$C:$C,'divisional &amp; regional caseload%'!$B$50,'caseload data'!I:I),"")</f>
        <v/>
      </c>
      <c r="H53" s="209" t="str">
        <f>IFERROR(SUMIFS('caseload data'!J:J,'caseload data'!$C:$C,'divisional &amp; regional caseload%'!$B$50,'caseload data'!$D:$D,"PSO")/SUMIF('caseload data'!$C:$C,'divisional &amp; regional caseload%'!$B$50,'caseload data'!J:J),"")</f>
        <v/>
      </c>
      <c r="I53" s="209" t="str">
        <f>IFERROR(SUMIFS('caseload data'!K:K,'caseload data'!$C:$C,'divisional &amp; regional caseload%'!$B$50,'caseload data'!$D:$D,"PSO")/SUMIF('caseload data'!$C:$C,'divisional &amp; regional caseload%'!$B$50,'caseload data'!K:K),"")</f>
        <v/>
      </c>
      <c r="J53" s="209" t="str">
        <f>IFERROR(SUMIFS('caseload data'!L:L,'caseload data'!$C:$C,'divisional &amp; regional caseload%'!$B$50,'caseload data'!$D:$D,"PSO")/SUMIF('caseload data'!$C:$C,'divisional &amp; regional caseload%'!$B$50,'caseload data'!L:L),"")</f>
        <v/>
      </c>
      <c r="K53" s="209" t="str">
        <f>IFERROR(SUMIFS('caseload data'!M:M,'caseload data'!$C:$C,'divisional &amp; regional caseload%'!$B$50,'caseload data'!$D:$D,"PSO")/SUMIF('caseload data'!$C:$C,'divisional &amp; regional caseload%'!$B$50,'caseload data'!M:M),"")</f>
        <v/>
      </c>
      <c r="L53" s="209" t="str">
        <f>IFERROR(SUMIFS('caseload data'!N:N,'caseload data'!$C:$C,'divisional &amp; regional caseload%'!$B$50,'caseload data'!$D:$D,"PSO")/SUMIF('caseload data'!$C:$C,'divisional &amp; regional caseload%'!$B$50,'caseload data'!N:N),"")</f>
        <v/>
      </c>
      <c r="M53" s="209" t="str">
        <f>IFERROR(SUMIFS('caseload data'!O:O,'caseload data'!$C:$C,'divisional &amp; regional caseload%'!$B$50,'caseload data'!$D:$D,"PSO")/SUMIF('caseload data'!$C:$C,'divisional &amp; regional caseload%'!$B$50,'caseload data'!O:O),"")</f>
        <v/>
      </c>
      <c r="N53" s="209" t="str">
        <f>IFERROR(SUMIFS('caseload data'!P:P,'caseload data'!$C:$C,'divisional &amp; regional caseload%'!$B$50,'caseload data'!$D:$D,"PSO")/SUMIF('caseload data'!$C:$C,'divisional &amp; regional caseload%'!$B$50,'caseload data'!P:P),"")</f>
        <v/>
      </c>
      <c r="O53" s="209" t="str">
        <f>IFERROR(SUMIFS('caseload data'!Q:Q,'caseload data'!$C:$C,'divisional &amp; regional caseload%'!$B$50,'caseload data'!$D:$D,"PSO")/SUMIF('caseload data'!$C:$C,'divisional &amp; regional caseload%'!$B$50,'caseload data'!Q:Q),"")</f>
        <v/>
      </c>
      <c r="P53" s="209" t="str">
        <f>IFERROR(SUMIFS('caseload data'!R:R,'caseload data'!$C:$C,'divisional &amp; regional caseload%'!$B$50,'caseload data'!$D:$D,"PSO")/SUMIF('caseload data'!$C:$C,'divisional &amp; regional caseload%'!$B$50,'caseload data'!R:R),"")</f>
        <v/>
      </c>
      <c r="Q53" s="209" t="str">
        <f>IFERROR(SUMIFS('caseload data'!S:S,'caseload data'!$C:$C,'divisional &amp; regional caseload%'!$B$50,'caseload data'!$D:$D,"PSO")/SUMIF('caseload data'!$C:$C,'divisional &amp; regional caseload%'!$B$50,'caseload data'!S:S),"")</f>
        <v/>
      </c>
      <c r="R53" s="209" t="str">
        <f>IFERROR(SUMIFS('caseload data'!T:T,'caseload data'!$C:$C,'divisional &amp; regional caseload%'!$B$50,'caseload data'!$D:$D,"PSO")/SUMIF('caseload data'!$C:$C,'divisional &amp; regional caseload%'!$B$50,'caseload data'!T:T),"")</f>
        <v/>
      </c>
      <c r="S53" s="95"/>
      <c r="T53" s="130" t="s">
        <v>185</v>
      </c>
      <c r="U53" s="209" t="str">
        <f>IFERROR(SUMIFS('caseload data'!E:E,'caseload data'!$C:$C,'divisional &amp; regional caseload%'!$T$50,'caseload data'!$D:$D,"PSO")/SUMIF('caseload data'!$C:$C,'divisional &amp; regional caseload%'!$T$50,'caseload data'!E:E),"")</f>
        <v/>
      </c>
      <c r="V53" s="209" t="str">
        <f>IFERROR(SUMIFS('caseload data'!F:F,'caseload data'!$C:$C,'divisional &amp; regional caseload%'!$T$50,'caseload data'!$D:$D,"PSO")/SUMIF('caseload data'!$C:$C,'divisional &amp; regional caseload%'!$T$50,'caseload data'!F:F),"")</f>
        <v/>
      </c>
      <c r="W53" s="209" t="str">
        <f>IFERROR(SUMIFS('caseload data'!G:G,'caseload data'!$C:$C,'divisional &amp; regional caseload%'!$T$50,'caseload data'!$D:$D,"PSO")/SUMIF('caseload data'!$C:$C,'divisional &amp; regional caseload%'!$T$50,'caseload data'!G:G),"")</f>
        <v/>
      </c>
      <c r="X53" s="209" t="str">
        <f>IFERROR(SUMIFS('caseload data'!H:H,'caseload data'!$C:$C,'divisional &amp; regional caseload%'!$T$50,'caseload data'!$D:$D,"PSO")/SUMIF('caseload data'!$C:$C,'divisional &amp; regional caseload%'!$T$50,'caseload data'!H:H),"")</f>
        <v/>
      </c>
      <c r="Y53" s="209" t="str">
        <f>IFERROR(SUMIFS('caseload data'!I:I,'caseload data'!$C:$C,'divisional &amp; regional caseload%'!$T$50,'caseload data'!$D:$D,"PSO")/SUMIF('caseload data'!$C:$C,'divisional &amp; regional caseload%'!$T$50,'caseload data'!I:I),"")</f>
        <v/>
      </c>
      <c r="Z53" s="209" t="str">
        <f>IFERROR(SUMIFS('caseload data'!J:J,'caseload data'!$C:$C,'divisional &amp; regional caseload%'!$T$50,'caseload data'!$D:$D,"PSO")/SUMIF('caseload data'!$C:$C,'divisional &amp; regional caseload%'!$T$50,'caseload data'!J:J),"")</f>
        <v/>
      </c>
      <c r="AA53" s="209" t="str">
        <f>IFERROR(SUMIFS('caseload data'!K:K,'caseload data'!$C:$C,'divisional &amp; regional caseload%'!$T$50,'caseload data'!$D:$D,"PSO")/SUMIF('caseload data'!$C:$C,'divisional &amp; regional caseload%'!$T$50,'caseload data'!K:K),"")</f>
        <v/>
      </c>
      <c r="AB53" s="209" t="str">
        <f>IFERROR(SUMIFS('caseload data'!L:L,'caseload data'!$C:$C,'divisional &amp; regional caseload%'!$T$50,'caseload data'!$D:$D,"PSO")/SUMIF('caseload data'!$C:$C,'divisional &amp; regional caseload%'!$T$50,'caseload data'!L:L),"")</f>
        <v/>
      </c>
      <c r="AC53" s="209" t="str">
        <f>IFERROR(SUMIFS('caseload data'!M:M,'caseload data'!$C:$C,'divisional &amp; regional caseload%'!$T$50,'caseload data'!$D:$D,"PSO")/SUMIF('caseload data'!$C:$C,'divisional &amp; regional caseload%'!$T$50,'caseload data'!M:M),"")</f>
        <v/>
      </c>
      <c r="AD53" s="209" t="str">
        <f>IFERROR(SUMIFS('caseload data'!N:N,'caseload data'!$C:$C,'divisional &amp; regional caseload%'!$T$50,'caseload data'!$D:$D,"PSO")/SUMIF('caseload data'!$C:$C,'divisional &amp; regional caseload%'!$T$50,'caseload data'!N:N),"")</f>
        <v/>
      </c>
      <c r="AE53" s="209" t="str">
        <f>IFERROR(SUMIFS('caseload data'!O:O,'caseload data'!$C:$C,'divisional &amp; regional caseload%'!$T$50,'caseload data'!$D:$D,"PSO")/SUMIF('caseload data'!$C:$C,'divisional &amp; regional caseload%'!$T$50,'caseload data'!O:O),"")</f>
        <v/>
      </c>
      <c r="AF53" s="209" t="str">
        <f>IFERROR(SUMIFS('caseload data'!P:P,'caseload data'!$C:$C,'divisional &amp; regional caseload%'!$T$50,'caseload data'!$D:$D,"PSO")/SUMIF('caseload data'!$C:$C,'divisional &amp; regional caseload%'!$T$50,'caseload data'!P:P),"")</f>
        <v/>
      </c>
      <c r="AG53" s="209" t="str">
        <f>IFERROR(SUMIFS('caseload data'!Q:Q,'caseload data'!$C:$C,'divisional &amp; regional caseload%'!$T$50,'caseload data'!$D:$D,"PSO")/SUMIF('caseload data'!$C:$C,'divisional &amp; regional caseload%'!$T$50,'caseload data'!Q:Q),"")</f>
        <v/>
      </c>
      <c r="AH53" s="209" t="str">
        <f>IFERROR(SUMIFS('caseload data'!R:R,'caseload data'!$C:$C,'divisional &amp; regional caseload%'!$T$50,'caseload data'!$D:$D,"PSO")/SUMIF('caseload data'!$C:$C,'divisional &amp; regional caseload%'!$T$50,'caseload data'!R:R),"")</f>
        <v/>
      </c>
      <c r="AI53" s="209" t="str">
        <f>IFERROR(SUMIFS('caseload data'!S:S,'caseload data'!$C:$C,'divisional &amp; regional caseload%'!$T$50,'caseload data'!$D:$D,"PSO")/SUMIF('caseload data'!$C:$C,'divisional &amp; regional caseload%'!$T$50,'caseload data'!S:S),"")</f>
        <v/>
      </c>
      <c r="AJ53" s="209" t="str">
        <f>IFERROR(SUMIFS('caseload data'!T:T,'caseload data'!$C:$C,'divisional &amp; regional caseload%'!$T$50,'caseload data'!$D:$D,"PSO")/SUMIF('caseload data'!$C:$C,'divisional &amp; regional caseload%'!$T$50,'caseload data'!T:T),"")</f>
        <v/>
      </c>
    </row>
    <row r="54" spans="2:36" x14ac:dyDescent="0.15">
      <c r="B54" s="130" t="s">
        <v>186</v>
      </c>
      <c r="C54" s="209" t="str">
        <f>IFERROR(SUMIFS('caseload data'!E:E,'caseload data'!$C:$C,'divisional &amp; regional caseload%'!$B$50,'caseload data'!$D:$D,"TPO")/SUMIF('caseload data'!$C:$C,'divisional &amp; regional caseload%'!$B$50,'caseload data'!E:E),"")</f>
        <v/>
      </c>
      <c r="D54" s="209" t="str">
        <f>IFERROR(SUMIFS('caseload data'!F:F,'caseload data'!$C:$C,'divisional &amp; regional caseload%'!$B$50,'caseload data'!$D:$D,"TPO")/SUMIF('caseload data'!$C:$C,'divisional &amp; regional caseload%'!$B$50,'caseload data'!F:F),"")</f>
        <v/>
      </c>
      <c r="E54" s="209" t="str">
        <f>IFERROR(SUMIFS('caseload data'!G:G,'caseload data'!$C:$C,'divisional &amp; regional caseload%'!$B$50,'caseload data'!$D:$D,"TPO")/SUMIF('caseload data'!$C:$C,'divisional &amp; regional caseload%'!$B$50,'caseload data'!G:G),"")</f>
        <v/>
      </c>
      <c r="F54" s="209" t="str">
        <f>IFERROR(SUMIFS('caseload data'!H:H,'caseload data'!$C:$C,'divisional &amp; regional caseload%'!$B$50,'caseload data'!$D:$D,"TPO")/SUMIF('caseload data'!$C:$C,'divisional &amp; regional caseload%'!$B$50,'caseload data'!H:H),"")</f>
        <v/>
      </c>
      <c r="G54" s="209" t="str">
        <f>IFERROR(SUMIFS('caseload data'!I:I,'caseload data'!$C:$C,'divisional &amp; regional caseload%'!$B$50,'caseload data'!$D:$D,"TPO")/SUMIF('caseload data'!$C:$C,'divisional &amp; regional caseload%'!$B$50,'caseload data'!I:I),"")</f>
        <v/>
      </c>
      <c r="H54" s="209" t="str">
        <f>IFERROR(SUMIFS('caseload data'!J:J,'caseload data'!$C:$C,'divisional &amp; regional caseload%'!$B$50,'caseload data'!$D:$D,"TPO")/SUMIF('caseload data'!$C:$C,'divisional &amp; regional caseload%'!$B$50,'caseload data'!J:J),"")</f>
        <v/>
      </c>
      <c r="I54" s="209" t="str">
        <f>IFERROR(SUMIFS('caseload data'!K:K,'caseload data'!$C:$C,'divisional &amp; regional caseload%'!$B$50,'caseload data'!$D:$D,"TPO")/SUMIF('caseload data'!$C:$C,'divisional &amp; regional caseload%'!$B$50,'caseload data'!K:K),"")</f>
        <v/>
      </c>
      <c r="J54" s="209" t="str">
        <f>IFERROR(SUMIFS('caseload data'!L:L,'caseload data'!$C:$C,'divisional &amp; regional caseload%'!$B$50,'caseload data'!$D:$D,"TPO")/SUMIF('caseload data'!$C:$C,'divisional &amp; regional caseload%'!$B$50,'caseload data'!L:L),"")</f>
        <v/>
      </c>
      <c r="K54" s="209" t="str">
        <f>IFERROR(SUMIFS('caseload data'!M:M,'caseload data'!$C:$C,'divisional &amp; regional caseload%'!$B$50,'caseload data'!$D:$D,"TPO")/SUMIF('caseload data'!$C:$C,'divisional &amp; regional caseload%'!$B$50,'caseload data'!M:M),"")</f>
        <v/>
      </c>
      <c r="L54" s="209" t="str">
        <f>IFERROR(SUMIFS('caseload data'!N:N,'caseload data'!$C:$C,'divisional &amp; regional caseload%'!$B$50,'caseload data'!$D:$D,"TPO")/SUMIF('caseload data'!$C:$C,'divisional &amp; regional caseload%'!$B$50,'caseload data'!N:N),"")</f>
        <v/>
      </c>
      <c r="M54" s="209" t="str">
        <f>IFERROR(SUMIFS('caseload data'!O:O,'caseload data'!$C:$C,'divisional &amp; regional caseload%'!$B$50,'caseload data'!$D:$D,"TPO")/SUMIF('caseload data'!$C:$C,'divisional &amp; regional caseload%'!$B$50,'caseload data'!O:O),"")</f>
        <v/>
      </c>
      <c r="N54" s="209" t="str">
        <f>IFERROR(SUMIFS('caseload data'!P:P,'caseload data'!$C:$C,'divisional &amp; regional caseload%'!$B$50,'caseload data'!$D:$D,"TPO")/SUMIF('caseload data'!$C:$C,'divisional &amp; regional caseload%'!$B$50,'caseload data'!P:P),"")</f>
        <v/>
      </c>
      <c r="O54" s="209" t="str">
        <f>IFERROR(SUMIFS('caseload data'!Q:Q,'caseload data'!$C:$C,'divisional &amp; regional caseload%'!$B$50,'caseload data'!$D:$D,"TPO")/SUMIF('caseload data'!$C:$C,'divisional &amp; regional caseload%'!$B$50,'caseload data'!Q:Q),"")</f>
        <v/>
      </c>
      <c r="P54" s="209" t="str">
        <f>IFERROR(SUMIFS('caseload data'!R:R,'caseload data'!$C:$C,'divisional &amp; regional caseload%'!$B$50,'caseload data'!$D:$D,"TPO")/SUMIF('caseload data'!$C:$C,'divisional &amp; regional caseload%'!$B$50,'caseload data'!R:R),"")</f>
        <v/>
      </c>
      <c r="Q54" s="209" t="str">
        <f>IFERROR(SUMIFS('caseload data'!S:S,'caseload data'!$C:$C,'divisional &amp; regional caseload%'!$B$50,'caseload data'!$D:$D,"TPO")/SUMIF('caseload data'!$C:$C,'divisional &amp; regional caseload%'!$B$50,'caseload data'!S:S),"")</f>
        <v/>
      </c>
      <c r="R54" s="209" t="str">
        <f>IFERROR(SUMIFS('caseload data'!T:T,'caseload data'!$C:$C,'divisional &amp; regional caseload%'!$B$50,'caseload data'!$D:$D,"TPO")/SUMIF('caseload data'!$C:$C,'divisional &amp; regional caseload%'!$B$50,'caseload data'!T:T),"")</f>
        <v/>
      </c>
      <c r="S54" s="95"/>
      <c r="T54" s="130" t="s">
        <v>186</v>
      </c>
      <c r="U54" s="209" t="str">
        <f>IFERROR(SUMIFS('caseload data'!E:E,'caseload data'!$C:$C,'divisional &amp; regional caseload%'!$T$50,'caseload data'!$D:$D,"TPO")/SUMIF('caseload data'!$C:$C,'divisional &amp; regional caseload%'!$T$50,'caseload data'!E:E),"")</f>
        <v/>
      </c>
      <c r="V54" s="209" t="str">
        <f>IFERROR(SUMIFS('caseload data'!F:F,'caseload data'!$C:$C,'divisional &amp; regional caseload%'!$T$50,'caseload data'!$D:$D,"TPO")/SUMIF('caseload data'!$C:$C,'divisional &amp; regional caseload%'!$T$50,'caseload data'!F:F),"")</f>
        <v/>
      </c>
      <c r="W54" s="209" t="str">
        <f>IFERROR(SUMIFS('caseload data'!G:G,'caseload data'!$C:$C,'divisional &amp; regional caseload%'!$T$50,'caseload data'!$D:$D,"TPO")/SUMIF('caseload data'!$C:$C,'divisional &amp; regional caseload%'!$T$50,'caseload data'!G:G),"")</f>
        <v/>
      </c>
      <c r="X54" s="209" t="str">
        <f>IFERROR(SUMIFS('caseload data'!H:H,'caseload data'!$C:$C,'divisional &amp; regional caseload%'!$T$50,'caseload data'!$D:$D,"TPO")/SUMIF('caseload data'!$C:$C,'divisional &amp; regional caseload%'!$T$50,'caseload data'!H:H),"")</f>
        <v/>
      </c>
      <c r="Y54" s="209" t="str">
        <f>IFERROR(SUMIFS('caseload data'!I:I,'caseload data'!$C:$C,'divisional &amp; regional caseload%'!$T$50,'caseload data'!$D:$D,"TPO")/SUMIF('caseload data'!$C:$C,'divisional &amp; regional caseload%'!$T$50,'caseload data'!I:I),"")</f>
        <v/>
      </c>
      <c r="Z54" s="209" t="str">
        <f>IFERROR(SUMIFS('caseload data'!J:J,'caseload data'!$C:$C,'divisional &amp; regional caseload%'!$T$50,'caseload data'!$D:$D,"TPO")/SUMIF('caseload data'!$C:$C,'divisional &amp; regional caseload%'!$T$50,'caseload data'!J:J),"")</f>
        <v/>
      </c>
      <c r="AA54" s="209" t="str">
        <f>IFERROR(SUMIFS('caseload data'!K:K,'caseload data'!$C:$C,'divisional &amp; regional caseload%'!$T$50,'caseload data'!$D:$D,"TPO")/SUMIF('caseload data'!$C:$C,'divisional &amp; regional caseload%'!$T$50,'caseload data'!K:K),"")</f>
        <v/>
      </c>
      <c r="AB54" s="209" t="str">
        <f>IFERROR(SUMIFS('caseload data'!L:L,'caseload data'!$C:$C,'divisional &amp; regional caseload%'!$T$50,'caseload data'!$D:$D,"TPO")/SUMIF('caseload data'!$C:$C,'divisional &amp; regional caseload%'!$T$50,'caseload data'!L:L),"")</f>
        <v/>
      </c>
      <c r="AC54" s="209" t="str">
        <f>IFERROR(SUMIFS('caseload data'!M:M,'caseload data'!$C:$C,'divisional &amp; regional caseload%'!$T$50,'caseload data'!$D:$D,"TPO")/SUMIF('caseload data'!$C:$C,'divisional &amp; regional caseload%'!$T$50,'caseload data'!M:M),"")</f>
        <v/>
      </c>
      <c r="AD54" s="209" t="str">
        <f>IFERROR(SUMIFS('caseload data'!N:N,'caseload data'!$C:$C,'divisional &amp; regional caseload%'!$T$50,'caseload data'!$D:$D,"TPO")/SUMIF('caseload data'!$C:$C,'divisional &amp; regional caseload%'!$T$50,'caseload data'!N:N),"")</f>
        <v/>
      </c>
      <c r="AE54" s="209" t="str">
        <f>IFERROR(SUMIFS('caseload data'!O:O,'caseload data'!$C:$C,'divisional &amp; regional caseload%'!$T$50,'caseload data'!$D:$D,"TPO")/SUMIF('caseload data'!$C:$C,'divisional &amp; regional caseload%'!$T$50,'caseload data'!O:O),"")</f>
        <v/>
      </c>
      <c r="AF54" s="209" t="str">
        <f>IFERROR(SUMIFS('caseload data'!P:P,'caseload data'!$C:$C,'divisional &amp; regional caseload%'!$T$50,'caseload data'!$D:$D,"TPO")/SUMIF('caseload data'!$C:$C,'divisional &amp; regional caseload%'!$T$50,'caseload data'!P:P),"")</f>
        <v/>
      </c>
      <c r="AG54" s="209" t="str">
        <f>IFERROR(SUMIFS('caseload data'!Q:Q,'caseload data'!$C:$C,'divisional &amp; regional caseload%'!$T$50,'caseload data'!$D:$D,"TPO")/SUMIF('caseload data'!$C:$C,'divisional &amp; regional caseload%'!$T$50,'caseload data'!Q:Q),"")</f>
        <v/>
      </c>
      <c r="AH54" s="209" t="str">
        <f>IFERROR(SUMIFS('caseload data'!R:R,'caseload data'!$C:$C,'divisional &amp; regional caseload%'!$T$50,'caseload data'!$D:$D,"TPO")/SUMIF('caseload data'!$C:$C,'divisional &amp; regional caseload%'!$T$50,'caseload data'!R:R),"")</f>
        <v/>
      </c>
      <c r="AI54" s="209" t="str">
        <f>IFERROR(SUMIFS('caseload data'!S:S,'caseload data'!$C:$C,'divisional &amp; regional caseload%'!$T$50,'caseload data'!$D:$D,"TPO")/SUMIF('caseload data'!$C:$C,'divisional &amp; regional caseload%'!$T$50,'caseload data'!S:S),"")</f>
        <v/>
      </c>
      <c r="AJ54" s="209" t="str">
        <f>IFERROR(SUMIFS('caseload data'!T:T,'caseload data'!$C:$C,'divisional &amp; regional caseload%'!$T$50,'caseload data'!$D:$D,"TPO")/SUMIF('caseload data'!$C:$C,'divisional &amp; regional caseload%'!$T$50,'caseload data'!T:T),"")</f>
        <v/>
      </c>
    </row>
    <row r="55" spans="2:36" x14ac:dyDescent="0.15">
      <c r="B55" s="131" t="s">
        <v>187</v>
      </c>
      <c r="C55" s="209" t="str">
        <f>IFERROR(SUMIFS('caseload data'!E:E,'caseload data'!$C:$C,'divisional &amp; regional caseload%'!$B$50,'caseload data'!$D:$D,"SPO")/SUMIF('caseload data'!$C:$C,'divisional &amp; regional caseload%'!$B$50,'caseload data'!E:E),"")</f>
        <v/>
      </c>
      <c r="D55" s="209" t="str">
        <f>IFERROR(SUMIFS('caseload data'!F:F,'caseload data'!$C:$C,'divisional &amp; regional caseload%'!$B$50,'caseload data'!$D:$D,"SPO")/SUMIF('caseload data'!$C:$C,'divisional &amp; regional caseload%'!$B$50,'caseload data'!F:F),"")</f>
        <v/>
      </c>
      <c r="E55" s="209" t="str">
        <f>IFERROR(SUMIFS('caseload data'!G:G,'caseload data'!$C:$C,'divisional &amp; regional caseload%'!$B$50,'caseload data'!$D:$D,"SPO")/SUMIF('caseload data'!$C:$C,'divisional &amp; regional caseload%'!$B$50,'caseload data'!G:G),"")</f>
        <v/>
      </c>
      <c r="F55" s="209" t="str">
        <f>IFERROR(SUMIFS('caseload data'!H:H,'caseload data'!$C:$C,'divisional &amp; regional caseload%'!$B$50,'caseload data'!$D:$D,"SPO")/SUMIF('caseload data'!$C:$C,'divisional &amp; regional caseload%'!$B$50,'caseload data'!H:H),"")</f>
        <v/>
      </c>
      <c r="G55" s="209" t="str">
        <f>IFERROR(SUMIFS('caseload data'!I:I,'caseload data'!$C:$C,'divisional &amp; regional caseload%'!$B$50,'caseload data'!$D:$D,"SPO")/SUMIF('caseload data'!$C:$C,'divisional &amp; regional caseload%'!$B$50,'caseload data'!I:I),"")</f>
        <v/>
      </c>
      <c r="H55" s="209" t="str">
        <f>IFERROR(SUMIFS('caseload data'!J:J,'caseload data'!$C:$C,'divisional &amp; regional caseload%'!$B$50,'caseload data'!$D:$D,"SPO")/SUMIF('caseload data'!$C:$C,'divisional &amp; regional caseload%'!$B$50,'caseload data'!J:J),"")</f>
        <v/>
      </c>
      <c r="I55" s="209" t="str">
        <f>IFERROR(SUMIFS('caseload data'!K:K,'caseload data'!$C:$C,'divisional &amp; regional caseload%'!$B$50,'caseload data'!$D:$D,"SPO")/SUMIF('caseload data'!$C:$C,'divisional &amp; regional caseload%'!$B$50,'caseload data'!K:K),"")</f>
        <v/>
      </c>
      <c r="J55" s="209" t="str">
        <f>IFERROR(SUMIFS('caseload data'!L:L,'caseload data'!$C:$C,'divisional &amp; regional caseload%'!$B$50,'caseload data'!$D:$D,"SPO")/SUMIF('caseload data'!$C:$C,'divisional &amp; regional caseload%'!$B$50,'caseload data'!L:L),"")</f>
        <v/>
      </c>
      <c r="K55" s="209" t="str">
        <f>IFERROR(SUMIFS('caseload data'!M:M,'caseload data'!$C:$C,'divisional &amp; regional caseload%'!$B$50,'caseload data'!$D:$D,"SPO")/SUMIF('caseload data'!$C:$C,'divisional &amp; regional caseload%'!$B$50,'caseload data'!M:M),"")</f>
        <v/>
      </c>
      <c r="L55" s="209" t="str">
        <f>IFERROR(SUMIFS('caseload data'!N:N,'caseload data'!$C:$C,'divisional &amp; regional caseload%'!$B$50,'caseload data'!$D:$D,"SPO")/SUMIF('caseload data'!$C:$C,'divisional &amp; regional caseload%'!$B$50,'caseload data'!N:N),"")</f>
        <v/>
      </c>
      <c r="M55" s="209" t="str">
        <f>IFERROR(SUMIFS('caseload data'!O:O,'caseload data'!$C:$C,'divisional &amp; regional caseload%'!$B$50,'caseload data'!$D:$D,"SPO")/SUMIF('caseload data'!$C:$C,'divisional &amp; regional caseload%'!$B$50,'caseload data'!O:O),"")</f>
        <v/>
      </c>
      <c r="N55" s="209" t="str">
        <f>IFERROR(SUMIFS('caseload data'!P:P,'caseload data'!$C:$C,'divisional &amp; regional caseload%'!$B$50,'caseload data'!$D:$D,"SPO")/SUMIF('caseload data'!$C:$C,'divisional &amp; regional caseload%'!$B$50,'caseload data'!P:P),"")</f>
        <v/>
      </c>
      <c r="O55" s="209" t="str">
        <f>IFERROR(SUMIFS('caseload data'!Q:Q,'caseload data'!$C:$C,'divisional &amp; regional caseload%'!$B$50,'caseload data'!$D:$D,"SPO")/SUMIF('caseload data'!$C:$C,'divisional &amp; regional caseload%'!$B$50,'caseload data'!Q:Q),"")</f>
        <v/>
      </c>
      <c r="P55" s="209" t="str">
        <f>IFERROR(SUMIFS('caseload data'!R:R,'caseload data'!$C:$C,'divisional &amp; regional caseload%'!$B$50,'caseload data'!$D:$D,"SPO")/SUMIF('caseload data'!$C:$C,'divisional &amp; regional caseload%'!$B$50,'caseload data'!R:R),"")</f>
        <v/>
      </c>
      <c r="Q55" s="209" t="str">
        <f>IFERROR(SUMIFS('caseload data'!S:S,'caseload data'!$C:$C,'divisional &amp; regional caseload%'!$B$50,'caseload data'!$D:$D,"SPO")/SUMIF('caseload data'!$C:$C,'divisional &amp; regional caseload%'!$B$50,'caseload data'!S:S),"")</f>
        <v/>
      </c>
      <c r="R55" s="209" t="str">
        <f>IFERROR(SUMIFS('caseload data'!T:T,'caseload data'!$C:$C,'divisional &amp; regional caseload%'!$B$50,'caseload data'!$D:$D,"SPO")/SUMIF('caseload data'!$C:$C,'divisional &amp; regional caseload%'!$B$50,'caseload data'!T:T),"")</f>
        <v/>
      </c>
      <c r="S55" s="95"/>
      <c r="T55" s="131" t="s">
        <v>187</v>
      </c>
      <c r="U55" s="209" t="str">
        <f>IFERROR(SUMIFS('caseload data'!E:E,'caseload data'!$C:$C,'divisional &amp; regional caseload%'!$T$50,'caseload data'!$D:$D,"SPO")/SUMIF('caseload data'!$C:$C,'divisional &amp; regional caseload%'!$T$50,'caseload data'!E:E),"")</f>
        <v/>
      </c>
      <c r="V55" s="209" t="str">
        <f>IFERROR(SUMIFS('caseload data'!F:F,'caseload data'!$C:$C,'divisional &amp; regional caseload%'!$T$50,'caseload data'!$D:$D,"SPO")/SUMIF('caseload data'!$C:$C,'divisional &amp; regional caseload%'!$T$50,'caseload data'!F:F),"")</f>
        <v/>
      </c>
      <c r="W55" s="209" t="str">
        <f>IFERROR(SUMIFS('caseload data'!G:G,'caseload data'!$C:$C,'divisional &amp; regional caseload%'!$T$50,'caseload data'!$D:$D,"SPO")/SUMIF('caseload data'!$C:$C,'divisional &amp; regional caseload%'!$T$50,'caseload data'!G:G),"")</f>
        <v/>
      </c>
      <c r="X55" s="209" t="str">
        <f>IFERROR(SUMIFS('caseload data'!H:H,'caseload data'!$C:$C,'divisional &amp; regional caseload%'!$T$50,'caseload data'!$D:$D,"SPO")/SUMIF('caseload data'!$C:$C,'divisional &amp; regional caseload%'!$T$50,'caseload data'!H:H),"")</f>
        <v/>
      </c>
      <c r="Y55" s="209" t="str">
        <f>IFERROR(SUMIFS('caseload data'!I:I,'caseload data'!$C:$C,'divisional &amp; regional caseload%'!$T$50,'caseload data'!$D:$D,"SPO")/SUMIF('caseload data'!$C:$C,'divisional &amp; regional caseload%'!$T$50,'caseload data'!I:I),"")</f>
        <v/>
      </c>
      <c r="Z55" s="209" t="str">
        <f>IFERROR(SUMIFS('caseload data'!J:J,'caseload data'!$C:$C,'divisional &amp; regional caseload%'!$T$50,'caseload data'!$D:$D,"SPO")/SUMIF('caseload data'!$C:$C,'divisional &amp; regional caseload%'!$T$50,'caseload data'!J:J),"")</f>
        <v/>
      </c>
      <c r="AA55" s="209" t="str">
        <f>IFERROR(SUMIFS('caseload data'!K:K,'caseload data'!$C:$C,'divisional &amp; regional caseload%'!$T$50,'caseload data'!$D:$D,"SPO")/SUMIF('caseload data'!$C:$C,'divisional &amp; regional caseload%'!$T$50,'caseload data'!K:K),"")</f>
        <v/>
      </c>
      <c r="AB55" s="209" t="str">
        <f>IFERROR(SUMIFS('caseload data'!L:L,'caseload data'!$C:$C,'divisional &amp; regional caseload%'!$T$50,'caseload data'!$D:$D,"SPO")/SUMIF('caseload data'!$C:$C,'divisional &amp; regional caseload%'!$T$50,'caseload data'!L:L),"")</f>
        <v/>
      </c>
      <c r="AC55" s="209" t="str">
        <f>IFERROR(SUMIFS('caseload data'!M:M,'caseload data'!$C:$C,'divisional &amp; regional caseload%'!$T$50,'caseload data'!$D:$D,"SPO")/SUMIF('caseload data'!$C:$C,'divisional &amp; regional caseload%'!$T$50,'caseload data'!M:M),"")</f>
        <v/>
      </c>
      <c r="AD55" s="209" t="str">
        <f>IFERROR(SUMIFS('caseload data'!N:N,'caseload data'!$C:$C,'divisional &amp; regional caseload%'!$T$50,'caseload data'!$D:$D,"SPO")/SUMIF('caseload data'!$C:$C,'divisional &amp; regional caseload%'!$T$50,'caseload data'!N:N),"")</f>
        <v/>
      </c>
      <c r="AE55" s="209" t="str">
        <f>IFERROR(SUMIFS('caseload data'!O:O,'caseload data'!$C:$C,'divisional &amp; regional caseload%'!$T$50,'caseload data'!$D:$D,"SPO")/SUMIF('caseload data'!$C:$C,'divisional &amp; regional caseload%'!$T$50,'caseload data'!O:O),"")</f>
        <v/>
      </c>
      <c r="AF55" s="209" t="str">
        <f>IFERROR(SUMIFS('caseload data'!P:P,'caseload data'!$C:$C,'divisional &amp; regional caseload%'!$T$50,'caseload data'!$D:$D,"SPO")/SUMIF('caseload data'!$C:$C,'divisional &amp; regional caseload%'!$T$50,'caseload data'!P:P),"")</f>
        <v/>
      </c>
      <c r="AG55" s="209" t="str">
        <f>IFERROR(SUMIFS('caseload data'!Q:Q,'caseload data'!$C:$C,'divisional &amp; regional caseload%'!$T$50,'caseload data'!$D:$D,"SPO")/SUMIF('caseload data'!$C:$C,'divisional &amp; regional caseload%'!$T$50,'caseload data'!Q:Q),"")</f>
        <v/>
      </c>
      <c r="AH55" s="209" t="str">
        <f>IFERROR(SUMIFS('caseload data'!R:R,'caseload data'!$C:$C,'divisional &amp; regional caseload%'!$T$50,'caseload data'!$D:$D,"SPO")/SUMIF('caseload data'!$C:$C,'divisional &amp; regional caseload%'!$T$50,'caseload data'!R:R),"")</f>
        <v/>
      </c>
      <c r="AI55" s="209" t="str">
        <f>IFERROR(SUMIFS('caseload data'!S:S,'caseload data'!$C:$C,'divisional &amp; regional caseload%'!$T$50,'caseload data'!$D:$D,"SPO")/SUMIF('caseload data'!$C:$C,'divisional &amp; regional caseload%'!$T$50,'caseload data'!S:S),"")</f>
        <v/>
      </c>
      <c r="AJ55" s="209" t="str">
        <f>IFERROR(SUMIFS('caseload data'!T:T,'caseload data'!$C:$C,'divisional &amp; regional caseload%'!$T$50,'caseload data'!$D:$D,"SPO")/SUMIF('caseload data'!$C:$C,'divisional &amp; regional caseload%'!$T$50,'caseload data'!T:T),"")</f>
        <v/>
      </c>
    </row>
    <row r="56" spans="2:36" x14ac:dyDescent="0.15">
      <c r="B56" s="183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183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</row>
    <row r="57" spans="2:36" ht="28.5" customHeight="1" x14ac:dyDescent="0.15">
      <c r="B57" s="182">
        <f>HLOOKUP($B$5,Region_Table,16,0)</f>
        <v>0</v>
      </c>
      <c r="C57" s="359" t="s">
        <v>363</v>
      </c>
      <c r="D57" s="365"/>
      <c r="E57" s="365"/>
      <c r="F57" s="365"/>
      <c r="G57" s="365"/>
      <c r="H57" s="365"/>
      <c r="I57" s="365"/>
      <c r="J57" s="365"/>
      <c r="K57" s="365"/>
      <c r="L57" s="365"/>
      <c r="M57" s="368"/>
      <c r="N57" s="368"/>
      <c r="O57" s="369"/>
      <c r="P57" s="362">
        <f>SUMIF('caseload data'!$C:$C,'divisional &amp; regional caseload%'!B57,'caseload data'!V:V)</f>
        <v>0</v>
      </c>
      <c r="Q57" s="370"/>
      <c r="R57" s="371"/>
      <c r="S57" s="95"/>
      <c r="T57" s="182">
        <f>HLOOKUP($B$5,Region_Table,17,0)</f>
        <v>0</v>
      </c>
      <c r="U57" s="359" t="s">
        <v>363</v>
      </c>
      <c r="V57" s="365"/>
      <c r="W57" s="365"/>
      <c r="X57" s="365"/>
      <c r="Y57" s="365"/>
      <c r="Z57" s="365"/>
      <c r="AA57" s="365"/>
      <c r="AB57" s="365"/>
      <c r="AC57" s="365"/>
      <c r="AD57" s="365"/>
      <c r="AE57" s="368"/>
      <c r="AF57" s="368"/>
      <c r="AG57" s="369"/>
      <c r="AH57" s="362">
        <f>SUMIF('caseload data'!$C:$C,'divisional &amp; regional caseload%'!T57,'caseload data'!V:V)</f>
        <v>0</v>
      </c>
      <c r="AI57" s="370"/>
      <c r="AJ57" s="371"/>
    </row>
    <row r="58" spans="2:36" x14ac:dyDescent="0.15">
      <c r="B58" s="127" t="s">
        <v>324</v>
      </c>
      <c r="C58" s="58" t="s">
        <v>504</v>
      </c>
      <c r="D58" s="58" t="s">
        <v>503</v>
      </c>
      <c r="E58" s="58" t="s">
        <v>502</v>
      </c>
      <c r="F58" s="58" t="s">
        <v>501</v>
      </c>
      <c r="G58" s="58" t="s">
        <v>510</v>
      </c>
      <c r="H58" s="58" t="s">
        <v>176</v>
      </c>
      <c r="I58" s="58" t="s">
        <v>177</v>
      </c>
      <c r="J58" s="58" t="s">
        <v>505</v>
      </c>
      <c r="K58" s="58" t="s">
        <v>507</v>
      </c>
      <c r="L58" s="58" t="s">
        <v>178</v>
      </c>
      <c r="M58" s="58" t="s">
        <v>179</v>
      </c>
      <c r="N58" s="58" t="s">
        <v>506</v>
      </c>
      <c r="O58" s="58" t="s">
        <v>508</v>
      </c>
      <c r="P58" s="58" t="s">
        <v>180</v>
      </c>
      <c r="Q58" s="58" t="s">
        <v>181</v>
      </c>
      <c r="R58" s="58" t="s">
        <v>509</v>
      </c>
      <c r="S58" s="95"/>
      <c r="T58" s="127" t="s">
        <v>324</v>
      </c>
      <c r="U58" s="58" t="s">
        <v>504</v>
      </c>
      <c r="V58" s="58" t="s">
        <v>503</v>
      </c>
      <c r="W58" s="58" t="s">
        <v>502</v>
      </c>
      <c r="X58" s="58" t="s">
        <v>501</v>
      </c>
      <c r="Y58" s="58" t="s">
        <v>510</v>
      </c>
      <c r="Z58" s="58" t="s">
        <v>176</v>
      </c>
      <c r="AA58" s="58" t="s">
        <v>177</v>
      </c>
      <c r="AB58" s="58" t="s">
        <v>505</v>
      </c>
      <c r="AC58" s="58" t="s">
        <v>507</v>
      </c>
      <c r="AD58" s="58" t="s">
        <v>178</v>
      </c>
      <c r="AE58" s="58" t="s">
        <v>179</v>
      </c>
      <c r="AF58" s="58" t="s">
        <v>506</v>
      </c>
      <c r="AG58" s="58" t="s">
        <v>508</v>
      </c>
      <c r="AH58" s="58" t="s">
        <v>180</v>
      </c>
      <c r="AI58" s="58" t="s">
        <v>181</v>
      </c>
      <c r="AJ58" s="58" t="s">
        <v>509</v>
      </c>
    </row>
    <row r="59" spans="2:36" x14ac:dyDescent="0.15">
      <c r="B59" s="129" t="s">
        <v>184</v>
      </c>
      <c r="C59" s="209" t="str">
        <f>IFERROR(SUMIFS('caseload data'!E:E,'caseload data'!$C:$C,'divisional &amp; regional caseload%'!$B$57,'caseload data'!$D:$D,"PO")/SUMIF('caseload data'!$C:$C,'divisional &amp; regional caseload%'!$B$57,'caseload data'!E:E),"")</f>
        <v/>
      </c>
      <c r="D59" s="209" t="str">
        <f>IFERROR(SUMIFS('caseload data'!F:F,'caseload data'!$C:$C,'divisional &amp; regional caseload%'!$B$57,'caseload data'!$D:$D,"PO")/SUMIF('caseload data'!$C:$C,'divisional &amp; regional caseload%'!$B$57,'caseload data'!F:F),"")</f>
        <v/>
      </c>
      <c r="E59" s="209" t="str">
        <f>IFERROR(SUMIFS('caseload data'!G:G,'caseload data'!$C:$C,'divisional &amp; regional caseload%'!$B$57,'caseload data'!$D:$D,"PO")/SUMIF('caseload data'!$C:$C,'divisional &amp; regional caseload%'!$B$57,'caseload data'!G:G),"")</f>
        <v/>
      </c>
      <c r="F59" s="209" t="str">
        <f>IFERROR(SUMIFS('caseload data'!H:H,'caseload data'!$C:$C,'divisional &amp; regional caseload%'!$B$57,'caseload data'!$D:$D,"PO")/SUMIF('caseload data'!$C:$C,'divisional &amp; regional caseload%'!$B$57,'caseload data'!H:H),"")</f>
        <v/>
      </c>
      <c r="G59" s="209" t="str">
        <f>IFERROR(SUMIFS('caseload data'!I:I,'caseload data'!$C:$C,'divisional &amp; regional caseload%'!$B$57,'caseload data'!$D:$D,"PO")/SUMIF('caseload data'!$C:$C,'divisional &amp; regional caseload%'!$B$57,'caseload data'!I:I),"")</f>
        <v/>
      </c>
      <c r="H59" s="209" t="str">
        <f>IFERROR(SUMIFS('caseload data'!J:J,'caseload data'!$C:$C,'divisional &amp; regional caseload%'!$B$57,'caseload data'!$D:$D,"PO")/SUMIF('caseload data'!$C:$C,'divisional &amp; regional caseload%'!$B$57,'caseload data'!J:J),"")</f>
        <v/>
      </c>
      <c r="I59" s="209" t="str">
        <f>IFERROR(SUMIFS('caseload data'!K:K,'caseload data'!$C:$C,'divisional &amp; regional caseload%'!$B$57,'caseload data'!$D:$D,"PO")/SUMIF('caseload data'!$C:$C,'divisional &amp; regional caseload%'!$B$57,'caseload data'!K:K),"")</f>
        <v/>
      </c>
      <c r="J59" s="209" t="str">
        <f>IFERROR(SUMIFS('caseload data'!L:L,'caseload data'!$C:$C,'divisional &amp; regional caseload%'!$B$57,'caseload data'!$D:$D,"PO")/SUMIF('caseload data'!$C:$C,'divisional &amp; regional caseload%'!$B$57,'caseload data'!L:L),"")</f>
        <v/>
      </c>
      <c r="K59" s="209" t="str">
        <f>IFERROR(SUMIFS('caseload data'!M:M,'caseload data'!$C:$C,'divisional &amp; regional caseload%'!$B$57,'caseload data'!$D:$D,"PO")/SUMIF('caseload data'!$C:$C,'divisional &amp; regional caseload%'!$B$57,'caseload data'!M:M),"")</f>
        <v/>
      </c>
      <c r="L59" s="209" t="str">
        <f>IFERROR(SUMIFS('caseload data'!N:N,'caseload data'!$C:$C,'divisional &amp; regional caseload%'!$B$57,'caseload data'!$D:$D,"PO")/SUMIF('caseload data'!$C:$C,'divisional &amp; regional caseload%'!$B$57,'caseload data'!N:N),"")</f>
        <v/>
      </c>
      <c r="M59" s="209" t="str">
        <f>IFERROR(SUMIFS('caseload data'!O:O,'caseload data'!$C:$C,'divisional &amp; regional caseload%'!$B$57,'caseload data'!$D:$D,"PO")/SUMIF('caseload data'!$C:$C,'divisional &amp; regional caseload%'!$B$57,'caseload data'!O:O),"")</f>
        <v/>
      </c>
      <c r="N59" s="209" t="str">
        <f>IFERROR(SUMIFS('caseload data'!P:P,'caseload data'!$C:$C,'divisional &amp; regional caseload%'!$B$57,'caseload data'!$D:$D,"PO")/SUMIF('caseload data'!$C:$C,'divisional &amp; regional caseload%'!$B$57,'caseload data'!P:P),"")</f>
        <v/>
      </c>
      <c r="O59" s="209" t="str">
        <f>IFERROR(SUMIFS('caseload data'!Q:Q,'caseload data'!$C:$C,'divisional &amp; regional caseload%'!$B$57,'caseload data'!$D:$D,"PO")/SUMIF('caseload data'!$C:$C,'divisional &amp; regional caseload%'!$B$57,'caseload data'!Q:Q),"")</f>
        <v/>
      </c>
      <c r="P59" s="209" t="str">
        <f>IFERROR(SUMIFS('caseload data'!R:R,'caseload data'!$C:$C,'divisional &amp; regional caseload%'!$B$57,'caseload data'!$D:$D,"PO")/SUMIF('caseload data'!$C:$C,'divisional &amp; regional caseload%'!$B$57,'caseload data'!R:R),"")</f>
        <v/>
      </c>
      <c r="Q59" s="209" t="str">
        <f>IFERROR(SUMIFS('caseload data'!S:S,'caseload data'!$C:$C,'divisional &amp; regional caseload%'!$B$57,'caseload data'!$D:$D,"PO")/SUMIF('caseload data'!$C:$C,'divisional &amp; regional caseload%'!$B$57,'caseload data'!S:S),"")</f>
        <v/>
      </c>
      <c r="R59" s="209" t="str">
        <f>IFERROR(SUMIFS('caseload data'!T:T,'caseload data'!$C:$C,'divisional &amp; regional caseload%'!$B$57,'caseload data'!$D:$D,"PO")/SUMIF('caseload data'!$C:$C,'divisional &amp; regional caseload%'!$B$57,'caseload data'!T:T),"")</f>
        <v/>
      </c>
      <c r="S59" s="95"/>
      <c r="T59" s="129" t="s">
        <v>184</v>
      </c>
      <c r="U59" s="209" t="str">
        <f>IFERROR(SUMIFS('caseload data'!E:E,'caseload data'!$C:$C,'divisional &amp; regional caseload%'!$T$57,'caseload data'!$D:$D,"PO")/SUMIF('caseload data'!$C:$C,'divisional &amp; regional caseload%'!$T$57,'caseload data'!E:E),"")</f>
        <v/>
      </c>
      <c r="V59" s="209" t="str">
        <f>IFERROR(SUMIFS('caseload data'!F:F,'caseload data'!$C:$C,'divisional &amp; regional caseload%'!$T$57,'caseload data'!$D:$D,"PO")/SUMIF('caseload data'!$C:$C,'divisional &amp; regional caseload%'!$T$57,'caseload data'!F:F),"")</f>
        <v/>
      </c>
      <c r="W59" s="209" t="str">
        <f>IFERROR(SUMIFS('caseload data'!G:G,'caseload data'!$C:$C,'divisional &amp; regional caseload%'!$T$57,'caseload data'!$D:$D,"PO")/SUMIF('caseload data'!$C:$C,'divisional &amp; regional caseload%'!$T$57,'caseload data'!G:G),"")</f>
        <v/>
      </c>
      <c r="X59" s="209" t="str">
        <f>IFERROR(SUMIFS('caseload data'!H:H,'caseload data'!$C:$C,'divisional &amp; regional caseload%'!$T$57,'caseload data'!$D:$D,"PO")/SUMIF('caseload data'!$C:$C,'divisional &amp; regional caseload%'!$T$57,'caseload data'!H:H),"")</f>
        <v/>
      </c>
      <c r="Y59" s="209" t="str">
        <f>IFERROR(SUMIFS('caseload data'!I:I,'caseload data'!$C:$C,'divisional &amp; regional caseload%'!$T$57,'caseload data'!$D:$D,"PO")/SUMIF('caseload data'!$C:$C,'divisional &amp; regional caseload%'!$T$57,'caseload data'!I:I),"")</f>
        <v/>
      </c>
      <c r="Z59" s="209" t="str">
        <f>IFERROR(SUMIFS('caseload data'!J:J,'caseload data'!$C:$C,'divisional &amp; regional caseload%'!$T$57,'caseload data'!$D:$D,"PO")/SUMIF('caseload data'!$C:$C,'divisional &amp; regional caseload%'!$T$57,'caseload data'!J:J),"")</f>
        <v/>
      </c>
      <c r="AA59" s="209" t="str">
        <f>IFERROR(SUMIFS('caseload data'!K:K,'caseload data'!$C:$C,'divisional &amp; regional caseload%'!$T$57,'caseload data'!$D:$D,"PO")/SUMIF('caseload data'!$C:$C,'divisional &amp; regional caseload%'!$T$57,'caseload data'!K:K),"")</f>
        <v/>
      </c>
      <c r="AB59" s="209" t="str">
        <f>IFERROR(SUMIFS('caseload data'!L:L,'caseload data'!$C:$C,'divisional &amp; regional caseload%'!$T$57,'caseload data'!$D:$D,"PO")/SUMIF('caseload data'!$C:$C,'divisional &amp; regional caseload%'!$T$57,'caseload data'!L:L),"")</f>
        <v/>
      </c>
      <c r="AC59" s="209" t="str">
        <f>IFERROR(SUMIFS('caseload data'!M:M,'caseload data'!$C:$C,'divisional &amp; regional caseload%'!$T$57,'caseload data'!$D:$D,"PO")/SUMIF('caseload data'!$C:$C,'divisional &amp; regional caseload%'!$T$57,'caseload data'!M:M),"")</f>
        <v/>
      </c>
      <c r="AD59" s="209" t="str">
        <f>IFERROR(SUMIFS('caseload data'!N:N,'caseload data'!$C:$C,'divisional &amp; regional caseload%'!$T$57,'caseload data'!$D:$D,"PO")/SUMIF('caseload data'!$C:$C,'divisional &amp; regional caseload%'!$T$57,'caseload data'!N:N),"")</f>
        <v/>
      </c>
      <c r="AE59" s="209" t="str">
        <f>IFERROR(SUMIFS('caseload data'!O:O,'caseload data'!$C:$C,'divisional &amp; regional caseload%'!$T$57,'caseload data'!$D:$D,"PO")/SUMIF('caseload data'!$C:$C,'divisional &amp; regional caseload%'!$T$57,'caseload data'!O:O),"")</f>
        <v/>
      </c>
      <c r="AF59" s="209" t="str">
        <f>IFERROR(SUMIFS('caseload data'!P:P,'caseload data'!$C:$C,'divisional &amp; regional caseload%'!$T$57,'caseload data'!$D:$D,"PO")/SUMIF('caseload data'!$C:$C,'divisional &amp; regional caseload%'!$T$57,'caseload data'!P:P),"")</f>
        <v/>
      </c>
      <c r="AG59" s="209" t="str">
        <f>IFERROR(SUMIFS('caseload data'!Q:Q,'caseload data'!$C:$C,'divisional &amp; regional caseload%'!$T$57,'caseload data'!$D:$D,"PO")/SUMIF('caseload data'!$C:$C,'divisional &amp; regional caseload%'!$T$57,'caseload data'!Q:Q),"")</f>
        <v/>
      </c>
      <c r="AH59" s="209" t="str">
        <f>IFERROR(SUMIFS('caseload data'!R:R,'caseload data'!$C:$C,'divisional &amp; regional caseload%'!$T$57,'caseload data'!$D:$D,"PO")/SUMIF('caseload data'!$C:$C,'divisional &amp; regional caseload%'!$T$57,'caseload data'!R:R),"")</f>
        <v/>
      </c>
      <c r="AI59" s="209" t="str">
        <f>IFERROR(SUMIFS('caseload data'!S:S,'caseload data'!$C:$C,'divisional &amp; regional caseload%'!$T$57,'caseload data'!$D:$D,"PO")/SUMIF('caseload data'!$C:$C,'divisional &amp; regional caseload%'!$T$57,'caseload data'!S:S),"")</f>
        <v/>
      </c>
      <c r="AJ59" s="209" t="str">
        <f>IFERROR(SUMIFS('caseload data'!T:T,'caseload data'!$C:$C,'divisional &amp; regional caseload%'!$T$57,'caseload data'!$D:$D,"PO")/SUMIF('caseload data'!$C:$C,'divisional &amp; regional caseload%'!$T$57,'caseload data'!T:T),"")</f>
        <v/>
      </c>
    </row>
    <row r="60" spans="2:36" x14ac:dyDescent="0.15">
      <c r="B60" s="130" t="s">
        <v>185</v>
      </c>
      <c r="C60" s="209" t="str">
        <f>IFERROR(SUMIFS('caseload data'!E:E,'caseload data'!$C:$C,'divisional &amp; regional caseload%'!$B$57,'caseload data'!$D:$D,"PSO")/SUMIF('caseload data'!$C:$C,'divisional &amp; regional caseload%'!$B$57,'caseload data'!E:E),"")</f>
        <v/>
      </c>
      <c r="D60" s="209" t="str">
        <f>IFERROR(SUMIFS('caseload data'!F:F,'caseload data'!$C:$C,'divisional &amp; regional caseload%'!$B$57,'caseload data'!$D:$D,"PSO")/SUMIF('caseload data'!$C:$C,'divisional &amp; regional caseload%'!$B$57,'caseload data'!F:F),"")</f>
        <v/>
      </c>
      <c r="E60" s="209" t="str">
        <f>IFERROR(SUMIFS('caseload data'!G:G,'caseload data'!$C:$C,'divisional &amp; regional caseload%'!$B$57,'caseload data'!$D:$D,"PSO")/SUMIF('caseload data'!$C:$C,'divisional &amp; regional caseload%'!$B$57,'caseload data'!G:G),"")</f>
        <v/>
      </c>
      <c r="F60" s="209" t="str">
        <f>IFERROR(SUMIFS('caseload data'!H:H,'caseload data'!$C:$C,'divisional &amp; regional caseload%'!$B$57,'caseload data'!$D:$D,"PSO")/SUMIF('caseload data'!$C:$C,'divisional &amp; regional caseload%'!$B$57,'caseload data'!H:H),"")</f>
        <v/>
      </c>
      <c r="G60" s="209" t="str">
        <f>IFERROR(SUMIFS('caseload data'!I:I,'caseload data'!$C:$C,'divisional &amp; regional caseload%'!$B$57,'caseload data'!$D:$D,"PSO")/SUMIF('caseload data'!$C:$C,'divisional &amp; regional caseload%'!$B$57,'caseload data'!I:I),"")</f>
        <v/>
      </c>
      <c r="H60" s="209" t="str">
        <f>IFERROR(SUMIFS('caseload data'!J:J,'caseload data'!$C:$C,'divisional &amp; regional caseload%'!$B$57,'caseload data'!$D:$D,"PSO")/SUMIF('caseload data'!$C:$C,'divisional &amp; regional caseload%'!$B$57,'caseload data'!J:J),"")</f>
        <v/>
      </c>
      <c r="I60" s="209" t="str">
        <f>IFERROR(SUMIFS('caseload data'!K:K,'caseload data'!$C:$C,'divisional &amp; regional caseload%'!$B$57,'caseload data'!$D:$D,"PSO")/SUMIF('caseload data'!$C:$C,'divisional &amp; regional caseload%'!$B$57,'caseload data'!K:K),"")</f>
        <v/>
      </c>
      <c r="J60" s="209" t="str">
        <f>IFERROR(SUMIFS('caseload data'!L:L,'caseload data'!$C:$C,'divisional &amp; regional caseload%'!$B$57,'caseload data'!$D:$D,"PSO")/SUMIF('caseload data'!$C:$C,'divisional &amp; regional caseload%'!$B$57,'caseload data'!L:L),"")</f>
        <v/>
      </c>
      <c r="K60" s="209" t="str">
        <f>IFERROR(SUMIFS('caseload data'!M:M,'caseload data'!$C:$C,'divisional &amp; regional caseload%'!$B$57,'caseload data'!$D:$D,"PSO")/SUMIF('caseload data'!$C:$C,'divisional &amp; regional caseload%'!$B$57,'caseload data'!M:M),"")</f>
        <v/>
      </c>
      <c r="L60" s="209" t="str">
        <f>IFERROR(SUMIFS('caseload data'!N:N,'caseload data'!$C:$C,'divisional &amp; regional caseload%'!$B$57,'caseload data'!$D:$D,"PSO")/SUMIF('caseload data'!$C:$C,'divisional &amp; regional caseload%'!$B$57,'caseload data'!N:N),"")</f>
        <v/>
      </c>
      <c r="M60" s="209" t="str">
        <f>IFERROR(SUMIFS('caseload data'!O:O,'caseload data'!$C:$C,'divisional &amp; regional caseload%'!$B$57,'caseload data'!$D:$D,"PSO")/SUMIF('caseload data'!$C:$C,'divisional &amp; regional caseload%'!$B$57,'caseload data'!O:O),"")</f>
        <v/>
      </c>
      <c r="N60" s="209" t="str">
        <f>IFERROR(SUMIFS('caseload data'!P:P,'caseload data'!$C:$C,'divisional &amp; regional caseload%'!$B$57,'caseload data'!$D:$D,"PSO")/SUMIF('caseload data'!$C:$C,'divisional &amp; regional caseload%'!$B$57,'caseload data'!P:P),"")</f>
        <v/>
      </c>
      <c r="O60" s="209" t="str">
        <f>IFERROR(SUMIFS('caseload data'!Q:Q,'caseload data'!$C:$C,'divisional &amp; regional caseload%'!$B$57,'caseload data'!$D:$D,"PSO")/SUMIF('caseload data'!$C:$C,'divisional &amp; regional caseload%'!$B$57,'caseload data'!Q:Q),"")</f>
        <v/>
      </c>
      <c r="P60" s="209" t="str">
        <f>IFERROR(SUMIFS('caseload data'!R:R,'caseload data'!$C:$C,'divisional &amp; regional caseload%'!$B$57,'caseload data'!$D:$D,"PSO")/SUMIF('caseload data'!$C:$C,'divisional &amp; regional caseload%'!$B$57,'caseload data'!R:R),"")</f>
        <v/>
      </c>
      <c r="Q60" s="209" t="str">
        <f>IFERROR(SUMIFS('caseload data'!S:S,'caseload data'!$C:$C,'divisional &amp; regional caseload%'!$B$57,'caseload data'!$D:$D,"PSO")/SUMIF('caseload data'!$C:$C,'divisional &amp; regional caseload%'!$B$57,'caseload data'!S:S),"")</f>
        <v/>
      </c>
      <c r="R60" s="209" t="str">
        <f>IFERROR(SUMIFS('caseload data'!T:T,'caseload data'!$C:$C,'divisional &amp; regional caseload%'!$B$57,'caseload data'!$D:$D,"PSO")/SUMIF('caseload data'!$C:$C,'divisional &amp; regional caseload%'!$B$57,'caseload data'!T:T),"")</f>
        <v/>
      </c>
      <c r="S60" s="95"/>
      <c r="T60" s="130" t="s">
        <v>185</v>
      </c>
      <c r="U60" s="209" t="str">
        <f>IFERROR(SUMIFS('caseload data'!E:E,'caseload data'!$C:$C,'divisional &amp; regional caseload%'!$T$57,'caseload data'!$D:$D,"PSO")/SUMIF('caseload data'!$C:$C,'divisional &amp; regional caseload%'!$T$57,'caseload data'!E:E),"")</f>
        <v/>
      </c>
      <c r="V60" s="209" t="str">
        <f>IFERROR(SUMIFS('caseload data'!F:F,'caseload data'!$C:$C,'divisional &amp; regional caseload%'!$T$57,'caseload data'!$D:$D,"PSO")/SUMIF('caseload data'!$C:$C,'divisional &amp; regional caseload%'!$T$57,'caseload data'!F:F),"")</f>
        <v/>
      </c>
      <c r="W60" s="209" t="str">
        <f>IFERROR(SUMIFS('caseload data'!G:G,'caseload data'!$C:$C,'divisional &amp; regional caseload%'!$T$57,'caseload data'!$D:$D,"PSO")/SUMIF('caseload data'!$C:$C,'divisional &amp; regional caseload%'!$T$57,'caseload data'!G:G),"")</f>
        <v/>
      </c>
      <c r="X60" s="209" t="str">
        <f>IFERROR(SUMIFS('caseload data'!H:H,'caseload data'!$C:$C,'divisional &amp; regional caseload%'!$T$57,'caseload data'!$D:$D,"PSO")/SUMIF('caseload data'!$C:$C,'divisional &amp; regional caseload%'!$T$57,'caseload data'!H:H),"")</f>
        <v/>
      </c>
      <c r="Y60" s="209" t="str">
        <f>IFERROR(SUMIFS('caseload data'!I:I,'caseload data'!$C:$C,'divisional &amp; regional caseload%'!$T$57,'caseload data'!$D:$D,"PSO")/SUMIF('caseload data'!$C:$C,'divisional &amp; regional caseload%'!$T$57,'caseload data'!I:I),"")</f>
        <v/>
      </c>
      <c r="Z60" s="209" t="str">
        <f>IFERROR(SUMIFS('caseload data'!J:J,'caseload data'!$C:$C,'divisional &amp; regional caseload%'!$T$57,'caseload data'!$D:$D,"PSO")/SUMIF('caseload data'!$C:$C,'divisional &amp; regional caseload%'!$T$57,'caseload data'!J:J),"")</f>
        <v/>
      </c>
      <c r="AA60" s="209" t="str">
        <f>IFERROR(SUMIFS('caseload data'!K:K,'caseload data'!$C:$C,'divisional &amp; regional caseload%'!$T$57,'caseload data'!$D:$D,"PSO")/SUMIF('caseload data'!$C:$C,'divisional &amp; regional caseload%'!$T$57,'caseload data'!K:K),"")</f>
        <v/>
      </c>
      <c r="AB60" s="209" t="str">
        <f>IFERROR(SUMIFS('caseload data'!L:L,'caseload data'!$C:$C,'divisional &amp; regional caseload%'!$T$57,'caseload data'!$D:$D,"PSO")/SUMIF('caseload data'!$C:$C,'divisional &amp; regional caseload%'!$T$57,'caseload data'!L:L),"")</f>
        <v/>
      </c>
      <c r="AC60" s="209" t="str">
        <f>IFERROR(SUMIFS('caseload data'!M:M,'caseload data'!$C:$C,'divisional &amp; regional caseload%'!$T$57,'caseload data'!$D:$D,"PSO")/SUMIF('caseload data'!$C:$C,'divisional &amp; regional caseload%'!$T$57,'caseload data'!M:M),"")</f>
        <v/>
      </c>
      <c r="AD60" s="209" t="str">
        <f>IFERROR(SUMIFS('caseload data'!N:N,'caseload data'!$C:$C,'divisional &amp; regional caseload%'!$T$57,'caseload data'!$D:$D,"PSO")/SUMIF('caseload data'!$C:$C,'divisional &amp; regional caseload%'!$T$57,'caseload data'!N:N),"")</f>
        <v/>
      </c>
      <c r="AE60" s="209" t="str">
        <f>IFERROR(SUMIFS('caseload data'!O:O,'caseload data'!$C:$C,'divisional &amp; regional caseload%'!$T$57,'caseload data'!$D:$D,"PSO")/SUMIF('caseload data'!$C:$C,'divisional &amp; regional caseload%'!$T$57,'caseload data'!O:O),"")</f>
        <v/>
      </c>
      <c r="AF60" s="209" t="str">
        <f>IFERROR(SUMIFS('caseload data'!P:P,'caseload data'!$C:$C,'divisional &amp; regional caseload%'!$T$57,'caseload data'!$D:$D,"PSO")/SUMIF('caseload data'!$C:$C,'divisional &amp; regional caseload%'!$T$57,'caseload data'!P:P),"")</f>
        <v/>
      </c>
      <c r="AG60" s="209" t="str">
        <f>IFERROR(SUMIFS('caseload data'!Q:Q,'caseload data'!$C:$C,'divisional &amp; regional caseload%'!$T$57,'caseload data'!$D:$D,"PSO")/SUMIF('caseload data'!$C:$C,'divisional &amp; regional caseload%'!$T$57,'caseload data'!Q:Q),"")</f>
        <v/>
      </c>
      <c r="AH60" s="209" t="str">
        <f>IFERROR(SUMIFS('caseload data'!R:R,'caseload data'!$C:$C,'divisional &amp; regional caseload%'!$T$57,'caseload data'!$D:$D,"PSO")/SUMIF('caseload data'!$C:$C,'divisional &amp; regional caseload%'!$T$57,'caseload data'!R:R),"")</f>
        <v/>
      </c>
      <c r="AI60" s="209" t="str">
        <f>IFERROR(SUMIFS('caseload data'!S:S,'caseload data'!$C:$C,'divisional &amp; regional caseload%'!$T$57,'caseload data'!$D:$D,"PSO")/SUMIF('caseload data'!$C:$C,'divisional &amp; regional caseload%'!$T$57,'caseload data'!S:S),"")</f>
        <v/>
      </c>
      <c r="AJ60" s="209" t="str">
        <f>IFERROR(SUMIFS('caseload data'!T:T,'caseload data'!$C:$C,'divisional &amp; regional caseload%'!$T$57,'caseload data'!$D:$D,"PSO")/SUMIF('caseload data'!$C:$C,'divisional &amp; regional caseload%'!$T$57,'caseload data'!T:T),"")</f>
        <v/>
      </c>
    </row>
    <row r="61" spans="2:36" x14ac:dyDescent="0.15">
      <c r="B61" s="130" t="s">
        <v>186</v>
      </c>
      <c r="C61" s="209" t="str">
        <f>IFERROR(SUMIFS('caseload data'!E:E,'caseload data'!$C:$C,'divisional &amp; regional caseload%'!$B$57,'caseload data'!$D:$D,"TPO")/SUMIF('caseload data'!$C:$C,'divisional &amp; regional caseload%'!$B$57,'caseload data'!E:E),"")</f>
        <v/>
      </c>
      <c r="D61" s="209" t="str">
        <f>IFERROR(SUMIFS('caseload data'!F:F,'caseload data'!$C:$C,'divisional &amp; regional caseload%'!$B$57,'caseload data'!$D:$D,"TPO")/SUMIF('caseload data'!$C:$C,'divisional &amp; regional caseload%'!$B$57,'caseload data'!F:F),"")</f>
        <v/>
      </c>
      <c r="E61" s="209" t="str">
        <f>IFERROR(SUMIFS('caseload data'!G:G,'caseload data'!$C:$C,'divisional &amp; regional caseload%'!$B$57,'caseload data'!$D:$D,"TPO")/SUMIF('caseload data'!$C:$C,'divisional &amp; regional caseload%'!$B$57,'caseload data'!G:G),"")</f>
        <v/>
      </c>
      <c r="F61" s="209" t="str">
        <f>IFERROR(SUMIFS('caseload data'!H:H,'caseload data'!$C:$C,'divisional &amp; regional caseload%'!$B$57,'caseload data'!$D:$D,"TPO")/SUMIF('caseload data'!$C:$C,'divisional &amp; regional caseload%'!$B$57,'caseload data'!H:H),"")</f>
        <v/>
      </c>
      <c r="G61" s="209" t="str">
        <f>IFERROR(SUMIFS('caseload data'!I:I,'caseload data'!$C:$C,'divisional &amp; regional caseload%'!$B$57,'caseload data'!$D:$D,"TPO")/SUMIF('caseload data'!$C:$C,'divisional &amp; regional caseload%'!$B$57,'caseload data'!I:I),"")</f>
        <v/>
      </c>
      <c r="H61" s="209" t="str">
        <f>IFERROR(SUMIFS('caseload data'!J:J,'caseload data'!$C:$C,'divisional &amp; regional caseload%'!$B$57,'caseload data'!$D:$D,"TPO")/SUMIF('caseload data'!$C:$C,'divisional &amp; regional caseload%'!$B$57,'caseload data'!J:J),"")</f>
        <v/>
      </c>
      <c r="I61" s="209" t="str">
        <f>IFERROR(SUMIFS('caseload data'!K:K,'caseload data'!$C:$C,'divisional &amp; regional caseload%'!$B$57,'caseload data'!$D:$D,"TPO")/SUMIF('caseload data'!$C:$C,'divisional &amp; regional caseload%'!$B$57,'caseload data'!K:K),"")</f>
        <v/>
      </c>
      <c r="J61" s="209" t="str">
        <f>IFERROR(SUMIFS('caseload data'!L:L,'caseload data'!$C:$C,'divisional &amp; regional caseload%'!$B$57,'caseload data'!$D:$D,"TPO")/SUMIF('caseload data'!$C:$C,'divisional &amp; regional caseload%'!$B$57,'caseload data'!L:L),"")</f>
        <v/>
      </c>
      <c r="K61" s="209" t="str">
        <f>IFERROR(SUMIFS('caseload data'!M:M,'caseload data'!$C:$C,'divisional &amp; regional caseload%'!$B$57,'caseload data'!$D:$D,"TPO")/SUMIF('caseload data'!$C:$C,'divisional &amp; regional caseload%'!$B$57,'caseload data'!M:M),"")</f>
        <v/>
      </c>
      <c r="L61" s="209" t="str">
        <f>IFERROR(SUMIFS('caseload data'!N:N,'caseload data'!$C:$C,'divisional &amp; regional caseload%'!$B$57,'caseload data'!$D:$D,"TPO")/SUMIF('caseload data'!$C:$C,'divisional &amp; regional caseload%'!$B$57,'caseload data'!N:N),"")</f>
        <v/>
      </c>
      <c r="M61" s="209" t="str">
        <f>IFERROR(SUMIFS('caseload data'!O:O,'caseload data'!$C:$C,'divisional &amp; regional caseload%'!$B$57,'caseload data'!$D:$D,"TPO")/SUMIF('caseload data'!$C:$C,'divisional &amp; regional caseload%'!$B$57,'caseload data'!O:O),"")</f>
        <v/>
      </c>
      <c r="N61" s="209" t="str">
        <f>IFERROR(SUMIFS('caseload data'!P:P,'caseload data'!$C:$C,'divisional &amp; regional caseload%'!$B$57,'caseload data'!$D:$D,"TPO")/SUMIF('caseload data'!$C:$C,'divisional &amp; regional caseload%'!$B$57,'caseload data'!P:P),"")</f>
        <v/>
      </c>
      <c r="O61" s="209" t="str">
        <f>IFERROR(SUMIFS('caseload data'!Q:Q,'caseload data'!$C:$C,'divisional &amp; regional caseload%'!$B$57,'caseload data'!$D:$D,"TPO")/SUMIF('caseload data'!$C:$C,'divisional &amp; regional caseload%'!$B$57,'caseload data'!Q:Q),"")</f>
        <v/>
      </c>
      <c r="P61" s="209" t="str">
        <f>IFERROR(SUMIFS('caseload data'!R:R,'caseload data'!$C:$C,'divisional &amp; regional caseload%'!$B$57,'caseload data'!$D:$D,"TPO")/SUMIF('caseload data'!$C:$C,'divisional &amp; regional caseload%'!$B$57,'caseload data'!R:R),"")</f>
        <v/>
      </c>
      <c r="Q61" s="209" t="str">
        <f>IFERROR(SUMIFS('caseload data'!S:S,'caseload data'!$C:$C,'divisional &amp; regional caseload%'!$B$57,'caseload data'!$D:$D,"TPO")/SUMIF('caseload data'!$C:$C,'divisional &amp; regional caseload%'!$B$57,'caseload data'!S:S),"")</f>
        <v/>
      </c>
      <c r="R61" s="209" t="str">
        <f>IFERROR(SUMIFS('caseload data'!T:T,'caseload data'!$C:$C,'divisional &amp; regional caseload%'!$B$57,'caseload data'!$D:$D,"TPO")/SUMIF('caseload data'!$C:$C,'divisional &amp; regional caseload%'!$B$57,'caseload data'!T:T),"")</f>
        <v/>
      </c>
      <c r="S61" s="95"/>
      <c r="T61" s="130" t="s">
        <v>186</v>
      </c>
      <c r="U61" s="209" t="str">
        <f>IFERROR(SUMIFS('caseload data'!E:E,'caseload data'!$C:$C,'divisional &amp; regional caseload%'!$T$57,'caseload data'!$D:$D,"TPO")/SUMIF('caseload data'!$C:$C,'divisional &amp; regional caseload%'!$T$57,'caseload data'!E:E),"")</f>
        <v/>
      </c>
      <c r="V61" s="209" t="str">
        <f>IFERROR(SUMIFS('caseload data'!F:F,'caseload data'!$C:$C,'divisional &amp; regional caseload%'!$T$57,'caseload data'!$D:$D,"TPO")/SUMIF('caseload data'!$C:$C,'divisional &amp; regional caseload%'!$T$57,'caseload data'!F:F),"")</f>
        <v/>
      </c>
      <c r="W61" s="209" t="str">
        <f>IFERROR(SUMIFS('caseload data'!G:G,'caseload data'!$C:$C,'divisional &amp; regional caseload%'!$T$57,'caseload data'!$D:$D,"TPO")/SUMIF('caseload data'!$C:$C,'divisional &amp; regional caseload%'!$T$57,'caseload data'!G:G),"")</f>
        <v/>
      </c>
      <c r="X61" s="209" t="str">
        <f>IFERROR(SUMIFS('caseload data'!H:H,'caseload data'!$C:$C,'divisional &amp; regional caseload%'!$T$57,'caseload data'!$D:$D,"TPO")/SUMIF('caseload data'!$C:$C,'divisional &amp; regional caseload%'!$T$57,'caseload data'!H:H),"")</f>
        <v/>
      </c>
      <c r="Y61" s="209" t="str">
        <f>IFERROR(SUMIFS('caseload data'!I:I,'caseload data'!$C:$C,'divisional &amp; regional caseload%'!$T$57,'caseload data'!$D:$D,"TPO")/SUMIF('caseload data'!$C:$C,'divisional &amp; regional caseload%'!$T$57,'caseload data'!I:I),"")</f>
        <v/>
      </c>
      <c r="Z61" s="209" t="str">
        <f>IFERROR(SUMIFS('caseload data'!J:J,'caseload data'!$C:$C,'divisional &amp; regional caseload%'!$T$57,'caseload data'!$D:$D,"TPO")/SUMIF('caseload data'!$C:$C,'divisional &amp; regional caseload%'!$T$57,'caseload data'!J:J),"")</f>
        <v/>
      </c>
      <c r="AA61" s="209" t="str">
        <f>IFERROR(SUMIFS('caseload data'!K:K,'caseload data'!$C:$C,'divisional &amp; regional caseload%'!$T$57,'caseload data'!$D:$D,"TPO")/SUMIF('caseload data'!$C:$C,'divisional &amp; regional caseload%'!$T$57,'caseload data'!K:K),"")</f>
        <v/>
      </c>
      <c r="AB61" s="209" t="str">
        <f>IFERROR(SUMIFS('caseload data'!L:L,'caseload data'!$C:$C,'divisional &amp; regional caseload%'!$T$57,'caseload data'!$D:$D,"TPO")/SUMIF('caseload data'!$C:$C,'divisional &amp; regional caseload%'!$T$57,'caseload data'!L:L),"")</f>
        <v/>
      </c>
      <c r="AC61" s="209" t="str">
        <f>IFERROR(SUMIFS('caseload data'!M:M,'caseload data'!$C:$C,'divisional &amp; regional caseload%'!$T$57,'caseload data'!$D:$D,"TPO")/SUMIF('caseload data'!$C:$C,'divisional &amp; regional caseload%'!$T$57,'caseload data'!M:M),"")</f>
        <v/>
      </c>
      <c r="AD61" s="209" t="str">
        <f>IFERROR(SUMIFS('caseload data'!N:N,'caseload data'!$C:$C,'divisional &amp; regional caseload%'!$T$57,'caseload data'!$D:$D,"TPO")/SUMIF('caseload data'!$C:$C,'divisional &amp; regional caseload%'!$T$57,'caseload data'!N:N),"")</f>
        <v/>
      </c>
      <c r="AE61" s="209" t="str">
        <f>IFERROR(SUMIFS('caseload data'!O:O,'caseload data'!$C:$C,'divisional &amp; regional caseload%'!$T$57,'caseload data'!$D:$D,"TPO")/SUMIF('caseload data'!$C:$C,'divisional &amp; regional caseload%'!$T$57,'caseload data'!O:O),"")</f>
        <v/>
      </c>
      <c r="AF61" s="209" t="str">
        <f>IFERROR(SUMIFS('caseload data'!P:P,'caseload data'!$C:$C,'divisional &amp; regional caseload%'!$T$57,'caseload data'!$D:$D,"TPO")/SUMIF('caseload data'!$C:$C,'divisional &amp; regional caseload%'!$T$57,'caseload data'!P:P),"")</f>
        <v/>
      </c>
      <c r="AG61" s="209" t="str">
        <f>IFERROR(SUMIFS('caseload data'!Q:Q,'caseload data'!$C:$C,'divisional &amp; regional caseload%'!$T$57,'caseload data'!$D:$D,"TPO")/SUMIF('caseload data'!$C:$C,'divisional &amp; regional caseload%'!$T$57,'caseload data'!Q:Q),"")</f>
        <v/>
      </c>
      <c r="AH61" s="209" t="str">
        <f>IFERROR(SUMIFS('caseload data'!R:R,'caseload data'!$C:$C,'divisional &amp; regional caseload%'!$T$57,'caseload data'!$D:$D,"TPO")/SUMIF('caseload data'!$C:$C,'divisional &amp; regional caseload%'!$T$57,'caseload data'!R:R),"")</f>
        <v/>
      </c>
      <c r="AI61" s="209" t="str">
        <f>IFERROR(SUMIFS('caseload data'!S:S,'caseload data'!$C:$C,'divisional &amp; regional caseload%'!$T$57,'caseload data'!$D:$D,"TPO")/SUMIF('caseload data'!$C:$C,'divisional &amp; regional caseload%'!$T$57,'caseload data'!S:S),"")</f>
        <v/>
      </c>
      <c r="AJ61" s="209" t="str">
        <f>IFERROR(SUMIFS('caseload data'!T:T,'caseload data'!$C:$C,'divisional &amp; regional caseload%'!$T$57,'caseload data'!$D:$D,"TPO")/SUMIF('caseload data'!$C:$C,'divisional &amp; regional caseload%'!$T$57,'caseload data'!T:T),"")</f>
        <v/>
      </c>
    </row>
    <row r="62" spans="2:36" x14ac:dyDescent="0.15">
      <c r="B62" s="131" t="s">
        <v>187</v>
      </c>
      <c r="C62" s="209" t="str">
        <f>IFERROR(SUMIFS('caseload data'!E:E,'caseload data'!$C:$C,'divisional &amp; regional caseload%'!$B$57,'caseload data'!$D:$D,"SPO")/SUMIF('caseload data'!$C:$C,'divisional &amp; regional caseload%'!$B$57,'caseload data'!E:E),"")</f>
        <v/>
      </c>
      <c r="D62" s="209" t="str">
        <f>IFERROR(SUMIFS('caseload data'!F:F,'caseload data'!$C:$C,'divisional &amp; regional caseload%'!$B$57,'caseload data'!$D:$D,"SPO")/SUMIF('caseload data'!$C:$C,'divisional &amp; regional caseload%'!$B$57,'caseload data'!F:F),"")</f>
        <v/>
      </c>
      <c r="E62" s="209" t="str">
        <f>IFERROR(SUMIFS('caseload data'!G:G,'caseload data'!$C:$C,'divisional &amp; regional caseload%'!$B$57,'caseload data'!$D:$D,"SPO")/SUMIF('caseload data'!$C:$C,'divisional &amp; regional caseload%'!$B$57,'caseload data'!G:G),"")</f>
        <v/>
      </c>
      <c r="F62" s="209" t="str">
        <f>IFERROR(SUMIFS('caseload data'!H:H,'caseload data'!$C:$C,'divisional &amp; regional caseload%'!$B$57,'caseload data'!$D:$D,"SPO")/SUMIF('caseload data'!$C:$C,'divisional &amp; regional caseload%'!$B$57,'caseload data'!H:H),"")</f>
        <v/>
      </c>
      <c r="G62" s="209" t="str">
        <f>IFERROR(SUMIFS('caseload data'!I:I,'caseload data'!$C:$C,'divisional &amp; regional caseload%'!$B$57,'caseload data'!$D:$D,"SPO")/SUMIF('caseload data'!$C:$C,'divisional &amp; regional caseload%'!$B$57,'caseload data'!I:I),"")</f>
        <v/>
      </c>
      <c r="H62" s="209" t="str">
        <f>IFERROR(SUMIFS('caseload data'!J:J,'caseload data'!$C:$C,'divisional &amp; regional caseload%'!$B$57,'caseload data'!$D:$D,"SPO")/SUMIF('caseload data'!$C:$C,'divisional &amp; regional caseload%'!$B$57,'caseload data'!J:J),"")</f>
        <v/>
      </c>
      <c r="I62" s="209" t="str">
        <f>IFERROR(SUMIFS('caseload data'!K:K,'caseload data'!$C:$C,'divisional &amp; regional caseload%'!$B$57,'caseload data'!$D:$D,"SPO")/SUMIF('caseload data'!$C:$C,'divisional &amp; regional caseload%'!$B$57,'caseload data'!K:K),"")</f>
        <v/>
      </c>
      <c r="J62" s="209" t="str">
        <f>IFERROR(SUMIFS('caseload data'!L:L,'caseload data'!$C:$C,'divisional &amp; regional caseload%'!$B$57,'caseload data'!$D:$D,"SPO")/SUMIF('caseload data'!$C:$C,'divisional &amp; regional caseload%'!$B$57,'caseload data'!L:L),"")</f>
        <v/>
      </c>
      <c r="K62" s="209" t="str">
        <f>IFERROR(SUMIFS('caseload data'!M:M,'caseload data'!$C:$C,'divisional &amp; regional caseload%'!$B$57,'caseload data'!$D:$D,"SPO")/SUMIF('caseload data'!$C:$C,'divisional &amp; regional caseload%'!$B$57,'caseload data'!M:M),"")</f>
        <v/>
      </c>
      <c r="L62" s="209" t="str">
        <f>IFERROR(SUMIFS('caseload data'!N:N,'caseload data'!$C:$C,'divisional &amp; regional caseload%'!$B$57,'caseload data'!$D:$D,"SPO")/SUMIF('caseload data'!$C:$C,'divisional &amp; regional caseload%'!$B$57,'caseload data'!N:N),"")</f>
        <v/>
      </c>
      <c r="M62" s="209" t="str">
        <f>IFERROR(SUMIFS('caseload data'!O:O,'caseload data'!$C:$C,'divisional &amp; regional caseload%'!$B$57,'caseload data'!$D:$D,"SPO")/SUMIF('caseload data'!$C:$C,'divisional &amp; regional caseload%'!$B$57,'caseload data'!O:O),"")</f>
        <v/>
      </c>
      <c r="N62" s="209" t="str">
        <f>IFERROR(SUMIFS('caseload data'!P:P,'caseload data'!$C:$C,'divisional &amp; regional caseload%'!$B$57,'caseload data'!$D:$D,"SPO")/SUMIF('caseload data'!$C:$C,'divisional &amp; regional caseload%'!$B$57,'caseload data'!P:P),"")</f>
        <v/>
      </c>
      <c r="O62" s="209" t="str">
        <f>IFERROR(SUMIFS('caseload data'!Q:Q,'caseload data'!$C:$C,'divisional &amp; regional caseload%'!$B$57,'caseload data'!$D:$D,"SPO")/SUMIF('caseload data'!$C:$C,'divisional &amp; regional caseload%'!$B$57,'caseload data'!Q:Q),"")</f>
        <v/>
      </c>
      <c r="P62" s="209" t="str">
        <f>IFERROR(SUMIFS('caseload data'!R:R,'caseload data'!$C:$C,'divisional &amp; regional caseload%'!$B$57,'caseload data'!$D:$D,"SPO")/SUMIF('caseload data'!$C:$C,'divisional &amp; regional caseload%'!$B$57,'caseload data'!R:R),"")</f>
        <v/>
      </c>
      <c r="Q62" s="209" t="str">
        <f>IFERROR(SUMIFS('caseload data'!S:S,'caseload data'!$C:$C,'divisional &amp; regional caseload%'!$B$57,'caseload data'!$D:$D,"SPO")/SUMIF('caseload data'!$C:$C,'divisional &amp; regional caseload%'!$B$57,'caseload data'!S:S),"")</f>
        <v/>
      </c>
      <c r="R62" s="209" t="str">
        <f>IFERROR(SUMIFS('caseload data'!T:T,'caseload data'!$C:$C,'divisional &amp; regional caseload%'!$B$57,'caseload data'!$D:$D,"SPO")/SUMIF('caseload data'!$C:$C,'divisional &amp; regional caseload%'!$B$57,'caseload data'!T:T),"")</f>
        <v/>
      </c>
      <c r="S62" s="95"/>
      <c r="T62" s="131" t="s">
        <v>187</v>
      </c>
      <c r="U62" s="209" t="str">
        <f>IFERROR(SUMIFS('caseload data'!E:E,'caseload data'!$C:$C,'divisional &amp; regional caseload%'!$T$57,'caseload data'!$D:$D,"SPO")/SUMIF('caseload data'!$C:$C,'divisional &amp; regional caseload%'!$T$57,'caseload data'!E:E),"")</f>
        <v/>
      </c>
      <c r="V62" s="209" t="str">
        <f>IFERROR(SUMIFS('caseload data'!F:F,'caseload data'!$C:$C,'divisional &amp; regional caseload%'!$T$57,'caseload data'!$D:$D,"SPO")/SUMIF('caseload data'!$C:$C,'divisional &amp; regional caseload%'!$T$57,'caseload data'!F:F),"")</f>
        <v/>
      </c>
      <c r="W62" s="209" t="str">
        <f>IFERROR(SUMIFS('caseload data'!G:G,'caseload data'!$C:$C,'divisional &amp; regional caseload%'!$T$57,'caseload data'!$D:$D,"SPO")/SUMIF('caseload data'!$C:$C,'divisional &amp; regional caseload%'!$T$57,'caseload data'!G:G),"")</f>
        <v/>
      </c>
      <c r="X62" s="209" t="str">
        <f>IFERROR(SUMIFS('caseload data'!H:H,'caseload data'!$C:$C,'divisional &amp; regional caseload%'!$T$57,'caseload data'!$D:$D,"SPO")/SUMIF('caseload data'!$C:$C,'divisional &amp; regional caseload%'!$T$57,'caseload data'!H:H),"")</f>
        <v/>
      </c>
      <c r="Y62" s="209" t="str">
        <f>IFERROR(SUMIFS('caseload data'!I:I,'caseload data'!$C:$C,'divisional &amp; regional caseload%'!$T$57,'caseload data'!$D:$D,"SPO")/SUMIF('caseload data'!$C:$C,'divisional &amp; regional caseload%'!$T$57,'caseload data'!I:I),"")</f>
        <v/>
      </c>
      <c r="Z62" s="209" t="str">
        <f>IFERROR(SUMIFS('caseload data'!J:J,'caseload data'!$C:$C,'divisional &amp; regional caseload%'!$T$57,'caseload data'!$D:$D,"SPO")/SUMIF('caseload data'!$C:$C,'divisional &amp; regional caseload%'!$T$57,'caseload data'!J:J),"")</f>
        <v/>
      </c>
      <c r="AA62" s="209" t="str">
        <f>IFERROR(SUMIFS('caseload data'!K:K,'caseload data'!$C:$C,'divisional &amp; regional caseload%'!$T$57,'caseload data'!$D:$D,"SPO")/SUMIF('caseload data'!$C:$C,'divisional &amp; regional caseload%'!$T$57,'caseload data'!K:K),"")</f>
        <v/>
      </c>
      <c r="AB62" s="209" t="str">
        <f>IFERROR(SUMIFS('caseload data'!L:L,'caseload data'!$C:$C,'divisional &amp; regional caseload%'!$T$57,'caseload data'!$D:$D,"SPO")/SUMIF('caseload data'!$C:$C,'divisional &amp; regional caseload%'!$T$57,'caseload data'!L:L),"")</f>
        <v/>
      </c>
      <c r="AC62" s="209" t="str">
        <f>IFERROR(SUMIFS('caseload data'!M:M,'caseload data'!$C:$C,'divisional &amp; regional caseload%'!$T$57,'caseload data'!$D:$D,"SPO")/SUMIF('caseload data'!$C:$C,'divisional &amp; regional caseload%'!$T$57,'caseload data'!M:M),"")</f>
        <v/>
      </c>
      <c r="AD62" s="209" t="str">
        <f>IFERROR(SUMIFS('caseload data'!N:N,'caseload data'!$C:$C,'divisional &amp; regional caseload%'!$T$57,'caseload data'!$D:$D,"SPO")/SUMIF('caseload data'!$C:$C,'divisional &amp; regional caseload%'!$T$57,'caseload data'!N:N),"")</f>
        <v/>
      </c>
      <c r="AE62" s="209" t="str">
        <f>IFERROR(SUMIFS('caseload data'!O:O,'caseload data'!$C:$C,'divisional &amp; regional caseload%'!$T$57,'caseload data'!$D:$D,"SPO")/SUMIF('caseload data'!$C:$C,'divisional &amp; regional caseload%'!$T$57,'caseload data'!O:O),"")</f>
        <v/>
      </c>
      <c r="AF62" s="209" t="str">
        <f>IFERROR(SUMIFS('caseload data'!P:P,'caseload data'!$C:$C,'divisional &amp; regional caseload%'!$T$57,'caseload data'!$D:$D,"SPO")/SUMIF('caseload data'!$C:$C,'divisional &amp; regional caseload%'!$T$57,'caseload data'!P:P),"")</f>
        <v/>
      </c>
      <c r="AG62" s="209" t="str">
        <f>IFERROR(SUMIFS('caseload data'!Q:Q,'caseload data'!$C:$C,'divisional &amp; regional caseload%'!$T$57,'caseload data'!$D:$D,"SPO")/SUMIF('caseload data'!$C:$C,'divisional &amp; regional caseload%'!$T$57,'caseload data'!Q:Q),"")</f>
        <v/>
      </c>
      <c r="AH62" s="209" t="str">
        <f>IFERROR(SUMIFS('caseload data'!R:R,'caseload data'!$C:$C,'divisional &amp; regional caseload%'!$T$57,'caseload data'!$D:$D,"SPO")/SUMIF('caseload data'!$C:$C,'divisional &amp; regional caseload%'!$T$57,'caseload data'!R:R),"")</f>
        <v/>
      </c>
      <c r="AI62" s="209" t="str">
        <f>IFERROR(SUMIFS('caseload data'!S:S,'caseload data'!$C:$C,'divisional &amp; regional caseload%'!$T$57,'caseload data'!$D:$D,"SPO")/SUMIF('caseload data'!$C:$C,'divisional &amp; regional caseload%'!$T$57,'caseload data'!S:S),"")</f>
        <v/>
      </c>
      <c r="AJ62" s="209" t="str">
        <f>IFERROR(SUMIFS('caseload data'!T:T,'caseload data'!$C:$C,'divisional &amp; regional caseload%'!$T$57,'caseload data'!$D:$D,"SPO")/SUMIF('caseload data'!$C:$C,'divisional &amp; regional caseload%'!$T$57,'caseload data'!T:T),"")</f>
        <v/>
      </c>
    </row>
    <row r="64" spans="2:36" ht="29.5" customHeight="1" x14ac:dyDescent="0.15">
      <c r="B64" s="182">
        <f>HLOOKUP($B$5,Region_Table,18,0)</f>
        <v>0</v>
      </c>
      <c r="C64" s="359" t="s">
        <v>363</v>
      </c>
      <c r="D64" s="365"/>
      <c r="E64" s="365"/>
      <c r="F64" s="365"/>
      <c r="G64" s="365"/>
      <c r="H64" s="365"/>
      <c r="I64" s="365"/>
      <c r="J64" s="365"/>
      <c r="K64" s="365"/>
      <c r="L64" s="365"/>
      <c r="M64" s="368"/>
      <c r="N64" s="368"/>
      <c r="O64" s="369"/>
      <c r="P64" s="362">
        <f>SUMIF('caseload data'!$C:$C,'divisional &amp; regional caseload%'!B64,'caseload data'!V:V)</f>
        <v>0</v>
      </c>
      <c r="Q64" s="370"/>
      <c r="R64" s="371"/>
      <c r="S64" s="95"/>
      <c r="T64" s="182">
        <f>HLOOKUP($B$5,Region_Table,19,0)</f>
        <v>0</v>
      </c>
      <c r="U64" s="359" t="s">
        <v>363</v>
      </c>
      <c r="V64" s="365"/>
      <c r="W64" s="365"/>
      <c r="X64" s="365"/>
      <c r="Y64" s="365"/>
      <c r="Z64" s="365"/>
      <c r="AA64" s="365"/>
      <c r="AB64" s="365"/>
      <c r="AC64" s="365"/>
      <c r="AD64" s="365"/>
      <c r="AE64" s="368"/>
      <c r="AF64" s="368"/>
      <c r="AG64" s="369"/>
      <c r="AH64" s="362">
        <f>SUMIF('caseload data'!$C:$C,'divisional &amp; regional caseload%'!T64,'caseload data'!V:V)</f>
        <v>0</v>
      </c>
      <c r="AI64" s="370"/>
      <c r="AJ64" s="371"/>
    </row>
    <row r="65" spans="2:36" x14ac:dyDescent="0.15">
      <c r="B65" s="127" t="s">
        <v>324</v>
      </c>
      <c r="C65" s="58" t="s">
        <v>504</v>
      </c>
      <c r="D65" s="58" t="s">
        <v>503</v>
      </c>
      <c r="E65" s="58" t="s">
        <v>502</v>
      </c>
      <c r="F65" s="58" t="s">
        <v>501</v>
      </c>
      <c r="G65" s="58" t="s">
        <v>510</v>
      </c>
      <c r="H65" s="58" t="s">
        <v>176</v>
      </c>
      <c r="I65" s="58" t="s">
        <v>177</v>
      </c>
      <c r="J65" s="58" t="s">
        <v>505</v>
      </c>
      <c r="K65" s="58" t="s">
        <v>507</v>
      </c>
      <c r="L65" s="58" t="s">
        <v>178</v>
      </c>
      <c r="M65" s="58" t="s">
        <v>179</v>
      </c>
      <c r="N65" s="58" t="s">
        <v>506</v>
      </c>
      <c r="O65" s="58" t="s">
        <v>508</v>
      </c>
      <c r="P65" s="58" t="s">
        <v>180</v>
      </c>
      <c r="Q65" s="58" t="s">
        <v>181</v>
      </c>
      <c r="R65" s="58" t="s">
        <v>509</v>
      </c>
      <c r="S65" s="95"/>
      <c r="T65" s="127" t="s">
        <v>324</v>
      </c>
      <c r="U65" s="58" t="s">
        <v>504</v>
      </c>
      <c r="V65" s="58" t="s">
        <v>503</v>
      </c>
      <c r="W65" s="58" t="s">
        <v>502</v>
      </c>
      <c r="X65" s="58" t="s">
        <v>501</v>
      </c>
      <c r="Y65" s="58" t="s">
        <v>510</v>
      </c>
      <c r="Z65" s="58" t="s">
        <v>176</v>
      </c>
      <c r="AA65" s="58" t="s">
        <v>177</v>
      </c>
      <c r="AB65" s="58" t="s">
        <v>505</v>
      </c>
      <c r="AC65" s="58" t="s">
        <v>507</v>
      </c>
      <c r="AD65" s="58" t="s">
        <v>178</v>
      </c>
      <c r="AE65" s="58" t="s">
        <v>179</v>
      </c>
      <c r="AF65" s="58" t="s">
        <v>506</v>
      </c>
      <c r="AG65" s="58" t="s">
        <v>508</v>
      </c>
      <c r="AH65" s="58" t="s">
        <v>180</v>
      </c>
      <c r="AI65" s="58" t="s">
        <v>181</v>
      </c>
      <c r="AJ65" s="58" t="s">
        <v>509</v>
      </c>
    </row>
    <row r="66" spans="2:36" x14ac:dyDescent="0.15">
      <c r="B66" s="129" t="s">
        <v>184</v>
      </c>
      <c r="C66" s="209" t="str">
        <f>IFERROR(SUMIFS('caseload data'!E:E,'caseload data'!$C:$C,'divisional &amp; regional caseload%'!$B$64,'caseload data'!$D:$D,"PO")/SUMIF('caseload data'!$C:$C,'divisional &amp; regional caseload%'!$B$64,'caseload data'!E:E),"")</f>
        <v/>
      </c>
      <c r="D66" s="209" t="str">
        <f>IFERROR(SUMIFS('caseload data'!F:F,'caseload data'!$C:$C,'divisional &amp; regional caseload%'!$B$64,'caseload data'!$D:$D,"PO")/SUMIF('caseload data'!$C:$C,'divisional &amp; regional caseload%'!$B$64,'caseload data'!F:F),"")</f>
        <v/>
      </c>
      <c r="E66" s="209" t="str">
        <f>IFERROR(SUMIFS('caseload data'!G:G,'caseload data'!$C:$C,'divisional &amp; regional caseload%'!$B$64,'caseload data'!$D:$D,"PO")/SUMIF('caseload data'!$C:$C,'divisional &amp; regional caseload%'!$B$64,'caseload data'!G:G),"")</f>
        <v/>
      </c>
      <c r="F66" s="209" t="str">
        <f>IFERROR(SUMIFS('caseload data'!H:H,'caseload data'!$C:$C,'divisional &amp; regional caseload%'!$B$64,'caseload data'!$D:$D,"PO")/SUMIF('caseload data'!$C:$C,'divisional &amp; regional caseload%'!$B$64,'caseload data'!H:H),"")</f>
        <v/>
      </c>
      <c r="G66" s="209" t="str">
        <f>IFERROR(SUMIFS('caseload data'!I:I,'caseload data'!$C:$C,'divisional &amp; regional caseload%'!$B$64,'caseload data'!$D:$D,"PO")/SUMIF('caseload data'!$C:$C,'divisional &amp; regional caseload%'!$B$64,'caseload data'!I:I),"")</f>
        <v/>
      </c>
      <c r="H66" s="209" t="str">
        <f>IFERROR(SUMIFS('caseload data'!J:J,'caseload data'!$C:$C,'divisional &amp; regional caseload%'!$B$64,'caseload data'!$D:$D,"PO")/SUMIF('caseload data'!$C:$C,'divisional &amp; regional caseload%'!$B$64,'caseload data'!J:J),"")</f>
        <v/>
      </c>
      <c r="I66" s="209" t="str">
        <f>IFERROR(SUMIFS('caseload data'!K:K,'caseload data'!$C:$C,'divisional &amp; regional caseload%'!$B$64,'caseload data'!$D:$D,"PO")/SUMIF('caseload data'!$C:$C,'divisional &amp; regional caseload%'!$B$64,'caseload data'!K:K),"")</f>
        <v/>
      </c>
      <c r="J66" s="209" t="str">
        <f>IFERROR(SUMIFS('caseload data'!L:L,'caseload data'!$C:$C,'divisional &amp; regional caseload%'!$B$64,'caseload data'!$D:$D,"PO")/SUMIF('caseload data'!$C:$C,'divisional &amp; regional caseload%'!$B$64,'caseload data'!L:L),"")</f>
        <v/>
      </c>
      <c r="K66" s="209" t="str">
        <f>IFERROR(SUMIFS('caseload data'!M:M,'caseload data'!$C:$C,'divisional &amp; regional caseload%'!$B$64,'caseload data'!$D:$D,"PO")/SUMIF('caseload data'!$C:$C,'divisional &amp; regional caseload%'!$B$64,'caseload data'!M:M),"")</f>
        <v/>
      </c>
      <c r="L66" s="209" t="str">
        <f>IFERROR(SUMIFS('caseload data'!N:N,'caseload data'!$C:$C,'divisional &amp; regional caseload%'!$B$64,'caseload data'!$D:$D,"PO")/SUMIF('caseload data'!$C:$C,'divisional &amp; regional caseload%'!$B$64,'caseload data'!N:N),"")</f>
        <v/>
      </c>
      <c r="M66" s="209" t="str">
        <f>IFERROR(SUMIFS('caseload data'!O:O,'caseload data'!$C:$C,'divisional &amp; regional caseload%'!$B$64,'caseload data'!$D:$D,"PO")/SUMIF('caseload data'!$C:$C,'divisional &amp; regional caseload%'!$B$64,'caseload data'!O:O),"")</f>
        <v/>
      </c>
      <c r="N66" s="209" t="str">
        <f>IFERROR(SUMIFS('caseload data'!P:P,'caseload data'!$C:$C,'divisional &amp; regional caseload%'!$B$64,'caseload data'!$D:$D,"PO")/SUMIF('caseload data'!$C:$C,'divisional &amp; regional caseload%'!$B$64,'caseload data'!P:P),"")</f>
        <v/>
      </c>
      <c r="O66" s="209" t="str">
        <f>IFERROR(SUMIFS('caseload data'!Q:Q,'caseload data'!$C:$C,'divisional &amp; regional caseload%'!$B$64,'caseload data'!$D:$D,"PO")/SUMIF('caseload data'!$C:$C,'divisional &amp; regional caseload%'!$B$64,'caseload data'!Q:Q),"")</f>
        <v/>
      </c>
      <c r="P66" s="209" t="str">
        <f>IFERROR(SUMIFS('caseload data'!R:R,'caseload data'!$C:$C,'divisional &amp; regional caseload%'!$B$64,'caseload data'!$D:$D,"PO")/SUMIF('caseload data'!$C:$C,'divisional &amp; regional caseload%'!$B$64,'caseload data'!R:R),"")</f>
        <v/>
      </c>
      <c r="Q66" s="209" t="str">
        <f>IFERROR(SUMIFS('caseload data'!S:S,'caseload data'!$C:$C,'divisional &amp; regional caseload%'!$B$64,'caseload data'!$D:$D,"PO")/SUMIF('caseload data'!$C:$C,'divisional &amp; regional caseload%'!$B$64,'caseload data'!S:S),"")</f>
        <v/>
      </c>
      <c r="R66" s="209" t="str">
        <f>IFERROR(SUMIFS('caseload data'!T:T,'caseload data'!$C:$C,'divisional &amp; regional caseload%'!$B$64,'caseload data'!$D:$D,"PO")/SUMIF('caseload data'!$C:$C,'divisional &amp; regional caseload%'!$B$64,'caseload data'!T:T),"")</f>
        <v/>
      </c>
      <c r="S66" s="95"/>
      <c r="T66" s="129" t="s">
        <v>184</v>
      </c>
      <c r="U66" s="209" t="str">
        <f>IFERROR(SUMIFS('caseload data'!E:E,'caseload data'!$C:$C,'divisional &amp; regional caseload%'!$T$57,'caseload data'!$D:$D,"PO")/SUMIF('caseload data'!$C:$C,'divisional &amp; regional caseload%'!$T$57,'caseload data'!E:E),"")</f>
        <v/>
      </c>
      <c r="V66" s="209" t="str">
        <f>IFERROR(SUMIFS('caseload data'!F:F,'caseload data'!$C:$C,'divisional &amp; regional caseload%'!$T$57,'caseload data'!$D:$D,"PO")/SUMIF('caseload data'!$C:$C,'divisional &amp; regional caseload%'!$T$57,'caseload data'!F:F),"")</f>
        <v/>
      </c>
      <c r="W66" s="209" t="str">
        <f>IFERROR(SUMIFS('caseload data'!G:G,'caseload data'!$C:$C,'divisional &amp; regional caseload%'!$T$57,'caseload data'!$D:$D,"PO")/SUMIF('caseload data'!$C:$C,'divisional &amp; regional caseload%'!$T$57,'caseload data'!G:G),"")</f>
        <v/>
      </c>
      <c r="X66" s="209" t="str">
        <f>IFERROR(SUMIFS('caseload data'!H:H,'caseload data'!$C:$C,'divisional &amp; regional caseload%'!$T$57,'caseload data'!$D:$D,"PO")/SUMIF('caseload data'!$C:$C,'divisional &amp; regional caseload%'!$T$57,'caseload data'!H:H),"")</f>
        <v/>
      </c>
      <c r="Y66" s="209" t="str">
        <f>IFERROR(SUMIFS('caseload data'!I:I,'caseload data'!$C:$C,'divisional &amp; regional caseload%'!$T$57,'caseload data'!$D:$D,"PO")/SUMIF('caseload data'!$C:$C,'divisional &amp; regional caseload%'!$T$57,'caseload data'!I:I),"")</f>
        <v/>
      </c>
      <c r="Z66" s="209" t="str">
        <f>IFERROR(SUMIFS('caseload data'!J:J,'caseload data'!$C:$C,'divisional &amp; regional caseload%'!$T$57,'caseload data'!$D:$D,"PO")/SUMIF('caseload data'!$C:$C,'divisional &amp; regional caseload%'!$T$57,'caseload data'!J:J),"")</f>
        <v/>
      </c>
      <c r="AA66" s="209" t="str">
        <f>IFERROR(SUMIFS('caseload data'!K:K,'caseload data'!$C:$C,'divisional &amp; regional caseload%'!$T$57,'caseload data'!$D:$D,"PO")/SUMIF('caseload data'!$C:$C,'divisional &amp; regional caseload%'!$T$57,'caseload data'!K:K),"")</f>
        <v/>
      </c>
      <c r="AB66" s="209" t="str">
        <f>IFERROR(SUMIFS('caseload data'!L:L,'caseload data'!$C:$C,'divisional &amp; regional caseload%'!$T$57,'caseload data'!$D:$D,"PO")/SUMIF('caseload data'!$C:$C,'divisional &amp; regional caseload%'!$T$57,'caseload data'!L:L),"")</f>
        <v/>
      </c>
      <c r="AC66" s="209" t="str">
        <f>IFERROR(SUMIFS('caseload data'!M:M,'caseload data'!$C:$C,'divisional &amp; regional caseload%'!$T$57,'caseload data'!$D:$D,"PO")/SUMIF('caseload data'!$C:$C,'divisional &amp; regional caseload%'!$T$57,'caseload data'!M:M),"")</f>
        <v/>
      </c>
      <c r="AD66" s="209" t="str">
        <f>IFERROR(SUMIFS('caseload data'!N:N,'caseload data'!$C:$C,'divisional &amp; regional caseload%'!$T$57,'caseload data'!$D:$D,"PO")/SUMIF('caseload data'!$C:$C,'divisional &amp; regional caseload%'!$T$57,'caseload data'!N:N),"")</f>
        <v/>
      </c>
      <c r="AE66" s="209" t="str">
        <f>IFERROR(SUMIFS('caseload data'!O:O,'caseload data'!$C:$C,'divisional &amp; regional caseload%'!$T$57,'caseload data'!$D:$D,"PO")/SUMIF('caseload data'!$C:$C,'divisional &amp; regional caseload%'!$T$57,'caseload data'!O:O),"")</f>
        <v/>
      </c>
      <c r="AF66" s="209" t="str">
        <f>IFERROR(SUMIFS('caseload data'!P:P,'caseload data'!$C:$C,'divisional &amp; regional caseload%'!$T$57,'caseload data'!$D:$D,"PO")/SUMIF('caseload data'!$C:$C,'divisional &amp; regional caseload%'!$T$57,'caseload data'!P:P),"")</f>
        <v/>
      </c>
      <c r="AG66" s="209" t="str">
        <f>IFERROR(SUMIFS('caseload data'!Q:Q,'caseload data'!$C:$C,'divisional &amp; regional caseload%'!$T$57,'caseload data'!$D:$D,"PO")/SUMIF('caseload data'!$C:$C,'divisional &amp; regional caseload%'!$T$57,'caseload data'!Q:Q),"")</f>
        <v/>
      </c>
      <c r="AH66" s="209" t="str">
        <f>IFERROR(SUMIFS('caseload data'!R:R,'caseload data'!$C:$C,'divisional &amp; regional caseload%'!$T$57,'caseload data'!$D:$D,"PO")/SUMIF('caseload data'!$C:$C,'divisional &amp; regional caseload%'!$T$57,'caseload data'!R:R),"")</f>
        <v/>
      </c>
      <c r="AI66" s="209" t="str">
        <f>IFERROR(SUMIFS('caseload data'!S:S,'caseload data'!$C:$C,'divisional &amp; regional caseload%'!$T$57,'caseload data'!$D:$D,"PO")/SUMIF('caseload data'!$C:$C,'divisional &amp; regional caseload%'!$T$57,'caseload data'!S:S),"")</f>
        <v/>
      </c>
      <c r="AJ66" s="209" t="str">
        <f>IFERROR(SUMIFS('caseload data'!T:T,'caseload data'!$C:$C,'divisional &amp; regional caseload%'!$T$57,'caseload data'!$D:$D,"PO")/SUMIF('caseload data'!$C:$C,'divisional &amp; regional caseload%'!$T$57,'caseload data'!T:T),"")</f>
        <v/>
      </c>
    </row>
    <row r="67" spans="2:36" x14ac:dyDescent="0.15">
      <c r="B67" s="130" t="s">
        <v>185</v>
      </c>
      <c r="C67" s="209" t="str">
        <f>IFERROR(SUMIFS('caseload data'!E:E,'caseload data'!$C:$C,'divisional &amp; regional caseload%'!$B$64,'caseload data'!$D:$D,"PSO")/SUMIF('caseload data'!$C:$C,'divisional &amp; regional caseload%'!$B$64,'caseload data'!E:E),"")</f>
        <v/>
      </c>
      <c r="D67" s="209" t="str">
        <f>IFERROR(SUMIFS('caseload data'!F:F,'caseload data'!$C:$C,'divisional &amp; regional caseload%'!$B$64,'caseload data'!$D:$D,"PSO")/SUMIF('caseload data'!$C:$C,'divisional &amp; regional caseload%'!$B$64,'caseload data'!F:F),"")</f>
        <v/>
      </c>
      <c r="E67" s="209" t="str">
        <f>IFERROR(SUMIFS('caseload data'!G:G,'caseload data'!$C:$C,'divisional &amp; regional caseload%'!$B$64,'caseload data'!$D:$D,"PSO")/SUMIF('caseload data'!$C:$C,'divisional &amp; regional caseload%'!$B$64,'caseload data'!G:G),"")</f>
        <v/>
      </c>
      <c r="F67" s="209" t="str">
        <f>IFERROR(SUMIFS('caseload data'!H:H,'caseload data'!$C:$C,'divisional &amp; regional caseload%'!$B$64,'caseload data'!$D:$D,"PSO")/SUMIF('caseload data'!$C:$C,'divisional &amp; regional caseload%'!$B$64,'caseload data'!H:H),"")</f>
        <v/>
      </c>
      <c r="G67" s="209" t="str">
        <f>IFERROR(SUMIFS('caseload data'!I:I,'caseload data'!$C:$C,'divisional &amp; regional caseload%'!$B$64,'caseload data'!$D:$D,"PSO")/SUMIF('caseload data'!$C:$C,'divisional &amp; regional caseload%'!$B$64,'caseload data'!I:I),"")</f>
        <v/>
      </c>
      <c r="H67" s="209" t="str">
        <f>IFERROR(SUMIFS('caseload data'!J:J,'caseload data'!$C:$C,'divisional &amp; regional caseload%'!$B$64,'caseload data'!$D:$D,"PSO")/SUMIF('caseload data'!$C:$C,'divisional &amp; regional caseload%'!$B$64,'caseload data'!J:J),"")</f>
        <v/>
      </c>
      <c r="I67" s="209" t="str">
        <f>IFERROR(SUMIFS('caseload data'!K:K,'caseload data'!$C:$C,'divisional &amp; regional caseload%'!$B$64,'caseload data'!$D:$D,"PSO")/SUMIF('caseload data'!$C:$C,'divisional &amp; regional caseload%'!$B$64,'caseload data'!K:K),"")</f>
        <v/>
      </c>
      <c r="J67" s="209" t="str">
        <f>IFERROR(SUMIFS('caseload data'!L:L,'caseload data'!$C:$C,'divisional &amp; regional caseload%'!$B$64,'caseload data'!$D:$D,"PSO")/SUMIF('caseload data'!$C:$C,'divisional &amp; regional caseload%'!$B$64,'caseload data'!L:L),"")</f>
        <v/>
      </c>
      <c r="K67" s="209" t="str">
        <f>IFERROR(SUMIFS('caseload data'!M:M,'caseload data'!$C:$C,'divisional &amp; regional caseload%'!$B$64,'caseload data'!$D:$D,"PSO")/SUMIF('caseload data'!$C:$C,'divisional &amp; regional caseload%'!$B$64,'caseload data'!M:M),"")</f>
        <v/>
      </c>
      <c r="L67" s="209" t="str">
        <f>IFERROR(SUMIFS('caseload data'!N:N,'caseload data'!$C:$C,'divisional &amp; regional caseload%'!$B$64,'caseload data'!$D:$D,"PSO")/SUMIF('caseload data'!$C:$C,'divisional &amp; regional caseload%'!$B$64,'caseload data'!N:N),"")</f>
        <v/>
      </c>
      <c r="M67" s="209" t="str">
        <f>IFERROR(SUMIFS('caseload data'!O:O,'caseload data'!$C:$C,'divisional &amp; regional caseload%'!$B$64,'caseload data'!$D:$D,"PSO")/SUMIF('caseload data'!$C:$C,'divisional &amp; regional caseload%'!$B$64,'caseload data'!O:O),"")</f>
        <v/>
      </c>
      <c r="N67" s="209" t="str">
        <f>IFERROR(SUMIFS('caseload data'!P:P,'caseload data'!$C:$C,'divisional &amp; regional caseload%'!$B$64,'caseload data'!$D:$D,"PSO")/SUMIF('caseload data'!$C:$C,'divisional &amp; regional caseload%'!$B$64,'caseload data'!P:P),"")</f>
        <v/>
      </c>
      <c r="O67" s="209" t="str">
        <f>IFERROR(SUMIFS('caseload data'!Q:Q,'caseload data'!$C:$C,'divisional &amp; regional caseload%'!$B$64,'caseload data'!$D:$D,"PSO")/SUMIF('caseload data'!$C:$C,'divisional &amp; regional caseload%'!$B$64,'caseload data'!Q:Q),"")</f>
        <v/>
      </c>
      <c r="P67" s="209" t="str">
        <f>IFERROR(SUMIFS('caseload data'!R:R,'caseload data'!$C:$C,'divisional &amp; regional caseload%'!$B$64,'caseload data'!$D:$D,"PSO")/SUMIF('caseload data'!$C:$C,'divisional &amp; regional caseload%'!$B$64,'caseload data'!R:R),"")</f>
        <v/>
      </c>
      <c r="Q67" s="209" t="str">
        <f>IFERROR(SUMIFS('caseload data'!S:S,'caseload data'!$C:$C,'divisional &amp; regional caseload%'!$B$64,'caseload data'!$D:$D,"PSO")/SUMIF('caseload data'!$C:$C,'divisional &amp; regional caseload%'!$B$64,'caseload data'!S:S),"")</f>
        <v/>
      </c>
      <c r="R67" s="209" t="str">
        <f>IFERROR(SUMIFS('caseload data'!T:T,'caseload data'!$C:$C,'divisional &amp; regional caseload%'!$B$64,'caseload data'!$D:$D,"PSO")/SUMIF('caseload data'!$C:$C,'divisional &amp; regional caseload%'!$B$64,'caseload data'!T:T),"")</f>
        <v/>
      </c>
      <c r="S67" s="95"/>
      <c r="T67" s="130" t="s">
        <v>185</v>
      </c>
      <c r="U67" s="209" t="str">
        <f>IFERROR(SUMIFS('caseload data'!E:E,'caseload data'!$C:$C,'divisional &amp; regional caseload%'!$T$57,'caseload data'!$D:$D,"PSO")/SUMIF('caseload data'!$C:$C,'divisional &amp; regional caseload%'!$T$57,'caseload data'!E:E),"")</f>
        <v/>
      </c>
      <c r="V67" s="209" t="str">
        <f>IFERROR(SUMIFS('caseload data'!F:F,'caseload data'!$C:$C,'divisional &amp; regional caseload%'!$T$57,'caseload data'!$D:$D,"PSO")/SUMIF('caseload data'!$C:$C,'divisional &amp; regional caseload%'!$T$57,'caseload data'!F:F),"")</f>
        <v/>
      </c>
      <c r="W67" s="209" t="str">
        <f>IFERROR(SUMIFS('caseload data'!G:G,'caseload data'!$C:$C,'divisional &amp; regional caseload%'!$T$57,'caseload data'!$D:$D,"PSO")/SUMIF('caseload data'!$C:$C,'divisional &amp; regional caseload%'!$T$57,'caseload data'!G:G),"")</f>
        <v/>
      </c>
      <c r="X67" s="209" t="str">
        <f>IFERROR(SUMIFS('caseload data'!H:H,'caseload data'!$C:$C,'divisional &amp; regional caseload%'!$T$57,'caseload data'!$D:$D,"PSO")/SUMIF('caseload data'!$C:$C,'divisional &amp; regional caseload%'!$T$57,'caseload data'!H:H),"")</f>
        <v/>
      </c>
      <c r="Y67" s="209" t="str">
        <f>IFERROR(SUMIFS('caseload data'!I:I,'caseload data'!$C:$C,'divisional &amp; regional caseload%'!$T$57,'caseload data'!$D:$D,"PSO")/SUMIF('caseload data'!$C:$C,'divisional &amp; regional caseload%'!$T$57,'caseload data'!I:I),"")</f>
        <v/>
      </c>
      <c r="Z67" s="209" t="str">
        <f>IFERROR(SUMIFS('caseload data'!J:J,'caseload data'!$C:$C,'divisional &amp; regional caseload%'!$T$57,'caseload data'!$D:$D,"PSO")/SUMIF('caseload data'!$C:$C,'divisional &amp; regional caseload%'!$T$57,'caseload data'!J:J),"")</f>
        <v/>
      </c>
      <c r="AA67" s="209" t="str">
        <f>IFERROR(SUMIFS('caseload data'!K:K,'caseload data'!$C:$C,'divisional &amp; regional caseload%'!$T$57,'caseload data'!$D:$D,"PSO")/SUMIF('caseload data'!$C:$C,'divisional &amp; regional caseload%'!$T$57,'caseload data'!K:K),"")</f>
        <v/>
      </c>
      <c r="AB67" s="209" t="str">
        <f>IFERROR(SUMIFS('caseload data'!L:L,'caseload data'!$C:$C,'divisional &amp; regional caseload%'!$T$57,'caseload data'!$D:$D,"PSO")/SUMIF('caseload data'!$C:$C,'divisional &amp; regional caseload%'!$T$57,'caseload data'!L:L),"")</f>
        <v/>
      </c>
      <c r="AC67" s="209" t="str">
        <f>IFERROR(SUMIFS('caseload data'!M:M,'caseload data'!$C:$C,'divisional &amp; regional caseload%'!$T$57,'caseload data'!$D:$D,"PSO")/SUMIF('caseload data'!$C:$C,'divisional &amp; regional caseload%'!$T$57,'caseload data'!M:M),"")</f>
        <v/>
      </c>
      <c r="AD67" s="209" t="str">
        <f>IFERROR(SUMIFS('caseload data'!N:N,'caseload data'!$C:$C,'divisional &amp; regional caseload%'!$T$57,'caseload data'!$D:$D,"PSO")/SUMIF('caseload data'!$C:$C,'divisional &amp; regional caseload%'!$T$57,'caseload data'!N:N),"")</f>
        <v/>
      </c>
      <c r="AE67" s="209" t="str">
        <f>IFERROR(SUMIFS('caseload data'!O:O,'caseload data'!$C:$C,'divisional &amp; regional caseload%'!$T$57,'caseload data'!$D:$D,"PSO")/SUMIF('caseload data'!$C:$C,'divisional &amp; regional caseload%'!$T$57,'caseload data'!O:O),"")</f>
        <v/>
      </c>
      <c r="AF67" s="209" t="str">
        <f>IFERROR(SUMIFS('caseload data'!P:P,'caseload data'!$C:$C,'divisional &amp; regional caseload%'!$T$57,'caseload data'!$D:$D,"PSO")/SUMIF('caseload data'!$C:$C,'divisional &amp; regional caseload%'!$T$57,'caseload data'!P:P),"")</f>
        <v/>
      </c>
      <c r="AG67" s="209" t="str">
        <f>IFERROR(SUMIFS('caseload data'!Q:Q,'caseload data'!$C:$C,'divisional &amp; regional caseload%'!$T$57,'caseload data'!$D:$D,"PSO")/SUMIF('caseload data'!$C:$C,'divisional &amp; regional caseload%'!$T$57,'caseload data'!Q:Q),"")</f>
        <v/>
      </c>
      <c r="AH67" s="209" t="str">
        <f>IFERROR(SUMIFS('caseload data'!R:R,'caseload data'!$C:$C,'divisional &amp; regional caseload%'!$T$57,'caseload data'!$D:$D,"PSO")/SUMIF('caseload data'!$C:$C,'divisional &amp; regional caseload%'!$T$57,'caseload data'!R:R),"")</f>
        <v/>
      </c>
      <c r="AI67" s="209" t="str">
        <f>IFERROR(SUMIFS('caseload data'!S:S,'caseload data'!$C:$C,'divisional &amp; regional caseload%'!$T$57,'caseload data'!$D:$D,"PSO")/SUMIF('caseload data'!$C:$C,'divisional &amp; regional caseload%'!$T$57,'caseload data'!S:S),"")</f>
        <v/>
      </c>
      <c r="AJ67" s="209" t="str">
        <f>IFERROR(SUMIFS('caseload data'!T:T,'caseload data'!$C:$C,'divisional &amp; regional caseload%'!$T$57,'caseload data'!$D:$D,"PSO")/SUMIF('caseload data'!$C:$C,'divisional &amp; regional caseload%'!$T$57,'caseload data'!T:T),"")</f>
        <v/>
      </c>
    </row>
    <row r="68" spans="2:36" x14ac:dyDescent="0.15">
      <c r="B68" s="130" t="s">
        <v>186</v>
      </c>
      <c r="C68" s="209" t="str">
        <f>IFERROR(SUMIFS('caseload data'!E:E,'caseload data'!$C:$C,'divisional &amp; regional caseload%'!$B$64,'caseload data'!$D:$D,"TPO")/SUMIF('caseload data'!$C:$C,'divisional &amp; regional caseload%'!$B$64,'caseload data'!E:E),"")</f>
        <v/>
      </c>
      <c r="D68" s="209" t="str">
        <f>IFERROR(SUMIFS('caseload data'!F:F,'caseload data'!$C:$C,'divisional &amp; regional caseload%'!$B$64,'caseload data'!$D:$D,"TPO")/SUMIF('caseload data'!$C:$C,'divisional &amp; regional caseload%'!$B$64,'caseload data'!F:F),"")</f>
        <v/>
      </c>
      <c r="E68" s="209" t="str">
        <f>IFERROR(SUMIFS('caseload data'!G:G,'caseload data'!$C:$C,'divisional &amp; regional caseload%'!$B$64,'caseload data'!$D:$D,"TPO")/SUMIF('caseload data'!$C:$C,'divisional &amp; regional caseload%'!$B$64,'caseload data'!G:G),"")</f>
        <v/>
      </c>
      <c r="F68" s="209" t="str">
        <f>IFERROR(SUMIFS('caseload data'!H:H,'caseload data'!$C:$C,'divisional &amp; regional caseload%'!$B$64,'caseload data'!$D:$D,"TPO")/SUMIF('caseload data'!$C:$C,'divisional &amp; regional caseload%'!$B$64,'caseload data'!H:H),"")</f>
        <v/>
      </c>
      <c r="G68" s="209" t="str">
        <f>IFERROR(SUMIFS('caseload data'!I:I,'caseload data'!$C:$C,'divisional &amp; regional caseload%'!$B$64,'caseload data'!$D:$D,"TPO")/SUMIF('caseload data'!$C:$C,'divisional &amp; regional caseload%'!$B$64,'caseload data'!I:I),"")</f>
        <v/>
      </c>
      <c r="H68" s="209" t="str">
        <f>IFERROR(SUMIFS('caseload data'!J:J,'caseload data'!$C:$C,'divisional &amp; regional caseload%'!$B$64,'caseload data'!$D:$D,"TPO")/SUMIF('caseload data'!$C:$C,'divisional &amp; regional caseload%'!$B$64,'caseload data'!J:J),"")</f>
        <v/>
      </c>
      <c r="I68" s="209" t="str">
        <f>IFERROR(SUMIFS('caseload data'!K:K,'caseload data'!$C:$C,'divisional &amp; regional caseload%'!$B$64,'caseload data'!$D:$D,"TPO")/SUMIF('caseload data'!$C:$C,'divisional &amp; regional caseload%'!$B$64,'caseload data'!K:K),"")</f>
        <v/>
      </c>
      <c r="J68" s="209" t="str">
        <f>IFERROR(SUMIFS('caseload data'!L:L,'caseload data'!$C:$C,'divisional &amp; regional caseload%'!$B$64,'caseload data'!$D:$D,"TPO")/SUMIF('caseload data'!$C:$C,'divisional &amp; regional caseload%'!$B$64,'caseload data'!L:L),"")</f>
        <v/>
      </c>
      <c r="K68" s="209" t="str">
        <f>IFERROR(SUMIFS('caseload data'!M:M,'caseload data'!$C:$C,'divisional &amp; regional caseload%'!$B$64,'caseload data'!$D:$D,"TPO")/SUMIF('caseload data'!$C:$C,'divisional &amp; regional caseload%'!$B$64,'caseload data'!M:M),"")</f>
        <v/>
      </c>
      <c r="L68" s="209" t="str">
        <f>IFERROR(SUMIFS('caseload data'!N:N,'caseload data'!$C:$C,'divisional &amp; regional caseload%'!$B$64,'caseload data'!$D:$D,"TPO")/SUMIF('caseload data'!$C:$C,'divisional &amp; regional caseload%'!$B$64,'caseload data'!N:N),"")</f>
        <v/>
      </c>
      <c r="M68" s="209" t="str">
        <f>IFERROR(SUMIFS('caseload data'!O:O,'caseload data'!$C:$C,'divisional &amp; regional caseload%'!$B$64,'caseload data'!$D:$D,"TPO")/SUMIF('caseload data'!$C:$C,'divisional &amp; regional caseload%'!$B$64,'caseload data'!O:O),"")</f>
        <v/>
      </c>
      <c r="N68" s="209" t="str">
        <f>IFERROR(SUMIFS('caseload data'!P:P,'caseload data'!$C:$C,'divisional &amp; regional caseload%'!$B$64,'caseload data'!$D:$D,"TPO")/SUMIF('caseload data'!$C:$C,'divisional &amp; regional caseload%'!$B$64,'caseload data'!P:P),"")</f>
        <v/>
      </c>
      <c r="O68" s="209" t="str">
        <f>IFERROR(SUMIFS('caseload data'!Q:Q,'caseload data'!$C:$C,'divisional &amp; regional caseload%'!$B$64,'caseload data'!$D:$D,"TPO")/SUMIF('caseload data'!$C:$C,'divisional &amp; regional caseload%'!$B$64,'caseload data'!Q:Q),"")</f>
        <v/>
      </c>
      <c r="P68" s="209" t="str">
        <f>IFERROR(SUMIFS('caseload data'!R:R,'caseload data'!$C:$C,'divisional &amp; regional caseload%'!$B$64,'caseload data'!$D:$D,"TPO")/SUMIF('caseload data'!$C:$C,'divisional &amp; regional caseload%'!$B$64,'caseload data'!R:R),"")</f>
        <v/>
      </c>
      <c r="Q68" s="209" t="str">
        <f>IFERROR(SUMIFS('caseload data'!S:S,'caseload data'!$C:$C,'divisional &amp; regional caseload%'!$B$64,'caseload data'!$D:$D,"TPO")/SUMIF('caseload data'!$C:$C,'divisional &amp; regional caseload%'!$B$64,'caseload data'!S:S),"")</f>
        <v/>
      </c>
      <c r="R68" s="209" t="str">
        <f>IFERROR(SUMIFS('caseload data'!T:T,'caseload data'!$C:$C,'divisional &amp; regional caseload%'!$B$64,'caseload data'!$D:$D,"TPO")/SUMIF('caseload data'!$C:$C,'divisional &amp; regional caseload%'!$B$64,'caseload data'!T:T),"")</f>
        <v/>
      </c>
      <c r="S68" s="95"/>
      <c r="T68" s="130" t="s">
        <v>186</v>
      </c>
      <c r="U68" s="209" t="str">
        <f>IFERROR(SUMIFS('caseload data'!E:E,'caseload data'!$C:$C,'divisional &amp; regional caseload%'!$T$57,'caseload data'!$D:$D,"TPO")/SUMIF('caseload data'!$C:$C,'divisional &amp; regional caseload%'!$T$57,'caseload data'!E:E),"")</f>
        <v/>
      </c>
      <c r="V68" s="209" t="str">
        <f>IFERROR(SUMIFS('caseload data'!F:F,'caseload data'!$C:$C,'divisional &amp; regional caseload%'!$T$57,'caseload data'!$D:$D,"TPO")/SUMIF('caseload data'!$C:$C,'divisional &amp; regional caseload%'!$T$57,'caseload data'!F:F),"")</f>
        <v/>
      </c>
      <c r="W68" s="209" t="str">
        <f>IFERROR(SUMIFS('caseload data'!G:G,'caseload data'!$C:$C,'divisional &amp; regional caseload%'!$T$57,'caseload data'!$D:$D,"TPO")/SUMIF('caseload data'!$C:$C,'divisional &amp; regional caseload%'!$T$57,'caseload data'!G:G),"")</f>
        <v/>
      </c>
      <c r="X68" s="209" t="str">
        <f>IFERROR(SUMIFS('caseload data'!H:H,'caseload data'!$C:$C,'divisional &amp; regional caseload%'!$T$57,'caseload data'!$D:$D,"TPO")/SUMIF('caseload data'!$C:$C,'divisional &amp; regional caseload%'!$T$57,'caseload data'!H:H),"")</f>
        <v/>
      </c>
      <c r="Y68" s="209" t="str">
        <f>IFERROR(SUMIFS('caseload data'!I:I,'caseload data'!$C:$C,'divisional &amp; regional caseload%'!$T$57,'caseload data'!$D:$D,"TPO")/SUMIF('caseload data'!$C:$C,'divisional &amp; regional caseload%'!$T$57,'caseload data'!I:I),"")</f>
        <v/>
      </c>
      <c r="Z68" s="209" t="str">
        <f>IFERROR(SUMIFS('caseload data'!J:J,'caseload data'!$C:$C,'divisional &amp; regional caseload%'!$T$57,'caseload data'!$D:$D,"TPO")/SUMIF('caseload data'!$C:$C,'divisional &amp; regional caseload%'!$T$57,'caseload data'!J:J),"")</f>
        <v/>
      </c>
      <c r="AA68" s="209" t="str">
        <f>IFERROR(SUMIFS('caseload data'!K:K,'caseload data'!$C:$C,'divisional &amp; regional caseload%'!$T$57,'caseload data'!$D:$D,"TPO")/SUMIF('caseload data'!$C:$C,'divisional &amp; regional caseload%'!$T$57,'caseload data'!K:K),"")</f>
        <v/>
      </c>
      <c r="AB68" s="209" t="str">
        <f>IFERROR(SUMIFS('caseload data'!L:L,'caseload data'!$C:$C,'divisional &amp; regional caseload%'!$T$57,'caseload data'!$D:$D,"TPO")/SUMIF('caseload data'!$C:$C,'divisional &amp; regional caseload%'!$T$57,'caseload data'!L:L),"")</f>
        <v/>
      </c>
      <c r="AC68" s="209" t="str">
        <f>IFERROR(SUMIFS('caseload data'!M:M,'caseload data'!$C:$C,'divisional &amp; regional caseload%'!$T$57,'caseload data'!$D:$D,"TPO")/SUMIF('caseload data'!$C:$C,'divisional &amp; regional caseload%'!$T$57,'caseload data'!M:M),"")</f>
        <v/>
      </c>
      <c r="AD68" s="209" t="str">
        <f>IFERROR(SUMIFS('caseload data'!N:N,'caseload data'!$C:$C,'divisional &amp; regional caseload%'!$T$57,'caseload data'!$D:$D,"TPO")/SUMIF('caseload data'!$C:$C,'divisional &amp; regional caseload%'!$T$57,'caseload data'!N:N),"")</f>
        <v/>
      </c>
      <c r="AE68" s="209" t="str">
        <f>IFERROR(SUMIFS('caseload data'!O:O,'caseload data'!$C:$C,'divisional &amp; regional caseload%'!$T$57,'caseload data'!$D:$D,"TPO")/SUMIF('caseload data'!$C:$C,'divisional &amp; regional caseload%'!$T$57,'caseload data'!O:O),"")</f>
        <v/>
      </c>
      <c r="AF68" s="209" t="str">
        <f>IFERROR(SUMIFS('caseload data'!P:P,'caseload data'!$C:$C,'divisional &amp; regional caseload%'!$T$57,'caseload data'!$D:$D,"TPO")/SUMIF('caseload data'!$C:$C,'divisional &amp; regional caseload%'!$T$57,'caseload data'!P:P),"")</f>
        <v/>
      </c>
      <c r="AG68" s="209" t="str">
        <f>IFERROR(SUMIFS('caseload data'!Q:Q,'caseload data'!$C:$C,'divisional &amp; regional caseload%'!$T$57,'caseload data'!$D:$D,"TPO")/SUMIF('caseload data'!$C:$C,'divisional &amp; regional caseload%'!$T$57,'caseload data'!Q:Q),"")</f>
        <v/>
      </c>
      <c r="AH68" s="209" t="str">
        <f>IFERROR(SUMIFS('caseload data'!R:R,'caseload data'!$C:$C,'divisional &amp; regional caseload%'!$T$57,'caseload data'!$D:$D,"TPO")/SUMIF('caseload data'!$C:$C,'divisional &amp; regional caseload%'!$T$57,'caseload data'!R:R),"")</f>
        <v/>
      </c>
      <c r="AI68" s="209" t="str">
        <f>IFERROR(SUMIFS('caseload data'!S:S,'caseload data'!$C:$C,'divisional &amp; regional caseload%'!$T$57,'caseload data'!$D:$D,"TPO")/SUMIF('caseload data'!$C:$C,'divisional &amp; regional caseload%'!$T$57,'caseload data'!S:S),"")</f>
        <v/>
      </c>
      <c r="AJ68" s="209" t="str">
        <f>IFERROR(SUMIFS('caseload data'!T:T,'caseload data'!$C:$C,'divisional &amp; regional caseload%'!$T$57,'caseload data'!$D:$D,"TPO")/SUMIF('caseload data'!$C:$C,'divisional &amp; regional caseload%'!$T$57,'caseload data'!T:T),"")</f>
        <v/>
      </c>
    </row>
    <row r="69" spans="2:36" x14ac:dyDescent="0.15">
      <c r="B69" s="131" t="s">
        <v>187</v>
      </c>
      <c r="C69" s="209" t="str">
        <f>IFERROR(SUMIFS('caseload data'!E:E,'caseload data'!$C:$C,'divisional &amp; regional caseload%'!$B$64,'caseload data'!$D:$D,"SPO")/SUMIF('caseload data'!$C:$C,'divisional &amp; regional caseload%'!$B$64,'caseload data'!E:E),"")</f>
        <v/>
      </c>
      <c r="D69" s="209" t="str">
        <f>IFERROR(SUMIFS('caseload data'!F:F,'caseload data'!$C:$C,'divisional &amp; regional caseload%'!$B$64,'caseload data'!$D:$D,"SPO")/SUMIF('caseload data'!$C:$C,'divisional &amp; regional caseload%'!$B$64,'caseload data'!F:F),"")</f>
        <v/>
      </c>
      <c r="E69" s="209" t="str">
        <f>IFERROR(SUMIFS('caseload data'!G:G,'caseload data'!$C:$C,'divisional &amp; regional caseload%'!$B$64,'caseload data'!$D:$D,"SPO")/SUMIF('caseload data'!$C:$C,'divisional &amp; regional caseload%'!$B$64,'caseload data'!G:G),"")</f>
        <v/>
      </c>
      <c r="F69" s="209" t="str">
        <f>IFERROR(SUMIFS('caseload data'!H:H,'caseload data'!$C:$C,'divisional &amp; regional caseload%'!$B$64,'caseload data'!$D:$D,"SPO")/SUMIF('caseload data'!$C:$C,'divisional &amp; regional caseload%'!$B$64,'caseload data'!H:H),"")</f>
        <v/>
      </c>
      <c r="G69" s="209" t="str">
        <f>IFERROR(SUMIFS('caseload data'!I:I,'caseload data'!$C:$C,'divisional &amp; regional caseload%'!$B$64,'caseload data'!$D:$D,"SPO")/SUMIF('caseload data'!$C:$C,'divisional &amp; regional caseload%'!$B$64,'caseload data'!I:I),"")</f>
        <v/>
      </c>
      <c r="H69" s="209" t="str">
        <f>IFERROR(SUMIFS('caseload data'!J:J,'caseload data'!$C:$C,'divisional &amp; regional caseload%'!$B$64,'caseload data'!$D:$D,"SPO")/SUMIF('caseload data'!$C:$C,'divisional &amp; regional caseload%'!$B$64,'caseload data'!J:J),"")</f>
        <v/>
      </c>
      <c r="I69" s="209" t="str">
        <f>IFERROR(SUMIFS('caseload data'!K:K,'caseload data'!$C:$C,'divisional &amp; regional caseload%'!$B$64,'caseload data'!$D:$D,"SPO")/SUMIF('caseload data'!$C:$C,'divisional &amp; regional caseload%'!$B$64,'caseload data'!K:K),"")</f>
        <v/>
      </c>
      <c r="J69" s="209" t="str">
        <f>IFERROR(SUMIFS('caseload data'!L:L,'caseload data'!$C:$C,'divisional &amp; regional caseload%'!$B$64,'caseload data'!$D:$D,"SPO")/SUMIF('caseload data'!$C:$C,'divisional &amp; regional caseload%'!$B$64,'caseload data'!L:L),"")</f>
        <v/>
      </c>
      <c r="K69" s="209" t="str">
        <f>IFERROR(SUMIFS('caseload data'!M:M,'caseload data'!$C:$C,'divisional &amp; regional caseload%'!$B$64,'caseload data'!$D:$D,"SPO")/SUMIF('caseload data'!$C:$C,'divisional &amp; regional caseload%'!$B$64,'caseload data'!M:M),"")</f>
        <v/>
      </c>
      <c r="L69" s="209" t="str">
        <f>IFERROR(SUMIFS('caseload data'!N:N,'caseload data'!$C:$C,'divisional &amp; regional caseload%'!$B$64,'caseload data'!$D:$D,"SPO")/SUMIF('caseload data'!$C:$C,'divisional &amp; regional caseload%'!$B$64,'caseload data'!N:N),"")</f>
        <v/>
      </c>
      <c r="M69" s="209" t="str">
        <f>IFERROR(SUMIFS('caseload data'!O:O,'caseload data'!$C:$C,'divisional &amp; regional caseload%'!$B$64,'caseload data'!$D:$D,"SPO")/SUMIF('caseload data'!$C:$C,'divisional &amp; regional caseload%'!$B$64,'caseload data'!O:O),"")</f>
        <v/>
      </c>
      <c r="N69" s="209" t="str">
        <f>IFERROR(SUMIFS('caseload data'!P:P,'caseload data'!$C:$C,'divisional &amp; regional caseload%'!$B$64,'caseload data'!$D:$D,"SPO")/SUMIF('caseload data'!$C:$C,'divisional &amp; regional caseload%'!$B$64,'caseload data'!P:P),"")</f>
        <v/>
      </c>
      <c r="O69" s="209" t="str">
        <f>IFERROR(SUMIFS('caseload data'!Q:Q,'caseload data'!$C:$C,'divisional &amp; regional caseload%'!$B$64,'caseload data'!$D:$D,"SPO")/SUMIF('caseload data'!$C:$C,'divisional &amp; regional caseload%'!$B$64,'caseload data'!Q:Q),"")</f>
        <v/>
      </c>
      <c r="P69" s="209" t="str">
        <f>IFERROR(SUMIFS('caseload data'!R:R,'caseload data'!$C:$C,'divisional &amp; regional caseload%'!$B$64,'caseload data'!$D:$D,"SPO")/SUMIF('caseload data'!$C:$C,'divisional &amp; regional caseload%'!$B$64,'caseload data'!R:R),"")</f>
        <v/>
      </c>
      <c r="Q69" s="209" t="str">
        <f>IFERROR(SUMIFS('caseload data'!S:S,'caseload data'!$C:$C,'divisional &amp; regional caseload%'!$B$64,'caseload data'!$D:$D,"SPO")/SUMIF('caseload data'!$C:$C,'divisional &amp; regional caseload%'!$B$64,'caseload data'!S:S),"")</f>
        <v/>
      </c>
      <c r="R69" s="209" t="str">
        <f>IFERROR(SUMIFS('caseload data'!T:T,'caseload data'!$C:$C,'divisional &amp; regional caseload%'!$B$64,'caseload data'!$D:$D,"SPO")/SUMIF('caseload data'!$C:$C,'divisional &amp; regional caseload%'!$B$64,'caseload data'!T:T),"")</f>
        <v/>
      </c>
      <c r="S69" s="95"/>
      <c r="T69" s="131" t="s">
        <v>187</v>
      </c>
      <c r="U69" s="209" t="str">
        <f>IFERROR(SUMIFS('caseload data'!E:E,'caseload data'!$C:$C,'divisional &amp; regional caseload%'!$T$57,'caseload data'!$D:$D,"SPO")/SUMIF('caseload data'!$C:$C,'divisional &amp; regional caseload%'!$T$57,'caseload data'!E:E),"")</f>
        <v/>
      </c>
      <c r="V69" s="209" t="str">
        <f>IFERROR(SUMIFS('caseload data'!F:F,'caseload data'!$C:$C,'divisional &amp; regional caseload%'!$T$57,'caseload data'!$D:$D,"SPO")/SUMIF('caseload data'!$C:$C,'divisional &amp; regional caseload%'!$T$57,'caseload data'!F:F),"")</f>
        <v/>
      </c>
      <c r="W69" s="209" t="str">
        <f>IFERROR(SUMIFS('caseload data'!G:G,'caseload data'!$C:$C,'divisional &amp; regional caseload%'!$T$57,'caseload data'!$D:$D,"SPO")/SUMIF('caseload data'!$C:$C,'divisional &amp; regional caseload%'!$T$57,'caseload data'!G:G),"")</f>
        <v/>
      </c>
      <c r="X69" s="209" t="str">
        <f>IFERROR(SUMIFS('caseload data'!H:H,'caseload data'!$C:$C,'divisional &amp; regional caseload%'!$T$57,'caseload data'!$D:$D,"SPO")/SUMIF('caseload data'!$C:$C,'divisional &amp; regional caseload%'!$T$57,'caseload data'!H:H),"")</f>
        <v/>
      </c>
      <c r="Y69" s="209" t="str">
        <f>IFERROR(SUMIFS('caseload data'!I:I,'caseload data'!$C:$C,'divisional &amp; regional caseload%'!$T$57,'caseload data'!$D:$D,"SPO")/SUMIF('caseload data'!$C:$C,'divisional &amp; regional caseload%'!$T$57,'caseload data'!I:I),"")</f>
        <v/>
      </c>
      <c r="Z69" s="209" t="str">
        <f>IFERROR(SUMIFS('caseload data'!J:J,'caseload data'!$C:$C,'divisional &amp; regional caseload%'!$T$57,'caseload data'!$D:$D,"SPO")/SUMIF('caseload data'!$C:$C,'divisional &amp; regional caseload%'!$T$57,'caseload data'!J:J),"")</f>
        <v/>
      </c>
      <c r="AA69" s="209" t="str">
        <f>IFERROR(SUMIFS('caseload data'!K:K,'caseload data'!$C:$C,'divisional &amp; regional caseload%'!$T$57,'caseload data'!$D:$D,"SPO")/SUMIF('caseload data'!$C:$C,'divisional &amp; regional caseload%'!$T$57,'caseload data'!K:K),"")</f>
        <v/>
      </c>
      <c r="AB69" s="209" t="str">
        <f>IFERROR(SUMIFS('caseload data'!L:L,'caseload data'!$C:$C,'divisional &amp; regional caseload%'!$T$57,'caseload data'!$D:$D,"SPO")/SUMIF('caseload data'!$C:$C,'divisional &amp; regional caseload%'!$T$57,'caseload data'!L:L),"")</f>
        <v/>
      </c>
      <c r="AC69" s="209" t="str">
        <f>IFERROR(SUMIFS('caseload data'!M:M,'caseload data'!$C:$C,'divisional &amp; regional caseload%'!$T$57,'caseload data'!$D:$D,"SPO")/SUMIF('caseload data'!$C:$C,'divisional &amp; regional caseload%'!$T$57,'caseload data'!M:M),"")</f>
        <v/>
      </c>
      <c r="AD69" s="209" t="str">
        <f>IFERROR(SUMIFS('caseload data'!N:N,'caseload data'!$C:$C,'divisional &amp; regional caseload%'!$T$57,'caseload data'!$D:$D,"SPO")/SUMIF('caseload data'!$C:$C,'divisional &amp; regional caseload%'!$T$57,'caseload data'!N:N),"")</f>
        <v/>
      </c>
      <c r="AE69" s="209" t="str">
        <f>IFERROR(SUMIFS('caseload data'!O:O,'caseload data'!$C:$C,'divisional &amp; regional caseload%'!$T$57,'caseload data'!$D:$D,"SPO")/SUMIF('caseload data'!$C:$C,'divisional &amp; regional caseload%'!$T$57,'caseload data'!O:O),"")</f>
        <v/>
      </c>
      <c r="AF69" s="209" t="str">
        <f>IFERROR(SUMIFS('caseload data'!P:P,'caseload data'!$C:$C,'divisional &amp; regional caseload%'!$T$57,'caseload data'!$D:$D,"SPO")/SUMIF('caseload data'!$C:$C,'divisional &amp; regional caseload%'!$T$57,'caseload data'!P:P),"")</f>
        <v/>
      </c>
      <c r="AG69" s="209" t="str">
        <f>IFERROR(SUMIFS('caseload data'!Q:Q,'caseload data'!$C:$C,'divisional &amp; regional caseload%'!$T$57,'caseload data'!$D:$D,"SPO")/SUMIF('caseload data'!$C:$C,'divisional &amp; regional caseload%'!$T$57,'caseload data'!Q:Q),"")</f>
        <v/>
      </c>
      <c r="AH69" s="209" t="str">
        <f>IFERROR(SUMIFS('caseload data'!R:R,'caseload data'!$C:$C,'divisional &amp; regional caseload%'!$T$57,'caseload data'!$D:$D,"SPO")/SUMIF('caseload data'!$C:$C,'divisional &amp; regional caseload%'!$T$57,'caseload data'!R:R),"")</f>
        <v/>
      </c>
      <c r="AI69" s="209" t="str">
        <f>IFERROR(SUMIFS('caseload data'!S:S,'caseload data'!$C:$C,'divisional &amp; regional caseload%'!$T$57,'caseload data'!$D:$D,"SPO")/SUMIF('caseload data'!$C:$C,'divisional &amp; regional caseload%'!$T$57,'caseload data'!S:S),"")</f>
        <v/>
      </c>
      <c r="AJ69" s="209" t="str">
        <f>IFERROR(SUMIFS('caseload data'!T:T,'caseload data'!$C:$C,'divisional &amp; regional caseload%'!$T$57,'caseload data'!$D:$D,"SPO")/SUMIF('caseload data'!$C:$C,'divisional &amp; regional caseload%'!$T$57,'caseload data'!T:T),"")</f>
        <v/>
      </c>
    </row>
    <row r="71" spans="2:36" x14ac:dyDescent="0.15">
      <c r="B71" s="182">
        <f>HLOOKUP($B$5,Region_Table,20,0)</f>
        <v>0</v>
      </c>
      <c r="C71" s="359" t="s">
        <v>363</v>
      </c>
      <c r="D71" s="365"/>
      <c r="E71" s="365"/>
      <c r="F71" s="365"/>
      <c r="G71" s="365"/>
      <c r="H71" s="365"/>
      <c r="I71" s="365"/>
      <c r="J71" s="365"/>
      <c r="K71" s="365"/>
      <c r="L71" s="365"/>
      <c r="M71" s="368"/>
      <c r="N71" s="368"/>
      <c r="O71" s="369"/>
      <c r="P71" s="362">
        <f>SUMIF('caseload data'!$C:$C,'divisional &amp; regional caseload%'!B71,'caseload data'!V:V)</f>
        <v>0</v>
      </c>
      <c r="Q71" s="370"/>
      <c r="R71" s="371"/>
    </row>
    <row r="72" spans="2:36" x14ac:dyDescent="0.15">
      <c r="B72" s="127" t="s">
        <v>324</v>
      </c>
      <c r="C72" s="58" t="s">
        <v>504</v>
      </c>
      <c r="D72" s="58" t="s">
        <v>503</v>
      </c>
      <c r="E72" s="58" t="s">
        <v>502</v>
      </c>
      <c r="F72" s="58" t="s">
        <v>501</v>
      </c>
      <c r="G72" s="58" t="s">
        <v>510</v>
      </c>
      <c r="H72" s="58" t="s">
        <v>176</v>
      </c>
      <c r="I72" s="58" t="s">
        <v>177</v>
      </c>
      <c r="J72" s="58" t="s">
        <v>505</v>
      </c>
      <c r="K72" s="58" t="s">
        <v>507</v>
      </c>
      <c r="L72" s="58" t="s">
        <v>178</v>
      </c>
      <c r="M72" s="58" t="s">
        <v>179</v>
      </c>
      <c r="N72" s="58" t="s">
        <v>506</v>
      </c>
      <c r="O72" s="58" t="s">
        <v>508</v>
      </c>
      <c r="P72" s="58" t="s">
        <v>180</v>
      </c>
      <c r="Q72" s="58" t="s">
        <v>181</v>
      </c>
      <c r="R72" s="58" t="s">
        <v>509</v>
      </c>
    </row>
    <row r="73" spans="2:36" x14ac:dyDescent="0.15">
      <c r="B73" s="129" t="s">
        <v>184</v>
      </c>
      <c r="C73" s="209" t="str">
        <f>IFERROR(SUMIFS('caseload data'!E:E,'caseload data'!$C:$C,'divisional &amp; regional caseload%'!$B$71,'caseload data'!$D:$D,"PO")/SUMIF('caseload data'!$C:$C,'divisional &amp; regional caseload%'!$B$71,'caseload data'!E:E),"")</f>
        <v/>
      </c>
      <c r="D73" s="209" t="str">
        <f>IFERROR(SUMIFS('caseload data'!F:F,'caseload data'!$C:$C,'divisional &amp; regional caseload%'!$B$71,'caseload data'!$D:$D,"PO")/SUMIF('caseload data'!$C:$C,'divisional &amp; regional caseload%'!$B$71,'caseload data'!F:F),"")</f>
        <v/>
      </c>
      <c r="E73" s="209" t="str">
        <f>IFERROR(SUMIFS('caseload data'!G:G,'caseload data'!$C:$C,'divisional &amp; regional caseload%'!$B$71,'caseload data'!$D:$D,"PO")/SUMIF('caseload data'!$C:$C,'divisional &amp; regional caseload%'!$B$71,'caseload data'!G:G),"")</f>
        <v/>
      </c>
      <c r="F73" s="209" t="str">
        <f>IFERROR(SUMIFS('caseload data'!H:H,'caseload data'!$C:$C,'divisional &amp; regional caseload%'!$B$71,'caseload data'!$D:$D,"PO")/SUMIF('caseload data'!$C:$C,'divisional &amp; regional caseload%'!$B$71,'caseload data'!H:H),"")</f>
        <v/>
      </c>
      <c r="G73" s="209" t="str">
        <f>IFERROR(SUMIFS('caseload data'!I:I,'caseload data'!$C:$C,'divisional &amp; regional caseload%'!$B$71,'caseload data'!$D:$D,"PO")/SUMIF('caseload data'!$C:$C,'divisional &amp; regional caseload%'!$B$71,'caseload data'!I:I),"")</f>
        <v/>
      </c>
      <c r="H73" s="209" t="str">
        <f>IFERROR(SUMIFS('caseload data'!J:J,'caseload data'!$C:$C,'divisional &amp; regional caseload%'!$B$71,'caseload data'!$D:$D,"PO")/SUMIF('caseload data'!$C:$C,'divisional &amp; regional caseload%'!$B$71,'caseload data'!J:J),"")</f>
        <v/>
      </c>
      <c r="I73" s="209" t="str">
        <f>IFERROR(SUMIFS('caseload data'!K:K,'caseload data'!$C:$C,'divisional &amp; regional caseload%'!$B$71,'caseload data'!$D:$D,"PO")/SUMIF('caseload data'!$C:$C,'divisional &amp; regional caseload%'!$B$71,'caseload data'!K:K),"")</f>
        <v/>
      </c>
      <c r="J73" s="209" t="str">
        <f>IFERROR(SUMIFS('caseload data'!L:L,'caseload data'!$C:$C,'divisional &amp; regional caseload%'!$B$71,'caseload data'!$D:$D,"PO")/SUMIF('caseload data'!$C:$C,'divisional &amp; regional caseload%'!$B$71,'caseload data'!L:L),"")</f>
        <v/>
      </c>
      <c r="K73" s="209" t="str">
        <f>IFERROR(SUMIFS('caseload data'!M:M,'caseload data'!$C:$C,'divisional &amp; regional caseload%'!$B$71,'caseload data'!$D:$D,"PO")/SUMIF('caseload data'!$C:$C,'divisional &amp; regional caseload%'!$B$71,'caseload data'!M:M),"")</f>
        <v/>
      </c>
      <c r="L73" s="209" t="str">
        <f>IFERROR(SUMIFS('caseload data'!N:N,'caseload data'!$C:$C,'divisional &amp; regional caseload%'!$B$71,'caseload data'!$D:$D,"PO")/SUMIF('caseload data'!$C:$C,'divisional &amp; regional caseload%'!$B$71,'caseload data'!N:N),"")</f>
        <v/>
      </c>
      <c r="M73" s="209" t="str">
        <f>IFERROR(SUMIFS('caseload data'!O:O,'caseload data'!$C:$C,'divisional &amp; regional caseload%'!$B$71,'caseload data'!$D:$D,"PO")/SUMIF('caseload data'!$C:$C,'divisional &amp; regional caseload%'!$B$71,'caseload data'!O:O),"")</f>
        <v/>
      </c>
      <c r="N73" s="209" t="str">
        <f>IFERROR(SUMIFS('caseload data'!P:P,'caseload data'!$C:$C,'divisional &amp; regional caseload%'!$B$71,'caseload data'!$D:$D,"PO")/SUMIF('caseload data'!$C:$C,'divisional &amp; regional caseload%'!$B$71,'caseload data'!P:P),"")</f>
        <v/>
      </c>
      <c r="O73" s="209" t="str">
        <f>IFERROR(SUMIFS('caseload data'!Q:Q,'caseload data'!$C:$C,'divisional &amp; regional caseload%'!$B$71,'caseload data'!$D:$D,"PO")/SUMIF('caseload data'!$C:$C,'divisional &amp; regional caseload%'!$B$71,'caseload data'!Q:Q),"")</f>
        <v/>
      </c>
      <c r="P73" s="209" t="str">
        <f>IFERROR(SUMIFS('caseload data'!R:R,'caseload data'!$C:$C,'divisional &amp; regional caseload%'!$B$71,'caseload data'!$D:$D,"PO")/SUMIF('caseload data'!$C:$C,'divisional &amp; regional caseload%'!$B$71,'caseload data'!R:R),"")</f>
        <v/>
      </c>
      <c r="Q73" s="209" t="str">
        <f>IFERROR(SUMIFS('caseload data'!S:S,'caseload data'!$C:$C,'divisional &amp; regional caseload%'!$B$71,'caseload data'!$D:$D,"PO")/SUMIF('caseload data'!$C:$C,'divisional &amp; regional caseload%'!$B$71,'caseload data'!S:S),"")</f>
        <v/>
      </c>
      <c r="R73" s="209" t="str">
        <f>IFERROR(SUMIFS('caseload data'!T:T,'caseload data'!$C:$C,'divisional &amp; regional caseload%'!$B$71,'caseload data'!$D:$D,"PO")/SUMIF('caseload data'!$C:$C,'divisional &amp; regional caseload%'!$B$71,'caseload data'!T:T),"")</f>
        <v/>
      </c>
    </row>
    <row r="74" spans="2:36" x14ac:dyDescent="0.15">
      <c r="B74" s="130" t="s">
        <v>185</v>
      </c>
      <c r="C74" s="209" t="str">
        <f>IFERROR(SUMIFS('caseload data'!E:E,'caseload data'!$C:$C,'divisional &amp; regional caseload%'!$B$71,'caseload data'!$D:$D,"PSO")/SUMIF('caseload data'!$C:$C,'divisional &amp; regional caseload%'!$B$71,'caseload data'!E:E),"")</f>
        <v/>
      </c>
      <c r="D74" s="209" t="str">
        <f>IFERROR(SUMIFS('caseload data'!F:F,'caseload data'!$C:$C,'divisional &amp; regional caseload%'!$B$71,'caseload data'!$D:$D,"PSO")/SUMIF('caseload data'!$C:$C,'divisional &amp; regional caseload%'!$B$71,'caseload data'!F:F),"")</f>
        <v/>
      </c>
      <c r="E74" s="209" t="str">
        <f>IFERROR(SUMIFS('caseload data'!G:G,'caseload data'!$C:$C,'divisional &amp; regional caseload%'!$B$71,'caseload data'!$D:$D,"PSO")/SUMIF('caseload data'!$C:$C,'divisional &amp; regional caseload%'!$B$71,'caseload data'!G:G),"")</f>
        <v/>
      </c>
      <c r="F74" s="209" t="str">
        <f>IFERROR(SUMIFS('caseload data'!H:H,'caseload data'!$C:$C,'divisional &amp; regional caseload%'!$B$71,'caseload data'!$D:$D,"PSO")/SUMIF('caseload data'!$C:$C,'divisional &amp; regional caseload%'!$B$71,'caseload data'!H:H),"")</f>
        <v/>
      </c>
      <c r="G74" s="209" t="str">
        <f>IFERROR(SUMIFS('caseload data'!I:I,'caseload data'!$C:$C,'divisional &amp; regional caseload%'!$B$71,'caseload data'!$D:$D,"PSO")/SUMIF('caseload data'!$C:$C,'divisional &amp; regional caseload%'!$B$71,'caseload data'!I:I),"")</f>
        <v/>
      </c>
      <c r="H74" s="209" t="str">
        <f>IFERROR(SUMIFS('caseload data'!J:J,'caseload data'!$C:$C,'divisional &amp; regional caseload%'!$B$71,'caseload data'!$D:$D,"PSO")/SUMIF('caseload data'!$C:$C,'divisional &amp; regional caseload%'!$B$71,'caseload data'!J:J),"")</f>
        <v/>
      </c>
      <c r="I74" s="209" t="str">
        <f>IFERROR(SUMIFS('caseload data'!K:K,'caseload data'!$C:$C,'divisional &amp; regional caseload%'!$B$71,'caseload data'!$D:$D,"PSO")/SUMIF('caseload data'!$C:$C,'divisional &amp; regional caseload%'!$B$71,'caseload data'!K:K),"")</f>
        <v/>
      </c>
      <c r="J74" s="209" t="str">
        <f>IFERROR(SUMIFS('caseload data'!L:L,'caseload data'!$C:$C,'divisional &amp; regional caseload%'!$B$71,'caseload data'!$D:$D,"PSO")/SUMIF('caseload data'!$C:$C,'divisional &amp; regional caseload%'!$B$71,'caseload data'!L:L),"")</f>
        <v/>
      </c>
      <c r="K74" s="209" t="str">
        <f>IFERROR(SUMIFS('caseload data'!M:M,'caseload data'!$C:$C,'divisional &amp; regional caseload%'!$B$71,'caseload data'!$D:$D,"PSO")/SUMIF('caseload data'!$C:$C,'divisional &amp; regional caseload%'!$B$71,'caseload data'!M:M),"")</f>
        <v/>
      </c>
      <c r="L74" s="209" t="str">
        <f>IFERROR(SUMIFS('caseload data'!N:N,'caseload data'!$C:$C,'divisional &amp; regional caseload%'!$B$71,'caseload data'!$D:$D,"PSO")/SUMIF('caseload data'!$C:$C,'divisional &amp; regional caseload%'!$B$71,'caseload data'!N:N),"")</f>
        <v/>
      </c>
      <c r="M74" s="209" t="str">
        <f>IFERROR(SUMIFS('caseload data'!O:O,'caseload data'!$C:$C,'divisional &amp; regional caseload%'!$B$71,'caseload data'!$D:$D,"PSO")/SUMIF('caseload data'!$C:$C,'divisional &amp; regional caseload%'!$B$71,'caseload data'!O:O),"")</f>
        <v/>
      </c>
      <c r="N74" s="209" t="str">
        <f>IFERROR(SUMIFS('caseload data'!P:P,'caseload data'!$C:$C,'divisional &amp; regional caseload%'!$B$71,'caseload data'!$D:$D,"PSO")/SUMIF('caseload data'!$C:$C,'divisional &amp; regional caseload%'!$B$71,'caseload data'!P:P),"")</f>
        <v/>
      </c>
      <c r="O74" s="209" t="str">
        <f>IFERROR(SUMIFS('caseload data'!Q:Q,'caseload data'!$C:$C,'divisional &amp; regional caseload%'!$B$71,'caseload data'!$D:$D,"PSO")/SUMIF('caseload data'!$C:$C,'divisional &amp; regional caseload%'!$B$71,'caseload data'!Q:Q),"")</f>
        <v/>
      </c>
      <c r="P74" s="209" t="str">
        <f>IFERROR(SUMIFS('caseload data'!R:R,'caseload data'!$C:$C,'divisional &amp; regional caseload%'!$B$71,'caseload data'!$D:$D,"PSO")/SUMIF('caseload data'!$C:$C,'divisional &amp; regional caseload%'!$B$71,'caseload data'!R:R),"")</f>
        <v/>
      </c>
      <c r="Q74" s="209" t="str">
        <f>IFERROR(SUMIFS('caseload data'!S:S,'caseload data'!$C:$C,'divisional &amp; regional caseload%'!$B$71,'caseload data'!$D:$D,"PSO")/SUMIF('caseload data'!$C:$C,'divisional &amp; regional caseload%'!$B$71,'caseload data'!S:S),"")</f>
        <v/>
      </c>
      <c r="R74" s="209" t="str">
        <f>IFERROR(SUMIFS('caseload data'!T:T,'caseload data'!$C:$C,'divisional &amp; regional caseload%'!$B$71,'caseload data'!$D:$D,"PSO")/SUMIF('caseload data'!$C:$C,'divisional &amp; regional caseload%'!$B$71,'caseload data'!T:T),"")</f>
        <v/>
      </c>
    </row>
    <row r="75" spans="2:36" x14ac:dyDescent="0.15">
      <c r="B75" s="130" t="s">
        <v>186</v>
      </c>
      <c r="C75" s="209" t="str">
        <f>IFERROR(SUMIFS('caseload data'!E:E,'caseload data'!$C:$C,'divisional &amp; regional caseload%'!$B$71,'caseload data'!$D:$D,"TPO")/SUMIF('caseload data'!$C:$C,'divisional &amp; regional caseload%'!$B$71,'caseload data'!E:E),"")</f>
        <v/>
      </c>
      <c r="D75" s="209" t="str">
        <f>IFERROR(SUMIFS('caseload data'!F:F,'caseload data'!$C:$C,'divisional &amp; regional caseload%'!$B$71,'caseload data'!$D:$D,"TPO")/SUMIF('caseload data'!$C:$C,'divisional &amp; regional caseload%'!$B$71,'caseload data'!F:F),"")</f>
        <v/>
      </c>
      <c r="E75" s="209" t="str">
        <f>IFERROR(SUMIFS('caseload data'!G:G,'caseload data'!$C:$C,'divisional &amp; regional caseload%'!$B$71,'caseload data'!$D:$D,"TPO")/SUMIF('caseload data'!$C:$C,'divisional &amp; regional caseload%'!$B$71,'caseload data'!G:G),"")</f>
        <v/>
      </c>
      <c r="F75" s="209" t="str">
        <f>IFERROR(SUMIFS('caseload data'!H:H,'caseload data'!$C:$C,'divisional &amp; regional caseload%'!$B$71,'caseload data'!$D:$D,"TPO")/SUMIF('caseload data'!$C:$C,'divisional &amp; regional caseload%'!$B$71,'caseload data'!H:H),"")</f>
        <v/>
      </c>
      <c r="G75" s="209" t="str">
        <f>IFERROR(SUMIFS('caseload data'!I:I,'caseload data'!$C:$C,'divisional &amp; regional caseload%'!$B$71,'caseload data'!$D:$D,"TPO")/SUMIF('caseload data'!$C:$C,'divisional &amp; regional caseload%'!$B$71,'caseload data'!I:I),"")</f>
        <v/>
      </c>
      <c r="H75" s="209" t="str">
        <f>IFERROR(SUMIFS('caseload data'!J:J,'caseload data'!$C:$C,'divisional &amp; regional caseload%'!$B$71,'caseload data'!$D:$D,"TPO")/SUMIF('caseload data'!$C:$C,'divisional &amp; regional caseload%'!$B$71,'caseload data'!J:J),"")</f>
        <v/>
      </c>
      <c r="I75" s="209" t="str">
        <f>IFERROR(SUMIFS('caseload data'!K:K,'caseload data'!$C:$C,'divisional &amp; regional caseload%'!$B$71,'caseload data'!$D:$D,"TPO")/SUMIF('caseload data'!$C:$C,'divisional &amp; regional caseload%'!$B$71,'caseload data'!K:K),"")</f>
        <v/>
      </c>
      <c r="J75" s="209" t="str">
        <f>IFERROR(SUMIFS('caseload data'!L:L,'caseload data'!$C:$C,'divisional &amp; regional caseload%'!$B$71,'caseload data'!$D:$D,"TPO")/SUMIF('caseload data'!$C:$C,'divisional &amp; regional caseload%'!$B$71,'caseload data'!L:L),"")</f>
        <v/>
      </c>
      <c r="K75" s="209" t="str">
        <f>IFERROR(SUMIFS('caseload data'!M:M,'caseload data'!$C:$C,'divisional &amp; regional caseload%'!$B$71,'caseload data'!$D:$D,"TPO")/SUMIF('caseload data'!$C:$C,'divisional &amp; regional caseload%'!$B$71,'caseload data'!M:M),"")</f>
        <v/>
      </c>
      <c r="L75" s="209" t="str">
        <f>IFERROR(SUMIFS('caseload data'!N:N,'caseload data'!$C:$C,'divisional &amp; regional caseload%'!$B$71,'caseload data'!$D:$D,"TPO")/SUMIF('caseload data'!$C:$C,'divisional &amp; regional caseload%'!$B$71,'caseload data'!N:N),"")</f>
        <v/>
      </c>
      <c r="M75" s="209" t="str">
        <f>IFERROR(SUMIFS('caseload data'!O:O,'caseload data'!$C:$C,'divisional &amp; regional caseload%'!$B$71,'caseload data'!$D:$D,"TPO")/SUMIF('caseload data'!$C:$C,'divisional &amp; regional caseload%'!$B$71,'caseload data'!O:O),"")</f>
        <v/>
      </c>
      <c r="N75" s="209" t="str">
        <f>IFERROR(SUMIFS('caseload data'!P:P,'caseload data'!$C:$C,'divisional &amp; regional caseload%'!$B$71,'caseload data'!$D:$D,"TPO")/SUMIF('caseload data'!$C:$C,'divisional &amp; regional caseload%'!$B$71,'caseload data'!P:P),"")</f>
        <v/>
      </c>
      <c r="O75" s="209" t="str">
        <f>IFERROR(SUMIFS('caseload data'!Q:Q,'caseload data'!$C:$C,'divisional &amp; regional caseload%'!$B$71,'caseload data'!$D:$D,"TPO")/SUMIF('caseload data'!$C:$C,'divisional &amp; regional caseload%'!$B$71,'caseload data'!Q:Q),"")</f>
        <v/>
      </c>
      <c r="P75" s="209" t="str">
        <f>IFERROR(SUMIFS('caseload data'!R:R,'caseload data'!$C:$C,'divisional &amp; regional caseload%'!$B$71,'caseload data'!$D:$D,"TPO")/SUMIF('caseload data'!$C:$C,'divisional &amp; regional caseload%'!$B$71,'caseload data'!R:R),"")</f>
        <v/>
      </c>
      <c r="Q75" s="209" t="str">
        <f>IFERROR(SUMIFS('caseload data'!S:S,'caseload data'!$C:$C,'divisional &amp; regional caseload%'!$B$71,'caseload data'!$D:$D,"TPO")/SUMIF('caseload data'!$C:$C,'divisional &amp; regional caseload%'!$B$71,'caseload data'!S:S),"")</f>
        <v/>
      </c>
      <c r="R75" s="209" t="str">
        <f>IFERROR(SUMIFS('caseload data'!T:T,'caseload data'!$C:$C,'divisional &amp; regional caseload%'!$B$71,'caseload data'!$D:$D,"TPO")/SUMIF('caseload data'!$C:$C,'divisional &amp; regional caseload%'!$B$71,'caseload data'!T:T),"")</f>
        <v/>
      </c>
    </row>
    <row r="76" spans="2:36" x14ac:dyDescent="0.15">
      <c r="B76" s="131" t="s">
        <v>187</v>
      </c>
      <c r="C76" s="209" t="str">
        <f>IFERROR(SUMIFS('caseload data'!E:E,'caseload data'!$C:$C,'divisional &amp; regional caseload%'!$B$71,'caseload data'!$D:$D,"SPO")/SUMIF('caseload data'!$C:$C,'divisional &amp; regional caseload%'!$B$71,'caseload data'!E:E),"")</f>
        <v/>
      </c>
      <c r="D76" s="209" t="str">
        <f>IFERROR(SUMIFS('caseload data'!F:F,'caseload data'!$C:$C,'divisional &amp; regional caseload%'!$B$71,'caseload data'!$D:$D,"SPO")/SUMIF('caseload data'!$C:$C,'divisional &amp; regional caseload%'!$B$71,'caseload data'!F:F),"")</f>
        <v/>
      </c>
      <c r="E76" s="209" t="str">
        <f>IFERROR(SUMIFS('caseload data'!G:G,'caseload data'!$C:$C,'divisional &amp; regional caseload%'!$B$71,'caseload data'!$D:$D,"SPO")/SUMIF('caseload data'!$C:$C,'divisional &amp; regional caseload%'!$B$71,'caseload data'!G:G),"")</f>
        <v/>
      </c>
      <c r="F76" s="209" t="str">
        <f>IFERROR(SUMIFS('caseload data'!H:H,'caseload data'!$C:$C,'divisional &amp; regional caseload%'!$B$71,'caseload data'!$D:$D,"SPO")/SUMIF('caseload data'!$C:$C,'divisional &amp; regional caseload%'!$B$71,'caseload data'!H:H),"")</f>
        <v/>
      </c>
      <c r="G76" s="209" t="str">
        <f>IFERROR(SUMIFS('caseload data'!I:I,'caseload data'!$C:$C,'divisional &amp; regional caseload%'!$B$71,'caseload data'!$D:$D,"SPO")/SUMIF('caseload data'!$C:$C,'divisional &amp; regional caseload%'!$B$71,'caseload data'!I:I),"")</f>
        <v/>
      </c>
      <c r="H76" s="209" t="str">
        <f>IFERROR(SUMIFS('caseload data'!J:J,'caseload data'!$C:$C,'divisional &amp; regional caseload%'!$B$71,'caseload data'!$D:$D,"SPO")/SUMIF('caseload data'!$C:$C,'divisional &amp; regional caseload%'!$B$71,'caseload data'!J:J),"")</f>
        <v/>
      </c>
      <c r="I76" s="209" t="str">
        <f>IFERROR(SUMIFS('caseload data'!K:K,'caseload data'!$C:$C,'divisional &amp; regional caseload%'!$B$71,'caseload data'!$D:$D,"SPO")/SUMIF('caseload data'!$C:$C,'divisional &amp; regional caseload%'!$B$71,'caseload data'!K:K),"")</f>
        <v/>
      </c>
      <c r="J76" s="209" t="str">
        <f>IFERROR(SUMIFS('caseload data'!L:L,'caseload data'!$C:$C,'divisional &amp; regional caseload%'!$B$71,'caseload data'!$D:$D,"SPO")/SUMIF('caseload data'!$C:$C,'divisional &amp; regional caseload%'!$B$71,'caseload data'!L:L),"")</f>
        <v/>
      </c>
      <c r="K76" s="209" t="str">
        <f>IFERROR(SUMIFS('caseload data'!M:M,'caseload data'!$C:$C,'divisional &amp; regional caseload%'!$B$71,'caseload data'!$D:$D,"SPO")/SUMIF('caseload data'!$C:$C,'divisional &amp; regional caseload%'!$B$71,'caseload data'!M:M),"")</f>
        <v/>
      </c>
      <c r="L76" s="209" t="str">
        <f>IFERROR(SUMIFS('caseload data'!N:N,'caseload data'!$C:$C,'divisional &amp; regional caseload%'!$B$71,'caseload data'!$D:$D,"SPO")/SUMIF('caseload data'!$C:$C,'divisional &amp; regional caseload%'!$B$71,'caseload data'!N:N),"")</f>
        <v/>
      </c>
      <c r="M76" s="209" t="str">
        <f>IFERROR(SUMIFS('caseload data'!O:O,'caseload data'!$C:$C,'divisional &amp; regional caseload%'!$B$71,'caseload data'!$D:$D,"SPO")/SUMIF('caseload data'!$C:$C,'divisional &amp; regional caseload%'!$B$71,'caseload data'!O:O),"")</f>
        <v/>
      </c>
      <c r="N76" s="209" t="str">
        <f>IFERROR(SUMIFS('caseload data'!P:P,'caseload data'!$C:$C,'divisional &amp; regional caseload%'!$B$71,'caseload data'!$D:$D,"SPO")/SUMIF('caseload data'!$C:$C,'divisional &amp; regional caseload%'!$B$71,'caseload data'!P:P),"")</f>
        <v/>
      </c>
      <c r="O76" s="209" t="str">
        <f>IFERROR(SUMIFS('caseload data'!Q:Q,'caseload data'!$C:$C,'divisional &amp; regional caseload%'!$B$71,'caseload data'!$D:$D,"SPO")/SUMIF('caseload data'!$C:$C,'divisional &amp; regional caseload%'!$B$71,'caseload data'!Q:Q),"")</f>
        <v/>
      </c>
      <c r="P76" s="209" t="str">
        <f>IFERROR(SUMIFS('caseload data'!R:R,'caseload data'!$C:$C,'divisional &amp; regional caseload%'!$B$71,'caseload data'!$D:$D,"SPO")/SUMIF('caseload data'!$C:$C,'divisional &amp; regional caseload%'!$B$71,'caseload data'!R:R),"")</f>
        <v/>
      </c>
      <c r="Q76" s="209" t="str">
        <f>IFERROR(SUMIFS('caseload data'!S:S,'caseload data'!$C:$C,'divisional &amp; regional caseload%'!$B$71,'caseload data'!$D:$D,"SPO")/SUMIF('caseload data'!$C:$C,'divisional &amp; regional caseload%'!$B$71,'caseload data'!S:S),"")</f>
        <v/>
      </c>
      <c r="R76" s="209" t="str">
        <f>IFERROR(SUMIFS('caseload data'!T:T,'caseload data'!$C:$C,'divisional &amp; regional caseload%'!$B$71,'caseload data'!$D:$D,"SPO")/SUMIF('caseload data'!$C:$C,'divisional &amp; regional caseload%'!$B$71,'caseload data'!T:T),"")</f>
        <v/>
      </c>
    </row>
  </sheetData>
  <mergeCells count="40">
    <mergeCell ref="C64:O64"/>
    <mergeCell ref="P64:R64"/>
    <mergeCell ref="U64:AG64"/>
    <mergeCell ref="AH64:AJ64"/>
    <mergeCell ref="C71:O71"/>
    <mergeCell ref="P71:R71"/>
    <mergeCell ref="C8:O8"/>
    <mergeCell ref="P8:R8"/>
    <mergeCell ref="U8:AG8"/>
    <mergeCell ref="AH8:AJ8"/>
    <mergeCell ref="A1:AX1"/>
    <mergeCell ref="A2:AX2"/>
    <mergeCell ref="C15:O15"/>
    <mergeCell ref="P15:R15"/>
    <mergeCell ref="U15:AG15"/>
    <mergeCell ref="AH15:AJ15"/>
    <mergeCell ref="C22:O22"/>
    <mergeCell ref="P22:R22"/>
    <mergeCell ref="U22:AG22"/>
    <mergeCell ref="AH22:AJ22"/>
    <mergeCell ref="C29:O29"/>
    <mergeCell ref="P29:R29"/>
    <mergeCell ref="U29:AG29"/>
    <mergeCell ref="AH29:AJ29"/>
    <mergeCell ref="C36:O36"/>
    <mergeCell ref="P36:R36"/>
    <mergeCell ref="U36:AG36"/>
    <mergeCell ref="AH36:AJ36"/>
    <mergeCell ref="C57:O57"/>
    <mergeCell ref="P57:R57"/>
    <mergeCell ref="U57:AG57"/>
    <mergeCell ref="AH57:AJ57"/>
    <mergeCell ref="C43:O43"/>
    <mergeCell ref="P43:R43"/>
    <mergeCell ref="U43:AG43"/>
    <mergeCell ref="AH43:AJ43"/>
    <mergeCell ref="C50:O50"/>
    <mergeCell ref="P50:R50"/>
    <mergeCell ref="U50:AG50"/>
    <mergeCell ref="AH50:AJ50"/>
  </mergeCells>
  <conditionalFormatting sqref="C11:C12">
    <cfRule type="cellIs" dxfId="2817" priority="683" operator="equal">
      <formula>0</formula>
    </cfRule>
    <cfRule type="cellIs" dxfId="2816" priority="684" operator="notEqual">
      <formula>0</formula>
    </cfRule>
  </conditionalFormatting>
  <conditionalFormatting sqref="C10">
    <cfRule type="cellIs" dxfId="2815" priority="682" operator="equal">
      <formula>1</formula>
    </cfRule>
  </conditionalFormatting>
  <conditionalFormatting sqref="D11:D12">
    <cfRule type="cellIs" dxfId="2814" priority="680" operator="equal">
      <formula>0</formula>
    </cfRule>
    <cfRule type="cellIs" dxfId="2813" priority="681" operator="notEqual">
      <formula>0</formula>
    </cfRule>
  </conditionalFormatting>
  <conditionalFormatting sqref="D10">
    <cfRule type="cellIs" dxfId="2812" priority="679" operator="equal">
      <formula>1</formula>
    </cfRule>
  </conditionalFormatting>
  <conditionalFormatting sqref="E11:E12">
    <cfRule type="cellIs" dxfId="2811" priority="677" operator="equal">
      <formula>0</formula>
    </cfRule>
    <cfRule type="cellIs" dxfId="2810" priority="678" operator="notEqual">
      <formula>0</formula>
    </cfRule>
  </conditionalFormatting>
  <conditionalFormatting sqref="E10">
    <cfRule type="cellIs" dxfId="2809" priority="676" operator="equal">
      <formula>1</formula>
    </cfRule>
  </conditionalFormatting>
  <conditionalFormatting sqref="F11:F12">
    <cfRule type="cellIs" dxfId="2808" priority="674" operator="equal">
      <formula>0</formula>
    </cfRule>
    <cfRule type="cellIs" dxfId="2807" priority="675" operator="notEqual">
      <formula>0</formula>
    </cfRule>
  </conditionalFormatting>
  <conditionalFormatting sqref="F10">
    <cfRule type="cellIs" dxfId="2806" priority="673" operator="equal">
      <formula>1</formula>
    </cfRule>
  </conditionalFormatting>
  <conditionalFormatting sqref="G11:G12">
    <cfRule type="cellIs" dxfId="2805" priority="671" operator="equal">
      <formula>0</formula>
    </cfRule>
    <cfRule type="cellIs" dxfId="2804" priority="672" operator="notEqual">
      <formula>0</formula>
    </cfRule>
  </conditionalFormatting>
  <conditionalFormatting sqref="H11:H12">
    <cfRule type="cellIs" dxfId="2803" priority="669" operator="equal">
      <formula>0</formula>
    </cfRule>
    <cfRule type="cellIs" dxfId="2802" priority="670" operator="notEqual">
      <formula>0</formula>
    </cfRule>
  </conditionalFormatting>
  <conditionalFormatting sqref="I11:I12">
    <cfRule type="cellIs" dxfId="2801" priority="667" operator="equal">
      <formula>0</formula>
    </cfRule>
    <cfRule type="cellIs" dxfId="2800" priority="668" operator="notEqual">
      <formula>0</formula>
    </cfRule>
  </conditionalFormatting>
  <conditionalFormatting sqref="J11:J12">
    <cfRule type="cellIs" dxfId="2799" priority="665" operator="equal">
      <formula>0</formula>
    </cfRule>
    <cfRule type="cellIs" dxfId="2798" priority="666" operator="notEqual">
      <formula>0</formula>
    </cfRule>
  </conditionalFormatting>
  <conditionalFormatting sqref="O10">
    <cfRule type="cellIs" dxfId="2797" priority="663" operator="equal">
      <formula>0</formula>
    </cfRule>
    <cfRule type="cellIs" dxfId="2796" priority="664" operator="notEqual">
      <formula>0</formula>
    </cfRule>
  </conditionalFormatting>
  <conditionalFormatting sqref="O13">
    <cfRule type="cellIs" dxfId="2795" priority="661" operator="equal">
      <formula>0</formula>
    </cfRule>
    <cfRule type="cellIs" dxfId="2794" priority="662" operator="notEqual">
      <formula>0</formula>
    </cfRule>
  </conditionalFormatting>
  <conditionalFormatting sqref="P10">
    <cfRule type="cellIs" dxfId="2793" priority="659" operator="equal">
      <formula>0</formula>
    </cfRule>
    <cfRule type="cellIs" dxfId="2792" priority="660" operator="notEqual">
      <formula>0</formula>
    </cfRule>
  </conditionalFormatting>
  <conditionalFormatting sqref="P13">
    <cfRule type="cellIs" dxfId="2791" priority="657" operator="equal">
      <formula>0</formula>
    </cfRule>
    <cfRule type="cellIs" dxfId="2790" priority="658" operator="notEqual">
      <formula>0</formula>
    </cfRule>
  </conditionalFormatting>
  <conditionalFormatting sqref="Q10">
    <cfRule type="cellIs" dxfId="2789" priority="655" operator="equal">
      <formula>0</formula>
    </cfRule>
    <cfRule type="cellIs" dxfId="2788" priority="656" operator="notEqual">
      <formula>0</formula>
    </cfRule>
  </conditionalFormatting>
  <conditionalFormatting sqref="Q13">
    <cfRule type="cellIs" dxfId="2787" priority="653" operator="equal">
      <formula>0</formula>
    </cfRule>
    <cfRule type="cellIs" dxfId="2786" priority="654" operator="notEqual">
      <formula>0</formula>
    </cfRule>
  </conditionalFormatting>
  <conditionalFormatting sqref="R10">
    <cfRule type="cellIs" dxfId="2785" priority="651" operator="equal">
      <formula>0</formula>
    </cfRule>
    <cfRule type="cellIs" dxfId="2784" priority="652" operator="notEqual">
      <formula>0</formula>
    </cfRule>
  </conditionalFormatting>
  <conditionalFormatting sqref="R13">
    <cfRule type="cellIs" dxfId="2783" priority="649" operator="equal">
      <formula>0</formula>
    </cfRule>
    <cfRule type="cellIs" dxfId="2782" priority="650" operator="notEqual">
      <formula>0</formula>
    </cfRule>
  </conditionalFormatting>
  <conditionalFormatting sqref="C18:C19">
    <cfRule type="cellIs" dxfId="2781" priority="647" operator="equal">
      <formula>0</formula>
    </cfRule>
    <cfRule type="cellIs" dxfId="2780" priority="648" operator="notEqual">
      <formula>0</formula>
    </cfRule>
  </conditionalFormatting>
  <conditionalFormatting sqref="C17">
    <cfRule type="cellIs" dxfId="2779" priority="646" operator="equal">
      <formula>1</formula>
    </cfRule>
  </conditionalFormatting>
  <conditionalFormatting sqref="D18:D19">
    <cfRule type="cellIs" dxfId="2778" priority="644" operator="equal">
      <formula>0</formula>
    </cfRule>
    <cfRule type="cellIs" dxfId="2777" priority="645" operator="notEqual">
      <formula>0</formula>
    </cfRule>
  </conditionalFormatting>
  <conditionalFormatting sqref="D17">
    <cfRule type="cellIs" dxfId="2776" priority="643" operator="equal">
      <formula>1</formula>
    </cfRule>
  </conditionalFormatting>
  <conditionalFormatting sqref="E18:E19">
    <cfRule type="cellIs" dxfId="2775" priority="641" operator="equal">
      <formula>0</formula>
    </cfRule>
    <cfRule type="cellIs" dxfId="2774" priority="642" operator="notEqual">
      <formula>0</formula>
    </cfRule>
  </conditionalFormatting>
  <conditionalFormatting sqref="E17">
    <cfRule type="cellIs" dxfId="2773" priority="640" operator="equal">
      <formula>1</formula>
    </cfRule>
  </conditionalFormatting>
  <conditionalFormatting sqref="F18:F19">
    <cfRule type="cellIs" dxfId="2772" priority="638" operator="equal">
      <formula>0</formula>
    </cfRule>
    <cfRule type="cellIs" dxfId="2771" priority="639" operator="notEqual">
      <formula>0</formula>
    </cfRule>
  </conditionalFormatting>
  <conditionalFormatting sqref="F17">
    <cfRule type="cellIs" dxfId="2770" priority="637" operator="equal">
      <formula>1</formula>
    </cfRule>
  </conditionalFormatting>
  <conditionalFormatting sqref="G18:G19">
    <cfRule type="cellIs" dxfId="2769" priority="635" operator="equal">
      <formula>0</formula>
    </cfRule>
    <cfRule type="cellIs" dxfId="2768" priority="636" operator="notEqual">
      <formula>0</formula>
    </cfRule>
  </conditionalFormatting>
  <conditionalFormatting sqref="H18:H19">
    <cfRule type="cellIs" dxfId="2767" priority="633" operator="equal">
      <formula>0</formula>
    </cfRule>
    <cfRule type="cellIs" dxfId="2766" priority="634" operator="notEqual">
      <formula>0</formula>
    </cfRule>
  </conditionalFormatting>
  <conditionalFormatting sqref="I18:I19">
    <cfRule type="cellIs" dxfId="2765" priority="631" operator="equal">
      <formula>0</formula>
    </cfRule>
    <cfRule type="cellIs" dxfId="2764" priority="632" operator="notEqual">
      <formula>0</formula>
    </cfRule>
  </conditionalFormatting>
  <conditionalFormatting sqref="J18:J19">
    <cfRule type="cellIs" dxfId="2763" priority="629" operator="equal">
      <formula>0</formula>
    </cfRule>
    <cfRule type="cellIs" dxfId="2762" priority="630" operator="notEqual">
      <formula>0</formula>
    </cfRule>
  </conditionalFormatting>
  <conditionalFormatting sqref="O17">
    <cfRule type="cellIs" dxfId="2761" priority="627" operator="equal">
      <formula>0</formula>
    </cfRule>
    <cfRule type="cellIs" dxfId="2760" priority="628" operator="notEqual">
      <formula>0</formula>
    </cfRule>
  </conditionalFormatting>
  <conditionalFormatting sqref="O20">
    <cfRule type="cellIs" dxfId="2759" priority="625" operator="equal">
      <formula>0</formula>
    </cfRule>
    <cfRule type="cellIs" dxfId="2758" priority="626" operator="notEqual">
      <formula>0</formula>
    </cfRule>
  </conditionalFormatting>
  <conditionalFormatting sqref="P17">
    <cfRule type="cellIs" dxfId="2757" priority="623" operator="equal">
      <formula>0</formula>
    </cfRule>
    <cfRule type="cellIs" dxfId="2756" priority="624" operator="notEqual">
      <formula>0</formula>
    </cfRule>
  </conditionalFormatting>
  <conditionalFormatting sqref="P20">
    <cfRule type="cellIs" dxfId="2755" priority="621" operator="equal">
      <formula>0</formula>
    </cfRule>
    <cfRule type="cellIs" dxfId="2754" priority="622" operator="notEqual">
      <formula>0</formula>
    </cfRule>
  </conditionalFormatting>
  <conditionalFormatting sqref="Q17">
    <cfRule type="cellIs" dxfId="2753" priority="619" operator="equal">
      <formula>0</formula>
    </cfRule>
    <cfRule type="cellIs" dxfId="2752" priority="620" operator="notEqual">
      <formula>0</formula>
    </cfRule>
  </conditionalFormatting>
  <conditionalFormatting sqref="Q20">
    <cfRule type="cellIs" dxfId="2751" priority="617" operator="equal">
      <formula>0</formula>
    </cfRule>
    <cfRule type="cellIs" dxfId="2750" priority="618" operator="notEqual">
      <formula>0</formula>
    </cfRule>
  </conditionalFormatting>
  <conditionalFormatting sqref="R17">
    <cfRule type="cellIs" dxfId="2749" priority="615" operator="equal">
      <formula>0</formula>
    </cfRule>
    <cfRule type="cellIs" dxfId="2748" priority="616" operator="notEqual">
      <formula>0</formula>
    </cfRule>
  </conditionalFormatting>
  <conditionalFormatting sqref="R20">
    <cfRule type="cellIs" dxfId="2747" priority="613" operator="equal">
      <formula>0</formula>
    </cfRule>
    <cfRule type="cellIs" dxfId="2746" priority="614" operator="notEqual">
      <formula>0</formula>
    </cfRule>
  </conditionalFormatting>
  <conditionalFormatting sqref="C25:C26">
    <cfRule type="cellIs" dxfId="2745" priority="611" operator="equal">
      <formula>0</formula>
    </cfRule>
    <cfRule type="cellIs" dxfId="2744" priority="612" operator="notEqual">
      <formula>0</formula>
    </cfRule>
  </conditionalFormatting>
  <conditionalFormatting sqref="C24">
    <cfRule type="cellIs" dxfId="2743" priority="610" operator="equal">
      <formula>1</formula>
    </cfRule>
  </conditionalFormatting>
  <conditionalFormatting sqref="D25:D26">
    <cfRule type="cellIs" dxfId="2742" priority="608" operator="equal">
      <formula>0</formula>
    </cfRule>
    <cfRule type="cellIs" dxfId="2741" priority="609" operator="notEqual">
      <formula>0</formula>
    </cfRule>
  </conditionalFormatting>
  <conditionalFormatting sqref="D24">
    <cfRule type="cellIs" dxfId="2740" priority="607" operator="equal">
      <formula>1</formula>
    </cfRule>
  </conditionalFormatting>
  <conditionalFormatting sqref="E25:E26">
    <cfRule type="cellIs" dxfId="2739" priority="605" operator="equal">
      <formula>0</formula>
    </cfRule>
    <cfRule type="cellIs" dxfId="2738" priority="606" operator="notEqual">
      <formula>0</formula>
    </cfRule>
  </conditionalFormatting>
  <conditionalFormatting sqref="E24">
    <cfRule type="cellIs" dxfId="2737" priority="604" operator="equal">
      <formula>1</formula>
    </cfRule>
  </conditionalFormatting>
  <conditionalFormatting sqref="F25:F26">
    <cfRule type="cellIs" dxfId="2736" priority="602" operator="equal">
      <formula>0</formula>
    </cfRule>
    <cfRule type="cellIs" dxfId="2735" priority="603" operator="notEqual">
      <formula>0</formula>
    </cfRule>
  </conditionalFormatting>
  <conditionalFormatting sqref="F24">
    <cfRule type="cellIs" dxfId="2734" priority="601" operator="equal">
      <formula>1</formula>
    </cfRule>
  </conditionalFormatting>
  <conditionalFormatting sqref="G25:G26">
    <cfRule type="cellIs" dxfId="2733" priority="599" operator="equal">
      <formula>0</formula>
    </cfRule>
    <cfRule type="cellIs" dxfId="2732" priority="600" operator="notEqual">
      <formula>0</formula>
    </cfRule>
  </conditionalFormatting>
  <conditionalFormatting sqref="H25:H26">
    <cfRule type="cellIs" dxfId="2731" priority="597" operator="equal">
      <formula>0</formula>
    </cfRule>
    <cfRule type="cellIs" dxfId="2730" priority="598" operator="notEqual">
      <formula>0</formula>
    </cfRule>
  </conditionalFormatting>
  <conditionalFormatting sqref="I25:I26">
    <cfRule type="cellIs" dxfId="2729" priority="595" operator="equal">
      <formula>0</formula>
    </cfRule>
    <cfRule type="cellIs" dxfId="2728" priority="596" operator="notEqual">
      <formula>0</formula>
    </cfRule>
  </conditionalFormatting>
  <conditionalFormatting sqref="J25:J26">
    <cfRule type="cellIs" dxfId="2727" priority="593" operator="equal">
      <formula>0</formula>
    </cfRule>
    <cfRule type="cellIs" dxfId="2726" priority="594" operator="notEqual">
      <formula>0</formula>
    </cfRule>
  </conditionalFormatting>
  <conditionalFormatting sqref="O24">
    <cfRule type="cellIs" dxfId="2725" priority="591" operator="equal">
      <formula>0</formula>
    </cfRule>
    <cfRule type="cellIs" dxfId="2724" priority="592" operator="notEqual">
      <formula>0</formula>
    </cfRule>
  </conditionalFormatting>
  <conditionalFormatting sqref="O27">
    <cfRule type="cellIs" dxfId="2723" priority="589" operator="equal">
      <formula>0</formula>
    </cfRule>
    <cfRule type="cellIs" dxfId="2722" priority="590" operator="notEqual">
      <formula>0</formula>
    </cfRule>
  </conditionalFormatting>
  <conditionalFormatting sqref="P24">
    <cfRule type="cellIs" dxfId="2721" priority="587" operator="equal">
      <formula>0</formula>
    </cfRule>
    <cfRule type="cellIs" dxfId="2720" priority="588" operator="notEqual">
      <formula>0</formula>
    </cfRule>
  </conditionalFormatting>
  <conditionalFormatting sqref="P27">
    <cfRule type="cellIs" dxfId="2719" priority="585" operator="equal">
      <formula>0</formula>
    </cfRule>
    <cfRule type="cellIs" dxfId="2718" priority="586" operator="notEqual">
      <formula>0</formula>
    </cfRule>
  </conditionalFormatting>
  <conditionalFormatting sqref="Q24">
    <cfRule type="cellIs" dxfId="2717" priority="583" operator="equal">
      <formula>0</formula>
    </cfRule>
    <cfRule type="cellIs" dxfId="2716" priority="584" operator="notEqual">
      <formula>0</formula>
    </cfRule>
  </conditionalFormatting>
  <conditionalFormatting sqref="Q27">
    <cfRule type="cellIs" dxfId="2715" priority="581" operator="equal">
      <formula>0</formula>
    </cfRule>
    <cfRule type="cellIs" dxfId="2714" priority="582" operator="notEqual">
      <formula>0</formula>
    </cfRule>
  </conditionalFormatting>
  <conditionalFormatting sqref="R24">
    <cfRule type="cellIs" dxfId="2713" priority="579" operator="equal">
      <formula>0</formula>
    </cfRule>
    <cfRule type="cellIs" dxfId="2712" priority="580" operator="notEqual">
      <formula>0</formula>
    </cfRule>
  </conditionalFormatting>
  <conditionalFormatting sqref="R27">
    <cfRule type="cellIs" dxfId="2711" priority="577" operator="equal">
      <formula>0</formula>
    </cfRule>
    <cfRule type="cellIs" dxfId="2710" priority="578" operator="notEqual">
      <formula>0</formula>
    </cfRule>
  </conditionalFormatting>
  <conditionalFormatting sqref="C32:C33">
    <cfRule type="cellIs" dxfId="2709" priority="575" operator="equal">
      <formula>0</formula>
    </cfRule>
    <cfRule type="cellIs" dxfId="2708" priority="576" operator="notEqual">
      <formula>0</formula>
    </cfRule>
  </conditionalFormatting>
  <conditionalFormatting sqref="C31">
    <cfRule type="cellIs" dxfId="2707" priority="574" operator="equal">
      <formula>1</formula>
    </cfRule>
  </conditionalFormatting>
  <conditionalFormatting sqref="D32:D33">
    <cfRule type="cellIs" dxfId="2706" priority="572" operator="equal">
      <formula>0</formula>
    </cfRule>
    <cfRule type="cellIs" dxfId="2705" priority="573" operator="notEqual">
      <formula>0</formula>
    </cfRule>
  </conditionalFormatting>
  <conditionalFormatting sqref="D31">
    <cfRule type="cellIs" dxfId="2704" priority="571" operator="equal">
      <formula>1</formula>
    </cfRule>
  </conditionalFormatting>
  <conditionalFormatting sqref="E32:E33">
    <cfRule type="cellIs" dxfId="2703" priority="569" operator="equal">
      <formula>0</formula>
    </cfRule>
    <cfRule type="cellIs" dxfId="2702" priority="570" operator="notEqual">
      <formula>0</formula>
    </cfRule>
  </conditionalFormatting>
  <conditionalFormatting sqref="E31">
    <cfRule type="cellIs" dxfId="2701" priority="568" operator="equal">
      <formula>1</formula>
    </cfRule>
  </conditionalFormatting>
  <conditionalFormatting sqref="F32:F33">
    <cfRule type="cellIs" dxfId="2700" priority="566" operator="equal">
      <formula>0</formula>
    </cfRule>
    <cfRule type="cellIs" dxfId="2699" priority="567" operator="notEqual">
      <formula>0</formula>
    </cfRule>
  </conditionalFormatting>
  <conditionalFormatting sqref="F31">
    <cfRule type="cellIs" dxfId="2698" priority="565" operator="equal">
      <formula>1</formula>
    </cfRule>
  </conditionalFormatting>
  <conditionalFormatting sqref="G32:G33">
    <cfRule type="cellIs" dxfId="2697" priority="563" operator="equal">
      <formula>0</formula>
    </cfRule>
    <cfRule type="cellIs" dxfId="2696" priority="564" operator="notEqual">
      <formula>0</formula>
    </cfRule>
  </conditionalFormatting>
  <conditionalFormatting sqref="H32:H33">
    <cfRule type="cellIs" dxfId="2695" priority="561" operator="equal">
      <formula>0</formula>
    </cfRule>
    <cfRule type="cellIs" dxfId="2694" priority="562" operator="notEqual">
      <formula>0</formula>
    </cfRule>
  </conditionalFormatting>
  <conditionalFormatting sqref="I32:I33">
    <cfRule type="cellIs" dxfId="2693" priority="559" operator="equal">
      <formula>0</formula>
    </cfRule>
    <cfRule type="cellIs" dxfId="2692" priority="560" operator="notEqual">
      <formula>0</formula>
    </cfRule>
  </conditionalFormatting>
  <conditionalFormatting sqref="J32:J33">
    <cfRule type="cellIs" dxfId="2691" priority="557" operator="equal">
      <formula>0</formula>
    </cfRule>
    <cfRule type="cellIs" dxfId="2690" priority="558" operator="notEqual">
      <formula>0</formula>
    </cfRule>
  </conditionalFormatting>
  <conditionalFormatting sqref="O31">
    <cfRule type="cellIs" dxfId="2689" priority="555" operator="equal">
      <formula>0</formula>
    </cfRule>
    <cfRule type="cellIs" dxfId="2688" priority="556" operator="notEqual">
      <formula>0</formula>
    </cfRule>
  </conditionalFormatting>
  <conditionalFormatting sqref="O34">
    <cfRule type="cellIs" dxfId="2687" priority="553" operator="equal">
      <formula>0</formula>
    </cfRule>
    <cfRule type="cellIs" dxfId="2686" priority="554" operator="notEqual">
      <formula>0</formula>
    </cfRule>
  </conditionalFormatting>
  <conditionalFormatting sqref="P31">
    <cfRule type="cellIs" dxfId="2685" priority="551" operator="equal">
      <formula>0</formula>
    </cfRule>
    <cfRule type="cellIs" dxfId="2684" priority="552" operator="notEqual">
      <formula>0</formula>
    </cfRule>
  </conditionalFormatting>
  <conditionalFormatting sqref="P34">
    <cfRule type="cellIs" dxfId="2683" priority="549" operator="equal">
      <formula>0</formula>
    </cfRule>
    <cfRule type="cellIs" dxfId="2682" priority="550" operator="notEqual">
      <formula>0</formula>
    </cfRule>
  </conditionalFormatting>
  <conditionalFormatting sqref="Q31">
    <cfRule type="cellIs" dxfId="2681" priority="547" operator="equal">
      <formula>0</formula>
    </cfRule>
    <cfRule type="cellIs" dxfId="2680" priority="548" operator="notEqual">
      <formula>0</formula>
    </cfRule>
  </conditionalFormatting>
  <conditionalFormatting sqref="Q34">
    <cfRule type="cellIs" dxfId="2679" priority="545" operator="equal">
      <formula>0</formula>
    </cfRule>
    <cfRule type="cellIs" dxfId="2678" priority="546" operator="notEqual">
      <formula>0</formula>
    </cfRule>
  </conditionalFormatting>
  <conditionalFormatting sqref="R31">
    <cfRule type="cellIs" dxfId="2677" priority="543" operator="equal">
      <formula>0</formula>
    </cfRule>
    <cfRule type="cellIs" dxfId="2676" priority="544" operator="notEqual">
      <formula>0</formula>
    </cfRule>
  </conditionalFormatting>
  <conditionalFormatting sqref="R34">
    <cfRule type="cellIs" dxfId="2675" priority="541" operator="equal">
      <formula>0</formula>
    </cfRule>
    <cfRule type="cellIs" dxfId="2674" priority="542" operator="notEqual">
      <formula>0</formula>
    </cfRule>
  </conditionalFormatting>
  <conditionalFormatting sqref="C39:C40">
    <cfRule type="cellIs" dxfId="2673" priority="539" operator="equal">
      <formula>0</formula>
    </cfRule>
    <cfRule type="cellIs" dxfId="2672" priority="540" operator="notEqual">
      <formula>0</formula>
    </cfRule>
  </conditionalFormatting>
  <conditionalFormatting sqref="C38">
    <cfRule type="cellIs" dxfId="2671" priority="538" operator="equal">
      <formula>1</formula>
    </cfRule>
  </conditionalFormatting>
  <conditionalFormatting sqref="D39:D40">
    <cfRule type="cellIs" dxfId="2670" priority="536" operator="equal">
      <formula>0</formula>
    </cfRule>
    <cfRule type="cellIs" dxfId="2669" priority="537" operator="notEqual">
      <formula>0</formula>
    </cfRule>
  </conditionalFormatting>
  <conditionalFormatting sqref="D38">
    <cfRule type="cellIs" dxfId="2668" priority="535" operator="equal">
      <formula>1</formula>
    </cfRule>
  </conditionalFormatting>
  <conditionalFormatting sqref="E39:E40">
    <cfRule type="cellIs" dxfId="2667" priority="533" operator="equal">
      <formula>0</formula>
    </cfRule>
    <cfRule type="cellIs" dxfId="2666" priority="534" operator="notEqual">
      <formula>0</formula>
    </cfRule>
  </conditionalFormatting>
  <conditionalFormatting sqref="E38">
    <cfRule type="cellIs" dxfId="2665" priority="532" operator="equal">
      <formula>1</formula>
    </cfRule>
  </conditionalFormatting>
  <conditionalFormatting sqref="F39:F40">
    <cfRule type="cellIs" dxfId="2664" priority="530" operator="equal">
      <formula>0</formula>
    </cfRule>
    <cfRule type="cellIs" dxfId="2663" priority="531" operator="notEqual">
      <formula>0</formula>
    </cfRule>
  </conditionalFormatting>
  <conditionalFormatting sqref="F38">
    <cfRule type="cellIs" dxfId="2662" priority="529" operator="equal">
      <formula>1</formula>
    </cfRule>
  </conditionalFormatting>
  <conditionalFormatting sqref="G39:G40">
    <cfRule type="cellIs" dxfId="2661" priority="527" operator="equal">
      <formula>0</formula>
    </cfRule>
    <cfRule type="cellIs" dxfId="2660" priority="528" operator="notEqual">
      <formula>0</formula>
    </cfRule>
  </conditionalFormatting>
  <conditionalFormatting sqref="H39:H40">
    <cfRule type="cellIs" dxfId="2659" priority="525" operator="equal">
      <formula>0</formula>
    </cfRule>
    <cfRule type="cellIs" dxfId="2658" priority="526" operator="notEqual">
      <formula>0</formula>
    </cfRule>
  </conditionalFormatting>
  <conditionalFormatting sqref="I39:I40">
    <cfRule type="cellIs" dxfId="2657" priority="523" operator="equal">
      <formula>0</formula>
    </cfRule>
    <cfRule type="cellIs" dxfId="2656" priority="524" operator="notEqual">
      <formula>0</formula>
    </cfRule>
  </conditionalFormatting>
  <conditionalFormatting sqref="J39:J40">
    <cfRule type="cellIs" dxfId="2655" priority="521" operator="equal">
      <formula>0</formula>
    </cfRule>
    <cfRule type="cellIs" dxfId="2654" priority="522" operator="notEqual">
      <formula>0</formula>
    </cfRule>
  </conditionalFormatting>
  <conditionalFormatting sqref="O38">
    <cfRule type="cellIs" dxfId="2653" priority="519" operator="equal">
      <formula>0</formula>
    </cfRule>
    <cfRule type="cellIs" dxfId="2652" priority="520" operator="notEqual">
      <formula>0</formula>
    </cfRule>
  </conditionalFormatting>
  <conditionalFormatting sqref="O41">
    <cfRule type="cellIs" dxfId="2651" priority="517" operator="equal">
      <formula>0</formula>
    </cfRule>
    <cfRule type="cellIs" dxfId="2650" priority="518" operator="notEqual">
      <formula>0</formula>
    </cfRule>
  </conditionalFormatting>
  <conditionalFormatting sqref="P38">
    <cfRule type="cellIs" dxfId="2649" priority="515" operator="equal">
      <formula>0</formula>
    </cfRule>
    <cfRule type="cellIs" dxfId="2648" priority="516" operator="notEqual">
      <formula>0</formula>
    </cfRule>
  </conditionalFormatting>
  <conditionalFormatting sqref="P41">
    <cfRule type="cellIs" dxfId="2647" priority="513" operator="equal">
      <formula>0</formula>
    </cfRule>
    <cfRule type="cellIs" dxfId="2646" priority="514" operator="notEqual">
      <formula>0</formula>
    </cfRule>
  </conditionalFormatting>
  <conditionalFormatting sqref="Q38">
    <cfRule type="cellIs" dxfId="2645" priority="511" operator="equal">
      <formula>0</formula>
    </cfRule>
    <cfRule type="cellIs" dxfId="2644" priority="512" operator="notEqual">
      <formula>0</formula>
    </cfRule>
  </conditionalFormatting>
  <conditionalFormatting sqref="Q41">
    <cfRule type="cellIs" dxfId="2643" priority="509" operator="equal">
      <formula>0</formula>
    </cfRule>
    <cfRule type="cellIs" dxfId="2642" priority="510" operator="notEqual">
      <formula>0</formula>
    </cfRule>
  </conditionalFormatting>
  <conditionalFormatting sqref="R38">
    <cfRule type="cellIs" dxfId="2641" priority="507" operator="equal">
      <formula>0</formula>
    </cfRule>
    <cfRule type="cellIs" dxfId="2640" priority="508" operator="notEqual">
      <formula>0</formula>
    </cfRule>
  </conditionalFormatting>
  <conditionalFormatting sqref="R41">
    <cfRule type="cellIs" dxfId="2639" priority="505" operator="equal">
      <formula>0</formula>
    </cfRule>
    <cfRule type="cellIs" dxfId="2638" priority="506" operator="notEqual">
      <formula>0</formula>
    </cfRule>
  </conditionalFormatting>
  <conditionalFormatting sqref="C46:C47">
    <cfRule type="cellIs" dxfId="2637" priority="503" operator="equal">
      <formula>0</formula>
    </cfRule>
    <cfRule type="cellIs" dxfId="2636" priority="504" operator="notEqual">
      <formula>0</formula>
    </cfRule>
  </conditionalFormatting>
  <conditionalFormatting sqref="C45">
    <cfRule type="cellIs" dxfId="2635" priority="502" operator="equal">
      <formula>1</formula>
    </cfRule>
  </conditionalFormatting>
  <conditionalFormatting sqref="D46:D47">
    <cfRule type="cellIs" dxfId="2634" priority="500" operator="equal">
      <formula>0</formula>
    </cfRule>
    <cfRule type="cellIs" dxfId="2633" priority="501" operator="notEqual">
      <formula>0</formula>
    </cfRule>
  </conditionalFormatting>
  <conditionalFormatting sqref="D45">
    <cfRule type="cellIs" dxfId="2632" priority="499" operator="equal">
      <formula>1</formula>
    </cfRule>
  </conditionalFormatting>
  <conditionalFormatting sqref="E46:E47">
    <cfRule type="cellIs" dxfId="2631" priority="497" operator="equal">
      <formula>0</formula>
    </cfRule>
    <cfRule type="cellIs" dxfId="2630" priority="498" operator="notEqual">
      <formula>0</formula>
    </cfRule>
  </conditionalFormatting>
  <conditionalFormatting sqref="E45">
    <cfRule type="cellIs" dxfId="2629" priority="496" operator="equal">
      <formula>1</formula>
    </cfRule>
  </conditionalFormatting>
  <conditionalFormatting sqref="F46:F47">
    <cfRule type="cellIs" dxfId="2628" priority="494" operator="equal">
      <formula>0</formula>
    </cfRule>
    <cfRule type="cellIs" dxfId="2627" priority="495" operator="notEqual">
      <formula>0</formula>
    </cfRule>
  </conditionalFormatting>
  <conditionalFormatting sqref="F45">
    <cfRule type="cellIs" dxfId="2626" priority="493" operator="equal">
      <formula>1</formula>
    </cfRule>
  </conditionalFormatting>
  <conditionalFormatting sqref="G46:G47">
    <cfRule type="cellIs" dxfId="2625" priority="491" operator="equal">
      <formula>0</formula>
    </cfRule>
    <cfRule type="cellIs" dxfId="2624" priority="492" operator="notEqual">
      <formula>0</formula>
    </cfRule>
  </conditionalFormatting>
  <conditionalFormatting sqref="H46:H47">
    <cfRule type="cellIs" dxfId="2623" priority="489" operator="equal">
      <formula>0</formula>
    </cfRule>
    <cfRule type="cellIs" dxfId="2622" priority="490" operator="notEqual">
      <formula>0</formula>
    </cfRule>
  </conditionalFormatting>
  <conditionalFormatting sqref="I46:I47">
    <cfRule type="cellIs" dxfId="2621" priority="487" operator="equal">
      <formula>0</formula>
    </cfRule>
    <cfRule type="cellIs" dxfId="2620" priority="488" operator="notEqual">
      <formula>0</formula>
    </cfRule>
  </conditionalFormatting>
  <conditionalFormatting sqref="J46:J47">
    <cfRule type="cellIs" dxfId="2619" priority="485" operator="equal">
      <formula>0</formula>
    </cfRule>
    <cfRule type="cellIs" dxfId="2618" priority="486" operator="notEqual">
      <formula>0</formula>
    </cfRule>
  </conditionalFormatting>
  <conditionalFormatting sqref="O45">
    <cfRule type="cellIs" dxfId="2617" priority="483" operator="equal">
      <formula>0</formula>
    </cfRule>
    <cfRule type="cellIs" dxfId="2616" priority="484" operator="notEqual">
      <formula>0</formula>
    </cfRule>
  </conditionalFormatting>
  <conditionalFormatting sqref="O48">
    <cfRule type="cellIs" dxfId="2615" priority="481" operator="equal">
      <formula>0</formula>
    </cfRule>
    <cfRule type="cellIs" dxfId="2614" priority="482" operator="notEqual">
      <formula>0</formula>
    </cfRule>
  </conditionalFormatting>
  <conditionalFormatting sqref="P45">
    <cfRule type="cellIs" dxfId="2613" priority="479" operator="equal">
      <formula>0</formula>
    </cfRule>
    <cfRule type="cellIs" dxfId="2612" priority="480" operator="notEqual">
      <formula>0</formula>
    </cfRule>
  </conditionalFormatting>
  <conditionalFormatting sqref="P48">
    <cfRule type="cellIs" dxfId="2611" priority="477" operator="equal">
      <formula>0</formula>
    </cfRule>
    <cfRule type="cellIs" dxfId="2610" priority="478" operator="notEqual">
      <formula>0</formula>
    </cfRule>
  </conditionalFormatting>
  <conditionalFormatting sqref="Q45">
    <cfRule type="cellIs" dxfId="2609" priority="475" operator="equal">
      <formula>0</formula>
    </cfRule>
    <cfRule type="cellIs" dxfId="2608" priority="476" operator="notEqual">
      <formula>0</formula>
    </cfRule>
  </conditionalFormatting>
  <conditionalFormatting sqref="Q48">
    <cfRule type="cellIs" dxfId="2607" priority="473" operator="equal">
      <formula>0</formula>
    </cfRule>
    <cfRule type="cellIs" dxfId="2606" priority="474" operator="notEqual">
      <formula>0</formula>
    </cfRule>
  </conditionalFormatting>
  <conditionalFormatting sqref="R45">
    <cfRule type="cellIs" dxfId="2605" priority="471" operator="equal">
      <formula>0</formula>
    </cfRule>
    <cfRule type="cellIs" dxfId="2604" priority="472" operator="notEqual">
      <formula>0</formula>
    </cfRule>
  </conditionalFormatting>
  <conditionalFormatting sqref="R48">
    <cfRule type="cellIs" dxfId="2603" priority="469" operator="equal">
      <formula>0</formula>
    </cfRule>
    <cfRule type="cellIs" dxfId="2602" priority="470" operator="notEqual">
      <formula>0</formula>
    </cfRule>
  </conditionalFormatting>
  <conditionalFormatting sqref="C53:C54">
    <cfRule type="cellIs" dxfId="2601" priority="467" operator="equal">
      <formula>0</formula>
    </cfRule>
    <cfRule type="cellIs" dxfId="2600" priority="468" operator="notEqual">
      <formula>0</formula>
    </cfRule>
  </conditionalFormatting>
  <conditionalFormatting sqref="C52">
    <cfRule type="cellIs" dxfId="2599" priority="466" operator="equal">
      <formula>1</formula>
    </cfRule>
  </conditionalFormatting>
  <conditionalFormatting sqref="D53:D54">
    <cfRule type="cellIs" dxfId="2598" priority="464" operator="equal">
      <formula>0</formula>
    </cfRule>
    <cfRule type="cellIs" dxfId="2597" priority="465" operator="notEqual">
      <formula>0</formula>
    </cfRule>
  </conditionalFormatting>
  <conditionalFormatting sqref="D52">
    <cfRule type="cellIs" dxfId="2596" priority="463" operator="equal">
      <formula>1</formula>
    </cfRule>
  </conditionalFormatting>
  <conditionalFormatting sqref="E53:E54">
    <cfRule type="cellIs" dxfId="2595" priority="461" operator="equal">
      <formula>0</formula>
    </cfRule>
    <cfRule type="cellIs" dxfId="2594" priority="462" operator="notEqual">
      <formula>0</formula>
    </cfRule>
  </conditionalFormatting>
  <conditionalFormatting sqref="E52">
    <cfRule type="cellIs" dxfId="2593" priority="460" operator="equal">
      <formula>1</formula>
    </cfRule>
  </conditionalFormatting>
  <conditionalFormatting sqref="F53:F54">
    <cfRule type="cellIs" dxfId="2592" priority="458" operator="equal">
      <formula>0</formula>
    </cfRule>
    <cfRule type="cellIs" dxfId="2591" priority="459" operator="notEqual">
      <formula>0</formula>
    </cfRule>
  </conditionalFormatting>
  <conditionalFormatting sqref="F52">
    <cfRule type="cellIs" dxfId="2590" priority="457" operator="equal">
      <formula>1</formula>
    </cfRule>
  </conditionalFormatting>
  <conditionalFormatting sqref="G53:G54">
    <cfRule type="cellIs" dxfId="2589" priority="455" operator="equal">
      <formula>0</formula>
    </cfRule>
    <cfRule type="cellIs" dxfId="2588" priority="456" operator="notEqual">
      <formula>0</formula>
    </cfRule>
  </conditionalFormatting>
  <conditionalFormatting sqref="H53:H54">
    <cfRule type="cellIs" dxfId="2587" priority="453" operator="equal">
      <formula>0</formula>
    </cfRule>
    <cfRule type="cellIs" dxfId="2586" priority="454" operator="notEqual">
      <formula>0</formula>
    </cfRule>
  </conditionalFormatting>
  <conditionalFormatting sqref="I53:I54">
    <cfRule type="cellIs" dxfId="2585" priority="451" operator="equal">
      <formula>0</formula>
    </cfRule>
    <cfRule type="cellIs" dxfId="2584" priority="452" operator="notEqual">
      <formula>0</formula>
    </cfRule>
  </conditionalFormatting>
  <conditionalFormatting sqref="J53:J54">
    <cfRule type="cellIs" dxfId="2583" priority="449" operator="equal">
      <formula>0</formula>
    </cfRule>
    <cfRule type="cellIs" dxfId="2582" priority="450" operator="notEqual">
      <formula>0</formula>
    </cfRule>
  </conditionalFormatting>
  <conditionalFormatting sqref="O52">
    <cfRule type="cellIs" dxfId="2581" priority="447" operator="equal">
      <formula>0</formula>
    </cfRule>
    <cfRule type="cellIs" dxfId="2580" priority="448" operator="notEqual">
      <formula>0</formula>
    </cfRule>
  </conditionalFormatting>
  <conditionalFormatting sqref="O55">
    <cfRule type="cellIs" dxfId="2579" priority="445" operator="equal">
      <formula>0</formula>
    </cfRule>
    <cfRule type="cellIs" dxfId="2578" priority="446" operator="notEqual">
      <formula>0</formula>
    </cfRule>
  </conditionalFormatting>
  <conditionalFormatting sqref="P52">
    <cfRule type="cellIs" dxfId="2577" priority="443" operator="equal">
      <formula>0</formula>
    </cfRule>
    <cfRule type="cellIs" dxfId="2576" priority="444" operator="notEqual">
      <formula>0</formula>
    </cfRule>
  </conditionalFormatting>
  <conditionalFormatting sqref="P55">
    <cfRule type="cellIs" dxfId="2575" priority="441" operator="equal">
      <formula>0</formula>
    </cfRule>
    <cfRule type="cellIs" dxfId="2574" priority="442" operator="notEqual">
      <formula>0</formula>
    </cfRule>
  </conditionalFormatting>
  <conditionalFormatting sqref="Q52">
    <cfRule type="cellIs" dxfId="2573" priority="439" operator="equal">
      <formula>0</formula>
    </cfRule>
    <cfRule type="cellIs" dxfId="2572" priority="440" operator="notEqual">
      <formula>0</formula>
    </cfRule>
  </conditionalFormatting>
  <conditionalFormatting sqref="Q55">
    <cfRule type="cellIs" dxfId="2571" priority="437" operator="equal">
      <formula>0</formula>
    </cfRule>
    <cfRule type="cellIs" dxfId="2570" priority="438" operator="notEqual">
      <formula>0</formula>
    </cfRule>
  </conditionalFormatting>
  <conditionalFormatting sqref="R52">
    <cfRule type="cellIs" dxfId="2569" priority="435" operator="equal">
      <formula>0</formula>
    </cfRule>
    <cfRule type="cellIs" dxfId="2568" priority="436" operator="notEqual">
      <formula>0</formula>
    </cfRule>
  </conditionalFormatting>
  <conditionalFormatting sqref="R55">
    <cfRule type="cellIs" dxfId="2567" priority="433" operator="equal">
      <formula>0</formula>
    </cfRule>
    <cfRule type="cellIs" dxfId="2566" priority="434" operator="notEqual">
      <formula>0</formula>
    </cfRule>
  </conditionalFormatting>
  <conditionalFormatting sqref="C60:C61">
    <cfRule type="cellIs" dxfId="2565" priority="431" operator="equal">
      <formula>0</formula>
    </cfRule>
    <cfRule type="cellIs" dxfId="2564" priority="432" operator="notEqual">
      <formula>0</formula>
    </cfRule>
  </conditionalFormatting>
  <conditionalFormatting sqref="C59">
    <cfRule type="cellIs" dxfId="2563" priority="430" operator="equal">
      <formula>1</formula>
    </cfRule>
  </conditionalFormatting>
  <conditionalFormatting sqref="D60:D61">
    <cfRule type="cellIs" dxfId="2562" priority="428" operator="equal">
      <formula>0</formula>
    </cfRule>
    <cfRule type="cellIs" dxfId="2561" priority="429" operator="notEqual">
      <formula>0</formula>
    </cfRule>
  </conditionalFormatting>
  <conditionalFormatting sqref="D59">
    <cfRule type="cellIs" dxfId="2560" priority="427" operator="equal">
      <formula>1</formula>
    </cfRule>
  </conditionalFormatting>
  <conditionalFormatting sqref="E60:E61">
    <cfRule type="cellIs" dxfId="2559" priority="425" operator="equal">
      <formula>0</formula>
    </cfRule>
    <cfRule type="cellIs" dxfId="2558" priority="426" operator="notEqual">
      <formula>0</formula>
    </cfRule>
  </conditionalFormatting>
  <conditionalFormatting sqref="E59">
    <cfRule type="cellIs" dxfId="2557" priority="424" operator="equal">
      <formula>1</formula>
    </cfRule>
  </conditionalFormatting>
  <conditionalFormatting sqref="F60:F61">
    <cfRule type="cellIs" dxfId="2556" priority="422" operator="equal">
      <formula>0</formula>
    </cfRule>
    <cfRule type="cellIs" dxfId="2555" priority="423" operator="notEqual">
      <formula>0</formula>
    </cfRule>
  </conditionalFormatting>
  <conditionalFormatting sqref="F59">
    <cfRule type="cellIs" dxfId="2554" priority="421" operator="equal">
      <formula>1</formula>
    </cfRule>
  </conditionalFormatting>
  <conditionalFormatting sqref="G60:G61">
    <cfRule type="cellIs" dxfId="2553" priority="419" operator="equal">
      <formula>0</formula>
    </cfRule>
    <cfRule type="cellIs" dxfId="2552" priority="420" operator="notEqual">
      <formula>0</formula>
    </cfRule>
  </conditionalFormatting>
  <conditionalFormatting sqref="H60:H61">
    <cfRule type="cellIs" dxfId="2551" priority="417" operator="equal">
      <formula>0</formula>
    </cfRule>
    <cfRule type="cellIs" dxfId="2550" priority="418" operator="notEqual">
      <formula>0</formula>
    </cfRule>
  </conditionalFormatting>
  <conditionalFormatting sqref="I60:I61">
    <cfRule type="cellIs" dxfId="2549" priority="415" operator="equal">
      <formula>0</formula>
    </cfRule>
    <cfRule type="cellIs" dxfId="2548" priority="416" operator="notEqual">
      <formula>0</formula>
    </cfRule>
  </conditionalFormatting>
  <conditionalFormatting sqref="J60:J61">
    <cfRule type="cellIs" dxfId="2547" priority="413" operator="equal">
      <formula>0</formula>
    </cfRule>
    <cfRule type="cellIs" dxfId="2546" priority="414" operator="notEqual">
      <formula>0</formula>
    </cfRule>
  </conditionalFormatting>
  <conditionalFormatting sqref="O59">
    <cfRule type="cellIs" dxfId="2545" priority="411" operator="equal">
      <formula>0</formula>
    </cfRule>
    <cfRule type="cellIs" dxfId="2544" priority="412" operator="notEqual">
      <formula>0</formula>
    </cfRule>
  </conditionalFormatting>
  <conditionalFormatting sqref="O62">
    <cfRule type="cellIs" dxfId="2543" priority="409" operator="equal">
      <formula>0</formula>
    </cfRule>
    <cfRule type="cellIs" dxfId="2542" priority="410" operator="notEqual">
      <formula>0</formula>
    </cfRule>
  </conditionalFormatting>
  <conditionalFormatting sqref="P59">
    <cfRule type="cellIs" dxfId="2541" priority="407" operator="equal">
      <formula>0</formula>
    </cfRule>
    <cfRule type="cellIs" dxfId="2540" priority="408" operator="notEqual">
      <formula>0</formula>
    </cfRule>
  </conditionalFormatting>
  <conditionalFormatting sqref="P62">
    <cfRule type="cellIs" dxfId="2539" priority="405" operator="equal">
      <formula>0</formula>
    </cfRule>
    <cfRule type="cellIs" dxfId="2538" priority="406" operator="notEqual">
      <formula>0</formula>
    </cfRule>
  </conditionalFormatting>
  <conditionalFormatting sqref="Q59">
    <cfRule type="cellIs" dxfId="2537" priority="403" operator="equal">
      <formula>0</formula>
    </cfRule>
    <cfRule type="cellIs" dxfId="2536" priority="404" operator="notEqual">
      <formula>0</formula>
    </cfRule>
  </conditionalFormatting>
  <conditionalFormatting sqref="Q62">
    <cfRule type="cellIs" dxfId="2535" priority="401" operator="equal">
      <formula>0</formula>
    </cfRule>
    <cfRule type="cellIs" dxfId="2534" priority="402" operator="notEqual">
      <formula>0</formula>
    </cfRule>
  </conditionalFormatting>
  <conditionalFormatting sqref="R59">
    <cfRule type="cellIs" dxfId="2533" priority="399" operator="equal">
      <formula>0</formula>
    </cfRule>
    <cfRule type="cellIs" dxfId="2532" priority="400" operator="notEqual">
      <formula>0</formula>
    </cfRule>
  </conditionalFormatting>
  <conditionalFormatting sqref="R62">
    <cfRule type="cellIs" dxfId="2531" priority="397" operator="equal">
      <formula>0</formula>
    </cfRule>
    <cfRule type="cellIs" dxfId="2530" priority="398" operator="notEqual">
      <formula>0</formula>
    </cfRule>
  </conditionalFormatting>
  <conditionalFormatting sqref="C67:C68">
    <cfRule type="cellIs" dxfId="2529" priority="395" operator="equal">
      <formula>0</formula>
    </cfRule>
    <cfRule type="cellIs" dxfId="2528" priority="396" operator="notEqual">
      <formula>0</formula>
    </cfRule>
  </conditionalFormatting>
  <conditionalFormatting sqref="C66">
    <cfRule type="cellIs" dxfId="2527" priority="394" operator="equal">
      <formula>1</formula>
    </cfRule>
  </conditionalFormatting>
  <conditionalFormatting sqref="D67:D68">
    <cfRule type="cellIs" dxfId="2526" priority="392" operator="equal">
      <formula>0</formula>
    </cfRule>
    <cfRule type="cellIs" dxfId="2525" priority="393" operator="notEqual">
      <formula>0</formula>
    </cfRule>
  </conditionalFormatting>
  <conditionalFormatting sqref="D66">
    <cfRule type="cellIs" dxfId="2524" priority="391" operator="equal">
      <formula>1</formula>
    </cfRule>
  </conditionalFormatting>
  <conditionalFormatting sqref="E67:E68">
    <cfRule type="cellIs" dxfId="2523" priority="389" operator="equal">
      <formula>0</formula>
    </cfRule>
    <cfRule type="cellIs" dxfId="2522" priority="390" operator="notEqual">
      <formula>0</formula>
    </cfRule>
  </conditionalFormatting>
  <conditionalFormatting sqref="E66">
    <cfRule type="cellIs" dxfId="2521" priority="388" operator="equal">
      <formula>1</formula>
    </cfRule>
  </conditionalFormatting>
  <conditionalFormatting sqref="F67:F68">
    <cfRule type="cellIs" dxfId="2520" priority="386" operator="equal">
      <formula>0</formula>
    </cfRule>
    <cfRule type="cellIs" dxfId="2519" priority="387" operator="notEqual">
      <formula>0</formula>
    </cfRule>
  </conditionalFormatting>
  <conditionalFormatting sqref="F66">
    <cfRule type="cellIs" dxfId="2518" priority="385" operator="equal">
      <formula>1</formula>
    </cfRule>
  </conditionalFormatting>
  <conditionalFormatting sqref="G67:G68">
    <cfRule type="cellIs" dxfId="2517" priority="383" operator="equal">
      <formula>0</formula>
    </cfRule>
    <cfRule type="cellIs" dxfId="2516" priority="384" operator="notEqual">
      <formula>0</formula>
    </cfRule>
  </conditionalFormatting>
  <conditionalFormatting sqref="H67:H68">
    <cfRule type="cellIs" dxfId="2515" priority="381" operator="equal">
      <formula>0</formula>
    </cfRule>
    <cfRule type="cellIs" dxfId="2514" priority="382" operator="notEqual">
      <formula>0</formula>
    </cfRule>
  </conditionalFormatting>
  <conditionalFormatting sqref="I67:I68">
    <cfRule type="cellIs" dxfId="2513" priority="379" operator="equal">
      <formula>0</formula>
    </cfRule>
    <cfRule type="cellIs" dxfId="2512" priority="380" operator="notEqual">
      <formula>0</formula>
    </cfRule>
  </conditionalFormatting>
  <conditionalFormatting sqref="J67:J68">
    <cfRule type="cellIs" dxfId="2511" priority="377" operator="equal">
      <formula>0</formula>
    </cfRule>
    <cfRule type="cellIs" dxfId="2510" priority="378" operator="notEqual">
      <formula>0</formula>
    </cfRule>
  </conditionalFormatting>
  <conditionalFormatting sqref="O66">
    <cfRule type="cellIs" dxfId="2509" priority="375" operator="equal">
      <formula>0</formula>
    </cfRule>
    <cfRule type="cellIs" dxfId="2508" priority="376" operator="notEqual">
      <formula>0</formula>
    </cfRule>
  </conditionalFormatting>
  <conditionalFormatting sqref="O69">
    <cfRule type="cellIs" dxfId="2507" priority="373" operator="equal">
      <formula>0</formula>
    </cfRule>
    <cfRule type="cellIs" dxfId="2506" priority="374" operator="notEqual">
      <formula>0</formula>
    </cfRule>
  </conditionalFormatting>
  <conditionalFormatting sqref="P66">
    <cfRule type="cellIs" dxfId="2505" priority="371" operator="equal">
      <formula>0</formula>
    </cfRule>
    <cfRule type="cellIs" dxfId="2504" priority="372" operator="notEqual">
      <formula>0</formula>
    </cfRule>
  </conditionalFormatting>
  <conditionalFormatting sqref="P69">
    <cfRule type="cellIs" dxfId="2503" priority="369" operator="equal">
      <formula>0</formula>
    </cfRule>
    <cfRule type="cellIs" dxfId="2502" priority="370" operator="notEqual">
      <formula>0</formula>
    </cfRule>
  </conditionalFormatting>
  <conditionalFormatting sqref="Q66">
    <cfRule type="cellIs" dxfId="2501" priority="367" operator="equal">
      <formula>0</formula>
    </cfRule>
    <cfRule type="cellIs" dxfId="2500" priority="368" operator="notEqual">
      <formula>0</formula>
    </cfRule>
  </conditionalFormatting>
  <conditionalFormatting sqref="Q69">
    <cfRule type="cellIs" dxfId="2499" priority="365" operator="equal">
      <formula>0</formula>
    </cfRule>
    <cfRule type="cellIs" dxfId="2498" priority="366" operator="notEqual">
      <formula>0</formula>
    </cfRule>
  </conditionalFormatting>
  <conditionalFormatting sqref="R66">
    <cfRule type="cellIs" dxfId="2497" priority="363" operator="equal">
      <formula>0</formula>
    </cfRule>
    <cfRule type="cellIs" dxfId="2496" priority="364" operator="notEqual">
      <formula>0</formula>
    </cfRule>
  </conditionalFormatting>
  <conditionalFormatting sqref="R69">
    <cfRule type="cellIs" dxfId="2495" priority="361" operator="equal">
      <formula>0</formula>
    </cfRule>
    <cfRule type="cellIs" dxfId="2494" priority="362" operator="notEqual">
      <formula>0</formula>
    </cfRule>
  </conditionalFormatting>
  <conditionalFormatting sqref="C74:C75">
    <cfRule type="cellIs" dxfId="2493" priority="359" operator="equal">
      <formula>0</formula>
    </cfRule>
    <cfRule type="cellIs" dxfId="2492" priority="360" operator="notEqual">
      <formula>0</formula>
    </cfRule>
  </conditionalFormatting>
  <conditionalFormatting sqref="C73">
    <cfRule type="cellIs" dxfId="2491" priority="358" operator="equal">
      <formula>1</formula>
    </cfRule>
  </conditionalFormatting>
  <conditionalFormatting sqref="D74:D75">
    <cfRule type="cellIs" dxfId="2490" priority="356" operator="equal">
      <formula>0</formula>
    </cfRule>
    <cfRule type="cellIs" dxfId="2489" priority="357" operator="notEqual">
      <formula>0</formula>
    </cfRule>
  </conditionalFormatting>
  <conditionalFormatting sqref="D73">
    <cfRule type="cellIs" dxfId="2488" priority="355" operator="equal">
      <formula>1</formula>
    </cfRule>
  </conditionalFormatting>
  <conditionalFormatting sqref="E74:E75">
    <cfRule type="cellIs" dxfId="2487" priority="353" operator="equal">
      <formula>0</formula>
    </cfRule>
    <cfRule type="cellIs" dxfId="2486" priority="354" operator="notEqual">
      <formula>0</formula>
    </cfRule>
  </conditionalFormatting>
  <conditionalFormatting sqref="E73">
    <cfRule type="cellIs" dxfId="2485" priority="352" operator="equal">
      <formula>1</formula>
    </cfRule>
  </conditionalFormatting>
  <conditionalFormatting sqref="F74:F75">
    <cfRule type="cellIs" dxfId="2484" priority="350" operator="equal">
      <formula>0</formula>
    </cfRule>
    <cfRule type="cellIs" dxfId="2483" priority="351" operator="notEqual">
      <formula>0</formula>
    </cfRule>
  </conditionalFormatting>
  <conditionalFormatting sqref="F73">
    <cfRule type="cellIs" dxfId="2482" priority="349" operator="equal">
      <formula>1</formula>
    </cfRule>
  </conditionalFormatting>
  <conditionalFormatting sqref="G74:G75">
    <cfRule type="cellIs" dxfId="2481" priority="347" operator="equal">
      <formula>0</formula>
    </cfRule>
    <cfRule type="cellIs" dxfId="2480" priority="348" operator="notEqual">
      <formula>0</formula>
    </cfRule>
  </conditionalFormatting>
  <conditionalFormatting sqref="H74:H75">
    <cfRule type="cellIs" dxfId="2479" priority="345" operator="equal">
      <formula>0</formula>
    </cfRule>
    <cfRule type="cellIs" dxfId="2478" priority="346" operator="notEqual">
      <formula>0</formula>
    </cfRule>
  </conditionalFormatting>
  <conditionalFormatting sqref="I74:I75">
    <cfRule type="cellIs" dxfId="2477" priority="343" operator="equal">
      <formula>0</formula>
    </cfRule>
    <cfRule type="cellIs" dxfId="2476" priority="344" operator="notEqual">
      <formula>0</formula>
    </cfRule>
  </conditionalFormatting>
  <conditionalFormatting sqref="J74:J75">
    <cfRule type="cellIs" dxfId="2475" priority="341" operator="equal">
      <formula>0</formula>
    </cfRule>
    <cfRule type="cellIs" dxfId="2474" priority="342" operator="notEqual">
      <formula>0</formula>
    </cfRule>
  </conditionalFormatting>
  <conditionalFormatting sqref="O73">
    <cfRule type="cellIs" dxfId="2473" priority="339" operator="equal">
      <formula>0</formula>
    </cfRule>
    <cfRule type="cellIs" dxfId="2472" priority="340" operator="notEqual">
      <formula>0</formula>
    </cfRule>
  </conditionalFormatting>
  <conditionalFormatting sqref="O76">
    <cfRule type="cellIs" dxfId="2471" priority="337" operator="equal">
      <formula>0</formula>
    </cfRule>
    <cfRule type="cellIs" dxfId="2470" priority="338" operator="notEqual">
      <formula>0</formula>
    </cfRule>
  </conditionalFormatting>
  <conditionalFormatting sqref="P73">
    <cfRule type="cellIs" dxfId="2469" priority="335" operator="equal">
      <formula>0</formula>
    </cfRule>
    <cfRule type="cellIs" dxfId="2468" priority="336" operator="notEqual">
      <formula>0</formula>
    </cfRule>
  </conditionalFormatting>
  <conditionalFormatting sqref="P76">
    <cfRule type="cellIs" dxfId="2467" priority="333" operator="equal">
      <formula>0</formula>
    </cfRule>
    <cfRule type="cellIs" dxfId="2466" priority="334" operator="notEqual">
      <formula>0</formula>
    </cfRule>
  </conditionalFormatting>
  <conditionalFormatting sqref="Q73">
    <cfRule type="cellIs" dxfId="2465" priority="331" operator="equal">
      <formula>0</formula>
    </cfRule>
    <cfRule type="cellIs" dxfId="2464" priority="332" operator="notEqual">
      <formula>0</formula>
    </cfRule>
  </conditionalFormatting>
  <conditionalFormatting sqref="Q76">
    <cfRule type="cellIs" dxfId="2463" priority="329" operator="equal">
      <formula>0</formula>
    </cfRule>
    <cfRule type="cellIs" dxfId="2462" priority="330" operator="notEqual">
      <formula>0</formula>
    </cfRule>
  </conditionalFormatting>
  <conditionalFormatting sqref="R73">
    <cfRule type="cellIs" dxfId="2461" priority="327" operator="equal">
      <formula>0</formula>
    </cfRule>
    <cfRule type="cellIs" dxfId="2460" priority="328" operator="notEqual">
      <formula>0</formula>
    </cfRule>
  </conditionalFormatting>
  <conditionalFormatting sqref="R76">
    <cfRule type="cellIs" dxfId="2459" priority="325" operator="equal">
      <formula>0</formula>
    </cfRule>
    <cfRule type="cellIs" dxfId="2458" priority="326" operator="notEqual">
      <formula>0</formula>
    </cfRule>
  </conditionalFormatting>
  <conditionalFormatting sqref="U67:U68">
    <cfRule type="cellIs" dxfId="2457" priority="323" operator="equal">
      <formula>0</formula>
    </cfRule>
    <cfRule type="cellIs" dxfId="2456" priority="324" operator="notEqual">
      <formula>0</formula>
    </cfRule>
  </conditionalFormatting>
  <conditionalFormatting sqref="U66">
    <cfRule type="cellIs" dxfId="2455" priority="322" operator="equal">
      <formula>1</formula>
    </cfRule>
  </conditionalFormatting>
  <conditionalFormatting sqref="V67:V68">
    <cfRule type="cellIs" dxfId="2454" priority="320" operator="equal">
      <formula>0</formula>
    </cfRule>
    <cfRule type="cellIs" dxfId="2453" priority="321" operator="notEqual">
      <formula>0</formula>
    </cfRule>
  </conditionalFormatting>
  <conditionalFormatting sqref="V66">
    <cfRule type="cellIs" dxfId="2452" priority="319" operator="equal">
      <formula>1</formula>
    </cfRule>
  </conditionalFormatting>
  <conditionalFormatting sqref="W67:W68">
    <cfRule type="cellIs" dxfId="2451" priority="317" operator="equal">
      <formula>0</formula>
    </cfRule>
    <cfRule type="cellIs" dxfId="2450" priority="318" operator="notEqual">
      <formula>0</formula>
    </cfRule>
  </conditionalFormatting>
  <conditionalFormatting sqref="W66">
    <cfRule type="cellIs" dxfId="2449" priority="316" operator="equal">
      <formula>1</formula>
    </cfRule>
  </conditionalFormatting>
  <conditionalFormatting sqref="X67:X68">
    <cfRule type="cellIs" dxfId="2448" priority="314" operator="equal">
      <formula>0</formula>
    </cfRule>
    <cfRule type="cellIs" dxfId="2447" priority="315" operator="notEqual">
      <formula>0</formula>
    </cfRule>
  </conditionalFormatting>
  <conditionalFormatting sqref="X66">
    <cfRule type="cellIs" dxfId="2446" priority="313" operator="equal">
      <formula>1</formula>
    </cfRule>
  </conditionalFormatting>
  <conditionalFormatting sqref="Y67:Y68">
    <cfRule type="cellIs" dxfId="2445" priority="311" operator="equal">
      <formula>0</formula>
    </cfRule>
    <cfRule type="cellIs" dxfId="2444" priority="312" operator="notEqual">
      <formula>0</formula>
    </cfRule>
  </conditionalFormatting>
  <conditionalFormatting sqref="Z67:Z68">
    <cfRule type="cellIs" dxfId="2443" priority="309" operator="equal">
      <formula>0</formula>
    </cfRule>
    <cfRule type="cellIs" dxfId="2442" priority="310" operator="notEqual">
      <formula>0</formula>
    </cfRule>
  </conditionalFormatting>
  <conditionalFormatting sqref="AA67:AA68">
    <cfRule type="cellIs" dxfId="2441" priority="307" operator="equal">
      <formula>0</formula>
    </cfRule>
    <cfRule type="cellIs" dxfId="2440" priority="308" operator="notEqual">
      <formula>0</formula>
    </cfRule>
  </conditionalFormatting>
  <conditionalFormatting sqref="AB67:AB68">
    <cfRule type="cellIs" dxfId="2439" priority="305" operator="equal">
      <formula>0</formula>
    </cfRule>
    <cfRule type="cellIs" dxfId="2438" priority="306" operator="notEqual">
      <formula>0</formula>
    </cfRule>
  </conditionalFormatting>
  <conditionalFormatting sqref="AG66">
    <cfRule type="cellIs" dxfId="2437" priority="303" operator="equal">
      <formula>0</formula>
    </cfRule>
    <cfRule type="cellIs" dxfId="2436" priority="304" operator="notEqual">
      <formula>0</formula>
    </cfRule>
  </conditionalFormatting>
  <conditionalFormatting sqref="AG69">
    <cfRule type="cellIs" dxfId="2435" priority="301" operator="equal">
      <formula>0</formula>
    </cfRule>
    <cfRule type="cellIs" dxfId="2434" priority="302" operator="notEqual">
      <formula>0</formula>
    </cfRule>
  </conditionalFormatting>
  <conditionalFormatting sqref="AH66">
    <cfRule type="cellIs" dxfId="2433" priority="299" operator="equal">
      <formula>0</formula>
    </cfRule>
    <cfRule type="cellIs" dxfId="2432" priority="300" operator="notEqual">
      <formula>0</formula>
    </cfRule>
  </conditionalFormatting>
  <conditionalFormatting sqref="AH69">
    <cfRule type="cellIs" dxfId="2431" priority="297" operator="equal">
      <formula>0</formula>
    </cfRule>
    <cfRule type="cellIs" dxfId="2430" priority="298" operator="notEqual">
      <formula>0</formula>
    </cfRule>
  </conditionalFormatting>
  <conditionalFormatting sqref="AI66">
    <cfRule type="cellIs" dxfId="2429" priority="295" operator="equal">
      <formula>0</formula>
    </cfRule>
    <cfRule type="cellIs" dxfId="2428" priority="296" operator="notEqual">
      <formula>0</formula>
    </cfRule>
  </conditionalFormatting>
  <conditionalFormatting sqref="AI69">
    <cfRule type="cellIs" dxfId="2427" priority="293" operator="equal">
      <formula>0</formula>
    </cfRule>
    <cfRule type="cellIs" dxfId="2426" priority="294" operator="notEqual">
      <formula>0</formula>
    </cfRule>
  </conditionalFormatting>
  <conditionalFormatting sqref="AJ66">
    <cfRule type="cellIs" dxfId="2425" priority="291" operator="equal">
      <formula>0</formula>
    </cfRule>
    <cfRule type="cellIs" dxfId="2424" priority="292" operator="notEqual">
      <formula>0</formula>
    </cfRule>
  </conditionalFormatting>
  <conditionalFormatting sqref="AJ69">
    <cfRule type="cellIs" dxfId="2423" priority="289" operator="equal">
      <formula>0</formula>
    </cfRule>
    <cfRule type="cellIs" dxfId="2422" priority="290" operator="notEqual">
      <formula>0</formula>
    </cfRule>
  </conditionalFormatting>
  <conditionalFormatting sqref="U60:U61">
    <cfRule type="cellIs" dxfId="2421" priority="287" operator="equal">
      <formula>0</formula>
    </cfRule>
    <cfRule type="cellIs" dxfId="2420" priority="288" operator="notEqual">
      <formula>0</formula>
    </cfRule>
  </conditionalFormatting>
  <conditionalFormatting sqref="U59">
    <cfRule type="cellIs" dxfId="2419" priority="286" operator="equal">
      <formula>1</formula>
    </cfRule>
  </conditionalFormatting>
  <conditionalFormatting sqref="V60:V61">
    <cfRule type="cellIs" dxfId="2418" priority="284" operator="equal">
      <formula>0</formula>
    </cfRule>
    <cfRule type="cellIs" dxfId="2417" priority="285" operator="notEqual">
      <formula>0</formula>
    </cfRule>
  </conditionalFormatting>
  <conditionalFormatting sqref="V59">
    <cfRule type="cellIs" dxfId="2416" priority="283" operator="equal">
      <formula>1</formula>
    </cfRule>
  </conditionalFormatting>
  <conditionalFormatting sqref="W60:W61">
    <cfRule type="cellIs" dxfId="2415" priority="281" operator="equal">
      <formula>0</formula>
    </cfRule>
    <cfRule type="cellIs" dxfId="2414" priority="282" operator="notEqual">
      <formula>0</formula>
    </cfRule>
  </conditionalFormatting>
  <conditionalFormatting sqref="W59">
    <cfRule type="cellIs" dxfId="2413" priority="280" operator="equal">
      <formula>1</formula>
    </cfRule>
  </conditionalFormatting>
  <conditionalFormatting sqref="X60:X61">
    <cfRule type="cellIs" dxfId="2412" priority="278" operator="equal">
      <formula>0</formula>
    </cfRule>
    <cfRule type="cellIs" dxfId="2411" priority="279" operator="notEqual">
      <formula>0</formula>
    </cfRule>
  </conditionalFormatting>
  <conditionalFormatting sqref="X59">
    <cfRule type="cellIs" dxfId="2410" priority="277" operator="equal">
      <formula>1</formula>
    </cfRule>
  </conditionalFormatting>
  <conditionalFormatting sqref="Y60:Y61">
    <cfRule type="cellIs" dxfId="2409" priority="275" operator="equal">
      <formula>0</formula>
    </cfRule>
    <cfRule type="cellIs" dxfId="2408" priority="276" operator="notEqual">
      <formula>0</formula>
    </cfRule>
  </conditionalFormatting>
  <conditionalFormatting sqref="Z60:Z61">
    <cfRule type="cellIs" dxfId="2407" priority="273" operator="equal">
      <formula>0</formula>
    </cfRule>
    <cfRule type="cellIs" dxfId="2406" priority="274" operator="notEqual">
      <formula>0</formula>
    </cfRule>
  </conditionalFormatting>
  <conditionalFormatting sqref="AA60:AA61">
    <cfRule type="cellIs" dxfId="2405" priority="271" operator="equal">
      <formula>0</formula>
    </cfRule>
    <cfRule type="cellIs" dxfId="2404" priority="272" operator="notEqual">
      <formula>0</formula>
    </cfRule>
  </conditionalFormatting>
  <conditionalFormatting sqref="AB60:AB61">
    <cfRule type="cellIs" dxfId="2403" priority="269" operator="equal">
      <formula>0</formula>
    </cfRule>
    <cfRule type="cellIs" dxfId="2402" priority="270" operator="notEqual">
      <formula>0</formula>
    </cfRule>
  </conditionalFormatting>
  <conditionalFormatting sqref="AG59">
    <cfRule type="cellIs" dxfId="2401" priority="267" operator="equal">
      <formula>0</formula>
    </cfRule>
    <cfRule type="cellIs" dxfId="2400" priority="268" operator="notEqual">
      <formula>0</formula>
    </cfRule>
  </conditionalFormatting>
  <conditionalFormatting sqref="AG62">
    <cfRule type="cellIs" dxfId="2399" priority="265" operator="equal">
      <formula>0</formula>
    </cfRule>
    <cfRule type="cellIs" dxfId="2398" priority="266" operator="notEqual">
      <formula>0</formula>
    </cfRule>
  </conditionalFormatting>
  <conditionalFormatting sqref="AH59">
    <cfRule type="cellIs" dxfId="2397" priority="263" operator="equal">
      <formula>0</formula>
    </cfRule>
    <cfRule type="cellIs" dxfId="2396" priority="264" operator="notEqual">
      <formula>0</formula>
    </cfRule>
  </conditionalFormatting>
  <conditionalFormatting sqref="AH62">
    <cfRule type="cellIs" dxfId="2395" priority="261" operator="equal">
      <formula>0</formula>
    </cfRule>
    <cfRule type="cellIs" dxfId="2394" priority="262" operator="notEqual">
      <formula>0</formula>
    </cfRule>
  </conditionalFormatting>
  <conditionalFormatting sqref="AI59">
    <cfRule type="cellIs" dxfId="2393" priority="259" operator="equal">
      <formula>0</formula>
    </cfRule>
    <cfRule type="cellIs" dxfId="2392" priority="260" operator="notEqual">
      <formula>0</formula>
    </cfRule>
  </conditionalFormatting>
  <conditionalFormatting sqref="AI62">
    <cfRule type="cellIs" dxfId="2391" priority="257" operator="equal">
      <formula>0</formula>
    </cfRule>
    <cfRule type="cellIs" dxfId="2390" priority="258" operator="notEqual">
      <formula>0</formula>
    </cfRule>
  </conditionalFormatting>
  <conditionalFormatting sqref="AJ59">
    <cfRule type="cellIs" dxfId="2389" priority="255" operator="equal">
      <formula>0</formula>
    </cfRule>
    <cfRule type="cellIs" dxfId="2388" priority="256" operator="notEqual">
      <formula>0</formula>
    </cfRule>
  </conditionalFormatting>
  <conditionalFormatting sqref="AJ62">
    <cfRule type="cellIs" dxfId="2387" priority="253" operator="equal">
      <formula>0</formula>
    </cfRule>
    <cfRule type="cellIs" dxfId="2386" priority="254" operator="notEqual">
      <formula>0</formula>
    </cfRule>
  </conditionalFormatting>
  <conditionalFormatting sqref="U53:U54">
    <cfRule type="cellIs" dxfId="2385" priority="251" operator="equal">
      <formula>0</formula>
    </cfRule>
    <cfRule type="cellIs" dxfId="2384" priority="252" operator="notEqual">
      <formula>0</formula>
    </cfRule>
  </conditionalFormatting>
  <conditionalFormatting sqref="U52">
    <cfRule type="cellIs" dxfId="2383" priority="250" operator="equal">
      <formula>1</formula>
    </cfRule>
  </conditionalFormatting>
  <conditionalFormatting sqref="V53:V54">
    <cfRule type="cellIs" dxfId="2382" priority="248" operator="equal">
      <formula>0</formula>
    </cfRule>
    <cfRule type="cellIs" dxfId="2381" priority="249" operator="notEqual">
      <formula>0</formula>
    </cfRule>
  </conditionalFormatting>
  <conditionalFormatting sqref="V52">
    <cfRule type="cellIs" dxfId="2380" priority="247" operator="equal">
      <formula>1</formula>
    </cfRule>
  </conditionalFormatting>
  <conditionalFormatting sqref="W53:W54">
    <cfRule type="cellIs" dxfId="2379" priority="245" operator="equal">
      <formula>0</formula>
    </cfRule>
    <cfRule type="cellIs" dxfId="2378" priority="246" operator="notEqual">
      <formula>0</formula>
    </cfRule>
  </conditionalFormatting>
  <conditionalFormatting sqref="W52">
    <cfRule type="cellIs" dxfId="2377" priority="244" operator="equal">
      <formula>1</formula>
    </cfRule>
  </conditionalFormatting>
  <conditionalFormatting sqref="X53:X54">
    <cfRule type="cellIs" dxfId="2376" priority="242" operator="equal">
      <formula>0</formula>
    </cfRule>
    <cfRule type="cellIs" dxfId="2375" priority="243" operator="notEqual">
      <formula>0</formula>
    </cfRule>
  </conditionalFormatting>
  <conditionalFormatting sqref="X52">
    <cfRule type="cellIs" dxfId="2374" priority="241" operator="equal">
      <formula>1</formula>
    </cfRule>
  </conditionalFormatting>
  <conditionalFormatting sqref="Y53:Y54">
    <cfRule type="cellIs" dxfId="2373" priority="239" operator="equal">
      <formula>0</formula>
    </cfRule>
    <cfRule type="cellIs" dxfId="2372" priority="240" operator="notEqual">
      <formula>0</formula>
    </cfRule>
  </conditionalFormatting>
  <conditionalFormatting sqref="Z53:Z54">
    <cfRule type="cellIs" dxfId="2371" priority="237" operator="equal">
      <formula>0</formula>
    </cfRule>
    <cfRule type="cellIs" dxfId="2370" priority="238" operator="notEqual">
      <formula>0</formula>
    </cfRule>
  </conditionalFormatting>
  <conditionalFormatting sqref="AA53:AA54">
    <cfRule type="cellIs" dxfId="2369" priority="235" operator="equal">
      <formula>0</formula>
    </cfRule>
    <cfRule type="cellIs" dxfId="2368" priority="236" operator="notEqual">
      <formula>0</formula>
    </cfRule>
  </conditionalFormatting>
  <conditionalFormatting sqref="AB53:AB54">
    <cfRule type="cellIs" dxfId="2367" priority="233" operator="equal">
      <formula>0</formula>
    </cfRule>
    <cfRule type="cellIs" dxfId="2366" priority="234" operator="notEqual">
      <formula>0</formula>
    </cfRule>
  </conditionalFormatting>
  <conditionalFormatting sqref="AG52">
    <cfRule type="cellIs" dxfId="2365" priority="231" operator="equal">
      <formula>0</formula>
    </cfRule>
    <cfRule type="cellIs" dxfId="2364" priority="232" operator="notEqual">
      <formula>0</formula>
    </cfRule>
  </conditionalFormatting>
  <conditionalFormatting sqref="AG55">
    <cfRule type="cellIs" dxfId="2363" priority="229" operator="equal">
      <formula>0</formula>
    </cfRule>
    <cfRule type="cellIs" dxfId="2362" priority="230" operator="notEqual">
      <formula>0</formula>
    </cfRule>
  </conditionalFormatting>
  <conditionalFormatting sqref="AH52">
    <cfRule type="cellIs" dxfId="2361" priority="227" operator="equal">
      <formula>0</formula>
    </cfRule>
    <cfRule type="cellIs" dxfId="2360" priority="228" operator="notEqual">
      <formula>0</formula>
    </cfRule>
  </conditionalFormatting>
  <conditionalFormatting sqref="AH55">
    <cfRule type="cellIs" dxfId="2359" priority="225" operator="equal">
      <formula>0</formula>
    </cfRule>
    <cfRule type="cellIs" dxfId="2358" priority="226" operator="notEqual">
      <formula>0</formula>
    </cfRule>
  </conditionalFormatting>
  <conditionalFormatting sqref="AI52">
    <cfRule type="cellIs" dxfId="2357" priority="223" operator="equal">
      <formula>0</formula>
    </cfRule>
    <cfRule type="cellIs" dxfId="2356" priority="224" operator="notEqual">
      <formula>0</formula>
    </cfRule>
  </conditionalFormatting>
  <conditionalFormatting sqref="AI55">
    <cfRule type="cellIs" dxfId="2355" priority="221" operator="equal">
      <formula>0</formula>
    </cfRule>
    <cfRule type="cellIs" dxfId="2354" priority="222" operator="notEqual">
      <formula>0</formula>
    </cfRule>
  </conditionalFormatting>
  <conditionalFormatting sqref="AJ52">
    <cfRule type="cellIs" dxfId="2353" priority="219" operator="equal">
      <formula>0</formula>
    </cfRule>
    <cfRule type="cellIs" dxfId="2352" priority="220" operator="notEqual">
      <formula>0</formula>
    </cfRule>
  </conditionalFormatting>
  <conditionalFormatting sqref="AJ55">
    <cfRule type="cellIs" dxfId="2351" priority="217" operator="equal">
      <formula>0</formula>
    </cfRule>
    <cfRule type="cellIs" dxfId="2350" priority="218" operator="notEqual">
      <formula>0</formula>
    </cfRule>
  </conditionalFormatting>
  <conditionalFormatting sqref="U46:U47">
    <cfRule type="cellIs" dxfId="2349" priority="215" operator="equal">
      <formula>0</formula>
    </cfRule>
    <cfRule type="cellIs" dxfId="2348" priority="216" operator="notEqual">
      <formula>0</formula>
    </cfRule>
  </conditionalFormatting>
  <conditionalFormatting sqref="U45">
    <cfRule type="cellIs" dxfId="2347" priority="214" operator="equal">
      <formula>1</formula>
    </cfRule>
  </conditionalFormatting>
  <conditionalFormatting sqref="V46:V47">
    <cfRule type="cellIs" dxfId="2346" priority="212" operator="equal">
      <formula>0</formula>
    </cfRule>
    <cfRule type="cellIs" dxfId="2345" priority="213" operator="notEqual">
      <formula>0</formula>
    </cfRule>
  </conditionalFormatting>
  <conditionalFormatting sqref="V45">
    <cfRule type="cellIs" dxfId="2344" priority="211" operator="equal">
      <formula>1</formula>
    </cfRule>
  </conditionalFormatting>
  <conditionalFormatting sqref="W46:W47">
    <cfRule type="cellIs" dxfId="2343" priority="209" operator="equal">
      <formula>0</formula>
    </cfRule>
    <cfRule type="cellIs" dxfId="2342" priority="210" operator="notEqual">
      <formula>0</formula>
    </cfRule>
  </conditionalFormatting>
  <conditionalFormatting sqref="W45">
    <cfRule type="cellIs" dxfId="2341" priority="208" operator="equal">
      <formula>1</formula>
    </cfRule>
  </conditionalFormatting>
  <conditionalFormatting sqref="X46:X47">
    <cfRule type="cellIs" dxfId="2340" priority="206" operator="equal">
      <formula>0</formula>
    </cfRule>
    <cfRule type="cellIs" dxfId="2339" priority="207" operator="notEqual">
      <formula>0</formula>
    </cfRule>
  </conditionalFormatting>
  <conditionalFormatting sqref="X45">
    <cfRule type="cellIs" dxfId="2338" priority="205" operator="equal">
      <formula>1</formula>
    </cfRule>
  </conditionalFormatting>
  <conditionalFormatting sqref="Y46:Y47">
    <cfRule type="cellIs" dxfId="2337" priority="203" operator="equal">
      <formula>0</formula>
    </cfRule>
    <cfRule type="cellIs" dxfId="2336" priority="204" operator="notEqual">
      <formula>0</formula>
    </cfRule>
  </conditionalFormatting>
  <conditionalFormatting sqref="Z46:Z47">
    <cfRule type="cellIs" dxfId="2335" priority="201" operator="equal">
      <formula>0</formula>
    </cfRule>
    <cfRule type="cellIs" dxfId="2334" priority="202" operator="notEqual">
      <formula>0</formula>
    </cfRule>
  </conditionalFormatting>
  <conditionalFormatting sqref="AA46:AA47">
    <cfRule type="cellIs" dxfId="2333" priority="199" operator="equal">
      <formula>0</formula>
    </cfRule>
    <cfRule type="cellIs" dxfId="2332" priority="200" operator="notEqual">
      <formula>0</formula>
    </cfRule>
  </conditionalFormatting>
  <conditionalFormatting sqref="AB46:AB47">
    <cfRule type="cellIs" dxfId="2331" priority="197" operator="equal">
      <formula>0</formula>
    </cfRule>
    <cfRule type="cellIs" dxfId="2330" priority="198" operator="notEqual">
      <formula>0</formula>
    </cfRule>
  </conditionalFormatting>
  <conditionalFormatting sqref="AG45">
    <cfRule type="cellIs" dxfId="2329" priority="195" operator="equal">
      <formula>0</formula>
    </cfRule>
    <cfRule type="cellIs" dxfId="2328" priority="196" operator="notEqual">
      <formula>0</formula>
    </cfRule>
  </conditionalFormatting>
  <conditionalFormatting sqref="AG48">
    <cfRule type="cellIs" dxfId="2327" priority="193" operator="equal">
      <formula>0</formula>
    </cfRule>
    <cfRule type="cellIs" dxfId="2326" priority="194" operator="notEqual">
      <formula>0</formula>
    </cfRule>
  </conditionalFormatting>
  <conditionalFormatting sqref="AH45">
    <cfRule type="cellIs" dxfId="2325" priority="191" operator="equal">
      <formula>0</formula>
    </cfRule>
    <cfRule type="cellIs" dxfId="2324" priority="192" operator="notEqual">
      <formula>0</formula>
    </cfRule>
  </conditionalFormatting>
  <conditionalFormatting sqref="AH48">
    <cfRule type="cellIs" dxfId="2323" priority="189" operator="equal">
      <formula>0</formula>
    </cfRule>
    <cfRule type="cellIs" dxfId="2322" priority="190" operator="notEqual">
      <formula>0</formula>
    </cfRule>
  </conditionalFormatting>
  <conditionalFormatting sqref="AI45">
    <cfRule type="cellIs" dxfId="2321" priority="187" operator="equal">
      <formula>0</formula>
    </cfRule>
    <cfRule type="cellIs" dxfId="2320" priority="188" operator="notEqual">
      <formula>0</formula>
    </cfRule>
  </conditionalFormatting>
  <conditionalFormatting sqref="AI48">
    <cfRule type="cellIs" dxfId="2319" priority="185" operator="equal">
      <formula>0</formula>
    </cfRule>
    <cfRule type="cellIs" dxfId="2318" priority="186" operator="notEqual">
      <formula>0</formula>
    </cfRule>
  </conditionalFormatting>
  <conditionalFormatting sqref="AJ45">
    <cfRule type="cellIs" dxfId="2317" priority="183" operator="equal">
      <formula>0</formula>
    </cfRule>
    <cfRule type="cellIs" dxfId="2316" priority="184" operator="notEqual">
      <formula>0</formula>
    </cfRule>
  </conditionalFormatting>
  <conditionalFormatting sqref="AJ48">
    <cfRule type="cellIs" dxfId="2315" priority="181" operator="equal">
      <formula>0</formula>
    </cfRule>
    <cfRule type="cellIs" dxfId="2314" priority="182" operator="notEqual">
      <formula>0</formula>
    </cfRule>
  </conditionalFormatting>
  <conditionalFormatting sqref="U39:U40">
    <cfRule type="cellIs" dxfId="2313" priority="179" operator="equal">
      <formula>0</formula>
    </cfRule>
    <cfRule type="cellIs" dxfId="2312" priority="180" operator="notEqual">
      <formula>0</formula>
    </cfRule>
  </conditionalFormatting>
  <conditionalFormatting sqref="U38">
    <cfRule type="cellIs" dxfId="2311" priority="178" operator="equal">
      <formula>1</formula>
    </cfRule>
  </conditionalFormatting>
  <conditionalFormatting sqref="V39:V40">
    <cfRule type="cellIs" dxfId="2310" priority="176" operator="equal">
      <formula>0</formula>
    </cfRule>
    <cfRule type="cellIs" dxfId="2309" priority="177" operator="notEqual">
      <formula>0</formula>
    </cfRule>
  </conditionalFormatting>
  <conditionalFormatting sqref="V38">
    <cfRule type="cellIs" dxfId="2308" priority="175" operator="equal">
      <formula>1</formula>
    </cfRule>
  </conditionalFormatting>
  <conditionalFormatting sqref="W39:W40">
    <cfRule type="cellIs" dxfId="2307" priority="173" operator="equal">
      <formula>0</formula>
    </cfRule>
    <cfRule type="cellIs" dxfId="2306" priority="174" operator="notEqual">
      <formula>0</formula>
    </cfRule>
  </conditionalFormatting>
  <conditionalFormatting sqref="W38">
    <cfRule type="cellIs" dxfId="2305" priority="172" operator="equal">
      <formula>1</formula>
    </cfRule>
  </conditionalFormatting>
  <conditionalFormatting sqref="X39:X40">
    <cfRule type="cellIs" dxfId="2304" priority="170" operator="equal">
      <formula>0</formula>
    </cfRule>
    <cfRule type="cellIs" dxfId="2303" priority="171" operator="notEqual">
      <formula>0</formula>
    </cfRule>
  </conditionalFormatting>
  <conditionalFormatting sqref="X38">
    <cfRule type="cellIs" dxfId="2302" priority="169" operator="equal">
      <formula>1</formula>
    </cfRule>
  </conditionalFormatting>
  <conditionalFormatting sqref="Y39:Y40">
    <cfRule type="cellIs" dxfId="2301" priority="167" operator="equal">
      <formula>0</formula>
    </cfRule>
    <cfRule type="cellIs" dxfId="2300" priority="168" operator="notEqual">
      <formula>0</formula>
    </cfRule>
  </conditionalFormatting>
  <conditionalFormatting sqref="Z39:Z40">
    <cfRule type="cellIs" dxfId="2299" priority="165" operator="equal">
      <formula>0</formula>
    </cfRule>
    <cfRule type="cellIs" dxfId="2298" priority="166" operator="notEqual">
      <formula>0</formula>
    </cfRule>
  </conditionalFormatting>
  <conditionalFormatting sqref="AA39:AA40">
    <cfRule type="cellIs" dxfId="2297" priority="163" operator="equal">
      <formula>0</formula>
    </cfRule>
    <cfRule type="cellIs" dxfId="2296" priority="164" operator="notEqual">
      <formula>0</formula>
    </cfRule>
  </conditionalFormatting>
  <conditionalFormatting sqref="AB39:AB40">
    <cfRule type="cellIs" dxfId="2295" priority="161" operator="equal">
      <formula>0</formula>
    </cfRule>
    <cfRule type="cellIs" dxfId="2294" priority="162" operator="notEqual">
      <formula>0</formula>
    </cfRule>
  </conditionalFormatting>
  <conditionalFormatting sqref="AG38">
    <cfRule type="cellIs" dxfId="2293" priority="159" operator="equal">
      <formula>0</formula>
    </cfRule>
    <cfRule type="cellIs" dxfId="2292" priority="160" operator="notEqual">
      <formula>0</formula>
    </cfRule>
  </conditionalFormatting>
  <conditionalFormatting sqref="AG41">
    <cfRule type="cellIs" dxfId="2291" priority="157" operator="equal">
      <formula>0</formula>
    </cfRule>
    <cfRule type="cellIs" dxfId="2290" priority="158" operator="notEqual">
      <formula>0</formula>
    </cfRule>
  </conditionalFormatting>
  <conditionalFormatting sqref="AH38">
    <cfRule type="cellIs" dxfId="2289" priority="155" operator="equal">
      <formula>0</formula>
    </cfRule>
    <cfRule type="cellIs" dxfId="2288" priority="156" operator="notEqual">
      <formula>0</formula>
    </cfRule>
  </conditionalFormatting>
  <conditionalFormatting sqref="AH41">
    <cfRule type="cellIs" dxfId="2287" priority="153" operator="equal">
      <formula>0</formula>
    </cfRule>
    <cfRule type="cellIs" dxfId="2286" priority="154" operator="notEqual">
      <formula>0</formula>
    </cfRule>
  </conditionalFormatting>
  <conditionalFormatting sqref="AI38">
    <cfRule type="cellIs" dxfId="2285" priority="151" operator="equal">
      <formula>0</formula>
    </cfRule>
    <cfRule type="cellIs" dxfId="2284" priority="152" operator="notEqual">
      <formula>0</formula>
    </cfRule>
  </conditionalFormatting>
  <conditionalFormatting sqref="AI41">
    <cfRule type="cellIs" dxfId="2283" priority="149" operator="equal">
      <formula>0</formula>
    </cfRule>
    <cfRule type="cellIs" dxfId="2282" priority="150" operator="notEqual">
      <formula>0</formula>
    </cfRule>
  </conditionalFormatting>
  <conditionalFormatting sqref="AJ38">
    <cfRule type="cellIs" dxfId="2281" priority="147" operator="equal">
      <formula>0</formula>
    </cfRule>
    <cfRule type="cellIs" dxfId="2280" priority="148" operator="notEqual">
      <formula>0</formula>
    </cfRule>
  </conditionalFormatting>
  <conditionalFormatting sqref="AJ41">
    <cfRule type="cellIs" dxfId="2279" priority="145" operator="equal">
      <formula>0</formula>
    </cfRule>
    <cfRule type="cellIs" dxfId="2278" priority="146" operator="notEqual">
      <formula>0</formula>
    </cfRule>
  </conditionalFormatting>
  <conditionalFormatting sqref="U32:U33">
    <cfRule type="cellIs" dxfId="2277" priority="143" operator="equal">
      <formula>0</formula>
    </cfRule>
    <cfRule type="cellIs" dxfId="2276" priority="144" operator="notEqual">
      <formula>0</formula>
    </cfRule>
  </conditionalFormatting>
  <conditionalFormatting sqref="U31">
    <cfRule type="cellIs" dxfId="2275" priority="142" operator="equal">
      <formula>1</formula>
    </cfRule>
  </conditionalFormatting>
  <conditionalFormatting sqref="V32:V33">
    <cfRule type="cellIs" dxfId="2274" priority="140" operator="equal">
      <formula>0</formula>
    </cfRule>
    <cfRule type="cellIs" dxfId="2273" priority="141" operator="notEqual">
      <formula>0</formula>
    </cfRule>
  </conditionalFormatting>
  <conditionalFormatting sqref="V31">
    <cfRule type="cellIs" dxfId="2272" priority="139" operator="equal">
      <formula>1</formula>
    </cfRule>
  </conditionalFormatting>
  <conditionalFormatting sqref="W32:W33">
    <cfRule type="cellIs" dxfId="2271" priority="137" operator="equal">
      <formula>0</formula>
    </cfRule>
    <cfRule type="cellIs" dxfId="2270" priority="138" operator="notEqual">
      <formula>0</formula>
    </cfRule>
  </conditionalFormatting>
  <conditionalFormatting sqref="W31">
    <cfRule type="cellIs" dxfId="2269" priority="136" operator="equal">
      <formula>1</formula>
    </cfRule>
  </conditionalFormatting>
  <conditionalFormatting sqref="X32:X33">
    <cfRule type="cellIs" dxfId="2268" priority="134" operator="equal">
      <formula>0</formula>
    </cfRule>
    <cfRule type="cellIs" dxfId="2267" priority="135" operator="notEqual">
      <formula>0</formula>
    </cfRule>
  </conditionalFormatting>
  <conditionalFormatting sqref="X31">
    <cfRule type="cellIs" dxfId="2266" priority="133" operator="equal">
      <formula>1</formula>
    </cfRule>
  </conditionalFormatting>
  <conditionalFormatting sqref="Y32:Y33">
    <cfRule type="cellIs" dxfId="2265" priority="131" operator="equal">
      <formula>0</formula>
    </cfRule>
    <cfRule type="cellIs" dxfId="2264" priority="132" operator="notEqual">
      <formula>0</formula>
    </cfRule>
  </conditionalFormatting>
  <conditionalFormatting sqref="Z32:Z33">
    <cfRule type="cellIs" dxfId="2263" priority="129" operator="equal">
      <formula>0</formula>
    </cfRule>
    <cfRule type="cellIs" dxfId="2262" priority="130" operator="notEqual">
      <formula>0</formula>
    </cfRule>
  </conditionalFormatting>
  <conditionalFormatting sqref="AA32:AA33">
    <cfRule type="cellIs" dxfId="2261" priority="127" operator="equal">
      <formula>0</formula>
    </cfRule>
    <cfRule type="cellIs" dxfId="2260" priority="128" operator="notEqual">
      <formula>0</formula>
    </cfRule>
  </conditionalFormatting>
  <conditionalFormatting sqref="AB32:AB33">
    <cfRule type="cellIs" dxfId="2259" priority="125" operator="equal">
      <formula>0</formula>
    </cfRule>
    <cfRule type="cellIs" dxfId="2258" priority="126" operator="notEqual">
      <formula>0</formula>
    </cfRule>
  </conditionalFormatting>
  <conditionalFormatting sqref="AG31">
    <cfRule type="cellIs" dxfId="2257" priority="123" operator="equal">
      <formula>0</formula>
    </cfRule>
    <cfRule type="cellIs" dxfId="2256" priority="124" operator="notEqual">
      <formula>0</formula>
    </cfRule>
  </conditionalFormatting>
  <conditionalFormatting sqref="AG34">
    <cfRule type="cellIs" dxfId="2255" priority="121" operator="equal">
      <formula>0</formula>
    </cfRule>
    <cfRule type="cellIs" dxfId="2254" priority="122" operator="notEqual">
      <formula>0</formula>
    </cfRule>
  </conditionalFormatting>
  <conditionalFormatting sqref="AH31">
    <cfRule type="cellIs" dxfId="2253" priority="119" operator="equal">
      <formula>0</formula>
    </cfRule>
    <cfRule type="cellIs" dxfId="2252" priority="120" operator="notEqual">
      <formula>0</formula>
    </cfRule>
  </conditionalFormatting>
  <conditionalFormatting sqref="AH34">
    <cfRule type="cellIs" dxfId="2251" priority="117" operator="equal">
      <formula>0</formula>
    </cfRule>
    <cfRule type="cellIs" dxfId="2250" priority="118" operator="notEqual">
      <formula>0</formula>
    </cfRule>
  </conditionalFormatting>
  <conditionalFormatting sqref="AI31">
    <cfRule type="cellIs" dxfId="2249" priority="115" operator="equal">
      <formula>0</formula>
    </cfRule>
    <cfRule type="cellIs" dxfId="2248" priority="116" operator="notEqual">
      <formula>0</formula>
    </cfRule>
  </conditionalFormatting>
  <conditionalFormatting sqref="AI34">
    <cfRule type="cellIs" dxfId="2247" priority="113" operator="equal">
      <formula>0</formula>
    </cfRule>
    <cfRule type="cellIs" dxfId="2246" priority="114" operator="notEqual">
      <formula>0</formula>
    </cfRule>
  </conditionalFormatting>
  <conditionalFormatting sqref="AJ31">
    <cfRule type="cellIs" dxfId="2245" priority="111" operator="equal">
      <formula>0</formula>
    </cfRule>
    <cfRule type="cellIs" dxfId="2244" priority="112" operator="notEqual">
      <formula>0</formula>
    </cfRule>
  </conditionalFormatting>
  <conditionalFormatting sqref="AJ34">
    <cfRule type="cellIs" dxfId="2243" priority="109" operator="equal">
      <formula>0</formula>
    </cfRule>
    <cfRule type="cellIs" dxfId="2242" priority="110" operator="notEqual">
      <formula>0</formula>
    </cfRule>
  </conditionalFormatting>
  <conditionalFormatting sqref="U25:U26">
    <cfRule type="cellIs" dxfId="2241" priority="107" operator="equal">
      <formula>0</formula>
    </cfRule>
    <cfRule type="cellIs" dxfId="2240" priority="108" operator="notEqual">
      <formula>0</formula>
    </cfRule>
  </conditionalFormatting>
  <conditionalFormatting sqref="U24">
    <cfRule type="cellIs" dxfId="2239" priority="106" operator="equal">
      <formula>1</formula>
    </cfRule>
  </conditionalFormatting>
  <conditionalFormatting sqref="V25:V26">
    <cfRule type="cellIs" dxfId="2238" priority="104" operator="equal">
      <formula>0</formula>
    </cfRule>
    <cfRule type="cellIs" dxfId="2237" priority="105" operator="notEqual">
      <formula>0</formula>
    </cfRule>
  </conditionalFormatting>
  <conditionalFormatting sqref="V24">
    <cfRule type="cellIs" dxfId="2236" priority="103" operator="equal">
      <formula>1</formula>
    </cfRule>
  </conditionalFormatting>
  <conditionalFormatting sqref="W25:W26">
    <cfRule type="cellIs" dxfId="2235" priority="101" operator="equal">
      <formula>0</formula>
    </cfRule>
    <cfRule type="cellIs" dxfId="2234" priority="102" operator="notEqual">
      <formula>0</formula>
    </cfRule>
  </conditionalFormatting>
  <conditionalFormatting sqref="W24">
    <cfRule type="cellIs" dxfId="2233" priority="100" operator="equal">
      <formula>1</formula>
    </cfRule>
  </conditionalFormatting>
  <conditionalFormatting sqref="X25:X26">
    <cfRule type="cellIs" dxfId="2232" priority="98" operator="equal">
      <formula>0</formula>
    </cfRule>
    <cfRule type="cellIs" dxfId="2231" priority="99" operator="notEqual">
      <formula>0</formula>
    </cfRule>
  </conditionalFormatting>
  <conditionalFormatting sqref="X24">
    <cfRule type="cellIs" dxfId="2230" priority="97" operator="equal">
      <formula>1</formula>
    </cfRule>
  </conditionalFormatting>
  <conditionalFormatting sqref="Y25:Y26">
    <cfRule type="cellIs" dxfId="2229" priority="95" operator="equal">
      <formula>0</formula>
    </cfRule>
    <cfRule type="cellIs" dxfId="2228" priority="96" operator="notEqual">
      <formula>0</formula>
    </cfRule>
  </conditionalFormatting>
  <conditionalFormatting sqref="Z25:Z26">
    <cfRule type="cellIs" dxfId="2227" priority="93" operator="equal">
      <formula>0</formula>
    </cfRule>
    <cfRule type="cellIs" dxfId="2226" priority="94" operator="notEqual">
      <formula>0</formula>
    </cfRule>
  </conditionalFormatting>
  <conditionalFormatting sqref="AA25:AA26">
    <cfRule type="cellIs" dxfId="2225" priority="91" operator="equal">
      <formula>0</formula>
    </cfRule>
    <cfRule type="cellIs" dxfId="2224" priority="92" operator="notEqual">
      <formula>0</formula>
    </cfRule>
  </conditionalFormatting>
  <conditionalFormatting sqref="AB25:AB26">
    <cfRule type="cellIs" dxfId="2223" priority="89" operator="equal">
      <formula>0</formula>
    </cfRule>
    <cfRule type="cellIs" dxfId="2222" priority="90" operator="notEqual">
      <formula>0</formula>
    </cfRule>
  </conditionalFormatting>
  <conditionalFormatting sqref="AG24">
    <cfRule type="cellIs" dxfId="2221" priority="87" operator="equal">
      <formula>0</formula>
    </cfRule>
    <cfRule type="cellIs" dxfId="2220" priority="88" operator="notEqual">
      <formula>0</formula>
    </cfRule>
  </conditionalFormatting>
  <conditionalFormatting sqref="AG27">
    <cfRule type="cellIs" dxfId="2219" priority="85" operator="equal">
      <formula>0</formula>
    </cfRule>
    <cfRule type="cellIs" dxfId="2218" priority="86" operator="notEqual">
      <formula>0</formula>
    </cfRule>
  </conditionalFormatting>
  <conditionalFormatting sqref="AH24">
    <cfRule type="cellIs" dxfId="2217" priority="83" operator="equal">
      <formula>0</formula>
    </cfRule>
    <cfRule type="cellIs" dxfId="2216" priority="84" operator="notEqual">
      <formula>0</formula>
    </cfRule>
  </conditionalFormatting>
  <conditionalFormatting sqref="AH27">
    <cfRule type="cellIs" dxfId="2215" priority="81" operator="equal">
      <formula>0</formula>
    </cfRule>
    <cfRule type="cellIs" dxfId="2214" priority="82" operator="notEqual">
      <formula>0</formula>
    </cfRule>
  </conditionalFormatting>
  <conditionalFormatting sqref="AI24">
    <cfRule type="cellIs" dxfId="2213" priority="79" operator="equal">
      <formula>0</formula>
    </cfRule>
    <cfRule type="cellIs" dxfId="2212" priority="80" operator="notEqual">
      <formula>0</formula>
    </cfRule>
  </conditionalFormatting>
  <conditionalFormatting sqref="AI27">
    <cfRule type="cellIs" dxfId="2211" priority="77" operator="equal">
      <formula>0</formula>
    </cfRule>
    <cfRule type="cellIs" dxfId="2210" priority="78" operator="notEqual">
      <formula>0</formula>
    </cfRule>
  </conditionalFormatting>
  <conditionalFormatting sqref="AJ24">
    <cfRule type="cellIs" dxfId="2209" priority="75" operator="equal">
      <formula>0</formula>
    </cfRule>
    <cfRule type="cellIs" dxfId="2208" priority="76" operator="notEqual">
      <formula>0</formula>
    </cfRule>
  </conditionalFormatting>
  <conditionalFormatting sqref="AJ27">
    <cfRule type="cellIs" dxfId="2207" priority="73" operator="equal">
      <formula>0</formula>
    </cfRule>
    <cfRule type="cellIs" dxfId="2206" priority="74" operator="notEqual">
      <formula>0</formula>
    </cfRule>
  </conditionalFormatting>
  <conditionalFormatting sqref="U18:U19">
    <cfRule type="cellIs" dxfId="2205" priority="71" operator="equal">
      <formula>0</formula>
    </cfRule>
    <cfRule type="cellIs" dxfId="2204" priority="72" operator="notEqual">
      <formula>0</formula>
    </cfRule>
  </conditionalFormatting>
  <conditionalFormatting sqref="U17">
    <cfRule type="cellIs" dxfId="2203" priority="70" operator="equal">
      <formula>1</formula>
    </cfRule>
  </conditionalFormatting>
  <conditionalFormatting sqref="V18:V19">
    <cfRule type="cellIs" dxfId="2202" priority="68" operator="equal">
      <formula>0</formula>
    </cfRule>
    <cfRule type="cellIs" dxfId="2201" priority="69" operator="notEqual">
      <formula>0</formula>
    </cfRule>
  </conditionalFormatting>
  <conditionalFormatting sqref="V17">
    <cfRule type="cellIs" dxfId="2200" priority="67" operator="equal">
      <formula>1</formula>
    </cfRule>
  </conditionalFormatting>
  <conditionalFormatting sqref="W18:W19">
    <cfRule type="cellIs" dxfId="2199" priority="65" operator="equal">
      <formula>0</formula>
    </cfRule>
    <cfRule type="cellIs" dxfId="2198" priority="66" operator="notEqual">
      <formula>0</formula>
    </cfRule>
  </conditionalFormatting>
  <conditionalFormatting sqref="W17">
    <cfRule type="cellIs" dxfId="2197" priority="64" operator="equal">
      <formula>1</formula>
    </cfRule>
  </conditionalFormatting>
  <conditionalFormatting sqref="X18:X19">
    <cfRule type="cellIs" dxfId="2196" priority="62" operator="equal">
      <formula>0</formula>
    </cfRule>
    <cfRule type="cellIs" dxfId="2195" priority="63" operator="notEqual">
      <formula>0</formula>
    </cfRule>
  </conditionalFormatting>
  <conditionalFormatting sqref="X17">
    <cfRule type="cellIs" dxfId="2194" priority="61" operator="equal">
      <formula>1</formula>
    </cfRule>
  </conditionalFormatting>
  <conditionalFormatting sqref="Y18:Y19">
    <cfRule type="cellIs" dxfId="2193" priority="59" operator="equal">
      <formula>0</formula>
    </cfRule>
    <cfRule type="cellIs" dxfId="2192" priority="60" operator="notEqual">
      <formula>0</formula>
    </cfRule>
  </conditionalFormatting>
  <conditionalFormatting sqref="Z18:Z19">
    <cfRule type="cellIs" dxfId="2191" priority="57" operator="equal">
      <formula>0</formula>
    </cfRule>
    <cfRule type="cellIs" dxfId="2190" priority="58" operator="notEqual">
      <formula>0</formula>
    </cfRule>
  </conditionalFormatting>
  <conditionalFormatting sqref="AA18:AA19">
    <cfRule type="cellIs" dxfId="2189" priority="55" operator="equal">
      <formula>0</formula>
    </cfRule>
    <cfRule type="cellIs" dxfId="2188" priority="56" operator="notEqual">
      <formula>0</formula>
    </cfRule>
  </conditionalFormatting>
  <conditionalFormatting sqref="AB18:AB19">
    <cfRule type="cellIs" dxfId="2187" priority="53" operator="equal">
      <formula>0</formula>
    </cfRule>
    <cfRule type="cellIs" dxfId="2186" priority="54" operator="notEqual">
      <formula>0</formula>
    </cfRule>
  </conditionalFormatting>
  <conditionalFormatting sqref="AG17">
    <cfRule type="cellIs" dxfId="2185" priority="51" operator="equal">
      <formula>0</formula>
    </cfRule>
    <cfRule type="cellIs" dxfId="2184" priority="52" operator="notEqual">
      <formula>0</formula>
    </cfRule>
  </conditionalFormatting>
  <conditionalFormatting sqref="AG20">
    <cfRule type="cellIs" dxfId="2183" priority="49" operator="equal">
      <formula>0</formula>
    </cfRule>
    <cfRule type="cellIs" dxfId="2182" priority="50" operator="notEqual">
      <formula>0</formula>
    </cfRule>
  </conditionalFormatting>
  <conditionalFormatting sqref="AH17">
    <cfRule type="cellIs" dxfId="2181" priority="47" operator="equal">
      <formula>0</formula>
    </cfRule>
    <cfRule type="cellIs" dxfId="2180" priority="48" operator="notEqual">
      <formula>0</formula>
    </cfRule>
  </conditionalFormatting>
  <conditionalFormatting sqref="AH20">
    <cfRule type="cellIs" dxfId="2179" priority="45" operator="equal">
      <formula>0</formula>
    </cfRule>
    <cfRule type="cellIs" dxfId="2178" priority="46" operator="notEqual">
      <formula>0</formula>
    </cfRule>
  </conditionalFormatting>
  <conditionalFormatting sqref="AI17">
    <cfRule type="cellIs" dxfId="2177" priority="43" operator="equal">
      <formula>0</formula>
    </cfRule>
    <cfRule type="cellIs" dxfId="2176" priority="44" operator="notEqual">
      <formula>0</formula>
    </cfRule>
  </conditionalFormatting>
  <conditionalFormatting sqref="AI20">
    <cfRule type="cellIs" dxfId="2175" priority="41" operator="equal">
      <formula>0</formula>
    </cfRule>
    <cfRule type="cellIs" dxfId="2174" priority="42" operator="notEqual">
      <formula>0</formula>
    </cfRule>
  </conditionalFormatting>
  <conditionalFormatting sqref="AJ17">
    <cfRule type="cellIs" dxfId="2173" priority="39" operator="equal">
      <formula>0</formula>
    </cfRule>
    <cfRule type="cellIs" dxfId="2172" priority="40" operator="notEqual">
      <formula>0</formula>
    </cfRule>
  </conditionalFormatting>
  <conditionalFormatting sqref="AJ20">
    <cfRule type="cellIs" dxfId="2171" priority="37" operator="equal">
      <formula>0</formula>
    </cfRule>
    <cfRule type="cellIs" dxfId="2170" priority="38" operator="notEqual">
      <formula>0</formula>
    </cfRule>
  </conditionalFormatting>
  <conditionalFormatting sqref="U11:U12">
    <cfRule type="cellIs" dxfId="2169" priority="35" operator="equal">
      <formula>0</formula>
    </cfRule>
    <cfRule type="cellIs" dxfId="2168" priority="36" operator="notEqual">
      <formula>0</formula>
    </cfRule>
  </conditionalFormatting>
  <conditionalFormatting sqref="U10">
    <cfRule type="cellIs" dxfId="2167" priority="34" operator="equal">
      <formula>1</formula>
    </cfRule>
  </conditionalFormatting>
  <conditionalFormatting sqref="V11:V12">
    <cfRule type="cellIs" dxfId="2166" priority="32" operator="equal">
      <formula>0</formula>
    </cfRule>
    <cfRule type="cellIs" dxfId="2165" priority="33" operator="notEqual">
      <formula>0</formula>
    </cfRule>
  </conditionalFormatting>
  <conditionalFormatting sqref="V10">
    <cfRule type="cellIs" dxfId="2164" priority="31" operator="equal">
      <formula>1</formula>
    </cfRule>
  </conditionalFormatting>
  <conditionalFormatting sqref="W11:W12">
    <cfRule type="cellIs" dxfId="2163" priority="29" operator="equal">
      <formula>0</formula>
    </cfRule>
    <cfRule type="cellIs" dxfId="2162" priority="30" operator="notEqual">
      <formula>0</formula>
    </cfRule>
  </conditionalFormatting>
  <conditionalFormatting sqref="W10">
    <cfRule type="cellIs" dxfId="2161" priority="28" operator="equal">
      <formula>1</formula>
    </cfRule>
  </conditionalFormatting>
  <conditionalFormatting sqref="X11:X12">
    <cfRule type="cellIs" dxfId="2160" priority="26" operator="equal">
      <formula>0</formula>
    </cfRule>
    <cfRule type="cellIs" dxfId="2159" priority="27" operator="notEqual">
      <formula>0</formula>
    </cfRule>
  </conditionalFormatting>
  <conditionalFormatting sqref="X10">
    <cfRule type="cellIs" dxfId="2158" priority="25" operator="equal">
      <formula>1</formula>
    </cfRule>
  </conditionalFormatting>
  <conditionalFormatting sqref="Y11:Y12">
    <cfRule type="cellIs" dxfId="2157" priority="23" operator="equal">
      <formula>0</formula>
    </cfRule>
    <cfRule type="cellIs" dxfId="2156" priority="24" operator="notEqual">
      <formula>0</formula>
    </cfRule>
  </conditionalFormatting>
  <conditionalFormatting sqref="Z11:Z12">
    <cfRule type="cellIs" dxfId="2155" priority="21" operator="equal">
      <formula>0</formula>
    </cfRule>
    <cfRule type="cellIs" dxfId="2154" priority="22" operator="notEqual">
      <formula>0</formula>
    </cfRule>
  </conditionalFormatting>
  <conditionalFormatting sqref="AA11:AA12">
    <cfRule type="cellIs" dxfId="2153" priority="19" operator="equal">
      <formula>0</formula>
    </cfRule>
    <cfRule type="cellIs" dxfId="2152" priority="20" operator="notEqual">
      <formula>0</formula>
    </cfRule>
  </conditionalFormatting>
  <conditionalFormatting sqref="AB11:AB12">
    <cfRule type="cellIs" dxfId="2151" priority="17" operator="equal">
      <formula>0</formula>
    </cfRule>
    <cfRule type="cellIs" dxfId="2150" priority="18" operator="notEqual">
      <formula>0</formula>
    </cfRule>
  </conditionalFormatting>
  <conditionalFormatting sqref="AG10">
    <cfRule type="cellIs" dxfId="2149" priority="15" operator="equal">
      <formula>0</formula>
    </cfRule>
    <cfRule type="cellIs" dxfId="2148" priority="16" operator="notEqual">
      <formula>0</formula>
    </cfRule>
  </conditionalFormatting>
  <conditionalFormatting sqref="AG13">
    <cfRule type="cellIs" dxfId="2147" priority="13" operator="equal">
      <formula>0</formula>
    </cfRule>
    <cfRule type="cellIs" dxfId="2146" priority="14" operator="notEqual">
      <formula>0</formula>
    </cfRule>
  </conditionalFormatting>
  <conditionalFormatting sqref="AH10">
    <cfRule type="cellIs" dxfId="2145" priority="11" operator="equal">
      <formula>0</formula>
    </cfRule>
    <cfRule type="cellIs" dxfId="2144" priority="12" operator="notEqual">
      <formula>0</formula>
    </cfRule>
  </conditionalFormatting>
  <conditionalFormatting sqref="AH13">
    <cfRule type="cellIs" dxfId="2143" priority="9" operator="equal">
      <formula>0</formula>
    </cfRule>
    <cfRule type="cellIs" dxfId="2142" priority="10" operator="notEqual">
      <formula>0</formula>
    </cfRule>
  </conditionalFormatting>
  <conditionalFormatting sqref="AI10">
    <cfRule type="cellIs" dxfId="2141" priority="7" operator="equal">
      <formula>0</formula>
    </cfRule>
    <cfRule type="cellIs" dxfId="2140" priority="8" operator="notEqual">
      <formula>0</formula>
    </cfRule>
  </conditionalFormatting>
  <conditionalFormatting sqref="AI13">
    <cfRule type="cellIs" dxfId="2139" priority="5" operator="equal">
      <formula>0</formula>
    </cfRule>
    <cfRule type="cellIs" dxfId="2138" priority="6" operator="notEqual">
      <formula>0</formula>
    </cfRule>
  </conditionalFormatting>
  <conditionalFormatting sqref="AJ10">
    <cfRule type="cellIs" dxfId="2137" priority="3" operator="equal">
      <formula>0</formula>
    </cfRule>
    <cfRule type="cellIs" dxfId="2136" priority="4" operator="notEqual">
      <formula>0</formula>
    </cfRule>
  </conditionalFormatting>
  <conditionalFormatting sqref="AJ13">
    <cfRule type="cellIs" dxfId="2135" priority="1" operator="equal">
      <formula>0</formula>
    </cfRule>
    <cfRule type="cellIs" dxfId="2134" priority="2" operator="notEqual">
      <formula>0</formula>
    </cfRule>
  </conditionalFormatting>
  <dataValidations count="1">
    <dataValidation type="list" allowBlank="1" showInputMessage="1" showErrorMessage="1" sqref="B5" xr:uid="{B74D4E8E-22CB-44F5-A85F-8D6EF869C152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5"/>
  <dimension ref="A1:AX76"/>
  <sheetViews>
    <sheetView showGridLines="0" zoomScale="50" zoomScaleNormal="50" workbookViewId="0">
      <selection activeCell="A22" sqref="A22"/>
    </sheetView>
  </sheetViews>
  <sheetFormatPr baseColWidth="10" defaultColWidth="9.1640625" defaultRowHeight="14" x14ac:dyDescent="0.15"/>
  <cols>
    <col min="1" max="1" width="1.5" style="30" customWidth="1"/>
    <col min="2" max="2" width="36.1640625" style="30" customWidth="1"/>
    <col min="3" max="19" width="9.1640625" style="30"/>
    <col min="20" max="20" width="33" style="30" customWidth="1"/>
    <col min="21" max="16384" width="9.1640625" style="30"/>
  </cols>
  <sheetData>
    <row r="1" spans="1:50" ht="66" customHeight="1" x14ac:dyDescent="0.35">
      <c r="A1" s="374" t="s">
        <v>451</v>
      </c>
      <c r="B1" s="374"/>
      <c r="C1" s="374"/>
      <c r="D1" s="374"/>
      <c r="E1" s="374"/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374"/>
      <c r="Y1" s="374"/>
      <c r="Z1" s="374"/>
      <c r="AA1" s="374"/>
      <c r="AB1" s="374"/>
      <c r="AC1" s="374"/>
      <c r="AD1" s="374"/>
      <c r="AE1" s="374"/>
      <c r="AF1" s="374"/>
      <c r="AG1" s="374"/>
      <c r="AH1" s="374"/>
      <c r="AI1" s="374"/>
      <c r="AJ1" s="374"/>
      <c r="AK1" s="374"/>
      <c r="AL1" s="374"/>
      <c r="AM1" s="374"/>
      <c r="AN1" s="374"/>
      <c r="AO1" s="374"/>
      <c r="AP1" s="374"/>
      <c r="AQ1" s="374"/>
      <c r="AR1" s="374"/>
      <c r="AS1" s="374"/>
      <c r="AT1" s="374"/>
      <c r="AU1" s="374"/>
      <c r="AV1" s="374"/>
      <c r="AW1" s="374"/>
      <c r="AX1" s="374"/>
    </row>
    <row r="2" spans="1:50" ht="53.25" customHeight="1" x14ac:dyDescent="0.15">
      <c r="A2" s="373"/>
      <c r="B2" s="373"/>
      <c r="C2" s="373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3"/>
      <c r="Z2" s="373"/>
      <c r="AA2" s="373"/>
      <c r="AB2" s="373"/>
      <c r="AC2" s="373"/>
      <c r="AD2" s="373"/>
      <c r="AE2" s="373"/>
      <c r="AF2" s="373"/>
      <c r="AG2" s="373"/>
      <c r="AH2" s="373"/>
      <c r="AI2" s="373"/>
      <c r="AJ2" s="373"/>
      <c r="AK2" s="373"/>
      <c r="AL2" s="373"/>
      <c r="AM2" s="373"/>
      <c r="AN2" s="373"/>
      <c r="AO2" s="373"/>
      <c r="AP2" s="373"/>
      <c r="AQ2" s="373"/>
      <c r="AR2" s="373"/>
      <c r="AS2" s="373"/>
      <c r="AT2" s="373"/>
      <c r="AU2" s="373"/>
      <c r="AV2" s="373"/>
      <c r="AW2" s="373"/>
      <c r="AX2" s="373"/>
    </row>
    <row r="3" spans="1:50" s="72" customFormat="1" ht="16" x14ac:dyDescent="0.15"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</row>
    <row r="4" spans="1:50" ht="30" x14ac:dyDescent="0.15">
      <c r="B4" s="56" t="s">
        <v>470</v>
      </c>
    </row>
    <row r="5" spans="1:50" ht="15" x14ac:dyDescent="0.15">
      <c r="B5" s="78" t="s">
        <v>376</v>
      </c>
      <c r="P5" s="61"/>
      <c r="Q5" s="61"/>
    </row>
    <row r="6" spans="1:50" x14ac:dyDescent="0.15">
      <c r="B6" s="70"/>
    </row>
    <row r="8" spans="1:50" ht="28.5" customHeight="1" x14ac:dyDescent="0.15">
      <c r="B8" s="182" t="str">
        <f>HLOOKUP($B$5,Region_Table,2,0)</f>
        <v>Accredited Programmes and Structured Interventions - N07</v>
      </c>
      <c r="C8" s="359" t="s">
        <v>366</v>
      </c>
      <c r="D8" s="365"/>
      <c r="E8" s="365"/>
      <c r="F8" s="365"/>
      <c r="G8" s="365"/>
      <c r="H8" s="365"/>
      <c r="I8" s="365"/>
      <c r="J8" s="365"/>
      <c r="K8" s="365"/>
      <c r="L8" s="365"/>
      <c r="M8" s="368"/>
      <c r="N8" s="368"/>
      <c r="O8" s="369"/>
      <c r="P8" s="362">
        <f>SUMIFS('caseload data'!V:V,'caseload data'!B:B,"custody",'caseload data'!C:C,'custody caseload'!B8)</f>
        <v>0</v>
      </c>
      <c r="Q8" s="370"/>
      <c r="R8" s="371"/>
      <c r="S8" s="95"/>
      <c r="T8" s="182" t="str">
        <f>HLOOKUP($B$5,Region_Table,3,0)</f>
        <v>All London</v>
      </c>
      <c r="U8" s="359" t="s">
        <v>366</v>
      </c>
      <c r="V8" s="365"/>
      <c r="W8" s="365"/>
      <c r="X8" s="365"/>
      <c r="Y8" s="365"/>
      <c r="Z8" s="365"/>
      <c r="AA8" s="365"/>
      <c r="AB8" s="365"/>
      <c r="AC8" s="365"/>
      <c r="AD8" s="365"/>
      <c r="AE8" s="368"/>
      <c r="AF8" s="368"/>
      <c r="AG8" s="369"/>
      <c r="AH8" s="362">
        <f>SUMIFS('caseload data'!V:V,'caseload data'!B:B,"custody",'caseload data'!C:C,'custody caseload'!T8)</f>
        <v>0</v>
      </c>
      <c r="AI8" s="370"/>
      <c r="AJ8" s="371"/>
    </row>
    <row r="9" spans="1:50" x14ac:dyDescent="0.15">
      <c r="B9" s="127" t="s">
        <v>324</v>
      </c>
      <c r="C9" s="58" t="s">
        <v>504</v>
      </c>
      <c r="D9" s="58" t="s">
        <v>503</v>
      </c>
      <c r="E9" s="58" t="s">
        <v>502</v>
      </c>
      <c r="F9" s="58" t="s">
        <v>501</v>
      </c>
      <c r="G9" s="58" t="s">
        <v>510</v>
      </c>
      <c r="H9" s="58" t="s">
        <v>176</v>
      </c>
      <c r="I9" s="58" t="s">
        <v>177</v>
      </c>
      <c r="J9" s="58" t="s">
        <v>505</v>
      </c>
      <c r="K9" s="58" t="s">
        <v>507</v>
      </c>
      <c r="L9" s="58" t="s">
        <v>178</v>
      </c>
      <c r="M9" s="58" t="s">
        <v>179</v>
      </c>
      <c r="N9" s="58" t="s">
        <v>506</v>
      </c>
      <c r="O9" s="58" t="s">
        <v>508</v>
      </c>
      <c r="P9" s="58" t="s">
        <v>180</v>
      </c>
      <c r="Q9" s="58" t="s">
        <v>181</v>
      </c>
      <c r="R9" s="58" t="s">
        <v>509</v>
      </c>
      <c r="S9" s="95"/>
      <c r="T9" s="127" t="s">
        <v>324</v>
      </c>
      <c r="U9" s="58" t="s">
        <v>504</v>
      </c>
      <c r="V9" s="58" t="s">
        <v>503</v>
      </c>
      <c r="W9" s="58" t="s">
        <v>502</v>
      </c>
      <c r="X9" s="58" t="s">
        <v>501</v>
      </c>
      <c r="Y9" s="58" t="s">
        <v>510</v>
      </c>
      <c r="Z9" s="58" t="s">
        <v>176</v>
      </c>
      <c r="AA9" s="58" t="s">
        <v>177</v>
      </c>
      <c r="AB9" s="58" t="s">
        <v>505</v>
      </c>
      <c r="AC9" s="58" t="s">
        <v>507</v>
      </c>
      <c r="AD9" s="58" t="s">
        <v>178</v>
      </c>
      <c r="AE9" s="58" t="s">
        <v>179</v>
      </c>
      <c r="AF9" s="58" t="s">
        <v>506</v>
      </c>
      <c r="AG9" s="58" t="s">
        <v>508</v>
      </c>
      <c r="AH9" s="58" t="s">
        <v>180</v>
      </c>
      <c r="AI9" s="58" t="s">
        <v>181</v>
      </c>
      <c r="AJ9" s="58" t="s">
        <v>509</v>
      </c>
    </row>
    <row r="10" spans="1:50" x14ac:dyDescent="0.15">
      <c r="B10" s="129" t="s">
        <v>184</v>
      </c>
      <c r="C10" s="204">
        <f>SUMIFS('caseload data'!E:E,'caseload data'!$D:$D,"PO",'caseload data'!$C:$C,'custody caseload'!$B$8,'caseload data'!$B:$B,"custody")</f>
        <v>0</v>
      </c>
      <c r="D10" s="204">
        <f>SUMIFS('caseload data'!F:F,'caseload data'!$D:$D,"PO",'caseload data'!$C:$C,'custody caseload'!$B$8,'caseload data'!$B:$B,"custody")</f>
        <v>0</v>
      </c>
      <c r="E10" s="204">
        <f>SUMIFS('caseload data'!G:G,'caseload data'!$D:$D,"PO",'caseload data'!$C:$C,'custody caseload'!$B$8,'caseload data'!$B:$B,"custody")</f>
        <v>0</v>
      </c>
      <c r="F10" s="204">
        <f>SUMIFS('caseload data'!H:H,'caseload data'!$D:$D,"PO",'caseload data'!$C:$C,'custody caseload'!$B$8,'caseload data'!$B:$B,"custody")</f>
        <v>0</v>
      </c>
      <c r="G10" s="204">
        <f>SUMIFS('caseload data'!I:I,'caseload data'!$D:$D,"PO",'caseload data'!$C:$C,'custody caseload'!$B$8,'caseload data'!$B:$B,"custody")</f>
        <v>0</v>
      </c>
      <c r="H10" s="204">
        <f>SUMIFS('caseload data'!J:J,'caseload data'!$D:$D,"PO",'caseload data'!$C:$C,'custody caseload'!$B$8,'caseload data'!$B:$B,"custody")</f>
        <v>0</v>
      </c>
      <c r="I10" s="204">
        <f>SUMIFS('caseload data'!K:K,'caseload data'!$D:$D,"PO",'caseload data'!$C:$C,'custody caseload'!$B$8,'caseload data'!$B:$B,"custody")</f>
        <v>0</v>
      </c>
      <c r="J10" s="204">
        <f>SUMIFS('caseload data'!L:L,'caseload data'!$D:$D,"PO",'caseload data'!$C:$C,'custody caseload'!$B$8,'caseload data'!$B:$B,"custody")</f>
        <v>0</v>
      </c>
      <c r="K10" s="204">
        <f>SUMIFS('caseload data'!M:M,'caseload data'!$D:$D,"PO",'caseload data'!$C:$C,'custody caseload'!$B$8,'caseload data'!$B:$B,"custody")</f>
        <v>0</v>
      </c>
      <c r="L10" s="204">
        <f>SUMIFS('caseload data'!N:N,'caseload data'!$D:$D,"PO",'caseload data'!$C:$C,'custody caseload'!$B$8,'caseload data'!$B:$B,"custody")</f>
        <v>0</v>
      </c>
      <c r="M10" s="204">
        <f>SUMIFS('caseload data'!O:O,'caseload data'!$D:$D,"PO",'caseload data'!$C:$C,'custody caseload'!$B$8,'caseload data'!$B:$B,"custody")</f>
        <v>0</v>
      </c>
      <c r="N10" s="204">
        <f>SUMIFS('caseload data'!P:P,'caseload data'!$D:$D,"PO",'caseload data'!$C:$C,'custody caseload'!$B$8,'caseload data'!$B:$B,"custody")</f>
        <v>0</v>
      </c>
      <c r="O10" s="204">
        <f>SUMIFS('caseload data'!Q:Q,'caseload data'!$D:$D,"PO",'caseload data'!$C:$C,'custody caseload'!$B$8,'caseload data'!$B:$B,"custody")</f>
        <v>0</v>
      </c>
      <c r="P10" s="204">
        <f>SUMIFS('caseload data'!R:R,'caseload data'!$D:$D,"PO",'caseload data'!$C:$C,'custody caseload'!$B$8,'caseload data'!$B:$B,"custody")</f>
        <v>0</v>
      </c>
      <c r="Q10" s="204">
        <f>SUMIFS('caseload data'!S:S,'caseload data'!$D:$D,"PO",'caseload data'!$C:$C,'custody caseload'!$B$8,'caseload data'!$B:$B,"custody")</f>
        <v>0</v>
      </c>
      <c r="R10" s="204">
        <f>SUMIFS('caseload data'!T:T,'caseload data'!$D:$D,"PO",'caseload data'!$C:$C,'custody caseload'!$B$8,'caseload data'!$B:$B,"custody")</f>
        <v>0</v>
      </c>
      <c r="S10" s="95"/>
      <c r="T10" s="129" t="s">
        <v>184</v>
      </c>
      <c r="U10" s="204">
        <f>SUMIFS('caseload data'!E:E,'caseload data'!$D:$D,"PO",'caseload data'!$C:$C,'custody caseload'!$T$8,'caseload data'!$B:$B,"custody")</f>
        <v>0</v>
      </c>
      <c r="V10" s="204">
        <f>SUMIFS('caseload data'!F:F,'caseload data'!$D:$D,"PO",'caseload data'!$C:$C,'custody caseload'!$T$8,'caseload data'!$B:$B,"custody")</f>
        <v>0</v>
      </c>
      <c r="W10" s="204">
        <f>SUMIFS('caseload data'!G:G,'caseload data'!$D:$D,"PO",'caseload data'!$C:$C,'custody caseload'!$T$8,'caseload data'!$B:$B,"custody")</f>
        <v>0</v>
      </c>
      <c r="X10" s="204">
        <f>SUMIFS('caseload data'!H:H,'caseload data'!$D:$D,"PO",'caseload data'!$C:$C,'custody caseload'!$T$8,'caseload data'!$B:$B,"custody")</f>
        <v>0</v>
      </c>
      <c r="Y10" s="204">
        <f>SUMIFS('caseload data'!I:I,'caseload data'!$D:$D,"PO",'caseload data'!$C:$C,'custody caseload'!$T$8,'caseload data'!$B:$B,"custody")</f>
        <v>0</v>
      </c>
      <c r="Z10" s="204">
        <f>SUMIFS('caseload data'!J:J,'caseload data'!$D:$D,"PO",'caseload data'!$C:$C,'custody caseload'!$T$8,'caseload data'!$B:$B,"custody")</f>
        <v>0</v>
      </c>
      <c r="AA10" s="204">
        <f>SUMIFS('caseload data'!K:K,'caseload data'!$D:$D,"PO",'caseload data'!$C:$C,'custody caseload'!$T$8,'caseload data'!$B:$B,"custody")</f>
        <v>0</v>
      </c>
      <c r="AB10" s="204">
        <f>SUMIFS('caseload data'!L:L,'caseload data'!$D:$D,"PO",'caseload data'!$C:$C,'custody caseload'!$T$8,'caseload data'!$B:$B,"custody")</f>
        <v>0</v>
      </c>
      <c r="AC10" s="204">
        <f>SUMIFS('caseload data'!M:M,'caseload data'!$D:$D,"PO",'caseload data'!$C:$C,'custody caseload'!$T$8,'caseload data'!$B:$B,"custody")</f>
        <v>0</v>
      </c>
      <c r="AD10" s="204">
        <f>SUMIFS('caseload data'!N:N,'caseload data'!$D:$D,"PO",'caseload data'!$C:$C,'custody caseload'!$T$8,'caseload data'!$B:$B,"custody")</f>
        <v>0</v>
      </c>
      <c r="AE10" s="204">
        <f>SUMIFS('caseload data'!O:O,'caseload data'!$D:$D,"PO",'caseload data'!$C:$C,'custody caseload'!$T$8,'caseload data'!$B:$B,"custody")</f>
        <v>0</v>
      </c>
      <c r="AF10" s="204">
        <f>SUMIFS('caseload data'!P:P,'caseload data'!$D:$D,"PO",'caseload data'!$C:$C,'custody caseload'!$T$8,'caseload data'!$B:$B,"custody")</f>
        <v>0</v>
      </c>
      <c r="AG10" s="204">
        <f>SUMIFS('caseload data'!Q:Q,'caseload data'!$D:$D,"PO",'caseload data'!$C:$C,'custody caseload'!$T$8,'caseload data'!$B:$B,"custody")</f>
        <v>0</v>
      </c>
      <c r="AH10" s="204">
        <f>SUMIFS('caseload data'!R:R,'caseload data'!$D:$D,"PO",'caseload data'!$C:$C,'custody caseload'!$T$8,'caseload data'!$B:$B,"custody")</f>
        <v>0</v>
      </c>
      <c r="AI10" s="204">
        <f>SUMIFS('caseload data'!S:S,'caseload data'!$D:$D,"PO",'caseload data'!$C:$C,'custody caseload'!$T$8,'caseload data'!$B:$B,"custody")</f>
        <v>0</v>
      </c>
      <c r="AJ10" s="204">
        <f>SUMIFS('caseload data'!T:T,'caseload data'!$D:$D,"PO",'caseload data'!$C:$C,'custody caseload'!$T$8,'caseload data'!$B:$B,"custody")</f>
        <v>0</v>
      </c>
    </row>
    <row r="11" spans="1:50" ht="15" x14ac:dyDescent="0.2">
      <c r="B11" s="130" t="s">
        <v>185</v>
      </c>
      <c r="C11" s="186">
        <f>SUMIFS('caseload data'!E:E,'caseload data'!$D:$D,"PSO",'caseload data'!$C:$C,'custody caseload'!$B$8,'caseload data'!$B:$B,"custody")</f>
        <v>0</v>
      </c>
      <c r="D11" s="186">
        <f>SUMIFS('caseload data'!F:F,'caseload data'!$D:$D,"PSO",'caseload data'!$C:$C,'custody caseload'!$B$8,'caseload data'!$B:$B,"custody")</f>
        <v>0</v>
      </c>
      <c r="E11" s="186">
        <f>SUMIFS('caseload data'!G:G,'caseload data'!$D:$D,"PSO",'caseload data'!$C:$C,'custody caseload'!$B$8,'caseload data'!$B:$B,"custody")</f>
        <v>0</v>
      </c>
      <c r="F11" s="186">
        <f>SUMIFS('caseload data'!H:H,'caseload data'!$D:$D,"PSO",'caseload data'!$C:$C,'custody caseload'!$B$8,'caseload data'!$B:$B,"custody")</f>
        <v>0</v>
      </c>
      <c r="G11" s="186">
        <f>SUMIFS('caseload data'!I:I,'caseload data'!$D:$D,"PSO",'caseload data'!$C:$C,'custody caseload'!$B$8,'caseload data'!$B:$B,"custody")</f>
        <v>0</v>
      </c>
      <c r="H11" s="186">
        <f>SUMIFS('caseload data'!J:J,'caseload data'!$D:$D,"PSO",'caseload data'!$C:$C,'custody caseload'!$B$8,'caseload data'!$B:$B,"custody")</f>
        <v>0</v>
      </c>
      <c r="I11" s="186">
        <f>SUMIFS('caseload data'!K:K,'caseload data'!$D:$D,"PSO",'caseload data'!$C:$C,'custody caseload'!$B$8,'caseload data'!$B:$B,"custody")</f>
        <v>0</v>
      </c>
      <c r="J11" s="186">
        <f>SUMIFS('caseload data'!L:L,'caseload data'!$D:$D,"PSO",'caseload data'!$C:$C,'custody caseload'!$B$8,'caseload data'!$B:$B,"custody")</f>
        <v>0</v>
      </c>
      <c r="K11" s="204">
        <f>SUMIFS('caseload data'!M:M,'caseload data'!$D:$D,"PSO",'caseload data'!$C:$C,'custody caseload'!$B$8,'caseload data'!$B:$B,"custody")</f>
        <v>0</v>
      </c>
      <c r="L11" s="204">
        <f>SUMIFS('caseload data'!N:N,'caseload data'!$D:$D,"PSO",'caseload data'!$C:$C,'custody caseload'!$B$8,'caseload data'!$B:$B,"custody")</f>
        <v>0</v>
      </c>
      <c r="M11" s="204">
        <f>SUMIFS('caseload data'!O:O,'caseload data'!$D:$D,"PSO",'caseload data'!$C:$C,'custody caseload'!$B$8,'caseload data'!$B:$B,"custody")</f>
        <v>0</v>
      </c>
      <c r="N11" s="204">
        <f>SUMIFS('caseload data'!P:P,'caseload data'!$D:$D,"PSO",'caseload data'!$C:$C,'custody caseload'!$B$8,'caseload data'!$B:$B,"custody")</f>
        <v>0</v>
      </c>
      <c r="O11" s="204">
        <f>SUMIFS('caseload data'!Q:Q,'caseload data'!$D:$D,"PSO",'caseload data'!$C:$C,'custody caseload'!$B$8,'caseload data'!$B:$B,"custody")</f>
        <v>0</v>
      </c>
      <c r="P11" s="204">
        <f>SUMIFS('caseload data'!R:R,'caseload data'!$D:$D,"PSO",'caseload data'!$C:$C,'custody caseload'!$B$8,'caseload data'!$B:$B,"custody")</f>
        <v>0</v>
      </c>
      <c r="Q11" s="204">
        <f>SUMIFS('caseload data'!S:S,'caseload data'!$D:$D,"PSO",'caseload data'!$C:$C,'custody caseload'!$B$8,'caseload data'!$B:$B,"custody")</f>
        <v>0</v>
      </c>
      <c r="R11" s="204">
        <f>SUMIFS('caseload data'!T:T,'caseload data'!$D:$D,"PSO",'caseload data'!$C:$C,'custody caseload'!$B$8,'caseload data'!$B:$B,"custody")</f>
        <v>0</v>
      </c>
      <c r="S11" s="95"/>
      <c r="T11" s="130" t="s">
        <v>185</v>
      </c>
      <c r="U11" s="186">
        <f>SUMIFS('caseload data'!E:E,'caseload data'!$D:$D,"PSO",'caseload data'!$C:$C,'custody caseload'!$T$8,'caseload data'!$B:$B,"custody")</f>
        <v>0</v>
      </c>
      <c r="V11" s="186">
        <f>SUMIFS('caseload data'!F:F,'caseload data'!$D:$D,"PSO",'caseload data'!$C:$C,'custody caseload'!$T$8,'caseload data'!$B:$B,"custody")</f>
        <v>0</v>
      </c>
      <c r="W11" s="186">
        <f>SUMIFS('caseload data'!G:G,'caseload data'!$D:$D,"PSO",'caseload data'!$C:$C,'custody caseload'!$T$8,'caseload data'!$B:$B,"custody")</f>
        <v>0</v>
      </c>
      <c r="X11" s="186">
        <f>SUMIFS('caseload data'!H:H,'caseload data'!$D:$D,"PSO",'caseload data'!$C:$C,'custody caseload'!$T$8,'caseload data'!$B:$B,"custody")</f>
        <v>0</v>
      </c>
      <c r="Y11" s="186">
        <f>SUMIFS('caseload data'!I:I,'caseload data'!$D:$D,"PSO",'caseload data'!$C:$C,'custody caseload'!$T$8,'caseload data'!$B:$B,"custody")</f>
        <v>0</v>
      </c>
      <c r="Z11" s="186">
        <f>SUMIFS('caseload data'!J:J,'caseload data'!$D:$D,"PSO",'caseload data'!$C:$C,'custody caseload'!$T$8,'caseload data'!$B:$B,"custody")</f>
        <v>0</v>
      </c>
      <c r="AA11" s="186">
        <f>SUMIFS('caseload data'!K:K,'caseload data'!$D:$D,"PSO",'caseload data'!$C:$C,'custody caseload'!$T$8,'caseload data'!$B:$B,"custody")</f>
        <v>0</v>
      </c>
      <c r="AB11" s="186">
        <f>SUMIFS('caseload data'!L:L,'caseload data'!$D:$D,"PSO",'caseload data'!$C:$C,'custody caseload'!$T$8,'caseload data'!$B:$B,"custody")</f>
        <v>0</v>
      </c>
      <c r="AC11" s="204">
        <f>SUMIFS('caseload data'!M:M,'caseload data'!$D:$D,"PSO",'caseload data'!$C:$C,'custody caseload'!$T$8,'caseload data'!$B:$B,"custody")</f>
        <v>0</v>
      </c>
      <c r="AD11" s="204">
        <f>SUMIFS('caseload data'!N:N,'caseload data'!$D:$D,"PSO",'caseload data'!$C:$C,'custody caseload'!$T$8,'caseload data'!$B:$B,"custody")</f>
        <v>0</v>
      </c>
      <c r="AE11" s="204">
        <f>SUMIFS('caseload data'!O:O,'caseload data'!$D:$D,"PSO",'caseload data'!$C:$C,'custody caseload'!$T$8,'caseload data'!$B:$B,"custody")</f>
        <v>0</v>
      </c>
      <c r="AF11" s="204">
        <f>SUMIFS('caseload data'!P:P,'caseload data'!$D:$D,"PSO",'caseload data'!$C:$C,'custody caseload'!$T$8,'caseload data'!$B:$B,"custody")</f>
        <v>0</v>
      </c>
      <c r="AG11" s="204">
        <f>SUMIFS('caseload data'!Q:Q,'caseload data'!$D:$D,"PSO",'caseload data'!$C:$C,'custody caseload'!$T$8,'caseload data'!$B:$B,"custody")</f>
        <v>0</v>
      </c>
      <c r="AH11" s="204">
        <f>SUMIFS('caseload data'!R:R,'caseload data'!$D:$D,"PSO",'caseload data'!$C:$C,'custody caseload'!$T$8,'caseload data'!$B:$B,"custody")</f>
        <v>0</v>
      </c>
      <c r="AI11" s="204">
        <f>SUMIFS('caseload data'!S:S,'caseload data'!$D:$D,"PSO",'caseload data'!$C:$C,'custody caseload'!$T$8,'caseload data'!$B:$B,"custody")</f>
        <v>0</v>
      </c>
      <c r="AJ11" s="204">
        <f>SUMIFS('caseload data'!T:T,'caseload data'!$D:$D,"PSO",'caseload data'!$C:$C,'custody caseload'!$T$8,'caseload data'!$B:$B,"custody")</f>
        <v>0</v>
      </c>
    </row>
    <row r="12" spans="1:50" ht="15" x14ac:dyDescent="0.2">
      <c r="B12" s="130" t="s">
        <v>186</v>
      </c>
      <c r="C12" s="186">
        <f>SUMIFS('caseload data'!E:E,'caseload data'!$D:$D,"TPO",'caseload data'!$C:$C,'custody caseload'!$B$8,'caseload data'!$B:$B,"custody")</f>
        <v>0</v>
      </c>
      <c r="D12" s="186">
        <f>SUMIFS('caseload data'!F:F,'caseload data'!$D:$D,"TPO",'caseload data'!$C:$C,'custody caseload'!$B$8,'caseload data'!$B:$B,"custody")</f>
        <v>0</v>
      </c>
      <c r="E12" s="186">
        <f>SUMIFS('caseload data'!G:G,'caseload data'!$D:$D,"TPO",'caseload data'!$C:$C,'custody caseload'!$B$8,'caseload data'!$B:$B,"custody")</f>
        <v>0</v>
      </c>
      <c r="F12" s="186">
        <f>SUMIFS('caseload data'!H:H,'caseload data'!$D:$D,"TPO",'caseload data'!$C:$C,'custody caseload'!$B$8,'caseload data'!$B:$B,"custody")</f>
        <v>0</v>
      </c>
      <c r="G12" s="186">
        <f>SUMIFS('caseload data'!I:I,'caseload data'!$D:$D,"TPO",'caseload data'!$C:$C,'custody caseload'!$B$8,'caseload data'!$B:$B,"custody")</f>
        <v>0</v>
      </c>
      <c r="H12" s="186">
        <f>SUMIFS('caseload data'!J:J,'caseload data'!$D:$D,"TPO",'caseload data'!$C:$C,'custody caseload'!$B$8,'caseload data'!$B:$B,"custody")</f>
        <v>0</v>
      </c>
      <c r="I12" s="186">
        <f>SUMIFS('caseload data'!K:K,'caseload data'!$D:$D,"TPO",'caseload data'!$C:$C,'custody caseload'!$B$8,'caseload data'!$B:$B,"custody")</f>
        <v>0</v>
      </c>
      <c r="J12" s="186">
        <f>SUMIFS('caseload data'!L:L,'caseload data'!$D:$D,"TPO",'caseload data'!$C:$C,'custody caseload'!$B$8,'caseload data'!$B:$B,"custody")</f>
        <v>0</v>
      </c>
      <c r="K12" s="204">
        <f>SUMIFS('caseload data'!M:M,'caseload data'!$D:$D,"TPO",'caseload data'!$C:$C,'custody caseload'!$B$8,'caseload data'!$B:$B,"custody")</f>
        <v>0</v>
      </c>
      <c r="L12" s="204">
        <f>SUMIFS('caseload data'!N:N,'caseload data'!$D:$D,"TPO",'caseload data'!$C:$C,'custody caseload'!$B$8,'caseload data'!$B:$B,"custody")</f>
        <v>0</v>
      </c>
      <c r="M12" s="204">
        <f>SUMIFS('caseload data'!O:O,'caseload data'!$D:$D,"TPO",'caseload data'!$C:$C,'custody caseload'!$B$8,'caseload data'!$B:$B,"custody")</f>
        <v>0</v>
      </c>
      <c r="N12" s="204">
        <f>SUMIFS('caseload data'!P:P,'caseload data'!$D:$D,"TPO",'caseload data'!$C:$C,'custody caseload'!$B$8,'caseload data'!$B:$B,"custody")</f>
        <v>0</v>
      </c>
      <c r="O12" s="204">
        <f>SUMIFS('caseload data'!Q:Q,'caseload data'!$D:$D,"TPO",'caseload data'!$C:$C,'custody caseload'!$B$8,'caseload data'!$B:$B,"custody")</f>
        <v>0</v>
      </c>
      <c r="P12" s="204">
        <f>SUMIFS('caseload data'!R:R,'caseload data'!$D:$D,"TPO",'caseload data'!$C:$C,'custody caseload'!$B$8,'caseload data'!$B:$B,"custody")</f>
        <v>0</v>
      </c>
      <c r="Q12" s="204">
        <f>SUMIFS('caseload data'!S:S,'caseload data'!$D:$D,"TPO",'caseload data'!$C:$C,'custody caseload'!$B$8,'caseload data'!$B:$B,"custody")</f>
        <v>0</v>
      </c>
      <c r="R12" s="204">
        <f>SUMIFS('caseload data'!T:T,'caseload data'!$D:$D,"TPO",'caseload data'!$C:$C,'custody caseload'!$B$8,'caseload data'!$B:$B,"custody")</f>
        <v>0</v>
      </c>
      <c r="S12" s="95"/>
      <c r="T12" s="130" t="s">
        <v>186</v>
      </c>
      <c r="U12" s="186">
        <f>SUMIFS('caseload data'!E:E,'caseload data'!$D:$D,"TPO",'caseload data'!$C:$C,'custody caseload'!$T$8,'caseload data'!$B:$B,"custody")</f>
        <v>0</v>
      </c>
      <c r="V12" s="186">
        <f>SUMIFS('caseload data'!F:F,'caseload data'!$D:$D,"TPO",'caseload data'!$C:$C,'custody caseload'!$T$8,'caseload data'!$B:$B,"custody")</f>
        <v>0</v>
      </c>
      <c r="W12" s="186">
        <f>SUMIFS('caseload data'!G:G,'caseload data'!$D:$D,"TPO",'caseload data'!$C:$C,'custody caseload'!$T$8,'caseload data'!$B:$B,"custody")</f>
        <v>0</v>
      </c>
      <c r="X12" s="186">
        <f>SUMIFS('caseload data'!H:H,'caseload data'!$D:$D,"TPO",'caseload data'!$C:$C,'custody caseload'!$T$8,'caseload data'!$B:$B,"custody")</f>
        <v>0</v>
      </c>
      <c r="Y12" s="186">
        <f>SUMIFS('caseload data'!I:I,'caseload data'!$D:$D,"TPO",'caseload data'!$C:$C,'custody caseload'!$T$8,'caseload data'!$B:$B,"custody")</f>
        <v>0</v>
      </c>
      <c r="Z12" s="186">
        <f>SUMIFS('caseload data'!J:J,'caseload data'!$D:$D,"TPO",'caseload data'!$C:$C,'custody caseload'!$T$8,'caseload data'!$B:$B,"custody")</f>
        <v>0</v>
      </c>
      <c r="AA12" s="186">
        <f>SUMIFS('caseload data'!K:K,'caseload data'!$D:$D,"TPO",'caseload data'!$C:$C,'custody caseload'!$T$8,'caseload data'!$B:$B,"custody")</f>
        <v>0</v>
      </c>
      <c r="AB12" s="186">
        <f>SUMIFS('caseload data'!L:L,'caseload data'!$D:$D,"TPO",'caseload data'!$C:$C,'custody caseload'!$T$8,'caseload data'!$B:$B,"custody")</f>
        <v>0</v>
      </c>
      <c r="AC12" s="204">
        <f>SUMIFS('caseload data'!M:M,'caseload data'!$D:$D,"TPO",'caseload data'!$C:$C,'custody caseload'!$T$8,'caseload data'!$B:$B,"custody")</f>
        <v>0</v>
      </c>
      <c r="AD12" s="204">
        <f>SUMIFS('caseload data'!N:N,'caseload data'!$D:$D,"TPO",'caseload data'!$C:$C,'custody caseload'!$T$8,'caseload data'!$B:$B,"custody")</f>
        <v>0</v>
      </c>
      <c r="AE12" s="204">
        <f>SUMIFS('caseload data'!O:O,'caseload data'!$D:$D,"TPO",'caseload data'!$C:$C,'custody caseload'!$T$8,'caseload data'!$B:$B,"custody")</f>
        <v>0</v>
      </c>
      <c r="AF12" s="204">
        <f>SUMIFS('caseload data'!P:P,'caseload data'!$D:$D,"TPO",'caseload data'!$C:$C,'custody caseload'!$T$8,'caseload data'!$B:$B,"custody")</f>
        <v>0</v>
      </c>
      <c r="AG12" s="204">
        <f>SUMIFS('caseload data'!Q:Q,'caseload data'!$D:$D,"TPO",'caseload data'!$C:$C,'custody caseload'!$T$8,'caseload data'!$B:$B,"custody")</f>
        <v>0</v>
      </c>
      <c r="AH12" s="204">
        <f>SUMIFS('caseload data'!R:R,'caseload data'!$D:$D,"TPO",'caseload data'!$C:$C,'custody caseload'!$T$8,'caseload data'!$B:$B,"custody")</f>
        <v>0</v>
      </c>
      <c r="AI12" s="204">
        <f>SUMIFS('caseload data'!S:S,'caseload data'!$D:$D,"TPO",'caseload data'!$C:$C,'custody caseload'!$T$8,'caseload data'!$B:$B,"custody")</f>
        <v>0</v>
      </c>
      <c r="AJ12" s="204">
        <f>SUMIFS('caseload data'!T:T,'caseload data'!$D:$D,"TPO",'caseload data'!$C:$C,'custody caseload'!$T$8,'caseload data'!$B:$B,"custody")</f>
        <v>0</v>
      </c>
    </row>
    <row r="13" spans="1:50" x14ac:dyDescent="0.15">
      <c r="B13" s="131" t="s">
        <v>187</v>
      </c>
      <c r="C13" s="204">
        <f>SUMIFS('caseload data'!E:E,'caseload data'!$D:$D,"SPO",'caseload data'!$C:$C,'custody caseload'!$B$8,'caseload data'!$B:$B,"custody")</f>
        <v>0</v>
      </c>
      <c r="D13" s="204">
        <f>SUMIFS('caseload data'!F:F,'caseload data'!$D:$D,"SPO",'caseload data'!$C:$C,'custody caseload'!$B$8,'caseload data'!$B:$B,"custody")</f>
        <v>0</v>
      </c>
      <c r="E13" s="204">
        <f>SUMIFS('caseload data'!G:G,'caseload data'!$D:$D,"SPO",'caseload data'!$C:$C,'custody caseload'!$B$8,'caseload data'!$B:$B,"custody")</f>
        <v>0</v>
      </c>
      <c r="F13" s="204">
        <f>SUMIFS('caseload data'!H:H,'caseload data'!$D:$D,"SPO",'caseload data'!$C:$C,'custody caseload'!$B$8,'caseload data'!$B:$B,"custody")</f>
        <v>0</v>
      </c>
      <c r="G13" s="204">
        <f>SUMIFS('caseload data'!I:I,'caseload data'!$D:$D,"SPO",'caseload data'!$C:$C,'custody caseload'!$B$8,'caseload data'!$B:$B,"custody")</f>
        <v>0</v>
      </c>
      <c r="H13" s="204">
        <f>SUMIFS('caseload data'!J:J,'caseload data'!$D:$D,"SPO",'caseload data'!$C:$C,'custody caseload'!$B$8,'caseload data'!$B:$B,"custody")</f>
        <v>0</v>
      </c>
      <c r="I13" s="204">
        <f>SUMIFS('caseload data'!K:K,'caseload data'!$D:$D,"SPO",'caseload data'!$C:$C,'custody caseload'!$B$8,'caseload data'!$B:$B,"custody")</f>
        <v>0</v>
      </c>
      <c r="J13" s="204">
        <f>SUMIFS('caseload data'!L:L,'caseload data'!$D:$D,"SPO",'caseload data'!$C:$C,'custody caseload'!$B$8,'caseload data'!$B:$B,"custody")</f>
        <v>0</v>
      </c>
      <c r="K13" s="204">
        <f>SUMIFS('caseload data'!M:M,'caseload data'!$D:$D,"SPO",'caseload data'!$C:$C,'custody caseload'!$B$8,'caseload data'!$B:$B,"custody")</f>
        <v>0</v>
      </c>
      <c r="L13" s="204">
        <f>SUMIFS('caseload data'!N:N,'caseload data'!$D:$D,"SPO",'caseload data'!$C:$C,'custody caseload'!$B$8,'caseload data'!$B:$B,"custody")</f>
        <v>0</v>
      </c>
      <c r="M13" s="204">
        <f>SUMIFS('caseload data'!O:O,'caseload data'!$D:$D,"SPO",'caseload data'!$C:$C,'custody caseload'!$B$8,'caseload data'!$B:$B,"custody")</f>
        <v>0</v>
      </c>
      <c r="N13" s="204">
        <f>SUMIFS('caseload data'!P:P,'caseload data'!$D:$D,"SPO",'caseload data'!$C:$C,'custody caseload'!$B$8,'caseload data'!$B:$B,"custody")</f>
        <v>0</v>
      </c>
      <c r="O13" s="204">
        <f>SUMIFS('caseload data'!Q:Q,'caseload data'!$D:$D,"SPO",'caseload data'!$C:$C,'custody caseload'!$B$8,'caseload data'!$B:$B,"custody")</f>
        <v>0</v>
      </c>
      <c r="P13" s="204">
        <f>SUMIFS('caseload data'!R:R,'caseload data'!$D:$D,"SPO",'caseload data'!$C:$C,'custody caseload'!$B$8,'caseload data'!$B:$B,"custody")</f>
        <v>0</v>
      </c>
      <c r="Q13" s="204">
        <f>SUMIFS('caseload data'!S:S,'caseload data'!$D:$D,"SPO",'caseload data'!$C:$C,'custody caseload'!$B$8,'caseload data'!$B:$B,"custody")</f>
        <v>0</v>
      </c>
      <c r="R13" s="204">
        <f>SUMIFS('caseload data'!T:T,'caseload data'!$D:$D,"SPO",'caseload data'!$C:$C,'custody caseload'!$B$8,'caseload data'!$B:$B,"custody")</f>
        <v>0</v>
      </c>
      <c r="S13" s="95"/>
      <c r="T13" s="131" t="s">
        <v>187</v>
      </c>
      <c r="U13" s="204">
        <f>SUMIFS('caseload data'!E:E,'caseload data'!$D:$D,"SPO",'caseload data'!$C:$C,'custody caseload'!$T$8,'caseload data'!$B:$B,"custody")</f>
        <v>0</v>
      </c>
      <c r="V13" s="204">
        <f>SUMIFS('caseload data'!F:F,'caseload data'!$D:$D,"SPO",'caseload data'!$C:$C,'custody caseload'!$T$8,'caseload data'!$B:$B,"custody")</f>
        <v>0</v>
      </c>
      <c r="W13" s="204">
        <f>SUMIFS('caseload data'!G:G,'caseload data'!$D:$D,"SPO",'caseload data'!$C:$C,'custody caseload'!$T$8,'caseload data'!$B:$B,"custody")</f>
        <v>0</v>
      </c>
      <c r="X13" s="204">
        <f>SUMIFS('caseload data'!H:H,'caseload data'!$D:$D,"SPO",'caseload data'!$C:$C,'custody caseload'!$T$8,'caseload data'!$B:$B,"custody")</f>
        <v>0</v>
      </c>
      <c r="Y13" s="204">
        <f>SUMIFS('caseload data'!I:I,'caseload data'!$D:$D,"SPO",'caseload data'!$C:$C,'custody caseload'!$T$8,'caseload data'!$B:$B,"custody")</f>
        <v>0</v>
      </c>
      <c r="Z13" s="204">
        <f>SUMIFS('caseload data'!J:J,'caseload data'!$D:$D,"SPO",'caseload data'!$C:$C,'custody caseload'!$T$8,'caseload data'!$B:$B,"custody")</f>
        <v>0</v>
      </c>
      <c r="AA13" s="204">
        <f>SUMIFS('caseload data'!K:K,'caseload data'!$D:$D,"SPO",'caseload data'!$C:$C,'custody caseload'!$T$8,'caseload data'!$B:$B,"custody")</f>
        <v>0</v>
      </c>
      <c r="AB13" s="204">
        <f>SUMIFS('caseload data'!L:L,'caseload data'!$D:$D,"SPO",'caseload data'!$C:$C,'custody caseload'!$T$8,'caseload data'!$B:$B,"custody")</f>
        <v>0</v>
      </c>
      <c r="AC13" s="204">
        <f>SUMIFS('caseload data'!M:M,'caseload data'!$D:$D,"SPO",'caseload data'!$C:$C,'custody caseload'!$T$8,'caseload data'!$B:$B,"custody")</f>
        <v>0</v>
      </c>
      <c r="AD13" s="204">
        <f>SUMIFS('caseload data'!N:N,'caseload data'!$D:$D,"SPO",'caseload data'!$C:$C,'custody caseload'!$T$8,'caseload data'!$B:$B,"custody")</f>
        <v>0</v>
      </c>
      <c r="AE13" s="204">
        <f>SUMIFS('caseload data'!O:O,'caseload data'!$D:$D,"SPO",'caseload data'!$C:$C,'custody caseload'!$T$8,'caseload data'!$B:$B,"custody")</f>
        <v>0</v>
      </c>
      <c r="AF13" s="204">
        <f>SUMIFS('caseload data'!P:P,'caseload data'!$D:$D,"SPO",'caseload data'!$C:$C,'custody caseload'!$T$8,'caseload data'!$B:$B,"custody")</f>
        <v>0</v>
      </c>
      <c r="AG13" s="204">
        <f>SUMIFS('caseload data'!Q:Q,'caseload data'!$D:$D,"SPO",'caseload data'!$C:$C,'custody caseload'!$T$8,'caseload data'!$B:$B,"custody")</f>
        <v>0</v>
      </c>
      <c r="AH13" s="204">
        <f>SUMIFS('caseload data'!R:R,'caseload data'!$D:$D,"SPO",'caseload data'!$C:$C,'custody caseload'!$T$8,'caseload data'!$B:$B,"custody")</f>
        <v>0</v>
      </c>
      <c r="AI13" s="204">
        <f>SUMIFS('caseload data'!S:S,'caseload data'!$D:$D,"SPO",'caseload data'!$C:$C,'custody caseload'!$T$8,'caseload data'!$B:$B,"custody")</f>
        <v>0</v>
      </c>
      <c r="AJ13" s="204">
        <f>SUMIFS('caseload data'!T:T,'caseload data'!$D:$D,"SPO",'caseload data'!$C:$C,'custody caseload'!$T$8,'caseload data'!$B:$B,"custody")</f>
        <v>0</v>
      </c>
    </row>
    <row r="14" spans="1:50" x14ac:dyDescent="0.15">
      <c r="B14" s="183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183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</row>
    <row r="15" spans="1:50" ht="30" customHeight="1" x14ac:dyDescent="0.15">
      <c r="B15" s="182" t="str">
        <f>HLOOKUP($B$5,Region_Table,4,0)</f>
        <v>Barking and Dagenham and Havering</v>
      </c>
      <c r="C15" s="359" t="s">
        <v>366</v>
      </c>
      <c r="D15" s="365"/>
      <c r="E15" s="365"/>
      <c r="F15" s="365"/>
      <c r="G15" s="365"/>
      <c r="H15" s="365"/>
      <c r="I15" s="365"/>
      <c r="J15" s="365"/>
      <c r="K15" s="365"/>
      <c r="L15" s="365"/>
      <c r="M15" s="368"/>
      <c r="N15" s="368"/>
      <c r="O15" s="369"/>
      <c r="P15" s="362">
        <f>SUMIFS('caseload data'!V:V,'caseload data'!B:B,"custody",'caseload data'!$C:$C,'custody caseload'!B15)</f>
        <v>0</v>
      </c>
      <c r="Q15" s="370"/>
      <c r="R15" s="371"/>
      <c r="S15" s="95"/>
      <c r="T15" s="182" t="str">
        <f>HLOOKUP($B$5,Region_Table,5,0)</f>
        <v>Brent - N07</v>
      </c>
      <c r="U15" s="359" t="s">
        <v>366</v>
      </c>
      <c r="V15" s="365"/>
      <c r="W15" s="365"/>
      <c r="X15" s="365"/>
      <c r="Y15" s="365"/>
      <c r="Z15" s="365"/>
      <c r="AA15" s="365"/>
      <c r="AB15" s="365"/>
      <c r="AC15" s="365"/>
      <c r="AD15" s="365"/>
      <c r="AE15" s="368"/>
      <c r="AF15" s="368"/>
      <c r="AG15" s="369"/>
      <c r="AH15" s="362">
        <f>SUMIFS('caseload data'!V:V,'caseload data'!B:B,"custody",'caseload data'!$C:$C,'custody caseload'!T15)</f>
        <v>0</v>
      </c>
      <c r="AI15" s="370"/>
      <c r="AJ15" s="371"/>
    </row>
    <row r="16" spans="1:50" x14ac:dyDescent="0.15">
      <c r="B16" s="127" t="s">
        <v>324</v>
      </c>
      <c r="C16" s="58" t="s">
        <v>504</v>
      </c>
      <c r="D16" s="58" t="s">
        <v>503</v>
      </c>
      <c r="E16" s="58" t="s">
        <v>502</v>
      </c>
      <c r="F16" s="58" t="s">
        <v>501</v>
      </c>
      <c r="G16" s="58" t="s">
        <v>510</v>
      </c>
      <c r="H16" s="58" t="s">
        <v>176</v>
      </c>
      <c r="I16" s="58" t="s">
        <v>177</v>
      </c>
      <c r="J16" s="58" t="s">
        <v>505</v>
      </c>
      <c r="K16" s="58" t="s">
        <v>507</v>
      </c>
      <c r="L16" s="58" t="s">
        <v>178</v>
      </c>
      <c r="M16" s="58" t="s">
        <v>179</v>
      </c>
      <c r="N16" s="58" t="s">
        <v>506</v>
      </c>
      <c r="O16" s="58" t="s">
        <v>508</v>
      </c>
      <c r="P16" s="58" t="s">
        <v>180</v>
      </c>
      <c r="Q16" s="58" t="s">
        <v>181</v>
      </c>
      <c r="R16" s="58" t="s">
        <v>509</v>
      </c>
      <c r="S16" s="95"/>
      <c r="T16" s="127" t="s">
        <v>324</v>
      </c>
      <c r="U16" s="58" t="s">
        <v>504</v>
      </c>
      <c r="V16" s="58" t="s">
        <v>503</v>
      </c>
      <c r="W16" s="58" t="s">
        <v>502</v>
      </c>
      <c r="X16" s="58" t="s">
        <v>501</v>
      </c>
      <c r="Y16" s="58" t="s">
        <v>510</v>
      </c>
      <c r="Z16" s="58" t="s">
        <v>176</v>
      </c>
      <c r="AA16" s="58" t="s">
        <v>177</v>
      </c>
      <c r="AB16" s="58" t="s">
        <v>505</v>
      </c>
      <c r="AC16" s="58" t="s">
        <v>507</v>
      </c>
      <c r="AD16" s="58" t="s">
        <v>178</v>
      </c>
      <c r="AE16" s="58" t="s">
        <v>179</v>
      </c>
      <c r="AF16" s="58" t="s">
        <v>506</v>
      </c>
      <c r="AG16" s="58" t="s">
        <v>508</v>
      </c>
      <c r="AH16" s="58" t="s">
        <v>180</v>
      </c>
      <c r="AI16" s="58" t="s">
        <v>181</v>
      </c>
      <c r="AJ16" s="58" t="s">
        <v>509</v>
      </c>
    </row>
    <row r="17" spans="2:36" x14ac:dyDescent="0.15">
      <c r="B17" s="129" t="s">
        <v>184</v>
      </c>
      <c r="C17" s="204">
        <f>SUMIFS('caseload data'!E:E,'caseload data'!$D:$D,"PO",'caseload data'!$C:$C,'custody caseload'!$B$15,'caseload data'!$B:$B,"custody")</f>
        <v>0</v>
      </c>
      <c r="D17" s="204">
        <f>SUMIFS('caseload data'!F:F,'caseload data'!$D:$D,"PO",'caseload data'!$C:$C,'custody caseload'!$B$15,'caseload data'!$B:$B,"custody")</f>
        <v>0</v>
      </c>
      <c r="E17" s="204">
        <f>SUMIFS('caseload data'!G:G,'caseload data'!$D:$D,"PO",'caseload data'!$C:$C,'custody caseload'!$B$15,'caseload data'!$B:$B,"custody")</f>
        <v>0</v>
      </c>
      <c r="F17" s="204">
        <f>SUMIFS('caseload data'!H:H,'caseload data'!$D:$D,"PO",'caseload data'!$C:$C,'custody caseload'!$B$15,'caseload data'!$B:$B,"custody")</f>
        <v>0</v>
      </c>
      <c r="G17" s="204">
        <f>SUMIFS('caseload data'!I:I,'caseload data'!$D:$D,"PO",'caseload data'!$C:$C,'custody caseload'!$B$15,'caseload data'!$B:$B,"custody")</f>
        <v>0</v>
      </c>
      <c r="H17" s="204">
        <f>SUMIFS('caseload data'!J:J,'caseload data'!$D:$D,"PO",'caseload data'!$C:$C,'custody caseload'!$B$15,'caseload data'!$B:$B,"custody")</f>
        <v>0</v>
      </c>
      <c r="I17" s="204">
        <f>SUMIFS('caseload data'!K:K,'caseload data'!$D:$D,"PO",'caseload data'!$C:$C,'custody caseload'!$B$15,'caseload data'!$B:$B,"custody")</f>
        <v>0</v>
      </c>
      <c r="J17" s="204">
        <f>SUMIFS('caseload data'!L:L,'caseload data'!$D:$D,"PO",'caseload data'!$C:$C,'custody caseload'!$B$15,'caseload data'!$B:$B,"custody")</f>
        <v>0</v>
      </c>
      <c r="K17" s="204">
        <f>SUMIFS('caseload data'!M:M,'caseload data'!$D:$D,"PO",'caseload data'!$C:$C,'custody caseload'!$B$15,'caseload data'!$B:$B,"custody")</f>
        <v>0</v>
      </c>
      <c r="L17" s="204">
        <f>SUMIFS('caseload data'!N:N,'caseload data'!$D:$D,"PO",'caseload data'!$C:$C,'custody caseload'!$B$15,'caseload data'!$B:$B,"custody")</f>
        <v>0</v>
      </c>
      <c r="M17" s="204">
        <f>SUMIFS('caseload data'!O:O,'caseload data'!$D:$D,"PO",'caseload data'!$C:$C,'custody caseload'!$B$15,'caseload data'!$B:$B,"custody")</f>
        <v>0</v>
      </c>
      <c r="N17" s="204">
        <f>SUMIFS('caseload data'!P:P,'caseload data'!$D:$D,"PO",'caseload data'!$C:$C,'custody caseload'!$B$15,'caseload data'!$B:$B,"custody")</f>
        <v>0</v>
      </c>
      <c r="O17" s="204">
        <f>SUMIFS('caseload data'!Q:Q,'caseload data'!$D:$D,"PO",'caseload data'!$C:$C,'custody caseload'!$B$15,'caseload data'!$B:$B,"custody")</f>
        <v>0</v>
      </c>
      <c r="P17" s="204">
        <f>SUMIFS('caseload data'!R:R,'caseload data'!$D:$D,"PO",'caseload data'!$C:$C,'custody caseload'!$B$15,'caseload data'!$B:$B,"custody")</f>
        <v>0</v>
      </c>
      <c r="Q17" s="204">
        <f>SUMIFS('caseload data'!S:S,'caseload data'!$D:$D,"PO",'caseload data'!$C:$C,'custody caseload'!$B$15,'caseload data'!$B:$B,"custody")</f>
        <v>0</v>
      </c>
      <c r="R17" s="204">
        <f>SUMIFS('caseload data'!T:T,'caseload data'!$D:$D,"PO",'caseload data'!$C:$C,'custody caseload'!$B$15,'caseload data'!$B:$B,"custody")</f>
        <v>0</v>
      </c>
      <c r="S17" s="95"/>
      <c r="T17" s="129" t="s">
        <v>184</v>
      </c>
      <c r="U17" s="204">
        <f>SUMIFS('caseload data'!E:E,'caseload data'!$D:$D,"PO",'caseload data'!$C:$C,'custody caseload'!$T$15,'caseload data'!$B:$B,"custody")</f>
        <v>0</v>
      </c>
      <c r="V17" s="204">
        <f>SUMIFS('caseload data'!F:F,'caseload data'!$D:$D,"PO",'caseload data'!$C:$C,'custody caseload'!$T$15,'caseload data'!$B:$B,"custody")</f>
        <v>0</v>
      </c>
      <c r="W17" s="204">
        <f>SUMIFS('caseload data'!G:G,'caseload data'!$D:$D,"PO",'caseload data'!$C:$C,'custody caseload'!$T$15,'caseload data'!$B:$B,"custody")</f>
        <v>0</v>
      </c>
      <c r="X17" s="204">
        <f>SUMIFS('caseload data'!H:H,'caseload data'!$D:$D,"PO",'caseload data'!$C:$C,'custody caseload'!$T$15,'caseload data'!$B:$B,"custody")</f>
        <v>0</v>
      </c>
      <c r="Y17" s="204">
        <f>SUMIFS('caseload data'!I:I,'caseload data'!$D:$D,"PO",'caseload data'!$C:$C,'custody caseload'!$T$15,'caseload data'!$B:$B,"custody")</f>
        <v>0</v>
      </c>
      <c r="Z17" s="204">
        <f>SUMIFS('caseload data'!J:J,'caseload data'!$D:$D,"PO",'caseload data'!$C:$C,'custody caseload'!$T$15,'caseload data'!$B:$B,"custody")</f>
        <v>0</v>
      </c>
      <c r="AA17" s="204">
        <f>SUMIFS('caseload data'!K:K,'caseload data'!$D:$D,"PO",'caseload data'!$C:$C,'custody caseload'!$T$15,'caseload data'!$B:$B,"custody")</f>
        <v>0</v>
      </c>
      <c r="AB17" s="204">
        <f>SUMIFS('caseload data'!L:L,'caseload data'!$D:$D,"PO",'caseload data'!$C:$C,'custody caseload'!$T$15,'caseload data'!$B:$B,"custody")</f>
        <v>0</v>
      </c>
      <c r="AC17" s="204">
        <f>SUMIFS('caseload data'!M:M,'caseload data'!$D:$D,"PO",'caseload data'!$C:$C,'custody caseload'!$T$15,'caseload data'!$B:$B,"custody")</f>
        <v>0</v>
      </c>
      <c r="AD17" s="204">
        <f>SUMIFS('caseload data'!N:N,'caseload data'!$D:$D,"PO",'caseload data'!$C:$C,'custody caseload'!$T$15,'caseload data'!$B:$B,"custody")</f>
        <v>0</v>
      </c>
      <c r="AE17" s="204">
        <f>SUMIFS('caseload data'!O:O,'caseload data'!$D:$D,"PO",'caseload data'!$C:$C,'custody caseload'!$T$15,'caseload data'!$B:$B,"custody")</f>
        <v>0</v>
      </c>
      <c r="AF17" s="204">
        <f>SUMIFS('caseload data'!P:P,'caseload data'!$D:$D,"PO",'caseload data'!$C:$C,'custody caseload'!$T$15,'caseload data'!$B:$B,"custody")</f>
        <v>0</v>
      </c>
      <c r="AG17" s="204">
        <f>SUMIFS('caseload data'!Q:Q,'caseload data'!$D:$D,"PO",'caseload data'!$C:$C,'custody caseload'!$T$15,'caseload data'!$B:$B,"custody")</f>
        <v>0</v>
      </c>
      <c r="AH17" s="204">
        <f>SUMIFS('caseload data'!R:R,'caseload data'!$D:$D,"PO",'caseload data'!$C:$C,'custody caseload'!$T$15,'caseload data'!$B:$B,"custody")</f>
        <v>0</v>
      </c>
      <c r="AI17" s="204">
        <f>SUMIFS('caseload data'!S:S,'caseload data'!$D:$D,"PO",'caseload data'!$C:$C,'custody caseload'!$T$15,'caseload data'!$B:$B,"custody")</f>
        <v>0</v>
      </c>
      <c r="AJ17" s="204">
        <f>SUMIFS('caseload data'!T:T,'caseload data'!$D:$D,"PO",'caseload data'!$C:$C,'custody caseload'!$T$15,'caseload data'!$B:$B,"custody")</f>
        <v>0</v>
      </c>
    </row>
    <row r="18" spans="2:36" ht="15" x14ac:dyDescent="0.2">
      <c r="B18" s="130" t="s">
        <v>185</v>
      </c>
      <c r="C18" s="186">
        <f>SUMIFS('caseload data'!E:E,'caseload data'!$D:$D,"PSO",'caseload data'!$C:$C,'custody caseload'!$B$15,'caseload data'!$B:$B,"custody")</f>
        <v>0</v>
      </c>
      <c r="D18" s="186">
        <f>SUMIFS('caseload data'!F:F,'caseload data'!$D:$D,"PSO",'caseload data'!$C:$C,'custody caseload'!$B$15,'caseload data'!$B:$B,"custody")</f>
        <v>0</v>
      </c>
      <c r="E18" s="186">
        <f>SUMIFS('caseload data'!G:G,'caseload data'!$D:$D,"PSO",'caseload data'!$C:$C,'custody caseload'!$B$15,'caseload data'!$B:$B,"custody")</f>
        <v>0</v>
      </c>
      <c r="F18" s="186">
        <f>SUMIFS('caseload data'!H:H,'caseload data'!$D:$D,"PSO",'caseload data'!$C:$C,'custody caseload'!$B$15,'caseload data'!$B:$B,"custody")</f>
        <v>0</v>
      </c>
      <c r="G18" s="186">
        <f>SUMIFS('caseload data'!I:I,'caseload data'!$D:$D,"PSO",'caseload data'!$C:$C,'custody caseload'!$B$15,'caseload data'!$B:$B,"custody")</f>
        <v>0</v>
      </c>
      <c r="H18" s="186">
        <f>SUMIFS('caseload data'!J:J,'caseload data'!$D:$D,"PSO",'caseload data'!$C:$C,'custody caseload'!$B$15,'caseload data'!$B:$B,"custody")</f>
        <v>0</v>
      </c>
      <c r="I18" s="186">
        <f>SUMIFS('caseload data'!K:K,'caseload data'!$D:$D,"PSO",'caseload data'!$C:$C,'custody caseload'!$B$15,'caseload data'!$B:$B,"custody")</f>
        <v>0</v>
      </c>
      <c r="J18" s="186">
        <f>SUMIFS('caseload data'!L:L,'caseload data'!$D:$D,"PSO",'caseload data'!$C:$C,'custody caseload'!$B$15,'caseload data'!$B:$B,"custody")</f>
        <v>0</v>
      </c>
      <c r="K18" s="204">
        <f>SUMIFS('caseload data'!M:M,'caseload data'!$D:$D,"PSO",'caseload data'!$C:$C,'custody caseload'!$B$15,'caseload data'!$B:$B,"custody")</f>
        <v>0</v>
      </c>
      <c r="L18" s="204">
        <f>SUMIFS('caseload data'!N:N,'caseload data'!$D:$D,"PSO",'caseload data'!$C:$C,'custody caseload'!$B$15,'caseload data'!$B:$B,"custody")</f>
        <v>0</v>
      </c>
      <c r="M18" s="204">
        <f>SUMIFS('caseload data'!O:O,'caseload data'!$D:$D,"PSO",'caseload data'!$C:$C,'custody caseload'!$B$15,'caseload data'!$B:$B,"custody")</f>
        <v>0</v>
      </c>
      <c r="N18" s="204">
        <f>SUMIFS('caseload data'!P:P,'caseload data'!$D:$D,"PSO",'caseload data'!$C:$C,'custody caseload'!$B$15,'caseload data'!$B:$B,"custody")</f>
        <v>0</v>
      </c>
      <c r="O18" s="204">
        <f>SUMIFS('caseload data'!Q:Q,'caseload data'!$D:$D,"PSO",'caseload data'!$C:$C,'custody caseload'!$B$15,'caseload data'!$B:$B,"custody")</f>
        <v>0</v>
      </c>
      <c r="P18" s="204">
        <f>SUMIFS('caseload data'!R:R,'caseload data'!$D:$D,"PSO",'caseload data'!$C:$C,'custody caseload'!$B$15,'caseload data'!$B:$B,"custody")</f>
        <v>0</v>
      </c>
      <c r="Q18" s="204">
        <f>SUMIFS('caseload data'!S:S,'caseload data'!$D:$D,"PSO",'caseload data'!$C:$C,'custody caseload'!$B$15,'caseload data'!$B:$B,"custody")</f>
        <v>0</v>
      </c>
      <c r="R18" s="204">
        <f>SUMIFS('caseload data'!T:T,'caseload data'!$D:$D,"PSO",'caseload data'!$C:$C,'custody caseload'!$B$15,'caseload data'!$B:$B,"custody")</f>
        <v>0</v>
      </c>
      <c r="S18" s="95"/>
      <c r="T18" s="130" t="s">
        <v>185</v>
      </c>
      <c r="U18" s="186">
        <f>SUMIFS('caseload data'!E:E,'caseload data'!$D:$D,"PSO",'caseload data'!$C:$C,'custody caseload'!$T$15,'caseload data'!$B:$B,"custody")</f>
        <v>0</v>
      </c>
      <c r="V18" s="186">
        <f>SUMIFS('caseload data'!F:F,'caseload data'!$D:$D,"PSO",'caseload data'!$C:$C,'custody caseload'!$T$15,'caseload data'!$B:$B,"custody")</f>
        <v>0</v>
      </c>
      <c r="W18" s="186">
        <f>SUMIFS('caseload data'!G:G,'caseload data'!$D:$D,"PSO",'caseload data'!$C:$C,'custody caseload'!$T$15,'caseload data'!$B:$B,"custody")</f>
        <v>0</v>
      </c>
      <c r="X18" s="186">
        <f>SUMIFS('caseload data'!H:H,'caseload data'!$D:$D,"PSO",'caseload data'!$C:$C,'custody caseload'!$T$15,'caseload data'!$B:$B,"custody")</f>
        <v>0</v>
      </c>
      <c r="Y18" s="186">
        <f>SUMIFS('caseload data'!I:I,'caseload data'!$D:$D,"PSO",'caseload data'!$C:$C,'custody caseload'!$T$15,'caseload data'!$B:$B,"custody")</f>
        <v>0</v>
      </c>
      <c r="Z18" s="186">
        <f>SUMIFS('caseload data'!J:J,'caseload data'!$D:$D,"PSO",'caseload data'!$C:$C,'custody caseload'!$T$15,'caseload data'!$B:$B,"custody")</f>
        <v>0</v>
      </c>
      <c r="AA18" s="186">
        <f>SUMIFS('caseload data'!K:K,'caseload data'!$D:$D,"PSO",'caseload data'!$C:$C,'custody caseload'!$T$15,'caseload data'!$B:$B,"custody")</f>
        <v>0</v>
      </c>
      <c r="AB18" s="186">
        <f>SUMIFS('caseload data'!L:L,'caseload data'!$D:$D,"PSO",'caseload data'!$C:$C,'custody caseload'!$T$15,'caseload data'!$B:$B,"custody")</f>
        <v>0</v>
      </c>
      <c r="AC18" s="204">
        <f>SUMIFS('caseload data'!M:M,'caseload data'!$D:$D,"PSO",'caseload data'!$C:$C,'custody caseload'!$T$15,'caseload data'!$B:$B,"custody")</f>
        <v>0</v>
      </c>
      <c r="AD18" s="204">
        <f>SUMIFS('caseload data'!N:N,'caseload data'!$D:$D,"PSO",'caseload data'!$C:$C,'custody caseload'!$T$15,'caseload data'!$B:$B,"custody")</f>
        <v>0</v>
      </c>
      <c r="AE18" s="204">
        <f>SUMIFS('caseload data'!O:O,'caseload data'!$D:$D,"PSO",'caseload data'!$C:$C,'custody caseload'!$T$15,'caseload data'!$B:$B,"custody")</f>
        <v>0</v>
      </c>
      <c r="AF18" s="204">
        <f>SUMIFS('caseload data'!P:P,'caseload data'!$D:$D,"PSO",'caseload data'!$C:$C,'custody caseload'!$T$15,'caseload data'!$B:$B,"custody")</f>
        <v>0</v>
      </c>
      <c r="AG18" s="204">
        <f>SUMIFS('caseload data'!Q:Q,'caseload data'!$D:$D,"PSO",'caseload data'!$C:$C,'custody caseload'!$T$15,'caseload data'!$B:$B,"custody")</f>
        <v>0</v>
      </c>
      <c r="AH18" s="204">
        <f>SUMIFS('caseload data'!R:R,'caseload data'!$D:$D,"PSO",'caseload data'!$C:$C,'custody caseload'!$T$15,'caseload data'!$B:$B,"custody")</f>
        <v>0</v>
      </c>
      <c r="AI18" s="204">
        <f>SUMIFS('caseload data'!S:S,'caseload data'!$D:$D,"PSO",'caseload data'!$C:$C,'custody caseload'!$T$15,'caseload data'!$B:$B,"custody")</f>
        <v>0</v>
      </c>
      <c r="AJ18" s="204">
        <f>SUMIFS('caseload data'!T:T,'caseload data'!$D:$D,"PSO",'caseload data'!$C:$C,'custody caseload'!$T$15,'caseload data'!$B:$B,"custody")</f>
        <v>0</v>
      </c>
    </row>
    <row r="19" spans="2:36" ht="15" x14ac:dyDescent="0.2">
      <c r="B19" s="130" t="s">
        <v>186</v>
      </c>
      <c r="C19" s="186">
        <f>SUMIFS('caseload data'!E:E,'caseload data'!$D:$D,"TPO",'caseload data'!$C:$C,'custody caseload'!$B$15,'caseload data'!$B:$B,"custody")</f>
        <v>0</v>
      </c>
      <c r="D19" s="186">
        <f>SUMIFS('caseload data'!F:F,'caseload data'!$D:$D,"TPO",'caseload data'!$C:$C,'custody caseload'!$B$15,'caseload data'!$B:$B,"custody")</f>
        <v>0</v>
      </c>
      <c r="E19" s="186">
        <f>SUMIFS('caseload data'!G:G,'caseload data'!$D:$D,"TPO",'caseload data'!$C:$C,'custody caseload'!$B$15,'caseload data'!$B:$B,"custody")</f>
        <v>0</v>
      </c>
      <c r="F19" s="186">
        <f>SUMIFS('caseload data'!H:H,'caseload data'!$D:$D,"TPO",'caseload data'!$C:$C,'custody caseload'!$B$15,'caseload data'!$B:$B,"custody")</f>
        <v>0</v>
      </c>
      <c r="G19" s="186">
        <f>SUMIFS('caseload data'!I:I,'caseload data'!$D:$D,"TPO",'caseload data'!$C:$C,'custody caseload'!$B$15,'caseload data'!$B:$B,"custody")</f>
        <v>0</v>
      </c>
      <c r="H19" s="186">
        <f>SUMIFS('caseload data'!J:J,'caseload data'!$D:$D,"TPO",'caseload data'!$C:$C,'custody caseload'!$B$15,'caseload data'!$B:$B,"custody")</f>
        <v>0</v>
      </c>
      <c r="I19" s="186">
        <f>SUMIFS('caseload data'!K:K,'caseload data'!$D:$D,"TPO",'caseload data'!$C:$C,'custody caseload'!$B$15,'caseload data'!$B:$B,"custody")</f>
        <v>0</v>
      </c>
      <c r="J19" s="186">
        <f>SUMIFS('caseload data'!L:L,'caseload data'!$D:$D,"TPO",'caseload data'!$C:$C,'custody caseload'!$B$15,'caseload data'!$B:$B,"custody")</f>
        <v>0</v>
      </c>
      <c r="K19" s="204">
        <f>SUMIFS('caseload data'!M:M,'caseload data'!$D:$D,"TPO",'caseload data'!$C:$C,'custody caseload'!$B$15,'caseload data'!$B:$B,"custody")</f>
        <v>0</v>
      </c>
      <c r="L19" s="204">
        <f>SUMIFS('caseload data'!N:N,'caseload data'!$D:$D,"TPO",'caseload data'!$C:$C,'custody caseload'!$B$15,'caseload data'!$B:$B,"custody")</f>
        <v>0</v>
      </c>
      <c r="M19" s="204">
        <f>SUMIFS('caseload data'!O:O,'caseload data'!$D:$D,"TPO",'caseload data'!$C:$C,'custody caseload'!$B$15,'caseload data'!$B:$B,"custody")</f>
        <v>0</v>
      </c>
      <c r="N19" s="204">
        <f>SUMIFS('caseload data'!P:P,'caseload data'!$D:$D,"TPO",'caseload data'!$C:$C,'custody caseload'!$B$15,'caseload data'!$B:$B,"custody")</f>
        <v>0</v>
      </c>
      <c r="O19" s="204">
        <f>SUMIFS('caseload data'!Q:Q,'caseload data'!$D:$D,"TPO",'caseload data'!$C:$C,'custody caseload'!$B$15,'caseload data'!$B:$B,"custody")</f>
        <v>0</v>
      </c>
      <c r="P19" s="204">
        <f>SUMIFS('caseload data'!R:R,'caseload data'!$D:$D,"TPO",'caseload data'!$C:$C,'custody caseload'!$B$15,'caseload data'!$B:$B,"custody")</f>
        <v>0</v>
      </c>
      <c r="Q19" s="204">
        <f>SUMIFS('caseload data'!S:S,'caseload data'!$D:$D,"TPO",'caseload data'!$C:$C,'custody caseload'!$B$15,'caseload data'!$B:$B,"custody")</f>
        <v>0</v>
      </c>
      <c r="R19" s="204">
        <f>SUMIFS('caseload data'!T:T,'caseload data'!$D:$D,"TPO",'caseload data'!$C:$C,'custody caseload'!$B$15,'caseload data'!$B:$B,"custody")</f>
        <v>0</v>
      </c>
      <c r="S19" s="95"/>
      <c r="T19" s="130" t="s">
        <v>186</v>
      </c>
      <c r="U19" s="186">
        <f>SUMIFS('caseload data'!E:E,'caseload data'!$D:$D,"TPO",'caseload data'!$C:$C,'custody caseload'!$T$15,'caseload data'!$B:$B,"custody")</f>
        <v>0</v>
      </c>
      <c r="V19" s="186">
        <f>SUMIFS('caseload data'!F:F,'caseload data'!$D:$D,"TPO",'caseload data'!$C:$C,'custody caseload'!$T$15,'caseload data'!$B:$B,"custody")</f>
        <v>0</v>
      </c>
      <c r="W19" s="186">
        <f>SUMIFS('caseload data'!G:G,'caseload data'!$D:$D,"TPO",'caseload data'!$C:$C,'custody caseload'!$T$15,'caseload data'!$B:$B,"custody")</f>
        <v>0</v>
      </c>
      <c r="X19" s="186">
        <f>SUMIFS('caseload data'!H:H,'caseload data'!$D:$D,"TPO",'caseload data'!$C:$C,'custody caseload'!$T$15,'caseload data'!$B:$B,"custody")</f>
        <v>0</v>
      </c>
      <c r="Y19" s="186">
        <f>SUMIFS('caseload data'!I:I,'caseload data'!$D:$D,"TPO",'caseload data'!$C:$C,'custody caseload'!$T$15,'caseload data'!$B:$B,"custody")</f>
        <v>0</v>
      </c>
      <c r="Z19" s="186">
        <f>SUMIFS('caseload data'!J:J,'caseload data'!$D:$D,"TPO",'caseload data'!$C:$C,'custody caseload'!$T$15,'caseload data'!$B:$B,"custody")</f>
        <v>0</v>
      </c>
      <c r="AA19" s="186">
        <f>SUMIFS('caseload data'!K:K,'caseload data'!$D:$D,"TPO",'caseload data'!$C:$C,'custody caseload'!$T$15,'caseload data'!$B:$B,"custody")</f>
        <v>0</v>
      </c>
      <c r="AB19" s="186">
        <f>SUMIFS('caseload data'!L:L,'caseload data'!$D:$D,"TPO",'caseload data'!$C:$C,'custody caseload'!$T$15,'caseload data'!$B:$B,"custody")</f>
        <v>0</v>
      </c>
      <c r="AC19" s="204">
        <f>SUMIFS('caseload data'!M:M,'caseload data'!$D:$D,"TPO",'caseload data'!$C:$C,'custody caseload'!$T$15,'caseload data'!$B:$B,"custody")</f>
        <v>0</v>
      </c>
      <c r="AD19" s="204">
        <f>SUMIFS('caseload data'!N:N,'caseload data'!$D:$D,"TPO",'caseload data'!$C:$C,'custody caseload'!$T$15,'caseload data'!$B:$B,"custody")</f>
        <v>0</v>
      </c>
      <c r="AE19" s="204">
        <f>SUMIFS('caseload data'!O:O,'caseload data'!$D:$D,"TPO",'caseload data'!$C:$C,'custody caseload'!$T$15,'caseload data'!$B:$B,"custody")</f>
        <v>0</v>
      </c>
      <c r="AF19" s="204">
        <f>SUMIFS('caseload data'!P:P,'caseload data'!$D:$D,"TPO",'caseload data'!$C:$C,'custody caseload'!$T$15,'caseload data'!$B:$B,"custody")</f>
        <v>0</v>
      </c>
      <c r="AG19" s="204">
        <f>SUMIFS('caseload data'!Q:Q,'caseload data'!$D:$D,"TPO",'caseload data'!$C:$C,'custody caseload'!$T$15,'caseload data'!$B:$B,"custody")</f>
        <v>0</v>
      </c>
      <c r="AH19" s="204">
        <f>SUMIFS('caseload data'!R:R,'caseload data'!$D:$D,"TPO",'caseload data'!$C:$C,'custody caseload'!$T$15,'caseload data'!$B:$B,"custody")</f>
        <v>0</v>
      </c>
      <c r="AI19" s="204">
        <f>SUMIFS('caseload data'!S:S,'caseload data'!$D:$D,"TPO",'caseload data'!$C:$C,'custody caseload'!$T$15,'caseload data'!$B:$B,"custody")</f>
        <v>0</v>
      </c>
      <c r="AJ19" s="204">
        <f>SUMIFS('caseload data'!T:T,'caseload data'!$D:$D,"TPO",'caseload data'!$C:$C,'custody caseload'!$T$15,'caseload data'!$B:$B,"custody")</f>
        <v>0</v>
      </c>
    </row>
    <row r="20" spans="2:36" x14ac:dyDescent="0.15">
      <c r="B20" s="131" t="s">
        <v>187</v>
      </c>
      <c r="C20" s="204">
        <f>SUMIFS('caseload data'!E:E,'caseload data'!$D:$D,"SPO",'caseload data'!$C:$C,'custody caseload'!$B$15,'caseload data'!$B:$B,"custody")</f>
        <v>0</v>
      </c>
      <c r="D20" s="204">
        <f>SUMIFS('caseload data'!F:F,'caseload data'!$D:$D,"SPO",'caseload data'!$C:$C,'custody caseload'!$B$15,'caseload data'!$B:$B,"custody")</f>
        <v>0</v>
      </c>
      <c r="E20" s="204">
        <f>SUMIFS('caseload data'!G:G,'caseload data'!$D:$D,"SPO",'caseload data'!$C:$C,'custody caseload'!$B$15,'caseload data'!$B:$B,"custody")</f>
        <v>0</v>
      </c>
      <c r="F20" s="204">
        <f>SUMIFS('caseload data'!H:H,'caseload data'!$D:$D,"SPO",'caseload data'!$C:$C,'custody caseload'!$B$15,'caseload data'!$B:$B,"custody")</f>
        <v>0</v>
      </c>
      <c r="G20" s="204">
        <f>SUMIFS('caseload data'!I:I,'caseload data'!$D:$D,"SPO",'caseload data'!$C:$C,'custody caseload'!$B$15,'caseload data'!$B:$B,"custody")</f>
        <v>0</v>
      </c>
      <c r="H20" s="204">
        <f>SUMIFS('caseload data'!J:J,'caseload data'!$D:$D,"SPO",'caseload data'!$C:$C,'custody caseload'!$B$15,'caseload data'!$B:$B,"custody")</f>
        <v>0</v>
      </c>
      <c r="I20" s="204">
        <f>SUMIFS('caseload data'!K:K,'caseload data'!$D:$D,"SPO",'caseload data'!$C:$C,'custody caseload'!$B$15,'caseload data'!$B:$B,"custody")</f>
        <v>0</v>
      </c>
      <c r="J20" s="204">
        <f>SUMIFS('caseload data'!L:L,'caseload data'!$D:$D,"SPO",'caseload data'!$C:$C,'custody caseload'!$B$15,'caseload data'!$B:$B,"custody")</f>
        <v>0</v>
      </c>
      <c r="K20" s="204">
        <f>SUMIFS('caseload data'!M:M,'caseload data'!$D:$D,"SPO",'caseload data'!$C:$C,'custody caseload'!$B$15,'caseload data'!$B:$B,"custody")</f>
        <v>0</v>
      </c>
      <c r="L20" s="204">
        <f>SUMIFS('caseload data'!N:N,'caseload data'!$D:$D,"SPO",'caseload data'!$C:$C,'custody caseload'!$B$15,'caseload data'!$B:$B,"custody")</f>
        <v>0</v>
      </c>
      <c r="M20" s="204">
        <f>SUMIFS('caseload data'!O:O,'caseload data'!$D:$D,"SPO",'caseload data'!$C:$C,'custody caseload'!$B$15,'caseload data'!$B:$B,"custody")</f>
        <v>0</v>
      </c>
      <c r="N20" s="204">
        <f>SUMIFS('caseload data'!P:P,'caseload data'!$D:$D,"SPO",'caseload data'!$C:$C,'custody caseload'!$B$15,'caseload data'!$B:$B,"custody")</f>
        <v>0</v>
      </c>
      <c r="O20" s="204">
        <f>SUMIFS('caseload data'!Q:Q,'caseload data'!$D:$D,"SPO",'caseload data'!$C:$C,'custody caseload'!$B$15,'caseload data'!$B:$B,"custody")</f>
        <v>0</v>
      </c>
      <c r="P20" s="204">
        <f>SUMIFS('caseload data'!R:R,'caseload data'!$D:$D,"SPO",'caseload data'!$C:$C,'custody caseload'!$B$15,'caseload data'!$B:$B,"custody")</f>
        <v>0</v>
      </c>
      <c r="Q20" s="204">
        <f>SUMIFS('caseload data'!S:S,'caseload data'!$D:$D,"SPO",'caseload data'!$C:$C,'custody caseload'!$B$15,'caseload data'!$B:$B,"custody")</f>
        <v>0</v>
      </c>
      <c r="R20" s="204">
        <f>SUMIFS('caseload data'!T:T,'caseload data'!$D:$D,"SPO",'caseload data'!$C:$C,'custody caseload'!$B$15,'caseload data'!$B:$B,"custody")</f>
        <v>0</v>
      </c>
      <c r="S20" s="95"/>
      <c r="T20" s="131" t="s">
        <v>187</v>
      </c>
      <c r="U20" s="204">
        <f>SUMIFS('caseload data'!E:E,'caseload data'!$D:$D,"SPO",'caseload data'!$C:$C,'custody caseload'!$T$15,'caseload data'!$B:$B,"custody")</f>
        <v>0</v>
      </c>
      <c r="V20" s="204">
        <f>SUMIFS('caseload data'!F:F,'caseload data'!$D:$D,"SPO",'caseload data'!$C:$C,'custody caseload'!$T$15,'caseload data'!$B:$B,"custody")</f>
        <v>0</v>
      </c>
      <c r="W20" s="204">
        <f>SUMIFS('caseload data'!G:G,'caseload data'!$D:$D,"SPO",'caseload data'!$C:$C,'custody caseload'!$T$15,'caseload data'!$B:$B,"custody")</f>
        <v>0</v>
      </c>
      <c r="X20" s="204">
        <f>SUMIFS('caseload data'!H:H,'caseload data'!$D:$D,"SPO",'caseload data'!$C:$C,'custody caseload'!$T$15,'caseload data'!$B:$B,"custody")</f>
        <v>0</v>
      </c>
      <c r="Y20" s="204">
        <f>SUMIFS('caseload data'!I:I,'caseload data'!$D:$D,"SPO",'caseload data'!$C:$C,'custody caseload'!$T$15,'caseload data'!$B:$B,"custody")</f>
        <v>0</v>
      </c>
      <c r="Z20" s="204">
        <f>SUMIFS('caseload data'!J:J,'caseload data'!$D:$D,"SPO",'caseload data'!$C:$C,'custody caseload'!$T$15,'caseload data'!$B:$B,"custody")</f>
        <v>0</v>
      </c>
      <c r="AA20" s="204">
        <f>SUMIFS('caseload data'!K:K,'caseload data'!$D:$D,"SPO",'caseload data'!$C:$C,'custody caseload'!$T$15,'caseload data'!$B:$B,"custody")</f>
        <v>0</v>
      </c>
      <c r="AB20" s="204">
        <f>SUMIFS('caseload data'!L:L,'caseload data'!$D:$D,"SPO",'caseload data'!$C:$C,'custody caseload'!$T$15,'caseload data'!$B:$B,"custody")</f>
        <v>0</v>
      </c>
      <c r="AC20" s="204">
        <f>SUMIFS('caseload data'!M:M,'caseload data'!$D:$D,"SPO",'caseload data'!$C:$C,'custody caseload'!$T$15,'caseload data'!$B:$B,"custody")</f>
        <v>0</v>
      </c>
      <c r="AD20" s="204">
        <f>SUMIFS('caseload data'!N:N,'caseload data'!$D:$D,"SPO",'caseload data'!$C:$C,'custody caseload'!$T$15,'caseload data'!$B:$B,"custody")</f>
        <v>0</v>
      </c>
      <c r="AE20" s="204">
        <f>SUMIFS('caseload data'!O:O,'caseload data'!$D:$D,"SPO",'caseload data'!$C:$C,'custody caseload'!$T$15,'caseload data'!$B:$B,"custody")</f>
        <v>0</v>
      </c>
      <c r="AF20" s="204">
        <f>SUMIFS('caseload data'!P:P,'caseload data'!$D:$D,"SPO",'caseload data'!$C:$C,'custody caseload'!$T$15,'caseload data'!$B:$B,"custody")</f>
        <v>0</v>
      </c>
      <c r="AG20" s="204">
        <f>SUMIFS('caseload data'!Q:Q,'caseload data'!$D:$D,"SPO",'caseload data'!$C:$C,'custody caseload'!$T$15,'caseload data'!$B:$B,"custody")</f>
        <v>0</v>
      </c>
      <c r="AH20" s="204">
        <f>SUMIFS('caseload data'!R:R,'caseload data'!$D:$D,"SPO",'caseload data'!$C:$C,'custody caseload'!$T$15,'caseload data'!$B:$B,"custody")</f>
        <v>0</v>
      </c>
      <c r="AI20" s="204">
        <f>SUMIFS('caseload data'!S:S,'caseload data'!$D:$D,"SPO",'caseload data'!$C:$C,'custody caseload'!$T$15,'caseload data'!$B:$B,"custody")</f>
        <v>0</v>
      </c>
      <c r="AJ20" s="204">
        <f>SUMIFS('caseload data'!T:T,'caseload data'!$D:$D,"SPO",'caseload data'!$C:$C,'custody caseload'!$T$15,'caseload data'!$B:$B,"custody")</f>
        <v>0</v>
      </c>
    </row>
    <row r="21" spans="2:36" x14ac:dyDescent="0.15">
      <c r="B21" s="183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183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</row>
    <row r="22" spans="2:36" ht="30.75" customHeight="1" x14ac:dyDescent="0.15">
      <c r="B22" s="182" t="str">
        <f>HLOOKUP($B$5,Region_Table,6,0)</f>
        <v>Camden, Islington</v>
      </c>
      <c r="C22" s="359" t="s">
        <v>366</v>
      </c>
      <c r="D22" s="365"/>
      <c r="E22" s="365"/>
      <c r="F22" s="365"/>
      <c r="G22" s="365"/>
      <c r="H22" s="365"/>
      <c r="I22" s="365"/>
      <c r="J22" s="365"/>
      <c r="K22" s="365"/>
      <c r="L22" s="365"/>
      <c r="M22" s="368"/>
      <c r="N22" s="368"/>
      <c r="O22" s="369"/>
      <c r="P22" s="362">
        <f>SUMIFS('caseload data'!V:V,'caseload data'!B:B,"custody",'caseload data'!$C:$C,'custody caseload'!B22)</f>
        <v>0</v>
      </c>
      <c r="Q22" s="370"/>
      <c r="R22" s="371"/>
      <c r="S22" s="95"/>
      <c r="T22" s="182" t="str">
        <f>HLOOKUP($B$5,Region_Table,7,0)</f>
        <v>Commumity Integration</v>
      </c>
      <c r="U22" s="359" t="s">
        <v>366</v>
      </c>
      <c r="V22" s="365"/>
      <c r="W22" s="365"/>
      <c r="X22" s="365"/>
      <c r="Y22" s="365"/>
      <c r="Z22" s="365"/>
      <c r="AA22" s="365"/>
      <c r="AB22" s="365"/>
      <c r="AC22" s="365"/>
      <c r="AD22" s="365"/>
      <c r="AE22" s="368"/>
      <c r="AF22" s="368"/>
      <c r="AG22" s="369"/>
      <c r="AH22" s="362">
        <f>SUMIFS('caseload data'!V:V,'caseload data'!B:B,"custody",'caseload data'!$C:$C,'custody caseload'!T22)</f>
        <v>0</v>
      </c>
      <c r="AI22" s="370"/>
      <c r="AJ22" s="371"/>
    </row>
    <row r="23" spans="2:36" x14ac:dyDescent="0.15">
      <c r="B23" s="127" t="s">
        <v>324</v>
      </c>
      <c r="C23" s="58" t="s">
        <v>504</v>
      </c>
      <c r="D23" s="58" t="s">
        <v>503</v>
      </c>
      <c r="E23" s="58" t="s">
        <v>502</v>
      </c>
      <c r="F23" s="58" t="s">
        <v>501</v>
      </c>
      <c r="G23" s="58" t="s">
        <v>510</v>
      </c>
      <c r="H23" s="58" t="s">
        <v>176</v>
      </c>
      <c r="I23" s="58" t="s">
        <v>177</v>
      </c>
      <c r="J23" s="58" t="s">
        <v>505</v>
      </c>
      <c r="K23" s="58" t="s">
        <v>507</v>
      </c>
      <c r="L23" s="58" t="s">
        <v>178</v>
      </c>
      <c r="M23" s="58" t="s">
        <v>179</v>
      </c>
      <c r="N23" s="58" t="s">
        <v>506</v>
      </c>
      <c r="O23" s="58" t="s">
        <v>508</v>
      </c>
      <c r="P23" s="58" t="s">
        <v>180</v>
      </c>
      <c r="Q23" s="58" t="s">
        <v>181</v>
      </c>
      <c r="R23" s="58" t="s">
        <v>509</v>
      </c>
      <c r="S23" s="95"/>
      <c r="T23" s="127" t="s">
        <v>324</v>
      </c>
      <c r="U23" s="58" t="s">
        <v>504</v>
      </c>
      <c r="V23" s="58" t="s">
        <v>503</v>
      </c>
      <c r="W23" s="58" t="s">
        <v>502</v>
      </c>
      <c r="X23" s="58" t="s">
        <v>501</v>
      </c>
      <c r="Y23" s="58" t="s">
        <v>510</v>
      </c>
      <c r="Z23" s="58" t="s">
        <v>176</v>
      </c>
      <c r="AA23" s="58" t="s">
        <v>177</v>
      </c>
      <c r="AB23" s="58" t="s">
        <v>505</v>
      </c>
      <c r="AC23" s="58" t="s">
        <v>507</v>
      </c>
      <c r="AD23" s="58" t="s">
        <v>178</v>
      </c>
      <c r="AE23" s="58" t="s">
        <v>179</v>
      </c>
      <c r="AF23" s="58" t="s">
        <v>506</v>
      </c>
      <c r="AG23" s="58" t="s">
        <v>508</v>
      </c>
      <c r="AH23" s="58" t="s">
        <v>180</v>
      </c>
      <c r="AI23" s="58" t="s">
        <v>181</v>
      </c>
      <c r="AJ23" s="58" t="s">
        <v>509</v>
      </c>
    </row>
    <row r="24" spans="2:36" x14ac:dyDescent="0.15">
      <c r="B24" s="129" t="s">
        <v>184</v>
      </c>
      <c r="C24" s="204">
        <f>SUMIFS('caseload data'!E:E,'caseload data'!$D:$D,"PO",'caseload data'!$C:$C,'custody caseload'!$B$22,'caseload data'!$B:$B,"custody")</f>
        <v>0</v>
      </c>
      <c r="D24" s="204">
        <f>SUMIFS('caseload data'!F:F,'caseload data'!$D:$D,"PO",'caseload data'!$C:$C,'custody caseload'!$B$22,'caseload data'!$B:$B,"custody")</f>
        <v>0</v>
      </c>
      <c r="E24" s="204">
        <f>SUMIFS('caseload data'!G:G,'caseload data'!$D:$D,"PO",'caseload data'!$C:$C,'custody caseload'!$B$22,'caseload data'!$B:$B,"custody")</f>
        <v>0</v>
      </c>
      <c r="F24" s="204">
        <f>SUMIFS('caseload data'!H:H,'caseload data'!$D:$D,"PO",'caseload data'!$C:$C,'custody caseload'!$B$22,'caseload data'!$B:$B,"custody")</f>
        <v>0</v>
      </c>
      <c r="G24" s="204">
        <f>SUMIFS('caseload data'!I:I,'caseload data'!$D:$D,"PO",'caseload data'!$C:$C,'custody caseload'!$B$22,'caseload data'!$B:$B,"custody")</f>
        <v>0</v>
      </c>
      <c r="H24" s="204">
        <f>SUMIFS('caseload data'!J:J,'caseload data'!$D:$D,"PO",'caseload data'!$C:$C,'custody caseload'!$B$22,'caseload data'!$B:$B,"custody")</f>
        <v>0</v>
      </c>
      <c r="I24" s="204">
        <f>SUMIFS('caseload data'!K:K,'caseload data'!$D:$D,"PO",'caseload data'!$C:$C,'custody caseload'!$B$22,'caseload data'!$B:$B,"custody")</f>
        <v>0</v>
      </c>
      <c r="J24" s="204">
        <f>SUMIFS('caseload data'!L:L,'caseload data'!$D:$D,"PO",'caseload data'!$C:$C,'custody caseload'!$B$22,'caseload data'!$B:$B,"custody")</f>
        <v>0</v>
      </c>
      <c r="K24" s="204">
        <f>SUMIFS('caseload data'!M:M,'caseload data'!$D:$D,"PO",'caseload data'!$C:$C,'custody caseload'!$B$22,'caseload data'!$B:$B,"custody")</f>
        <v>0</v>
      </c>
      <c r="L24" s="204">
        <f>SUMIFS('caseload data'!N:N,'caseload data'!$D:$D,"PO",'caseload data'!$C:$C,'custody caseload'!$B$22,'caseload data'!$B:$B,"custody")</f>
        <v>0</v>
      </c>
      <c r="M24" s="204">
        <f>SUMIFS('caseload data'!O:O,'caseload data'!$D:$D,"PO",'caseload data'!$C:$C,'custody caseload'!$B$22,'caseload data'!$B:$B,"custody")</f>
        <v>0</v>
      </c>
      <c r="N24" s="204">
        <f>SUMIFS('caseload data'!P:P,'caseload data'!$D:$D,"PO",'caseload data'!$C:$C,'custody caseload'!$B$22,'caseload data'!$B:$B,"custody")</f>
        <v>0</v>
      </c>
      <c r="O24" s="204">
        <f>SUMIFS('caseload data'!Q:Q,'caseload data'!$D:$D,"PO",'caseload data'!$C:$C,'custody caseload'!$B$22,'caseload data'!$B:$B,"custody")</f>
        <v>0</v>
      </c>
      <c r="P24" s="204">
        <f>SUMIFS('caseload data'!R:R,'caseload data'!$D:$D,"PO",'caseload data'!$C:$C,'custody caseload'!$B$22,'caseload data'!$B:$B,"custody")</f>
        <v>0</v>
      </c>
      <c r="Q24" s="204">
        <f>SUMIFS('caseload data'!S:S,'caseload data'!$D:$D,"PO",'caseload data'!$C:$C,'custody caseload'!$B$22,'caseload data'!$B:$B,"custody")</f>
        <v>0</v>
      </c>
      <c r="R24" s="204">
        <f>SUMIFS('caseload data'!T:T,'caseload data'!$D:$D,"PO",'caseload data'!$C:$C,'custody caseload'!$B$22,'caseload data'!$B:$B,"custody")</f>
        <v>0</v>
      </c>
      <c r="S24" s="95"/>
      <c r="T24" s="129" t="s">
        <v>184</v>
      </c>
      <c r="U24" s="204">
        <f>SUMIFS('caseload data'!E:E,'caseload data'!$D:$D,"PO",'caseload data'!$C:$C,'custody caseload'!$T$22,'caseload data'!$B:$B,"custody")</f>
        <v>0</v>
      </c>
      <c r="V24" s="204">
        <f>SUMIFS('caseload data'!F:F,'caseload data'!$D:$D,"PO",'caseload data'!$C:$C,'custody caseload'!$T$22,'caseload data'!$B:$B,"custody")</f>
        <v>0</v>
      </c>
      <c r="W24" s="204">
        <f>SUMIFS('caseload data'!G:G,'caseload data'!$D:$D,"PO",'caseload data'!$C:$C,'custody caseload'!$T$22,'caseload data'!$B:$B,"custody")</f>
        <v>0</v>
      </c>
      <c r="X24" s="204">
        <f>SUMIFS('caseload data'!H:H,'caseload data'!$D:$D,"PO",'caseload data'!$C:$C,'custody caseload'!$T$22,'caseload data'!$B:$B,"custody")</f>
        <v>0</v>
      </c>
      <c r="Y24" s="204">
        <f>SUMIFS('caseload data'!I:I,'caseload data'!$D:$D,"PO",'caseload data'!$C:$C,'custody caseload'!$T$22,'caseload data'!$B:$B,"custody")</f>
        <v>0</v>
      </c>
      <c r="Z24" s="204">
        <f>SUMIFS('caseload data'!J:J,'caseload data'!$D:$D,"PO",'caseload data'!$C:$C,'custody caseload'!$T$22,'caseload data'!$B:$B,"custody")</f>
        <v>0</v>
      </c>
      <c r="AA24" s="204">
        <f>SUMIFS('caseload data'!K:K,'caseload data'!$D:$D,"PO",'caseload data'!$C:$C,'custody caseload'!$T$22,'caseload data'!$B:$B,"custody")</f>
        <v>0</v>
      </c>
      <c r="AB24" s="204">
        <f>SUMIFS('caseload data'!L:L,'caseload data'!$D:$D,"PO",'caseload data'!$C:$C,'custody caseload'!$T$22,'caseload data'!$B:$B,"custody")</f>
        <v>0</v>
      </c>
      <c r="AC24" s="204">
        <f>SUMIFS('caseload data'!M:M,'caseload data'!$D:$D,"PO",'caseload data'!$C:$C,'custody caseload'!$T$22,'caseload data'!$B:$B,"custody")</f>
        <v>0</v>
      </c>
      <c r="AD24" s="204">
        <f>SUMIFS('caseload data'!N:N,'caseload data'!$D:$D,"PO",'caseload data'!$C:$C,'custody caseload'!$T$22,'caseload data'!$B:$B,"custody")</f>
        <v>0</v>
      </c>
      <c r="AE24" s="204">
        <f>SUMIFS('caseload data'!O:O,'caseload data'!$D:$D,"PO",'caseload data'!$C:$C,'custody caseload'!$T$22,'caseload data'!$B:$B,"custody")</f>
        <v>0</v>
      </c>
      <c r="AF24" s="204">
        <f>SUMIFS('caseload data'!P:P,'caseload data'!$D:$D,"PO",'caseload data'!$C:$C,'custody caseload'!$T$22,'caseload data'!$B:$B,"custody")</f>
        <v>0</v>
      </c>
      <c r="AG24" s="204">
        <f>SUMIFS('caseload data'!Q:Q,'caseload data'!$D:$D,"PO",'caseload data'!$C:$C,'custody caseload'!$T$22,'caseload data'!$B:$B,"custody")</f>
        <v>0</v>
      </c>
      <c r="AH24" s="204">
        <f>SUMIFS('caseload data'!R:R,'caseload data'!$D:$D,"PO",'caseload data'!$C:$C,'custody caseload'!$T$22,'caseload data'!$B:$B,"custody")</f>
        <v>0</v>
      </c>
      <c r="AI24" s="204">
        <f>SUMIFS('caseload data'!S:S,'caseload data'!$D:$D,"PO",'caseload data'!$C:$C,'custody caseload'!$T$22,'caseload data'!$B:$B,"custody")</f>
        <v>0</v>
      </c>
      <c r="AJ24" s="204">
        <f>SUMIFS('caseload data'!T:T,'caseload data'!$D:$D,"PO",'caseload data'!$C:$C,'custody caseload'!$T$22,'caseload data'!$B:$B,"custody")</f>
        <v>0</v>
      </c>
    </row>
    <row r="25" spans="2:36" ht="15" x14ac:dyDescent="0.2">
      <c r="B25" s="130" t="s">
        <v>185</v>
      </c>
      <c r="C25" s="186">
        <f>SUMIFS('caseload data'!E:E,'caseload data'!$D:$D,"PSO",'caseload data'!$C:$C,'custody caseload'!$B$22,'caseload data'!$B:$B,"custody")</f>
        <v>0</v>
      </c>
      <c r="D25" s="186">
        <f>SUMIFS('caseload data'!F:F,'caseload data'!$D:$D,"PSO",'caseload data'!$C:$C,'custody caseload'!$B$22,'caseload data'!$B:$B,"custody")</f>
        <v>0</v>
      </c>
      <c r="E25" s="186">
        <f>SUMIFS('caseload data'!G:G,'caseload data'!$D:$D,"PSO",'caseload data'!$C:$C,'custody caseload'!$B$22,'caseload data'!$B:$B,"custody")</f>
        <v>0</v>
      </c>
      <c r="F25" s="186">
        <f>SUMIFS('caseload data'!H:H,'caseload data'!$D:$D,"PSO",'caseload data'!$C:$C,'custody caseload'!$B$22,'caseload data'!$B:$B,"custody")</f>
        <v>0</v>
      </c>
      <c r="G25" s="186">
        <f>SUMIFS('caseload data'!I:I,'caseload data'!$D:$D,"PSO",'caseload data'!$C:$C,'custody caseload'!$B$22,'caseload data'!$B:$B,"custody")</f>
        <v>0</v>
      </c>
      <c r="H25" s="186">
        <f>SUMIFS('caseload data'!J:J,'caseload data'!$D:$D,"PSO",'caseload data'!$C:$C,'custody caseload'!$B$22,'caseload data'!$B:$B,"custody")</f>
        <v>0</v>
      </c>
      <c r="I25" s="186">
        <f>SUMIFS('caseload data'!K:K,'caseload data'!$D:$D,"PSO",'caseload data'!$C:$C,'custody caseload'!$B$22,'caseload data'!$B:$B,"custody")</f>
        <v>0</v>
      </c>
      <c r="J25" s="186">
        <f>SUMIFS('caseload data'!L:L,'caseload data'!$D:$D,"PSO",'caseload data'!$C:$C,'custody caseload'!$B$22,'caseload data'!$B:$B,"custody")</f>
        <v>0</v>
      </c>
      <c r="K25" s="204">
        <f>SUMIFS('caseload data'!M:M,'caseload data'!$D:$D,"PSO",'caseload data'!$C:$C,'custody caseload'!$B$22,'caseload data'!$B:$B,"custody")</f>
        <v>0</v>
      </c>
      <c r="L25" s="204">
        <f>SUMIFS('caseload data'!N:N,'caseload data'!$D:$D,"PSO",'caseload data'!$C:$C,'custody caseload'!$B$22,'caseload data'!$B:$B,"custody")</f>
        <v>0</v>
      </c>
      <c r="M25" s="204">
        <f>SUMIFS('caseload data'!O:O,'caseload data'!$D:$D,"PSO",'caseload data'!$C:$C,'custody caseload'!$B$22,'caseload data'!$B:$B,"custody")</f>
        <v>0</v>
      </c>
      <c r="N25" s="204">
        <f>SUMIFS('caseload data'!P:P,'caseload data'!$D:$D,"PSO",'caseload data'!$C:$C,'custody caseload'!$B$22,'caseload data'!$B:$B,"custody")</f>
        <v>0</v>
      </c>
      <c r="O25" s="204">
        <f>SUMIFS('caseload data'!Q:Q,'caseload data'!$D:$D,"PSO",'caseload data'!$C:$C,'custody caseload'!$B$22,'caseload data'!$B:$B,"custody")</f>
        <v>0</v>
      </c>
      <c r="P25" s="204">
        <f>SUMIFS('caseload data'!R:R,'caseload data'!$D:$D,"PSO",'caseload data'!$C:$C,'custody caseload'!$B$22,'caseload data'!$B:$B,"custody")</f>
        <v>0</v>
      </c>
      <c r="Q25" s="204">
        <f>SUMIFS('caseload data'!S:S,'caseload data'!$D:$D,"PSO",'caseload data'!$C:$C,'custody caseload'!$B$22,'caseload data'!$B:$B,"custody")</f>
        <v>0</v>
      </c>
      <c r="R25" s="204">
        <f>SUMIFS('caseload data'!T:T,'caseload data'!$D:$D,"PSO",'caseload data'!$C:$C,'custody caseload'!$B$22,'caseload data'!$B:$B,"custody")</f>
        <v>0</v>
      </c>
      <c r="S25" s="95"/>
      <c r="T25" s="130" t="s">
        <v>185</v>
      </c>
      <c r="U25" s="186">
        <f>SUMIFS('caseload data'!E:E,'caseload data'!$D:$D,"PSO",'caseload data'!$C:$C,'custody caseload'!$T$22,'caseload data'!$B:$B,"custody")</f>
        <v>0</v>
      </c>
      <c r="V25" s="186">
        <f>SUMIFS('caseload data'!F:F,'caseload data'!$D:$D,"PSO",'caseload data'!$C:$C,'custody caseload'!$T$22,'caseload data'!$B:$B,"custody")</f>
        <v>0</v>
      </c>
      <c r="W25" s="186">
        <f>SUMIFS('caseload data'!G:G,'caseload data'!$D:$D,"PSO",'caseload data'!$C:$C,'custody caseload'!$T$22,'caseload data'!$B:$B,"custody")</f>
        <v>0</v>
      </c>
      <c r="X25" s="186">
        <f>SUMIFS('caseload data'!H:H,'caseload data'!$D:$D,"PSO",'caseload data'!$C:$C,'custody caseload'!$T$22,'caseload data'!$B:$B,"custody")</f>
        <v>0</v>
      </c>
      <c r="Y25" s="186">
        <f>SUMIFS('caseload data'!I:I,'caseload data'!$D:$D,"PSO",'caseload data'!$C:$C,'custody caseload'!$T$22,'caseload data'!$B:$B,"custody")</f>
        <v>0</v>
      </c>
      <c r="Z25" s="186">
        <f>SUMIFS('caseload data'!J:J,'caseload data'!$D:$D,"PSO",'caseload data'!$C:$C,'custody caseload'!$T$22,'caseload data'!$B:$B,"custody")</f>
        <v>0</v>
      </c>
      <c r="AA25" s="186">
        <f>SUMIFS('caseload data'!K:K,'caseload data'!$D:$D,"PSO",'caseload data'!$C:$C,'custody caseload'!$T$22,'caseload data'!$B:$B,"custody")</f>
        <v>0</v>
      </c>
      <c r="AB25" s="186">
        <f>SUMIFS('caseload data'!L:L,'caseload data'!$D:$D,"PSO",'caseload data'!$C:$C,'custody caseload'!$T$22,'caseload data'!$B:$B,"custody")</f>
        <v>0</v>
      </c>
      <c r="AC25" s="204">
        <f>SUMIFS('caseload data'!M:M,'caseload data'!$D:$D,"PSO",'caseload data'!$C:$C,'custody caseload'!$T$22,'caseload data'!$B:$B,"custody")</f>
        <v>0</v>
      </c>
      <c r="AD25" s="204">
        <f>SUMIFS('caseload data'!N:N,'caseload data'!$D:$D,"PSO",'caseload data'!$C:$C,'custody caseload'!$T$22,'caseload data'!$B:$B,"custody")</f>
        <v>0</v>
      </c>
      <c r="AE25" s="204">
        <f>SUMIFS('caseload data'!O:O,'caseload data'!$D:$D,"PSO",'caseload data'!$C:$C,'custody caseload'!$T$22,'caseload data'!$B:$B,"custody")</f>
        <v>0</v>
      </c>
      <c r="AF25" s="204">
        <f>SUMIFS('caseload data'!P:P,'caseload data'!$D:$D,"PSO",'caseload data'!$C:$C,'custody caseload'!$T$22,'caseload data'!$B:$B,"custody")</f>
        <v>0</v>
      </c>
      <c r="AG25" s="204">
        <f>SUMIFS('caseload data'!Q:Q,'caseload data'!$D:$D,"PSO",'caseload data'!$C:$C,'custody caseload'!$T$22,'caseload data'!$B:$B,"custody")</f>
        <v>0</v>
      </c>
      <c r="AH25" s="204">
        <f>SUMIFS('caseload data'!R:R,'caseload data'!$D:$D,"PSO",'caseload data'!$C:$C,'custody caseload'!$T$22,'caseload data'!$B:$B,"custody")</f>
        <v>0</v>
      </c>
      <c r="AI25" s="204">
        <f>SUMIFS('caseload data'!S:S,'caseload data'!$D:$D,"PSO",'caseload data'!$C:$C,'custody caseload'!$T$22,'caseload data'!$B:$B,"custody")</f>
        <v>0</v>
      </c>
      <c r="AJ25" s="204">
        <f>SUMIFS('caseload data'!T:T,'caseload data'!$D:$D,"PSO",'caseload data'!$C:$C,'custody caseload'!$T$22,'caseload data'!$B:$B,"custody")</f>
        <v>0</v>
      </c>
    </row>
    <row r="26" spans="2:36" ht="15" x14ac:dyDescent="0.2">
      <c r="B26" s="130" t="s">
        <v>186</v>
      </c>
      <c r="C26" s="186">
        <f>SUMIFS('caseload data'!E:E,'caseload data'!$D:$D,"TPO",'caseload data'!$C:$C,'custody caseload'!$B$22,'caseload data'!$B:$B,"custody")</f>
        <v>0</v>
      </c>
      <c r="D26" s="186">
        <f>SUMIFS('caseload data'!F:F,'caseload data'!$D:$D,"TPO",'caseload data'!$C:$C,'custody caseload'!$B$22,'caseload data'!$B:$B,"custody")</f>
        <v>0</v>
      </c>
      <c r="E26" s="186">
        <f>SUMIFS('caseload data'!G:G,'caseload data'!$D:$D,"TPO",'caseload data'!$C:$C,'custody caseload'!$B$22,'caseload data'!$B:$B,"custody")</f>
        <v>0</v>
      </c>
      <c r="F26" s="186">
        <f>SUMIFS('caseload data'!H:H,'caseload data'!$D:$D,"TPO",'caseload data'!$C:$C,'custody caseload'!$B$22,'caseload data'!$B:$B,"custody")</f>
        <v>0</v>
      </c>
      <c r="G26" s="186">
        <f>SUMIFS('caseload data'!I:I,'caseload data'!$D:$D,"TPO",'caseload data'!$C:$C,'custody caseload'!$B$22,'caseload data'!$B:$B,"custody")</f>
        <v>0</v>
      </c>
      <c r="H26" s="186">
        <f>SUMIFS('caseload data'!J:J,'caseload data'!$D:$D,"TPO",'caseload data'!$C:$C,'custody caseload'!$B$22,'caseload data'!$B:$B,"custody")</f>
        <v>0</v>
      </c>
      <c r="I26" s="186">
        <f>SUMIFS('caseload data'!K:K,'caseload data'!$D:$D,"TPO",'caseload data'!$C:$C,'custody caseload'!$B$22,'caseload data'!$B:$B,"custody")</f>
        <v>0</v>
      </c>
      <c r="J26" s="186">
        <f>SUMIFS('caseload data'!L:L,'caseload data'!$D:$D,"TPO",'caseload data'!$C:$C,'custody caseload'!$B$22,'caseload data'!$B:$B,"custody")</f>
        <v>0</v>
      </c>
      <c r="K26" s="204">
        <f>SUMIFS('caseload data'!M:M,'caseload data'!$D:$D,"TPO",'caseload data'!$C:$C,'custody caseload'!$B$22,'caseload data'!$B:$B,"custody")</f>
        <v>0</v>
      </c>
      <c r="L26" s="204">
        <f>SUMIFS('caseload data'!N:N,'caseload data'!$D:$D,"TPO",'caseload data'!$C:$C,'custody caseload'!$B$22,'caseload data'!$B:$B,"custody")</f>
        <v>0</v>
      </c>
      <c r="M26" s="204">
        <f>SUMIFS('caseload data'!O:O,'caseload data'!$D:$D,"TPO",'caseload data'!$C:$C,'custody caseload'!$B$22,'caseload data'!$B:$B,"custody")</f>
        <v>0</v>
      </c>
      <c r="N26" s="204">
        <f>SUMIFS('caseload data'!P:P,'caseload data'!$D:$D,"TPO",'caseload data'!$C:$C,'custody caseload'!$B$22,'caseload data'!$B:$B,"custody")</f>
        <v>0</v>
      </c>
      <c r="O26" s="204">
        <f>SUMIFS('caseload data'!Q:Q,'caseload data'!$D:$D,"TPO",'caseload data'!$C:$C,'custody caseload'!$B$22,'caseload data'!$B:$B,"custody")</f>
        <v>0</v>
      </c>
      <c r="P26" s="204">
        <f>SUMIFS('caseload data'!R:R,'caseload data'!$D:$D,"TPO",'caseload data'!$C:$C,'custody caseload'!$B$22,'caseload data'!$B:$B,"custody")</f>
        <v>0</v>
      </c>
      <c r="Q26" s="204">
        <f>SUMIFS('caseload data'!S:S,'caseload data'!$D:$D,"TPO",'caseload data'!$C:$C,'custody caseload'!$B$22,'caseload data'!$B:$B,"custody")</f>
        <v>0</v>
      </c>
      <c r="R26" s="204">
        <f>SUMIFS('caseload data'!T:T,'caseload data'!$D:$D,"TPO",'caseload data'!$C:$C,'custody caseload'!$B$22,'caseload data'!$B:$B,"custody")</f>
        <v>0</v>
      </c>
      <c r="S26" s="95"/>
      <c r="T26" s="130" t="s">
        <v>186</v>
      </c>
      <c r="U26" s="186">
        <f>SUMIFS('caseload data'!E:E,'caseload data'!$D:$D,"TPO",'caseload data'!$C:$C,'custody caseload'!$T$22,'caseload data'!$B:$B,"custody")</f>
        <v>0</v>
      </c>
      <c r="V26" s="186">
        <f>SUMIFS('caseload data'!F:F,'caseload data'!$D:$D,"TPO",'caseload data'!$C:$C,'custody caseload'!$T$22,'caseload data'!$B:$B,"custody")</f>
        <v>0</v>
      </c>
      <c r="W26" s="186">
        <f>SUMIFS('caseload data'!G:G,'caseload data'!$D:$D,"TPO",'caseload data'!$C:$C,'custody caseload'!$T$22,'caseload data'!$B:$B,"custody")</f>
        <v>0</v>
      </c>
      <c r="X26" s="186">
        <f>SUMIFS('caseload data'!H:H,'caseload data'!$D:$D,"TPO",'caseload data'!$C:$C,'custody caseload'!$T$22,'caseload data'!$B:$B,"custody")</f>
        <v>0</v>
      </c>
      <c r="Y26" s="186">
        <f>SUMIFS('caseload data'!I:I,'caseload data'!$D:$D,"TPO",'caseload data'!$C:$C,'custody caseload'!$T$22,'caseload data'!$B:$B,"custody")</f>
        <v>0</v>
      </c>
      <c r="Z26" s="186">
        <f>SUMIFS('caseload data'!J:J,'caseload data'!$D:$D,"TPO",'caseload data'!$C:$C,'custody caseload'!$T$22,'caseload data'!$B:$B,"custody")</f>
        <v>0</v>
      </c>
      <c r="AA26" s="186">
        <f>SUMIFS('caseload data'!K:K,'caseload data'!$D:$D,"TPO",'caseload data'!$C:$C,'custody caseload'!$T$22,'caseload data'!$B:$B,"custody")</f>
        <v>0</v>
      </c>
      <c r="AB26" s="186">
        <f>SUMIFS('caseload data'!L:L,'caseload data'!$D:$D,"TPO",'caseload data'!$C:$C,'custody caseload'!$T$22,'caseload data'!$B:$B,"custody")</f>
        <v>0</v>
      </c>
      <c r="AC26" s="204">
        <f>SUMIFS('caseload data'!M:M,'caseload data'!$D:$D,"TPO",'caseload data'!$C:$C,'custody caseload'!$T$22,'caseload data'!$B:$B,"custody")</f>
        <v>0</v>
      </c>
      <c r="AD26" s="204">
        <f>SUMIFS('caseload data'!N:N,'caseload data'!$D:$D,"TPO",'caseload data'!$C:$C,'custody caseload'!$T$22,'caseload data'!$B:$B,"custody")</f>
        <v>0</v>
      </c>
      <c r="AE26" s="204">
        <f>SUMIFS('caseload data'!O:O,'caseload data'!$D:$D,"TPO",'caseload data'!$C:$C,'custody caseload'!$T$22,'caseload data'!$B:$B,"custody")</f>
        <v>0</v>
      </c>
      <c r="AF26" s="204">
        <f>SUMIFS('caseload data'!P:P,'caseload data'!$D:$D,"TPO",'caseload data'!$C:$C,'custody caseload'!$T$22,'caseload data'!$B:$B,"custody")</f>
        <v>0</v>
      </c>
      <c r="AG26" s="204">
        <f>SUMIFS('caseload data'!Q:Q,'caseload data'!$D:$D,"TPO",'caseload data'!$C:$C,'custody caseload'!$T$22,'caseload data'!$B:$B,"custody")</f>
        <v>0</v>
      </c>
      <c r="AH26" s="204">
        <f>SUMIFS('caseload data'!R:R,'caseload data'!$D:$D,"TPO",'caseload data'!$C:$C,'custody caseload'!$T$22,'caseload data'!$B:$B,"custody")</f>
        <v>0</v>
      </c>
      <c r="AI26" s="204">
        <f>SUMIFS('caseload data'!S:S,'caseload data'!$D:$D,"TPO",'caseload data'!$C:$C,'custody caseload'!$T$22,'caseload data'!$B:$B,"custody")</f>
        <v>0</v>
      </c>
      <c r="AJ26" s="204">
        <f>SUMIFS('caseload data'!T:T,'caseload data'!$D:$D,"TPO",'caseload data'!$C:$C,'custody caseload'!$T$22,'caseload data'!$B:$B,"custody")</f>
        <v>0</v>
      </c>
    </row>
    <row r="27" spans="2:36" x14ac:dyDescent="0.15">
      <c r="B27" s="131" t="s">
        <v>187</v>
      </c>
      <c r="C27" s="204">
        <f>SUMIFS('caseload data'!E:E,'caseload data'!$D:$D,"SPO",'caseload data'!$C:$C,'custody caseload'!$B$22,'caseload data'!$B:$B,"custody")</f>
        <v>0</v>
      </c>
      <c r="D27" s="204">
        <f>SUMIFS('caseload data'!F:F,'caseload data'!$D:$D,"SPO",'caseload data'!$C:$C,'custody caseload'!$B$22,'caseload data'!$B:$B,"custody")</f>
        <v>0</v>
      </c>
      <c r="E27" s="204">
        <f>SUMIFS('caseload data'!G:G,'caseload data'!$D:$D,"SPO",'caseload data'!$C:$C,'custody caseload'!$B$22,'caseload data'!$B:$B,"custody")</f>
        <v>0</v>
      </c>
      <c r="F27" s="204">
        <f>SUMIFS('caseload data'!H:H,'caseload data'!$D:$D,"SPO",'caseload data'!$C:$C,'custody caseload'!$B$22,'caseload data'!$B:$B,"custody")</f>
        <v>0</v>
      </c>
      <c r="G27" s="204">
        <f>SUMIFS('caseload data'!I:I,'caseload data'!$D:$D,"SPO",'caseload data'!$C:$C,'custody caseload'!$B$22,'caseload data'!$B:$B,"custody")</f>
        <v>0</v>
      </c>
      <c r="H27" s="204">
        <f>SUMIFS('caseload data'!J:J,'caseload data'!$D:$D,"SPO",'caseload data'!$C:$C,'custody caseload'!$B$22,'caseload data'!$B:$B,"custody")</f>
        <v>0</v>
      </c>
      <c r="I27" s="204">
        <f>SUMIFS('caseload data'!K:K,'caseload data'!$D:$D,"SPO",'caseload data'!$C:$C,'custody caseload'!$B$22,'caseload data'!$B:$B,"custody")</f>
        <v>0</v>
      </c>
      <c r="J27" s="204">
        <f>SUMIFS('caseload data'!L:L,'caseload data'!$D:$D,"SPO",'caseload data'!$C:$C,'custody caseload'!$B$22,'caseload data'!$B:$B,"custody")</f>
        <v>0</v>
      </c>
      <c r="K27" s="204">
        <f>SUMIFS('caseload data'!M:M,'caseload data'!$D:$D,"SPO",'caseload data'!$C:$C,'custody caseload'!$B$22,'caseload data'!$B:$B,"custody")</f>
        <v>0</v>
      </c>
      <c r="L27" s="204">
        <f>SUMIFS('caseload data'!N:N,'caseload data'!$D:$D,"SPO",'caseload data'!$C:$C,'custody caseload'!$B$22,'caseload data'!$B:$B,"custody")</f>
        <v>0</v>
      </c>
      <c r="M27" s="204">
        <f>SUMIFS('caseload data'!O:O,'caseload data'!$D:$D,"SPO",'caseload data'!$C:$C,'custody caseload'!$B$22,'caseload data'!$B:$B,"custody")</f>
        <v>0</v>
      </c>
      <c r="N27" s="204">
        <f>SUMIFS('caseload data'!P:P,'caseload data'!$D:$D,"SPO",'caseload data'!$C:$C,'custody caseload'!$B$22,'caseload data'!$B:$B,"custody")</f>
        <v>0</v>
      </c>
      <c r="O27" s="204">
        <f>SUMIFS('caseload data'!Q:Q,'caseload data'!$D:$D,"SPO",'caseload data'!$C:$C,'custody caseload'!$B$22,'caseload data'!$B:$B,"custody")</f>
        <v>0</v>
      </c>
      <c r="P27" s="204">
        <f>SUMIFS('caseload data'!R:R,'caseload data'!$D:$D,"SPO",'caseload data'!$C:$C,'custody caseload'!$B$22,'caseload data'!$B:$B,"custody")</f>
        <v>0</v>
      </c>
      <c r="Q27" s="204">
        <f>SUMIFS('caseload data'!S:S,'caseload data'!$D:$D,"SPO",'caseload data'!$C:$C,'custody caseload'!$B$22,'caseload data'!$B:$B,"custody")</f>
        <v>0</v>
      </c>
      <c r="R27" s="204">
        <f>SUMIFS('caseload data'!T:T,'caseload data'!$D:$D,"SPO",'caseload data'!$C:$C,'custody caseload'!$B$22,'caseload data'!$B:$B,"custody")</f>
        <v>0</v>
      </c>
      <c r="S27" s="95"/>
      <c r="T27" s="131" t="s">
        <v>187</v>
      </c>
      <c r="U27" s="204">
        <f>SUMIFS('caseload data'!E:E,'caseload data'!$D:$D,"SPO",'caseload data'!$C:$C,'custody caseload'!$T$22,'caseload data'!$B:$B,"custody")</f>
        <v>0</v>
      </c>
      <c r="V27" s="204">
        <f>SUMIFS('caseload data'!F:F,'caseload data'!$D:$D,"SPO",'caseload data'!$C:$C,'custody caseload'!$T$22,'caseload data'!$B:$B,"custody")</f>
        <v>0</v>
      </c>
      <c r="W27" s="204">
        <f>SUMIFS('caseload data'!G:G,'caseload data'!$D:$D,"SPO",'caseload data'!$C:$C,'custody caseload'!$T$22,'caseload data'!$B:$B,"custody")</f>
        <v>0</v>
      </c>
      <c r="X27" s="204">
        <f>SUMIFS('caseload data'!H:H,'caseload data'!$D:$D,"SPO",'caseload data'!$C:$C,'custody caseload'!$T$22,'caseload data'!$B:$B,"custody")</f>
        <v>0</v>
      </c>
      <c r="Y27" s="204">
        <f>SUMIFS('caseload data'!I:I,'caseload data'!$D:$D,"SPO",'caseload data'!$C:$C,'custody caseload'!$T$22,'caseload data'!$B:$B,"custody")</f>
        <v>0</v>
      </c>
      <c r="Z27" s="204">
        <f>SUMIFS('caseload data'!J:J,'caseload data'!$D:$D,"SPO",'caseload data'!$C:$C,'custody caseload'!$T$22,'caseload data'!$B:$B,"custody")</f>
        <v>0</v>
      </c>
      <c r="AA27" s="204">
        <f>SUMIFS('caseload data'!K:K,'caseload data'!$D:$D,"SPO",'caseload data'!$C:$C,'custody caseload'!$T$22,'caseload data'!$B:$B,"custody")</f>
        <v>0</v>
      </c>
      <c r="AB27" s="204">
        <f>SUMIFS('caseload data'!L:L,'caseload data'!$D:$D,"SPO",'caseload data'!$C:$C,'custody caseload'!$T$22,'caseload data'!$B:$B,"custody")</f>
        <v>0</v>
      </c>
      <c r="AC27" s="204">
        <f>SUMIFS('caseload data'!M:M,'caseload data'!$D:$D,"SPO",'caseload data'!$C:$C,'custody caseload'!$T$22,'caseload data'!$B:$B,"custody")</f>
        <v>0</v>
      </c>
      <c r="AD27" s="204">
        <f>SUMIFS('caseload data'!N:N,'caseload data'!$D:$D,"SPO",'caseload data'!$C:$C,'custody caseload'!$T$22,'caseload data'!$B:$B,"custody")</f>
        <v>0</v>
      </c>
      <c r="AE27" s="204">
        <f>SUMIFS('caseload data'!O:O,'caseload data'!$D:$D,"SPO",'caseload data'!$C:$C,'custody caseload'!$T$22,'caseload data'!$B:$B,"custody")</f>
        <v>0</v>
      </c>
      <c r="AF27" s="204">
        <f>SUMIFS('caseload data'!P:P,'caseload data'!$D:$D,"SPO",'caseload data'!$C:$C,'custody caseload'!$T$22,'caseload data'!$B:$B,"custody")</f>
        <v>0</v>
      </c>
      <c r="AG27" s="204">
        <f>SUMIFS('caseload data'!Q:Q,'caseload data'!$D:$D,"SPO",'caseload data'!$C:$C,'custody caseload'!$T$22,'caseload data'!$B:$B,"custody")</f>
        <v>0</v>
      </c>
      <c r="AH27" s="204">
        <f>SUMIFS('caseload data'!R:R,'caseload data'!$D:$D,"SPO",'caseload data'!$C:$C,'custody caseload'!$T$22,'caseload data'!$B:$B,"custody")</f>
        <v>0</v>
      </c>
      <c r="AI27" s="204">
        <f>SUMIFS('caseload data'!S:S,'caseload data'!$D:$D,"SPO",'caseload data'!$C:$C,'custody caseload'!$T$22,'caseload data'!$B:$B,"custody")</f>
        <v>0</v>
      </c>
      <c r="AJ27" s="204">
        <f>SUMIFS('caseload data'!T:T,'caseload data'!$D:$D,"SPO",'caseload data'!$C:$C,'custody caseload'!$T$22,'caseload data'!$B:$B,"custody")</f>
        <v>0</v>
      </c>
    </row>
    <row r="28" spans="2:36" x14ac:dyDescent="0.15">
      <c r="B28" s="183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183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</row>
    <row r="29" spans="2:36" ht="29.25" customHeight="1" x14ac:dyDescent="0.15">
      <c r="B29" s="182" t="str">
        <f>HLOOKUP($B$5,Region_Table,8,0)</f>
        <v>Corporate Services - N07</v>
      </c>
      <c r="C29" s="359" t="s">
        <v>366</v>
      </c>
      <c r="D29" s="365"/>
      <c r="E29" s="365"/>
      <c r="F29" s="365"/>
      <c r="G29" s="365"/>
      <c r="H29" s="365"/>
      <c r="I29" s="365"/>
      <c r="J29" s="365"/>
      <c r="K29" s="365"/>
      <c r="L29" s="365"/>
      <c r="M29" s="368"/>
      <c r="N29" s="368"/>
      <c r="O29" s="369"/>
      <c r="P29" s="362">
        <f>SUMIFS('caseload data'!V:V,'caseload data'!B:B,"custody",'caseload data'!$C:$C,'custody caseload'!B29)</f>
        <v>0</v>
      </c>
      <c r="Q29" s="370"/>
      <c r="R29" s="371"/>
      <c r="S29" s="95"/>
      <c r="T29" s="182" t="str">
        <f>HLOOKUP($B$5,Region_Table,9,0)</f>
        <v>Croydon - N07</v>
      </c>
      <c r="U29" s="359" t="s">
        <v>366</v>
      </c>
      <c r="V29" s="365"/>
      <c r="W29" s="365"/>
      <c r="X29" s="365"/>
      <c r="Y29" s="365"/>
      <c r="Z29" s="365"/>
      <c r="AA29" s="365"/>
      <c r="AB29" s="365"/>
      <c r="AC29" s="365"/>
      <c r="AD29" s="365"/>
      <c r="AE29" s="368"/>
      <c r="AF29" s="368"/>
      <c r="AG29" s="369"/>
      <c r="AH29" s="362">
        <f>SUMIFS('caseload data'!V:V,'caseload data'!B:B,"custody",'caseload data'!$C:$C,'custody caseload'!T29)</f>
        <v>0</v>
      </c>
      <c r="AI29" s="370"/>
      <c r="AJ29" s="371"/>
    </row>
    <row r="30" spans="2:36" x14ac:dyDescent="0.15">
      <c r="B30" s="127" t="s">
        <v>324</v>
      </c>
      <c r="C30" s="58" t="s">
        <v>504</v>
      </c>
      <c r="D30" s="58" t="s">
        <v>503</v>
      </c>
      <c r="E30" s="58" t="s">
        <v>502</v>
      </c>
      <c r="F30" s="58" t="s">
        <v>501</v>
      </c>
      <c r="G30" s="58" t="s">
        <v>510</v>
      </c>
      <c r="H30" s="58" t="s">
        <v>176</v>
      </c>
      <c r="I30" s="58" t="s">
        <v>177</v>
      </c>
      <c r="J30" s="58" t="s">
        <v>505</v>
      </c>
      <c r="K30" s="58" t="s">
        <v>507</v>
      </c>
      <c r="L30" s="58" t="s">
        <v>178</v>
      </c>
      <c r="M30" s="58" t="s">
        <v>179</v>
      </c>
      <c r="N30" s="58" t="s">
        <v>506</v>
      </c>
      <c r="O30" s="58" t="s">
        <v>508</v>
      </c>
      <c r="P30" s="58" t="s">
        <v>180</v>
      </c>
      <c r="Q30" s="58" t="s">
        <v>181</v>
      </c>
      <c r="R30" s="58" t="s">
        <v>509</v>
      </c>
      <c r="S30" s="95"/>
      <c r="T30" s="127" t="s">
        <v>324</v>
      </c>
      <c r="U30" s="58" t="s">
        <v>504</v>
      </c>
      <c r="V30" s="58" t="s">
        <v>503</v>
      </c>
      <c r="W30" s="58" t="s">
        <v>502</v>
      </c>
      <c r="X30" s="58" t="s">
        <v>501</v>
      </c>
      <c r="Y30" s="58" t="s">
        <v>510</v>
      </c>
      <c r="Z30" s="58" t="s">
        <v>176</v>
      </c>
      <c r="AA30" s="58" t="s">
        <v>177</v>
      </c>
      <c r="AB30" s="58" t="s">
        <v>505</v>
      </c>
      <c r="AC30" s="58" t="s">
        <v>507</v>
      </c>
      <c r="AD30" s="58" t="s">
        <v>178</v>
      </c>
      <c r="AE30" s="58" t="s">
        <v>179</v>
      </c>
      <c r="AF30" s="58" t="s">
        <v>506</v>
      </c>
      <c r="AG30" s="58" t="s">
        <v>508</v>
      </c>
      <c r="AH30" s="58" t="s">
        <v>180</v>
      </c>
      <c r="AI30" s="58" t="s">
        <v>181</v>
      </c>
      <c r="AJ30" s="58" t="s">
        <v>509</v>
      </c>
    </row>
    <row r="31" spans="2:36" x14ac:dyDescent="0.15">
      <c r="B31" s="129" t="s">
        <v>184</v>
      </c>
      <c r="C31" s="204">
        <f>SUMIFS('caseload data'!E:E,'caseload data'!$D:$D,"PO",'caseload data'!$C:$C,'custody caseload'!$B$29,'caseload data'!$B:$B,"custody")</f>
        <v>0</v>
      </c>
      <c r="D31" s="204">
        <f>SUMIFS('caseload data'!F:F,'caseload data'!$D:$D,"PO",'caseload data'!$C:$C,'custody caseload'!$B$29,'caseload data'!$B:$B,"custody")</f>
        <v>0</v>
      </c>
      <c r="E31" s="204">
        <f>SUMIFS('caseload data'!G:G,'caseload data'!$D:$D,"PO",'caseload data'!$C:$C,'custody caseload'!$B$29,'caseload data'!$B:$B,"custody")</f>
        <v>0</v>
      </c>
      <c r="F31" s="204">
        <f>SUMIFS('caseload data'!H:H,'caseload data'!$D:$D,"PO",'caseload data'!$C:$C,'custody caseload'!$B$29,'caseload data'!$B:$B,"custody")</f>
        <v>0</v>
      </c>
      <c r="G31" s="204">
        <f>SUMIFS('caseload data'!I:I,'caseload data'!$D:$D,"PO",'caseload data'!$C:$C,'custody caseload'!$B$29,'caseload data'!$B:$B,"custody")</f>
        <v>0</v>
      </c>
      <c r="H31" s="204">
        <f>SUMIFS('caseload data'!J:J,'caseload data'!$D:$D,"PO",'caseload data'!$C:$C,'custody caseload'!$B$29,'caseload data'!$B:$B,"custody")</f>
        <v>0</v>
      </c>
      <c r="I31" s="204">
        <f>SUMIFS('caseload data'!K:K,'caseload data'!$D:$D,"PO",'caseload data'!$C:$C,'custody caseload'!$B$29,'caseload data'!$B:$B,"custody")</f>
        <v>0</v>
      </c>
      <c r="J31" s="204">
        <f>SUMIFS('caseload data'!L:L,'caseload data'!$D:$D,"PO",'caseload data'!$C:$C,'custody caseload'!$B$29,'caseload data'!$B:$B,"custody")</f>
        <v>0</v>
      </c>
      <c r="K31" s="204">
        <f>SUMIFS('caseload data'!M:M,'caseload data'!$D:$D,"PO",'caseload data'!$C:$C,'custody caseload'!$B$29,'caseload data'!$B:$B,"custody")</f>
        <v>0</v>
      </c>
      <c r="L31" s="204">
        <f>SUMIFS('caseload data'!N:N,'caseload data'!$D:$D,"PO",'caseload data'!$C:$C,'custody caseload'!$B$29,'caseload data'!$B:$B,"custody")</f>
        <v>0</v>
      </c>
      <c r="M31" s="204">
        <f>SUMIFS('caseload data'!O:O,'caseload data'!$D:$D,"PO",'caseload data'!$C:$C,'custody caseload'!$B$29,'caseload data'!$B:$B,"custody")</f>
        <v>0</v>
      </c>
      <c r="N31" s="204">
        <f>SUMIFS('caseload data'!P:P,'caseload data'!$D:$D,"PO",'caseload data'!$C:$C,'custody caseload'!$B$29,'caseload data'!$B:$B,"custody")</f>
        <v>0</v>
      </c>
      <c r="O31" s="204">
        <f>SUMIFS('caseload data'!Q:Q,'caseload data'!$D:$D,"PO",'caseload data'!$C:$C,'custody caseload'!$B$29,'caseload data'!$B:$B,"custody")</f>
        <v>0</v>
      </c>
      <c r="P31" s="204">
        <f>SUMIFS('caseload data'!R:R,'caseload data'!$D:$D,"PO",'caseload data'!$C:$C,'custody caseload'!$B$29,'caseload data'!$B:$B,"custody")</f>
        <v>0</v>
      </c>
      <c r="Q31" s="204">
        <f>SUMIFS('caseload data'!S:S,'caseload data'!$D:$D,"PO",'caseload data'!$C:$C,'custody caseload'!$B$29,'caseload data'!$B:$B,"custody")</f>
        <v>0</v>
      </c>
      <c r="R31" s="204">
        <f>SUMIFS('caseload data'!T:T,'caseload data'!$D:$D,"PO",'caseload data'!$C:$C,'custody caseload'!$B$29,'caseload data'!$B:$B,"custody")</f>
        <v>0</v>
      </c>
      <c r="S31" s="95"/>
      <c r="T31" s="129" t="s">
        <v>184</v>
      </c>
      <c r="U31" s="204">
        <f>SUMIFS('caseload data'!E:E,'caseload data'!$D:$D,"PO",'caseload data'!$C:$C,'custody caseload'!$T$29,'caseload data'!$B:$B,"custody")</f>
        <v>0</v>
      </c>
      <c r="V31" s="204">
        <f>SUMIFS('caseload data'!F:F,'caseload data'!$D:$D,"PO",'caseload data'!$C:$C,'custody caseload'!$T$29,'caseload data'!$B:$B,"custody")</f>
        <v>0</v>
      </c>
      <c r="W31" s="204">
        <f>SUMIFS('caseload data'!G:G,'caseload data'!$D:$D,"PO",'caseload data'!$C:$C,'custody caseload'!$T$29,'caseload data'!$B:$B,"custody")</f>
        <v>0</v>
      </c>
      <c r="X31" s="204">
        <f>SUMIFS('caseload data'!H:H,'caseload data'!$D:$D,"PO",'caseload data'!$C:$C,'custody caseload'!$T$29,'caseload data'!$B:$B,"custody")</f>
        <v>0</v>
      </c>
      <c r="Y31" s="204">
        <f>SUMIFS('caseload data'!I:I,'caseload data'!$D:$D,"PO",'caseload data'!$C:$C,'custody caseload'!$T$29,'caseload data'!$B:$B,"custody")</f>
        <v>0</v>
      </c>
      <c r="Z31" s="204">
        <f>SUMIFS('caseload data'!J:J,'caseload data'!$D:$D,"PO",'caseload data'!$C:$C,'custody caseload'!$T$29,'caseload data'!$B:$B,"custody")</f>
        <v>0</v>
      </c>
      <c r="AA31" s="204">
        <f>SUMIFS('caseload data'!K:K,'caseload data'!$D:$D,"PO",'caseload data'!$C:$C,'custody caseload'!$T$29,'caseload data'!$B:$B,"custody")</f>
        <v>0</v>
      </c>
      <c r="AB31" s="204">
        <f>SUMIFS('caseload data'!L:L,'caseload data'!$D:$D,"PO",'caseload data'!$C:$C,'custody caseload'!$T$29,'caseload data'!$B:$B,"custody")</f>
        <v>0</v>
      </c>
      <c r="AC31" s="204">
        <f>SUMIFS('caseload data'!M:M,'caseload data'!$D:$D,"PO",'caseload data'!$C:$C,'custody caseload'!$T$29,'caseload data'!$B:$B,"custody")</f>
        <v>0</v>
      </c>
      <c r="AD31" s="204">
        <f>SUMIFS('caseload data'!N:N,'caseload data'!$D:$D,"PO",'caseload data'!$C:$C,'custody caseload'!$T$29,'caseload data'!$B:$B,"custody")</f>
        <v>0</v>
      </c>
      <c r="AE31" s="204">
        <f>SUMIFS('caseload data'!O:O,'caseload data'!$D:$D,"PO",'caseload data'!$C:$C,'custody caseload'!$T$29,'caseload data'!$B:$B,"custody")</f>
        <v>0</v>
      </c>
      <c r="AF31" s="204">
        <f>SUMIFS('caseload data'!P:P,'caseload data'!$D:$D,"PO",'caseload data'!$C:$C,'custody caseload'!$T$29,'caseload data'!$B:$B,"custody")</f>
        <v>0</v>
      </c>
      <c r="AG31" s="204">
        <f>SUMIFS('caseload data'!Q:Q,'caseload data'!$D:$D,"PO",'caseload data'!$C:$C,'custody caseload'!$T$29,'caseload data'!$B:$B,"custody")</f>
        <v>0</v>
      </c>
      <c r="AH31" s="204">
        <f>SUMIFS('caseload data'!R:R,'caseload data'!$D:$D,"PO",'caseload data'!$C:$C,'custody caseload'!$T$29,'caseload data'!$B:$B,"custody")</f>
        <v>0</v>
      </c>
      <c r="AI31" s="204">
        <f>SUMIFS('caseload data'!S:S,'caseload data'!$D:$D,"PO",'caseload data'!$C:$C,'custody caseload'!$T$29,'caseload data'!$B:$B,"custody")</f>
        <v>0</v>
      </c>
      <c r="AJ31" s="204">
        <f>SUMIFS('caseload data'!T:T,'caseload data'!$D:$D,"PO",'caseload data'!$C:$C,'custody caseload'!$T$29,'caseload data'!$B:$B,"custody")</f>
        <v>0</v>
      </c>
    </row>
    <row r="32" spans="2:36" ht="15" x14ac:dyDescent="0.2">
      <c r="B32" s="130" t="s">
        <v>185</v>
      </c>
      <c r="C32" s="186">
        <f>SUMIFS('caseload data'!E:E,'caseload data'!$D:$D,"PSO",'caseload data'!$C:$C,'custody caseload'!$B$29,'caseload data'!$B:$B,"custody")</f>
        <v>0</v>
      </c>
      <c r="D32" s="186">
        <f>SUMIFS('caseload data'!F:F,'caseload data'!$D:$D,"PSO",'caseload data'!$C:$C,'custody caseload'!$B$29,'caseload data'!$B:$B,"custody")</f>
        <v>0</v>
      </c>
      <c r="E32" s="186">
        <f>SUMIFS('caseload data'!G:G,'caseload data'!$D:$D,"PSO",'caseload data'!$C:$C,'custody caseload'!$B$29,'caseload data'!$B:$B,"custody")</f>
        <v>0</v>
      </c>
      <c r="F32" s="186">
        <f>SUMIFS('caseload data'!H:H,'caseload data'!$D:$D,"PSO",'caseload data'!$C:$C,'custody caseload'!$B$29,'caseload data'!$B:$B,"custody")</f>
        <v>0</v>
      </c>
      <c r="G32" s="186">
        <f>SUMIFS('caseload data'!I:I,'caseload data'!$D:$D,"PSO",'caseload data'!$C:$C,'custody caseload'!$B$29,'caseload data'!$B:$B,"custody")</f>
        <v>0</v>
      </c>
      <c r="H32" s="186">
        <f>SUMIFS('caseload data'!J:J,'caseload data'!$D:$D,"PSO",'caseload data'!$C:$C,'custody caseload'!$B$29,'caseload data'!$B:$B,"custody")</f>
        <v>0</v>
      </c>
      <c r="I32" s="186">
        <f>SUMIFS('caseload data'!K:K,'caseload data'!$D:$D,"PSO",'caseload data'!$C:$C,'custody caseload'!$B$29,'caseload data'!$B:$B,"custody")</f>
        <v>0</v>
      </c>
      <c r="J32" s="186">
        <f>SUMIFS('caseload data'!L:L,'caseload data'!$D:$D,"PSO",'caseload data'!$C:$C,'custody caseload'!$B$29,'caseload data'!$B:$B,"custody")</f>
        <v>0</v>
      </c>
      <c r="K32" s="204">
        <f>SUMIFS('caseload data'!M:M,'caseload data'!$D:$D,"PSO",'caseload data'!$C:$C,'custody caseload'!$B$29,'caseload data'!$B:$B,"custody")</f>
        <v>0</v>
      </c>
      <c r="L32" s="204">
        <f>SUMIFS('caseload data'!N:N,'caseload data'!$D:$D,"PSO",'caseload data'!$C:$C,'custody caseload'!$B$29,'caseload data'!$B:$B,"custody")</f>
        <v>0</v>
      </c>
      <c r="M32" s="204">
        <f>SUMIFS('caseload data'!O:O,'caseload data'!$D:$D,"PSO",'caseload data'!$C:$C,'custody caseload'!$B$29,'caseload data'!$B:$B,"custody")</f>
        <v>0</v>
      </c>
      <c r="N32" s="204">
        <f>SUMIFS('caseload data'!P:P,'caseload data'!$D:$D,"PSO",'caseload data'!$C:$C,'custody caseload'!$B$29,'caseload data'!$B:$B,"custody")</f>
        <v>0</v>
      </c>
      <c r="O32" s="204">
        <f>SUMIFS('caseload data'!Q:Q,'caseload data'!$D:$D,"PSO",'caseload data'!$C:$C,'custody caseload'!$B$29,'caseload data'!$B:$B,"custody")</f>
        <v>0</v>
      </c>
      <c r="P32" s="204">
        <f>SUMIFS('caseload data'!R:R,'caseload data'!$D:$D,"PSO",'caseload data'!$C:$C,'custody caseload'!$B$29,'caseload data'!$B:$B,"custody")</f>
        <v>0</v>
      </c>
      <c r="Q32" s="204">
        <f>SUMIFS('caseload data'!S:S,'caseload data'!$D:$D,"PSO",'caseload data'!$C:$C,'custody caseload'!$B$29,'caseload data'!$B:$B,"custody")</f>
        <v>0</v>
      </c>
      <c r="R32" s="204">
        <f>SUMIFS('caseload data'!T:T,'caseload data'!$D:$D,"PSO",'caseload data'!$C:$C,'custody caseload'!$B$29,'caseload data'!$B:$B,"custody")</f>
        <v>0</v>
      </c>
      <c r="S32" s="95"/>
      <c r="T32" s="130" t="s">
        <v>185</v>
      </c>
      <c r="U32" s="186">
        <f>SUMIFS('caseload data'!E:E,'caseload data'!$D:$D,"PSO",'caseload data'!$C:$C,'custody caseload'!$T$29,'caseload data'!$B:$B,"custody")</f>
        <v>0</v>
      </c>
      <c r="V32" s="186">
        <f>SUMIFS('caseload data'!F:F,'caseload data'!$D:$D,"PSO",'caseload data'!$C:$C,'custody caseload'!$T$29,'caseload data'!$B:$B,"custody")</f>
        <v>0</v>
      </c>
      <c r="W32" s="186">
        <f>SUMIFS('caseload data'!G:G,'caseload data'!$D:$D,"PSO",'caseload data'!$C:$C,'custody caseload'!$T$29,'caseload data'!$B:$B,"custody")</f>
        <v>0</v>
      </c>
      <c r="X32" s="186">
        <f>SUMIFS('caseload data'!H:H,'caseload data'!$D:$D,"PSO",'caseload data'!$C:$C,'custody caseload'!$T$29,'caseload data'!$B:$B,"custody")</f>
        <v>0</v>
      </c>
      <c r="Y32" s="186">
        <f>SUMIFS('caseload data'!I:I,'caseload data'!$D:$D,"PSO",'caseload data'!$C:$C,'custody caseload'!$T$29,'caseload data'!$B:$B,"custody")</f>
        <v>0</v>
      </c>
      <c r="Z32" s="186">
        <f>SUMIFS('caseload data'!J:J,'caseload data'!$D:$D,"PSO",'caseload data'!$C:$C,'custody caseload'!$T$29,'caseload data'!$B:$B,"custody")</f>
        <v>0</v>
      </c>
      <c r="AA32" s="186">
        <f>SUMIFS('caseload data'!K:K,'caseload data'!$D:$D,"PSO",'caseload data'!$C:$C,'custody caseload'!$T$29,'caseload data'!$B:$B,"custody")</f>
        <v>0</v>
      </c>
      <c r="AB32" s="186">
        <f>SUMIFS('caseload data'!L:L,'caseload data'!$D:$D,"PSO",'caseload data'!$C:$C,'custody caseload'!$T$29,'caseload data'!$B:$B,"custody")</f>
        <v>0</v>
      </c>
      <c r="AC32" s="204">
        <f>SUMIFS('caseload data'!M:M,'caseload data'!$D:$D,"PSO",'caseload data'!$C:$C,'custody caseload'!$T$29,'caseload data'!$B:$B,"custody")</f>
        <v>0</v>
      </c>
      <c r="AD32" s="204">
        <f>SUMIFS('caseload data'!N:N,'caseload data'!$D:$D,"PSO",'caseload data'!$C:$C,'custody caseload'!$T$29,'caseload data'!$B:$B,"custody")</f>
        <v>0</v>
      </c>
      <c r="AE32" s="204">
        <f>SUMIFS('caseload data'!O:O,'caseload data'!$D:$D,"PSO",'caseload data'!$C:$C,'custody caseload'!$T$29,'caseload data'!$B:$B,"custody")</f>
        <v>0</v>
      </c>
      <c r="AF32" s="204">
        <f>SUMIFS('caseload data'!P:P,'caseload data'!$D:$D,"PSO",'caseload data'!$C:$C,'custody caseload'!$T$29,'caseload data'!$B:$B,"custody")</f>
        <v>0</v>
      </c>
      <c r="AG32" s="204">
        <f>SUMIFS('caseload data'!Q:Q,'caseload data'!$D:$D,"PSO",'caseload data'!$C:$C,'custody caseload'!$T$29,'caseload data'!$B:$B,"custody")</f>
        <v>0</v>
      </c>
      <c r="AH32" s="204">
        <f>SUMIFS('caseload data'!R:R,'caseload data'!$D:$D,"PSO",'caseload data'!$C:$C,'custody caseload'!$T$29,'caseload data'!$B:$B,"custody")</f>
        <v>0</v>
      </c>
      <c r="AI32" s="204">
        <f>SUMIFS('caseload data'!S:S,'caseload data'!$D:$D,"PSO",'caseload data'!$C:$C,'custody caseload'!$T$29,'caseload data'!$B:$B,"custody")</f>
        <v>0</v>
      </c>
      <c r="AJ32" s="204">
        <f>SUMIFS('caseload data'!T:T,'caseload data'!$D:$D,"PSO",'caseload data'!$C:$C,'custody caseload'!$T$29,'caseload data'!$B:$B,"custody")</f>
        <v>0</v>
      </c>
    </row>
    <row r="33" spans="2:36" ht="15" x14ac:dyDescent="0.2">
      <c r="B33" s="130" t="s">
        <v>186</v>
      </c>
      <c r="C33" s="186">
        <f>SUMIFS('caseload data'!E:E,'caseload data'!$D:$D,"TPO",'caseload data'!$C:$C,'custody caseload'!$B$29,'caseload data'!$B:$B,"custody")</f>
        <v>0</v>
      </c>
      <c r="D33" s="186">
        <f>SUMIFS('caseload data'!F:F,'caseload data'!$D:$D,"TPO",'caseload data'!$C:$C,'custody caseload'!$B$29,'caseload data'!$B:$B,"custody")</f>
        <v>0</v>
      </c>
      <c r="E33" s="186">
        <f>SUMIFS('caseload data'!G:G,'caseload data'!$D:$D,"TPO",'caseload data'!$C:$C,'custody caseload'!$B$29,'caseload data'!$B:$B,"custody")</f>
        <v>0</v>
      </c>
      <c r="F33" s="186">
        <f>SUMIFS('caseload data'!H:H,'caseload data'!$D:$D,"TPO",'caseload data'!$C:$C,'custody caseload'!$B$29,'caseload data'!$B:$B,"custody")</f>
        <v>0</v>
      </c>
      <c r="G33" s="186">
        <f>SUMIFS('caseload data'!I:I,'caseload data'!$D:$D,"TPO",'caseload data'!$C:$C,'custody caseload'!$B$29,'caseload data'!$B:$B,"custody")</f>
        <v>0</v>
      </c>
      <c r="H33" s="186">
        <f>SUMIFS('caseload data'!J:J,'caseload data'!$D:$D,"TPO",'caseload data'!$C:$C,'custody caseload'!$B$29,'caseload data'!$B:$B,"custody")</f>
        <v>0</v>
      </c>
      <c r="I33" s="186">
        <f>SUMIFS('caseload data'!K:K,'caseload data'!$D:$D,"TPO",'caseload data'!$C:$C,'custody caseload'!$B$29,'caseload data'!$B:$B,"custody")</f>
        <v>0</v>
      </c>
      <c r="J33" s="186">
        <f>SUMIFS('caseload data'!L:L,'caseload data'!$D:$D,"TPO",'caseload data'!$C:$C,'custody caseload'!$B$29,'caseload data'!$B:$B,"custody")</f>
        <v>0</v>
      </c>
      <c r="K33" s="204">
        <f>SUMIFS('caseload data'!M:M,'caseload data'!$D:$D,"TPO",'caseload data'!$C:$C,'custody caseload'!$B$29,'caseload data'!$B:$B,"custody")</f>
        <v>0</v>
      </c>
      <c r="L33" s="204">
        <f>SUMIFS('caseload data'!N:N,'caseload data'!$D:$D,"TPO",'caseload data'!$C:$C,'custody caseload'!$B$29,'caseload data'!$B:$B,"custody")</f>
        <v>0</v>
      </c>
      <c r="M33" s="204">
        <f>SUMIFS('caseload data'!O:O,'caseload data'!$D:$D,"TPO",'caseload data'!$C:$C,'custody caseload'!$B$29,'caseload data'!$B:$B,"custody")</f>
        <v>0</v>
      </c>
      <c r="N33" s="204">
        <f>SUMIFS('caseload data'!P:P,'caseload data'!$D:$D,"TPO",'caseload data'!$C:$C,'custody caseload'!$B$29,'caseload data'!$B:$B,"custody")</f>
        <v>0</v>
      </c>
      <c r="O33" s="204">
        <f>SUMIFS('caseload data'!Q:Q,'caseload data'!$D:$D,"TPO",'caseload data'!$C:$C,'custody caseload'!$B$29,'caseload data'!$B:$B,"custody")</f>
        <v>0</v>
      </c>
      <c r="P33" s="204">
        <f>SUMIFS('caseload data'!R:R,'caseload data'!$D:$D,"TPO",'caseload data'!$C:$C,'custody caseload'!$B$29,'caseload data'!$B:$B,"custody")</f>
        <v>0</v>
      </c>
      <c r="Q33" s="204">
        <f>SUMIFS('caseload data'!S:S,'caseload data'!$D:$D,"TPO",'caseload data'!$C:$C,'custody caseload'!$B$29,'caseload data'!$B:$B,"custody")</f>
        <v>0</v>
      </c>
      <c r="R33" s="204">
        <f>SUMIFS('caseload data'!T:T,'caseload data'!$D:$D,"TPO",'caseload data'!$C:$C,'custody caseload'!$B$29,'caseload data'!$B:$B,"custody")</f>
        <v>0</v>
      </c>
      <c r="S33" s="95"/>
      <c r="T33" s="130" t="s">
        <v>186</v>
      </c>
      <c r="U33" s="186">
        <f>SUMIFS('caseload data'!E:E,'caseload data'!$D:$D,"TPO",'caseload data'!$C:$C,'custody caseload'!$T$29,'caseload data'!$B:$B,"custody")</f>
        <v>0</v>
      </c>
      <c r="V33" s="186">
        <f>SUMIFS('caseload data'!F:F,'caseload data'!$D:$D,"TPO",'caseload data'!$C:$C,'custody caseload'!$T$29,'caseload data'!$B:$B,"custody")</f>
        <v>0</v>
      </c>
      <c r="W33" s="186">
        <f>SUMIFS('caseload data'!G:G,'caseload data'!$D:$D,"TPO",'caseload data'!$C:$C,'custody caseload'!$T$29,'caseload data'!$B:$B,"custody")</f>
        <v>0</v>
      </c>
      <c r="X33" s="186">
        <f>SUMIFS('caseload data'!H:H,'caseload data'!$D:$D,"TPO",'caseload data'!$C:$C,'custody caseload'!$T$29,'caseload data'!$B:$B,"custody")</f>
        <v>0</v>
      </c>
      <c r="Y33" s="186">
        <f>SUMIFS('caseload data'!I:I,'caseload data'!$D:$D,"TPO",'caseload data'!$C:$C,'custody caseload'!$T$29,'caseload data'!$B:$B,"custody")</f>
        <v>0</v>
      </c>
      <c r="Z33" s="186">
        <f>SUMIFS('caseload data'!J:J,'caseload data'!$D:$D,"TPO",'caseload data'!$C:$C,'custody caseload'!$T$29,'caseload data'!$B:$B,"custody")</f>
        <v>0</v>
      </c>
      <c r="AA33" s="186">
        <f>SUMIFS('caseload data'!K:K,'caseload data'!$D:$D,"TPO",'caseload data'!$C:$C,'custody caseload'!$T$29,'caseload data'!$B:$B,"custody")</f>
        <v>0</v>
      </c>
      <c r="AB33" s="186">
        <f>SUMIFS('caseload data'!L:L,'caseload data'!$D:$D,"TPO",'caseload data'!$C:$C,'custody caseload'!$T$29,'caseload data'!$B:$B,"custody")</f>
        <v>0</v>
      </c>
      <c r="AC33" s="204">
        <f>SUMIFS('caseload data'!M:M,'caseload data'!$D:$D,"TPO",'caseload data'!$C:$C,'custody caseload'!$T$29,'caseload data'!$B:$B,"custody")</f>
        <v>0</v>
      </c>
      <c r="AD33" s="204">
        <f>SUMIFS('caseload data'!N:N,'caseload data'!$D:$D,"TPO",'caseload data'!$C:$C,'custody caseload'!$T$29,'caseload data'!$B:$B,"custody")</f>
        <v>0</v>
      </c>
      <c r="AE33" s="204">
        <f>SUMIFS('caseload data'!O:O,'caseload data'!$D:$D,"TPO",'caseload data'!$C:$C,'custody caseload'!$T$29,'caseload data'!$B:$B,"custody")</f>
        <v>0</v>
      </c>
      <c r="AF33" s="204">
        <f>SUMIFS('caseload data'!P:P,'caseload data'!$D:$D,"TPO",'caseload data'!$C:$C,'custody caseload'!$T$29,'caseload data'!$B:$B,"custody")</f>
        <v>0</v>
      </c>
      <c r="AG33" s="204">
        <f>SUMIFS('caseload data'!Q:Q,'caseload data'!$D:$D,"TPO",'caseload data'!$C:$C,'custody caseload'!$T$29,'caseload data'!$B:$B,"custody")</f>
        <v>0</v>
      </c>
      <c r="AH33" s="204">
        <f>SUMIFS('caseload data'!R:R,'caseload data'!$D:$D,"TPO",'caseload data'!$C:$C,'custody caseload'!$T$29,'caseload data'!$B:$B,"custody")</f>
        <v>0</v>
      </c>
      <c r="AI33" s="204">
        <f>SUMIFS('caseload data'!S:S,'caseload data'!$D:$D,"TPO",'caseload data'!$C:$C,'custody caseload'!$T$29,'caseload data'!$B:$B,"custody")</f>
        <v>0</v>
      </c>
      <c r="AJ33" s="204">
        <f>SUMIFS('caseload data'!T:T,'caseload data'!$D:$D,"TPO",'caseload data'!$C:$C,'custody caseload'!$T$29,'caseload data'!$B:$B,"custody")</f>
        <v>0</v>
      </c>
    </row>
    <row r="34" spans="2:36" x14ac:dyDescent="0.15">
      <c r="B34" s="131" t="s">
        <v>187</v>
      </c>
      <c r="C34" s="204">
        <f>SUMIFS('caseload data'!E:E,'caseload data'!$D:$D,"SPO",'caseload data'!$C:$C,'custody caseload'!$B$29,'caseload data'!$B:$B,"custody")</f>
        <v>0</v>
      </c>
      <c r="D34" s="204">
        <f>SUMIFS('caseload data'!F:F,'caseload data'!$D:$D,"SPO",'caseload data'!$C:$C,'custody caseload'!$B$29,'caseload data'!$B:$B,"custody")</f>
        <v>0</v>
      </c>
      <c r="E34" s="204">
        <f>SUMIFS('caseload data'!G:G,'caseload data'!$D:$D,"SPO",'caseload data'!$C:$C,'custody caseload'!$B$29,'caseload data'!$B:$B,"custody")</f>
        <v>0</v>
      </c>
      <c r="F34" s="204">
        <f>SUMIFS('caseload data'!H:H,'caseload data'!$D:$D,"SPO",'caseload data'!$C:$C,'custody caseload'!$B$29,'caseload data'!$B:$B,"custody")</f>
        <v>0</v>
      </c>
      <c r="G34" s="204">
        <f>SUMIFS('caseload data'!I:I,'caseload data'!$D:$D,"SPO",'caseload data'!$C:$C,'custody caseload'!$B$29,'caseload data'!$B:$B,"custody")</f>
        <v>0</v>
      </c>
      <c r="H34" s="204">
        <f>SUMIFS('caseload data'!J:J,'caseload data'!$D:$D,"SPO",'caseload data'!$C:$C,'custody caseload'!$B$29,'caseload data'!$B:$B,"custody")</f>
        <v>0</v>
      </c>
      <c r="I34" s="204">
        <f>SUMIFS('caseload data'!K:K,'caseload data'!$D:$D,"SPO",'caseload data'!$C:$C,'custody caseload'!$B$29,'caseload data'!$B:$B,"custody")</f>
        <v>0</v>
      </c>
      <c r="J34" s="204">
        <f>SUMIFS('caseload data'!L:L,'caseload data'!$D:$D,"SPO",'caseload data'!$C:$C,'custody caseload'!$B$29,'caseload data'!$B:$B,"custody")</f>
        <v>0</v>
      </c>
      <c r="K34" s="204">
        <f>SUMIFS('caseload data'!M:M,'caseload data'!$D:$D,"SPO",'caseload data'!$C:$C,'custody caseload'!$B$29,'caseload data'!$B:$B,"custody")</f>
        <v>0</v>
      </c>
      <c r="L34" s="204">
        <f>SUMIFS('caseload data'!N:N,'caseload data'!$D:$D,"SPO",'caseload data'!$C:$C,'custody caseload'!$B$29,'caseload data'!$B:$B,"custody")</f>
        <v>0</v>
      </c>
      <c r="M34" s="204">
        <f>SUMIFS('caseload data'!O:O,'caseload data'!$D:$D,"SPO",'caseload data'!$C:$C,'custody caseload'!$B$29,'caseload data'!$B:$B,"custody")</f>
        <v>0</v>
      </c>
      <c r="N34" s="204">
        <f>SUMIFS('caseload data'!P:P,'caseload data'!$D:$D,"SPO",'caseload data'!$C:$C,'custody caseload'!$B$29,'caseload data'!$B:$B,"custody")</f>
        <v>0</v>
      </c>
      <c r="O34" s="204">
        <f>SUMIFS('caseload data'!Q:Q,'caseload data'!$D:$D,"SPO",'caseload data'!$C:$C,'custody caseload'!$B$29,'caseload data'!$B:$B,"custody")</f>
        <v>0</v>
      </c>
      <c r="P34" s="204">
        <f>SUMIFS('caseload data'!R:R,'caseload data'!$D:$D,"SPO",'caseload data'!$C:$C,'custody caseload'!$B$29,'caseload data'!$B:$B,"custody")</f>
        <v>0</v>
      </c>
      <c r="Q34" s="204">
        <f>SUMIFS('caseload data'!S:S,'caseload data'!$D:$D,"SPO",'caseload data'!$C:$C,'custody caseload'!$B$29,'caseload data'!$B:$B,"custody")</f>
        <v>0</v>
      </c>
      <c r="R34" s="204">
        <f>SUMIFS('caseload data'!T:T,'caseload data'!$D:$D,"SPO",'caseload data'!$C:$C,'custody caseload'!$B$29,'caseload data'!$B:$B,"custody")</f>
        <v>0</v>
      </c>
      <c r="S34" s="95"/>
      <c r="T34" s="131" t="s">
        <v>187</v>
      </c>
      <c r="U34" s="204">
        <f>SUMIFS('caseload data'!E:E,'caseload data'!$D:$D,"SPO",'caseload data'!$C:$C,'custody caseload'!$T$29,'caseload data'!$B:$B,"custody")</f>
        <v>0</v>
      </c>
      <c r="V34" s="204">
        <f>SUMIFS('caseload data'!F:F,'caseload data'!$D:$D,"SPO",'caseload data'!$C:$C,'custody caseload'!$T$29,'caseload data'!$B:$B,"custody")</f>
        <v>0</v>
      </c>
      <c r="W34" s="204">
        <f>SUMIFS('caseload data'!G:G,'caseload data'!$D:$D,"SPO",'caseload data'!$C:$C,'custody caseload'!$T$29,'caseload data'!$B:$B,"custody")</f>
        <v>0</v>
      </c>
      <c r="X34" s="204">
        <f>SUMIFS('caseload data'!H:H,'caseload data'!$D:$D,"SPO",'caseload data'!$C:$C,'custody caseload'!$T$29,'caseload data'!$B:$B,"custody")</f>
        <v>0</v>
      </c>
      <c r="Y34" s="204">
        <f>SUMIFS('caseload data'!I:I,'caseload data'!$D:$D,"SPO",'caseload data'!$C:$C,'custody caseload'!$T$29,'caseload data'!$B:$B,"custody")</f>
        <v>0</v>
      </c>
      <c r="Z34" s="204">
        <f>SUMIFS('caseload data'!J:J,'caseload data'!$D:$D,"SPO",'caseload data'!$C:$C,'custody caseload'!$T$29,'caseload data'!$B:$B,"custody")</f>
        <v>0</v>
      </c>
      <c r="AA34" s="204">
        <f>SUMIFS('caseload data'!K:K,'caseload data'!$D:$D,"SPO",'caseload data'!$C:$C,'custody caseload'!$T$29,'caseload data'!$B:$B,"custody")</f>
        <v>0</v>
      </c>
      <c r="AB34" s="204">
        <f>SUMIFS('caseload data'!L:L,'caseload data'!$D:$D,"SPO",'caseload data'!$C:$C,'custody caseload'!$T$29,'caseload data'!$B:$B,"custody")</f>
        <v>0</v>
      </c>
      <c r="AC34" s="204">
        <f>SUMIFS('caseload data'!M:M,'caseload data'!$D:$D,"SPO",'caseload data'!$C:$C,'custody caseload'!$T$29,'caseload data'!$B:$B,"custody")</f>
        <v>0</v>
      </c>
      <c r="AD34" s="204">
        <f>SUMIFS('caseload data'!N:N,'caseload data'!$D:$D,"SPO",'caseload data'!$C:$C,'custody caseload'!$T$29,'caseload data'!$B:$B,"custody")</f>
        <v>0</v>
      </c>
      <c r="AE34" s="204">
        <f>SUMIFS('caseload data'!O:O,'caseload data'!$D:$D,"SPO",'caseload data'!$C:$C,'custody caseload'!$T$29,'caseload data'!$B:$B,"custody")</f>
        <v>0</v>
      </c>
      <c r="AF34" s="204">
        <f>SUMIFS('caseload data'!P:P,'caseload data'!$D:$D,"SPO",'caseload data'!$C:$C,'custody caseload'!$T$29,'caseload data'!$B:$B,"custody")</f>
        <v>0</v>
      </c>
      <c r="AG34" s="204">
        <f>SUMIFS('caseload data'!Q:Q,'caseload data'!$D:$D,"SPO",'caseload data'!$C:$C,'custody caseload'!$T$29,'caseload data'!$B:$B,"custody")</f>
        <v>0</v>
      </c>
      <c r="AH34" s="204">
        <f>SUMIFS('caseload data'!R:R,'caseload data'!$D:$D,"SPO",'caseload data'!$C:$C,'custody caseload'!$T$29,'caseload data'!$B:$B,"custody")</f>
        <v>0</v>
      </c>
      <c r="AI34" s="204">
        <f>SUMIFS('caseload data'!S:S,'caseload data'!$D:$D,"SPO",'caseload data'!$C:$C,'custody caseload'!$T$29,'caseload data'!$B:$B,"custody")</f>
        <v>0</v>
      </c>
      <c r="AJ34" s="204">
        <f>SUMIFS('caseload data'!T:T,'caseload data'!$D:$D,"SPO",'caseload data'!$C:$C,'custody caseload'!$T$29,'caseload data'!$B:$B,"custody")</f>
        <v>0</v>
      </c>
    </row>
    <row r="35" spans="2:36" x14ac:dyDescent="0.15">
      <c r="B35" s="183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183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</row>
    <row r="36" spans="2:36" ht="27.75" customHeight="1" x14ac:dyDescent="0.15">
      <c r="B36" s="182" t="str">
        <f>HLOOKUP($B$5,Region_Table,10,0)</f>
        <v>Ealing and Hillingdon</v>
      </c>
      <c r="C36" s="359" t="s">
        <v>367</v>
      </c>
      <c r="D36" s="365"/>
      <c r="E36" s="365"/>
      <c r="F36" s="365"/>
      <c r="G36" s="365"/>
      <c r="H36" s="365"/>
      <c r="I36" s="365"/>
      <c r="J36" s="365"/>
      <c r="K36" s="365"/>
      <c r="L36" s="365"/>
      <c r="M36" s="368"/>
      <c r="N36" s="368"/>
      <c r="O36" s="369"/>
      <c r="P36" s="362">
        <f>SUMIFS('caseload data'!V:V,'caseload data'!B:B,"custody",'caseload data'!$C:$C,'custody caseload'!B36)</f>
        <v>0</v>
      </c>
      <c r="Q36" s="370"/>
      <c r="R36" s="371"/>
      <c r="S36" s="95"/>
      <c r="T36" s="182" t="str">
        <f>HLOOKUP($B$5,Region_Table,11,0)</f>
        <v>Enfield and Haringey</v>
      </c>
      <c r="U36" s="359" t="s">
        <v>366</v>
      </c>
      <c r="V36" s="365"/>
      <c r="W36" s="365"/>
      <c r="X36" s="365"/>
      <c r="Y36" s="365"/>
      <c r="Z36" s="365"/>
      <c r="AA36" s="365"/>
      <c r="AB36" s="365"/>
      <c r="AC36" s="365"/>
      <c r="AD36" s="365"/>
      <c r="AE36" s="368"/>
      <c r="AF36" s="368"/>
      <c r="AG36" s="369"/>
      <c r="AH36" s="362">
        <f>SUMIFS('caseload data'!V:V,'caseload data'!B:B,"custody",'caseload data'!$C:$C,'custody caseload'!T36)</f>
        <v>0</v>
      </c>
      <c r="AI36" s="370"/>
      <c r="AJ36" s="371"/>
    </row>
    <row r="37" spans="2:36" x14ac:dyDescent="0.15">
      <c r="B37" s="127" t="s">
        <v>324</v>
      </c>
      <c r="C37" s="58" t="s">
        <v>504</v>
      </c>
      <c r="D37" s="58" t="s">
        <v>503</v>
      </c>
      <c r="E37" s="58" t="s">
        <v>502</v>
      </c>
      <c r="F37" s="58" t="s">
        <v>501</v>
      </c>
      <c r="G37" s="58" t="s">
        <v>510</v>
      </c>
      <c r="H37" s="58" t="s">
        <v>176</v>
      </c>
      <c r="I37" s="58" t="s">
        <v>177</v>
      </c>
      <c r="J37" s="58" t="s">
        <v>505</v>
      </c>
      <c r="K37" s="58" t="s">
        <v>507</v>
      </c>
      <c r="L37" s="58" t="s">
        <v>178</v>
      </c>
      <c r="M37" s="58" t="s">
        <v>179</v>
      </c>
      <c r="N37" s="58" t="s">
        <v>506</v>
      </c>
      <c r="O37" s="58" t="s">
        <v>508</v>
      </c>
      <c r="P37" s="58" t="s">
        <v>180</v>
      </c>
      <c r="Q37" s="58" t="s">
        <v>181</v>
      </c>
      <c r="R37" s="58" t="s">
        <v>509</v>
      </c>
      <c r="S37" s="95"/>
      <c r="T37" s="127" t="s">
        <v>324</v>
      </c>
      <c r="U37" s="58" t="s">
        <v>504</v>
      </c>
      <c r="V37" s="58" t="s">
        <v>503</v>
      </c>
      <c r="W37" s="58" t="s">
        <v>502</v>
      </c>
      <c r="X37" s="58" t="s">
        <v>501</v>
      </c>
      <c r="Y37" s="58" t="s">
        <v>510</v>
      </c>
      <c r="Z37" s="58" t="s">
        <v>176</v>
      </c>
      <c r="AA37" s="58" t="s">
        <v>177</v>
      </c>
      <c r="AB37" s="58" t="s">
        <v>505</v>
      </c>
      <c r="AC37" s="58" t="s">
        <v>507</v>
      </c>
      <c r="AD37" s="58" t="s">
        <v>178</v>
      </c>
      <c r="AE37" s="58" t="s">
        <v>179</v>
      </c>
      <c r="AF37" s="58" t="s">
        <v>506</v>
      </c>
      <c r="AG37" s="58" t="s">
        <v>508</v>
      </c>
      <c r="AH37" s="58" t="s">
        <v>180</v>
      </c>
      <c r="AI37" s="58" t="s">
        <v>181</v>
      </c>
      <c r="AJ37" s="58" t="s">
        <v>509</v>
      </c>
    </row>
    <row r="38" spans="2:36" x14ac:dyDescent="0.15">
      <c r="B38" s="129" t="s">
        <v>184</v>
      </c>
      <c r="C38" s="204">
        <f>SUMIFS('caseload data'!E:E,'caseload data'!$D:$D,"PO",'caseload data'!$C:$C,'custody caseload'!$B$36,'caseload data'!$B:$B,"custody")</f>
        <v>0</v>
      </c>
      <c r="D38" s="204">
        <f>SUMIFS('caseload data'!F:F,'caseload data'!$D:$D,"PO",'caseload data'!$C:$C,'custody caseload'!$B$36,'caseload data'!$B:$B,"custody")</f>
        <v>0</v>
      </c>
      <c r="E38" s="204">
        <f>SUMIFS('caseload data'!G:G,'caseload data'!$D:$D,"PO",'caseload data'!$C:$C,'custody caseload'!$B$36,'caseload data'!$B:$B,"custody")</f>
        <v>0</v>
      </c>
      <c r="F38" s="204">
        <f>SUMIFS('caseload data'!H:H,'caseload data'!$D:$D,"PO",'caseload data'!$C:$C,'custody caseload'!$B$36,'caseload data'!$B:$B,"custody")</f>
        <v>0</v>
      </c>
      <c r="G38" s="204">
        <f>SUMIFS('caseload data'!I:I,'caseload data'!$D:$D,"PO",'caseload data'!$C:$C,'custody caseload'!$B$36,'caseload data'!$B:$B,"custody")</f>
        <v>0</v>
      </c>
      <c r="H38" s="204">
        <f>SUMIFS('caseload data'!J:J,'caseload data'!$D:$D,"PO",'caseload data'!$C:$C,'custody caseload'!$B$36,'caseload data'!$B:$B,"custody")</f>
        <v>0</v>
      </c>
      <c r="I38" s="204">
        <f>SUMIFS('caseload data'!K:K,'caseload data'!$D:$D,"PO",'caseload data'!$C:$C,'custody caseload'!$B$36,'caseload data'!$B:$B,"custody")</f>
        <v>0</v>
      </c>
      <c r="J38" s="204">
        <f>SUMIFS('caseload data'!L:L,'caseload data'!$D:$D,"PO",'caseload data'!$C:$C,'custody caseload'!$B$36,'caseload data'!$B:$B,"custody")</f>
        <v>0</v>
      </c>
      <c r="K38" s="204">
        <f>SUMIFS('caseload data'!M:M,'caseload data'!$D:$D,"PO",'caseload data'!$C:$C,'custody caseload'!$B$36,'caseload data'!$B:$B,"custody")</f>
        <v>0</v>
      </c>
      <c r="L38" s="204">
        <f>SUMIFS('caseload data'!N:N,'caseload data'!$D:$D,"PO",'caseload data'!$C:$C,'custody caseload'!$B$36,'caseload data'!$B:$B,"custody")</f>
        <v>0</v>
      </c>
      <c r="M38" s="204">
        <f>SUMIFS('caseload data'!O:O,'caseload data'!$D:$D,"PO",'caseload data'!$C:$C,'custody caseload'!$B$36,'caseload data'!$B:$B,"custody")</f>
        <v>0</v>
      </c>
      <c r="N38" s="204">
        <f>SUMIFS('caseload data'!P:P,'caseload data'!$D:$D,"PO",'caseload data'!$C:$C,'custody caseload'!$B$36,'caseload data'!$B:$B,"custody")</f>
        <v>0</v>
      </c>
      <c r="O38" s="204">
        <f>SUMIFS('caseload data'!Q:Q,'caseload data'!$D:$D,"PO",'caseload data'!$C:$C,'custody caseload'!$B$36,'caseload data'!$B:$B,"custody")</f>
        <v>0</v>
      </c>
      <c r="P38" s="204">
        <f>SUMIFS('caseload data'!R:R,'caseload data'!$D:$D,"PO",'caseload data'!$C:$C,'custody caseload'!$B$36,'caseload data'!$B:$B,"custody")</f>
        <v>0</v>
      </c>
      <c r="Q38" s="204">
        <f>SUMIFS('caseload data'!S:S,'caseload data'!$D:$D,"PO",'caseload data'!$C:$C,'custody caseload'!$B$36,'caseload data'!$B:$B,"custody")</f>
        <v>0</v>
      </c>
      <c r="R38" s="204">
        <f>SUMIFS('caseload data'!T:T,'caseload data'!$D:$D,"PO",'caseload data'!$C:$C,'custody caseload'!$B$36,'caseload data'!$B:$B,"custody")</f>
        <v>0</v>
      </c>
      <c r="S38" s="95"/>
      <c r="T38" s="129" t="s">
        <v>184</v>
      </c>
      <c r="U38" s="204">
        <f>SUMIFS('caseload data'!E:E,'caseload data'!$D:$D,"PO",'caseload data'!$C:$C,'custody caseload'!$T$36,'caseload data'!$B:$B,"custody")</f>
        <v>0</v>
      </c>
      <c r="V38" s="204">
        <f>SUMIFS('caseload data'!F:F,'caseload data'!$D:$D,"PO",'caseload data'!$C:$C,'custody caseload'!$T$36,'caseload data'!$B:$B,"custody")</f>
        <v>0</v>
      </c>
      <c r="W38" s="204">
        <f>SUMIFS('caseload data'!G:G,'caseload data'!$D:$D,"PO",'caseload data'!$C:$C,'custody caseload'!$T$36,'caseload data'!$B:$B,"custody")</f>
        <v>0</v>
      </c>
      <c r="X38" s="204">
        <f>SUMIFS('caseload data'!H:H,'caseload data'!$D:$D,"PO",'caseload data'!$C:$C,'custody caseload'!$T$36,'caseload data'!$B:$B,"custody")</f>
        <v>0</v>
      </c>
      <c r="Y38" s="204">
        <f>SUMIFS('caseload data'!I:I,'caseload data'!$D:$D,"PO",'caseload data'!$C:$C,'custody caseload'!$T$36,'caseload data'!$B:$B,"custody")</f>
        <v>0</v>
      </c>
      <c r="Z38" s="204">
        <f>SUMIFS('caseload data'!J:J,'caseload data'!$D:$D,"PO",'caseload data'!$C:$C,'custody caseload'!$T$36,'caseload data'!$B:$B,"custody")</f>
        <v>0</v>
      </c>
      <c r="AA38" s="204">
        <f>SUMIFS('caseload data'!K:K,'caseload data'!$D:$D,"PO",'caseload data'!$C:$C,'custody caseload'!$T$36,'caseload data'!$B:$B,"custody")</f>
        <v>0</v>
      </c>
      <c r="AB38" s="204">
        <f>SUMIFS('caseload data'!L:L,'caseload data'!$D:$D,"PO",'caseload data'!$C:$C,'custody caseload'!$T$36,'caseload data'!$B:$B,"custody")</f>
        <v>0</v>
      </c>
      <c r="AC38" s="204">
        <f>SUMIFS('caseload data'!M:M,'caseload data'!$D:$D,"PO",'caseload data'!$C:$C,'custody caseload'!$T$36,'caseload data'!$B:$B,"custody")</f>
        <v>0</v>
      </c>
      <c r="AD38" s="204">
        <f>SUMIFS('caseload data'!N:N,'caseload data'!$D:$D,"PO",'caseload data'!$C:$C,'custody caseload'!$T$36,'caseload data'!$B:$B,"custody")</f>
        <v>0</v>
      </c>
      <c r="AE38" s="204">
        <f>SUMIFS('caseload data'!O:O,'caseload data'!$D:$D,"PO",'caseload data'!$C:$C,'custody caseload'!$T$36,'caseload data'!$B:$B,"custody")</f>
        <v>0</v>
      </c>
      <c r="AF38" s="204">
        <f>SUMIFS('caseload data'!P:P,'caseload data'!$D:$D,"PO",'caseload data'!$C:$C,'custody caseload'!$T$36,'caseload data'!$B:$B,"custody")</f>
        <v>0</v>
      </c>
      <c r="AG38" s="204">
        <f>SUMIFS('caseload data'!Q:Q,'caseload data'!$D:$D,"PO",'caseload data'!$C:$C,'custody caseload'!$T$36,'caseload data'!$B:$B,"custody")</f>
        <v>0</v>
      </c>
      <c r="AH38" s="204">
        <f>SUMIFS('caseload data'!R:R,'caseload data'!$D:$D,"PO",'caseload data'!$C:$C,'custody caseload'!$T$36,'caseload data'!$B:$B,"custody")</f>
        <v>0</v>
      </c>
      <c r="AI38" s="204">
        <f>SUMIFS('caseload data'!S:S,'caseload data'!$D:$D,"PO",'caseload data'!$C:$C,'custody caseload'!$T$36,'caseload data'!$B:$B,"custody")</f>
        <v>0</v>
      </c>
      <c r="AJ38" s="204">
        <f>SUMIFS('caseload data'!T:T,'caseload data'!$D:$D,"PO",'caseload data'!$C:$C,'custody caseload'!$T$36,'caseload data'!$B:$B,"custody")</f>
        <v>0</v>
      </c>
    </row>
    <row r="39" spans="2:36" ht="15" x14ac:dyDescent="0.2">
      <c r="B39" s="130" t="s">
        <v>185</v>
      </c>
      <c r="C39" s="186">
        <f>SUMIFS('caseload data'!E:E,'caseload data'!$D:$D,"PSO",'caseload data'!$C:$C,'custody caseload'!$B$36,'caseload data'!$B:$B,"custody")</f>
        <v>0</v>
      </c>
      <c r="D39" s="186">
        <f>SUMIFS('caseload data'!F:F,'caseload data'!$D:$D,"PSO",'caseload data'!$C:$C,'custody caseload'!$B$36,'caseload data'!$B:$B,"custody")</f>
        <v>0</v>
      </c>
      <c r="E39" s="186">
        <f>SUMIFS('caseload data'!G:G,'caseload data'!$D:$D,"PSO",'caseload data'!$C:$C,'custody caseload'!$B$36,'caseload data'!$B:$B,"custody")</f>
        <v>0</v>
      </c>
      <c r="F39" s="186">
        <f>SUMIFS('caseload data'!H:H,'caseload data'!$D:$D,"PSO",'caseload data'!$C:$C,'custody caseload'!$B$36,'caseload data'!$B:$B,"custody")</f>
        <v>0</v>
      </c>
      <c r="G39" s="186">
        <f>SUMIFS('caseload data'!I:I,'caseload data'!$D:$D,"PSO",'caseload data'!$C:$C,'custody caseload'!$B$36,'caseload data'!$B:$B,"custody")</f>
        <v>0</v>
      </c>
      <c r="H39" s="186">
        <f>SUMIFS('caseload data'!J:J,'caseload data'!$D:$D,"PSO",'caseload data'!$C:$C,'custody caseload'!$B$36,'caseload data'!$B:$B,"custody")</f>
        <v>0</v>
      </c>
      <c r="I39" s="186">
        <f>SUMIFS('caseload data'!K:K,'caseload data'!$D:$D,"PSO",'caseload data'!$C:$C,'custody caseload'!$B$36,'caseload data'!$B:$B,"custody")</f>
        <v>0</v>
      </c>
      <c r="J39" s="186">
        <f>SUMIFS('caseload data'!L:L,'caseload data'!$D:$D,"PSO",'caseload data'!$C:$C,'custody caseload'!$B$36,'caseload data'!$B:$B,"custody")</f>
        <v>0</v>
      </c>
      <c r="K39" s="204">
        <f>SUMIFS('caseload data'!M:M,'caseload data'!$D:$D,"PSO",'caseload data'!$C:$C,'custody caseload'!$B$36,'caseload data'!$B:$B,"custody")</f>
        <v>0</v>
      </c>
      <c r="L39" s="204">
        <f>SUMIFS('caseload data'!N:N,'caseload data'!$D:$D,"PSO",'caseload data'!$C:$C,'custody caseload'!$B$36,'caseload data'!$B:$B,"custody")</f>
        <v>0</v>
      </c>
      <c r="M39" s="204">
        <f>SUMIFS('caseload data'!O:O,'caseload data'!$D:$D,"PSO",'caseload data'!$C:$C,'custody caseload'!$B$36,'caseload data'!$B:$B,"custody")</f>
        <v>0</v>
      </c>
      <c r="N39" s="204">
        <f>SUMIFS('caseload data'!P:P,'caseload data'!$D:$D,"PSO",'caseload data'!$C:$C,'custody caseload'!$B$36,'caseload data'!$B:$B,"custody")</f>
        <v>0</v>
      </c>
      <c r="O39" s="204">
        <f>SUMIFS('caseload data'!Q:Q,'caseload data'!$D:$D,"PSO",'caseload data'!$C:$C,'custody caseload'!$B$36,'caseload data'!$B:$B,"custody")</f>
        <v>0</v>
      </c>
      <c r="P39" s="204">
        <f>SUMIFS('caseload data'!R:R,'caseload data'!$D:$D,"PSO",'caseload data'!$C:$C,'custody caseload'!$B$36,'caseload data'!$B:$B,"custody")</f>
        <v>0</v>
      </c>
      <c r="Q39" s="204">
        <f>SUMIFS('caseload data'!S:S,'caseload data'!$D:$D,"PSO",'caseload data'!$C:$C,'custody caseload'!$B$36,'caseload data'!$B:$B,"custody")</f>
        <v>0</v>
      </c>
      <c r="R39" s="204">
        <f>SUMIFS('caseload data'!T:T,'caseload data'!$D:$D,"PSO",'caseload data'!$C:$C,'custody caseload'!$B$36,'caseload data'!$B:$B,"custody")</f>
        <v>0</v>
      </c>
      <c r="S39" s="95"/>
      <c r="T39" s="130" t="s">
        <v>185</v>
      </c>
      <c r="U39" s="186">
        <f>SUMIFS('caseload data'!E:E,'caseload data'!$D:$D,"PSO",'caseload data'!$C:$C,'custody caseload'!$T$36,'caseload data'!$B:$B,"custody")</f>
        <v>0</v>
      </c>
      <c r="V39" s="186">
        <f>SUMIFS('caseload data'!F:F,'caseload data'!$D:$D,"PSO",'caseload data'!$C:$C,'custody caseload'!$T$36,'caseload data'!$B:$B,"custody")</f>
        <v>0</v>
      </c>
      <c r="W39" s="186">
        <f>SUMIFS('caseload data'!G:G,'caseload data'!$D:$D,"PSO",'caseload data'!$C:$C,'custody caseload'!$T$36,'caseload data'!$B:$B,"custody")</f>
        <v>0</v>
      </c>
      <c r="X39" s="186">
        <f>SUMIFS('caseload data'!H:H,'caseload data'!$D:$D,"PSO",'caseload data'!$C:$C,'custody caseload'!$T$36,'caseload data'!$B:$B,"custody")</f>
        <v>0</v>
      </c>
      <c r="Y39" s="186">
        <f>SUMIFS('caseload data'!I:I,'caseload data'!$D:$D,"PSO",'caseload data'!$C:$C,'custody caseload'!$T$36,'caseload data'!$B:$B,"custody")</f>
        <v>0</v>
      </c>
      <c r="Z39" s="186">
        <f>SUMIFS('caseload data'!J:J,'caseload data'!$D:$D,"PSO",'caseload data'!$C:$C,'custody caseload'!$T$36,'caseload data'!$B:$B,"custody")</f>
        <v>0</v>
      </c>
      <c r="AA39" s="186">
        <f>SUMIFS('caseload data'!K:K,'caseload data'!$D:$D,"PSO",'caseload data'!$C:$C,'custody caseload'!$T$36,'caseload data'!$B:$B,"custody")</f>
        <v>0</v>
      </c>
      <c r="AB39" s="186">
        <f>SUMIFS('caseload data'!L:L,'caseload data'!$D:$D,"PSO",'caseload data'!$C:$C,'custody caseload'!$T$36,'caseload data'!$B:$B,"custody")</f>
        <v>0</v>
      </c>
      <c r="AC39" s="204">
        <f>SUMIFS('caseload data'!M:M,'caseload data'!$D:$D,"PSO",'caseload data'!$C:$C,'custody caseload'!$T$36,'caseload data'!$B:$B,"custody")</f>
        <v>0</v>
      </c>
      <c r="AD39" s="204">
        <f>SUMIFS('caseload data'!N:N,'caseload data'!$D:$D,"PSO",'caseload data'!$C:$C,'custody caseload'!$T$36,'caseload data'!$B:$B,"custody")</f>
        <v>0</v>
      </c>
      <c r="AE39" s="204">
        <f>SUMIFS('caseload data'!O:O,'caseload data'!$D:$D,"PSO",'caseload data'!$C:$C,'custody caseload'!$T$36,'caseload data'!$B:$B,"custody")</f>
        <v>0</v>
      </c>
      <c r="AF39" s="204">
        <f>SUMIFS('caseload data'!P:P,'caseload data'!$D:$D,"PSO",'caseload data'!$C:$C,'custody caseload'!$T$36,'caseload data'!$B:$B,"custody")</f>
        <v>0</v>
      </c>
      <c r="AG39" s="204">
        <f>SUMIFS('caseload data'!Q:Q,'caseload data'!$D:$D,"PSO",'caseload data'!$C:$C,'custody caseload'!$T$36,'caseload data'!$B:$B,"custody")</f>
        <v>0</v>
      </c>
      <c r="AH39" s="204">
        <f>SUMIFS('caseload data'!R:R,'caseload data'!$D:$D,"PSO",'caseload data'!$C:$C,'custody caseload'!$T$36,'caseload data'!$B:$B,"custody")</f>
        <v>0</v>
      </c>
      <c r="AI39" s="204">
        <f>SUMIFS('caseload data'!S:S,'caseload data'!$D:$D,"PSO",'caseload data'!$C:$C,'custody caseload'!$T$36,'caseload data'!$B:$B,"custody")</f>
        <v>0</v>
      </c>
      <c r="AJ39" s="204">
        <f>SUMIFS('caseload data'!T:T,'caseload data'!$D:$D,"PSO",'caseload data'!$C:$C,'custody caseload'!$T$36,'caseload data'!$B:$B,"custody")</f>
        <v>0</v>
      </c>
    </row>
    <row r="40" spans="2:36" ht="15" x14ac:dyDescent="0.2">
      <c r="B40" s="130" t="s">
        <v>186</v>
      </c>
      <c r="C40" s="186">
        <f>SUMIFS('caseload data'!E:E,'caseload data'!$D:$D,"TPO",'caseload data'!$C:$C,'custody caseload'!$B$36,'caseload data'!$B:$B,"custody")</f>
        <v>0</v>
      </c>
      <c r="D40" s="186">
        <f>SUMIFS('caseload data'!F:F,'caseload data'!$D:$D,"TPO",'caseload data'!$C:$C,'custody caseload'!$B$36,'caseload data'!$B:$B,"custody")</f>
        <v>0</v>
      </c>
      <c r="E40" s="186">
        <f>SUMIFS('caseload data'!G:G,'caseload data'!$D:$D,"TPO",'caseload data'!$C:$C,'custody caseload'!$B$36,'caseload data'!$B:$B,"custody")</f>
        <v>0</v>
      </c>
      <c r="F40" s="186">
        <f>SUMIFS('caseload data'!H:H,'caseload data'!$D:$D,"TPO",'caseload data'!$C:$C,'custody caseload'!$B$36,'caseload data'!$B:$B,"custody")</f>
        <v>0</v>
      </c>
      <c r="G40" s="186">
        <f>SUMIFS('caseload data'!I:I,'caseload data'!$D:$D,"TPO",'caseload data'!$C:$C,'custody caseload'!$B$36,'caseload data'!$B:$B,"custody")</f>
        <v>0</v>
      </c>
      <c r="H40" s="186">
        <f>SUMIFS('caseload data'!J:J,'caseload data'!$D:$D,"TPO",'caseload data'!$C:$C,'custody caseload'!$B$36,'caseload data'!$B:$B,"custody")</f>
        <v>0</v>
      </c>
      <c r="I40" s="186">
        <f>SUMIFS('caseload data'!K:K,'caseload data'!$D:$D,"TPO",'caseload data'!$C:$C,'custody caseload'!$B$36,'caseload data'!$B:$B,"custody")</f>
        <v>0</v>
      </c>
      <c r="J40" s="186">
        <f>SUMIFS('caseload data'!L:L,'caseload data'!$D:$D,"TPO",'caseload data'!$C:$C,'custody caseload'!$B$36,'caseload data'!$B:$B,"custody")</f>
        <v>0</v>
      </c>
      <c r="K40" s="204">
        <f>SUMIFS('caseload data'!M:M,'caseload data'!$D:$D,"TPO",'caseload data'!$C:$C,'custody caseload'!$B$36,'caseload data'!$B:$B,"custody")</f>
        <v>0</v>
      </c>
      <c r="L40" s="204">
        <f>SUMIFS('caseload data'!N:N,'caseload data'!$D:$D,"TPO",'caseload data'!$C:$C,'custody caseload'!$B$36,'caseload data'!$B:$B,"custody")</f>
        <v>0</v>
      </c>
      <c r="M40" s="204">
        <f>SUMIFS('caseload data'!O:O,'caseload data'!$D:$D,"TPO",'caseload data'!$C:$C,'custody caseload'!$B$36,'caseload data'!$B:$B,"custody")</f>
        <v>0</v>
      </c>
      <c r="N40" s="204">
        <f>SUMIFS('caseload data'!P:P,'caseload data'!$D:$D,"TPO",'caseload data'!$C:$C,'custody caseload'!$B$36,'caseload data'!$B:$B,"custody")</f>
        <v>0</v>
      </c>
      <c r="O40" s="204">
        <f>SUMIFS('caseload data'!Q:Q,'caseload data'!$D:$D,"TPO",'caseload data'!$C:$C,'custody caseload'!$B$36,'caseload data'!$B:$B,"custody")</f>
        <v>0</v>
      </c>
      <c r="P40" s="204">
        <f>SUMIFS('caseload data'!R:R,'caseload data'!$D:$D,"TPO",'caseload data'!$C:$C,'custody caseload'!$B$36,'caseload data'!$B:$B,"custody")</f>
        <v>0</v>
      </c>
      <c r="Q40" s="204">
        <f>SUMIFS('caseload data'!S:S,'caseload data'!$D:$D,"TPO",'caseload data'!$C:$C,'custody caseload'!$B$36,'caseload data'!$B:$B,"custody")</f>
        <v>0</v>
      </c>
      <c r="R40" s="204">
        <f>SUMIFS('caseload data'!T:T,'caseload data'!$D:$D,"TPO",'caseload data'!$C:$C,'custody caseload'!$B$36,'caseload data'!$B:$B,"custody")</f>
        <v>0</v>
      </c>
      <c r="S40" s="95"/>
      <c r="T40" s="130" t="s">
        <v>186</v>
      </c>
      <c r="U40" s="186">
        <f>SUMIFS('caseload data'!E:E,'caseload data'!$D:$D,"TPO",'caseload data'!$C:$C,'custody caseload'!$T$36,'caseload data'!$B:$B,"custody")</f>
        <v>0</v>
      </c>
      <c r="V40" s="186">
        <f>SUMIFS('caseload data'!F:F,'caseload data'!$D:$D,"TPO",'caseload data'!$C:$C,'custody caseload'!$T$36,'caseload data'!$B:$B,"custody")</f>
        <v>0</v>
      </c>
      <c r="W40" s="186">
        <f>SUMIFS('caseload data'!G:G,'caseload data'!$D:$D,"TPO",'caseload data'!$C:$C,'custody caseload'!$T$36,'caseload data'!$B:$B,"custody")</f>
        <v>0</v>
      </c>
      <c r="X40" s="186">
        <f>SUMIFS('caseload data'!H:H,'caseload data'!$D:$D,"TPO",'caseload data'!$C:$C,'custody caseload'!$T$36,'caseload data'!$B:$B,"custody")</f>
        <v>0</v>
      </c>
      <c r="Y40" s="186">
        <f>SUMIFS('caseload data'!I:I,'caseload data'!$D:$D,"TPO",'caseload data'!$C:$C,'custody caseload'!$T$36,'caseload data'!$B:$B,"custody")</f>
        <v>0</v>
      </c>
      <c r="Z40" s="186">
        <f>SUMIFS('caseload data'!J:J,'caseload data'!$D:$D,"TPO",'caseload data'!$C:$C,'custody caseload'!$T$36,'caseload data'!$B:$B,"custody")</f>
        <v>0</v>
      </c>
      <c r="AA40" s="186">
        <f>SUMIFS('caseload data'!K:K,'caseload data'!$D:$D,"TPO",'caseload data'!$C:$C,'custody caseload'!$T$36,'caseload data'!$B:$B,"custody")</f>
        <v>0</v>
      </c>
      <c r="AB40" s="186">
        <f>SUMIFS('caseload data'!L:L,'caseload data'!$D:$D,"TPO",'caseload data'!$C:$C,'custody caseload'!$T$36,'caseload data'!$B:$B,"custody")</f>
        <v>0</v>
      </c>
      <c r="AC40" s="204">
        <f>SUMIFS('caseload data'!M:M,'caseload data'!$D:$D,"TPO",'caseload data'!$C:$C,'custody caseload'!$T$36,'caseload data'!$B:$B,"custody")</f>
        <v>0</v>
      </c>
      <c r="AD40" s="204">
        <f>SUMIFS('caseload data'!N:N,'caseload data'!$D:$D,"TPO",'caseload data'!$C:$C,'custody caseload'!$T$36,'caseload data'!$B:$B,"custody")</f>
        <v>0</v>
      </c>
      <c r="AE40" s="204">
        <f>SUMIFS('caseload data'!O:O,'caseload data'!$D:$D,"TPO",'caseload data'!$C:$C,'custody caseload'!$T$36,'caseload data'!$B:$B,"custody")</f>
        <v>0</v>
      </c>
      <c r="AF40" s="204">
        <f>SUMIFS('caseload data'!P:P,'caseload data'!$D:$D,"TPO",'caseload data'!$C:$C,'custody caseload'!$T$36,'caseload data'!$B:$B,"custody")</f>
        <v>0</v>
      </c>
      <c r="AG40" s="204">
        <f>SUMIFS('caseload data'!Q:Q,'caseload data'!$D:$D,"TPO",'caseload data'!$C:$C,'custody caseload'!$T$36,'caseload data'!$B:$B,"custody")</f>
        <v>0</v>
      </c>
      <c r="AH40" s="204">
        <f>SUMIFS('caseload data'!R:R,'caseload data'!$D:$D,"TPO",'caseload data'!$C:$C,'custody caseload'!$T$36,'caseload data'!$B:$B,"custody")</f>
        <v>0</v>
      </c>
      <c r="AI40" s="204">
        <f>SUMIFS('caseload data'!S:S,'caseload data'!$D:$D,"TPO",'caseload data'!$C:$C,'custody caseload'!$T$36,'caseload data'!$B:$B,"custody")</f>
        <v>0</v>
      </c>
      <c r="AJ40" s="204">
        <f>SUMIFS('caseload data'!T:T,'caseload data'!$D:$D,"TPO",'caseload data'!$C:$C,'custody caseload'!$T$36,'caseload data'!$B:$B,"custody")</f>
        <v>0</v>
      </c>
    </row>
    <row r="41" spans="2:36" x14ac:dyDescent="0.15">
      <c r="B41" s="131" t="s">
        <v>187</v>
      </c>
      <c r="C41" s="204">
        <f>SUMIFS('caseload data'!E:E,'caseload data'!$D:$D,"SPO",'caseload data'!$C:$C,'custody caseload'!$B$36,'caseload data'!$B:$B,"custody")</f>
        <v>0</v>
      </c>
      <c r="D41" s="204">
        <f>SUMIFS('caseload data'!F:F,'caseload data'!$D:$D,"SPO",'caseload data'!$C:$C,'custody caseload'!$B$36,'caseload data'!$B:$B,"custody")</f>
        <v>0</v>
      </c>
      <c r="E41" s="204">
        <f>SUMIFS('caseload data'!G:G,'caseload data'!$D:$D,"SPO",'caseload data'!$C:$C,'custody caseload'!$B$36,'caseload data'!$B:$B,"custody")</f>
        <v>0</v>
      </c>
      <c r="F41" s="204">
        <f>SUMIFS('caseload data'!H:H,'caseload data'!$D:$D,"SPO",'caseload data'!$C:$C,'custody caseload'!$B$36,'caseload data'!$B:$B,"custody")</f>
        <v>0</v>
      </c>
      <c r="G41" s="204">
        <f>SUMIFS('caseload data'!I:I,'caseload data'!$D:$D,"SPO",'caseload data'!$C:$C,'custody caseload'!$B$36,'caseload data'!$B:$B,"custody")</f>
        <v>0</v>
      </c>
      <c r="H41" s="204">
        <f>SUMIFS('caseload data'!J:J,'caseload data'!$D:$D,"SPO",'caseload data'!$C:$C,'custody caseload'!$B$36,'caseload data'!$B:$B,"custody")</f>
        <v>0</v>
      </c>
      <c r="I41" s="204">
        <f>SUMIFS('caseload data'!K:K,'caseload data'!$D:$D,"SPO",'caseload data'!$C:$C,'custody caseload'!$B$36,'caseload data'!$B:$B,"custody")</f>
        <v>0</v>
      </c>
      <c r="J41" s="204">
        <f>SUMIFS('caseload data'!L:L,'caseload data'!$D:$D,"SPO",'caseload data'!$C:$C,'custody caseload'!$B$36,'caseload data'!$B:$B,"custody")</f>
        <v>0</v>
      </c>
      <c r="K41" s="204">
        <f>SUMIFS('caseload data'!M:M,'caseload data'!$D:$D,"SPO",'caseload data'!$C:$C,'custody caseload'!$B$36,'caseload data'!$B:$B,"custody")</f>
        <v>0</v>
      </c>
      <c r="L41" s="204">
        <f>SUMIFS('caseload data'!N:N,'caseload data'!$D:$D,"SPO",'caseload data'!$C:$C,'custody caseload'!$B$36,'caseload data'!$B:$B,"custody")</f>
        <v>0</v>
      </c>
      <c r="M41" s="204">
        <f>SUMIFS('caseload data'!O:O,'caseload data'!$D:$D,"SPO",'caseload data'!$C:$C,'custody caseload'!$B$36,'caseload data'!$B:$B,"custody")</f>
        <v>0</v>
      </c>
      <c r="N41" s="204">
        <f>SUMIFS('caseload data'!P:P,'caseload data'!$D:$D,"SPO",'caseload data'!$C:$C,'custody caseload'!$B$36,'caseload data'!$B:$B,"custody")</f>
        <v>0</v>
      </c>
      <c r="O41" s="204">
        <f>SUMIFS('caseload data'!Q:Q,'caseload data'!$D:$D,"SPO",'caseload data'!$C:$C,'custody caseload'!$B$36,'caseload data'!$B:$B,"custody")</f>
        <v>0</v>
      </c>
      <c r="P41" s="204">
        <f>SUMIFS('caseload data'!R:R,'caseload data'!$D:$D,"SPO",'caseload data'!$C:$C,'custody caseload'!$B$36,'caseload data'!$B:$B,"custody")</f>
        <v>0</v>
      </c>
      <c r="Q41" s="204">
        <f>SUMIFS('caseload data'!S:S,'caseload data'!$D:$D,"SPO",'caseload data'!$C:$C,'custody caseload'!$B$36,'caseload data'!$B:$B,"custody")</f>
        <v>0</v>
      </c>
      <c r="R41" s="204">
        <f>SUMIFS('caseload data'!T:T,'caseload data'!$D:$D,"SPO",'caseload data'!$C:$C,'custody caseload'!$B$36,'caseload data'!$B:$B,"custody")</f>
        <v>0</v>
      </c>
      <c r="S41" s="95"/>
      <c r="T41" s="131" t="s">
        <v>187</v>
      </c>
      <c r="U41" s="204">
        <f>SUMIFS('caseload data'!E:E,'caseload data'!$D:$D,"SPO",'caseload data'!$C:$C,'custody caseload'!$T$36,'caseload data'!$B:$B,"custody")</f>
        <v>0</v>
      </c>
      <c r="V41" s="204">
        <f>SUMIFS('caseload data'!F:F,'caseload data'!$D:$D,"SPO",'caseload data'!$C:$C,'custody caseload'!$T$36,'caseload data'!$B:$B,"custody")</f>
        <v>0</v>
      </c>
      <c r="W41" s="204">
        <f>SUMIFS('caseload data'!G:G,'caseload data'!$D:$D,"SPO",'caseload data'!$C:$C,'custody caseload'!$T$36,'caseload data'!$B:$B,"custody")</f>
        <v>0</v>
      </c>
      <c r="X41" s="204">
        <f>SUMIFS('caseload data'!H:H,'caseload data'!$D:$D,"SPO",'caseload data'!$C:$C,'custody caseload'!$T$36,'caseload data'!$B:$B,"custody")</f>
        <v>0</v>
      </c>
      <c r="Y41" s="204">
        <f>SUMIFS('caseload data'!I:I,'caseload data'!$D:$D,"SPO",'caseload data'!$C:$C,'custody caseload'!$T$36,'caseload data'!$B:$B,"custody")</f>
        <v>0</v>
      </c>
      <c r="Z41" s="204">
        <f>SUMIFS('caseload data'!J:J,'caseload data'!$D:$D,"SPO",'caseload data'!$C:$C,'custody caseload'!$T$36,'caseload data'!$B:$B,"custody")</f>
        <v>0</v>
      </c>
      <c r="AA41" s="204">
        <f>SUMIFS('caseload data'!K:K,'caseload data'!$D:$D,"SPO",'caseload data'!$C:$C,'custody caseload'!$T$36,'caseload data'!$B:$B,"custody")</f>
        <v>0</v>
      </c>
      <c r="AB41" s="204">
        <f>SUMIFS('caseload data'!L:L,'caseload data'!$D:$D,"SPO",'caseload data'!$C:$C,'custody caseload'!$T$36,'caseload data'!$B:$B,"custody")</f>
        <v>0</v>
      </c>
      <c r="AC41" s="204">
        <f>SUMIFS('caseload data'!M:M,'caseload data'!$D:$D,"SPO",'caseload data'!$C:$C,'custody caseload'!$T$36,'caseload data'!$B:$B,"custody")</f>
        <v>0</v>
      </c>
      <c r="AD41" s="204">
        <f>SUMIFS('caseload data'!N:N,'caseload data'!$D:$D,"SPO",'caseload data'!$C:$C,'custody caseload'!$T$36,'caseload data'!$B:$B,"custody")</f>
        <v>0</v>
      </c>
      <c r="AE41" s="204">
        <f>SUMIFS('caseload data'!O:O,'caseload data'!$D:$D,"SPO",'caseload data'!$C:$C,'custody caseload'!$T$36,'caseload data'!$B:$B,"custody")</f>
        <v>0</v>
      </c>
      <c r="AF41" s="204">
        <f>SUMIFS('caseload data'!P:P,'caseload data'!$D:$D,"SPO",'caseload data'!$C:$C,'custody caseload'!$T$36,'caseload data'!$B:$B,"custody")</f>
        <v>0</v>
      </c>
      <c r="AG41" s="204">
        <f>SUMIFS('caseload data'!Q:Q,'caseload data'!$D:$D,"SPO",'caseload data'!$C:$C,'custody caseload'!$T$36,'caseload data'!$B:$B,"custody")</f>
        <v>0</v>
      </c>
      <c r="AH41" s="204">
        <f>SUMIFS('caseload data'!R:R,'caseload data'!$D:$D,"SPO",'caseload data'!$C:$C,'custody caseload'!$T$36,'caseload data'!$B:$B,"custody")</f>
        <v>0</v>
      </c>
      <c r="AI41" s="204">
        <f>SUMIFS('caseload data'!S:S,'caseload data'!$D:$D,"SPO",'caseload data'!$C:$C,'custody caseload'!$T$36,'caseload data'!$B:$B,"custody")</f>
        <v>0</v>
      </c>
      <c r="AJ41" s="204">
        <f>SUMIFS('caseload data'!T:T,'caseload data'!$D:$D,"SPO",'caseload data'!$C:$C,'custody caseload'!$T$36,'caseload data'!$B:$B,"custody")</f>
        <v>0</v>
      </c>
    </row>
    <row r="42" spans="2:36" x14ac:dyDescent="0.15">
      <c r="B42" s="183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183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</row>
    <row r="43" spans="2:36" ht="29.25" customHeight="1" x14ac:dyDescent="0.15">
      <c r="B43" s="182" t="str">
        <f>HLOOKUP($B$5,Region_Table,12,0)</f>
        <v>Greenwich and Bexley</v>
      </c>
      <c r="C43" s="359" t="s">
        <v>366</v>
      </c>
      <c r="D43" s="365"/>
      <c r="E43" s="365"/>
      <c r="F43" s="365"/>
      <c r="G43" s="365"/>
      <c r="H43" s="365"/>
      <c r="I43" s="365"/>
      <c r="J43" s="365"/>
      <c r="K43" s="365"/>
      <c r="L43" s="365"/>
      <c r="M43" s="368"/>
      <c r="N43" s="368"/>
      <c r="O43" s="369"/>
      <c r="P43" s="362">
        <f>SUMIFS('caseload data'!V:V,'caseload data'!B:B,"custody",'caseload data'!$C:$C,'custody caseload'!B43)</f>
        <v>0</v>
      </c>
      <c r="Q43" s="370"/>
      <c r="R43" s="371"/>
      <c r="S43" s="95"/>
      <c r="T43" s="182" t="str">
        <f>HLOOKUP($B$5,Region_Table,13,0)</f>
        <v>Hackney and City</v>
      </c>
      <c r="U43" s="359" t="s">
        <v>366</v>
      </c>
      <c r="V43" s="365"/>
      <c r="W43" s="365"/>
      <c r="X43" s="365"/>
      <c r="Y43" s="365"/>
      <c r="Z43" s="365"/>
      <c r="AA43" s="365"/>
      <c r="AB43" s="365"/>
      <c r="AC43" s="365"/>
      <c r="AD43" s="365"/>
      <c r="AE43" s="368"/>
      <c r="AF43" s="368"/>
      <c r="AG43" s="369"/>
      <c r="AH43" s="362">
        <f>SUMIFS('caseload data'!V:V,'caseload data'!B:B,"custody",'caseload data'!$C:$C,'custody caseload'!T43)</f>
        <v>0</v>
      </c>
      <c r="AI43" s="370"/>
      <c r="AJ43" s="371"/>
    </row>
    <row r="44" spans="2:36" x14ac:dyDescent="0.15">
      <c r="B44" s="127" t="s">
        <v>324</v>
      </c>
      <c r="C44" s="58" t="s">
        <v>504</v>
      </c>
      <c r="D44" s="58" t="s">
        <v>503</v>
      </c>
      <c r="E44" s="58" t="s">
        <v>502</v>
      </c>
      <c r="F44" s="58" t="s">
        <v>501</v>
      </c>
      <c r="G44" s="58" t="s">
        <v>510</v>
      </c>
      <c r="H44" s="58" t="s">
        <v>176</v>
      </c>
      <c r="I44" s="58" t="s">
        <v>177</v>
      </c>
      <c r="J44" s="58" t="s">
        <v>505</v>
      </c>
      <c r="K44" s="58" t="s">
        <v>507</v>
      </c>
      <c r="L44" s="58" t="s">
        <v>178</v>
      </c>
      <c r="M44" s="58" t="s">
        <v>179</v>
      </c>
      <c r="N44" s="58" t="s">
        <v>506</v>
      </c>
      <c r="O44" s="58" t="s">
        <v>508</v>
      </c>
      <c r="P44" s="58" t="s">
        <v>180</v>
      </c>
      <c r="Q44" s="58" t="s">
        <v>181</v>
      </c>
      <c r="R44" s="58" t="s">
        <v>509</v>
      </c>
      <c r="S44" s="95"/>
      <c r="T44" s="127" t="s">
        <v>324</v>
      </c>
      <c r="U44" s="58" t="s">
        <v>504</v>
      </c>
      <c r="V44" s="58" t="s">
        <v>503</v>
      </c>
      <c r="W44" s="58" t="s">
        <v>502</v>
      </c>
      <c r="X44" s="58" t="s">
        <v>501</v>
      </c>
      <c r="Y44" s="58" t="s">
        <v>510</v>
      </c>
      <c r="Z44" s="58" t="s">
        <v>176</v>
      </c>
      <c r="AA44" s="58" t="s">
        <v>177</v>
      </c>
      <c r="AB44" s="58" t="s">
        <v>505</v>
      </c>
      <c r="AC44" s="58" t="s">
        <v>507</v>
      </c>
      <c r="AD44" s="58" t="s">
        <v>178</v>
      </c>
      <c r="AE44" s="58" t="s">
        <v>179</v>
      </c>
      <c r="AF44" s="58" t="s">
        <v>506</v>
      </c>
      <c r="AG44" s="58" t="s">
        <v>508</v>
      </c>
      <c r="AH44" s="58" t="s">
        <v>180</v>
      </c>
      <c r="AI44" s="58" t="s">
        <v>181</v>
      </c>
      <c r="AJ44" s="58" t="s">
        <v>509</v>
      </c>
    </row>
    <row r="45" spans="2:36" x14ac:dyDescent="0.15">
      <c r="B45" s="129" t="s">
        <v>184</v>
      </c>
      <c r="C45" s="204">
        <f>SUMIFS('caseload data'!E:E,'caseload data'!$D:$D,"PO",'caseload data'!$C:$C,'custody caseload'!$B$43,'caseload data'!$B:$B,"custody")</f>
        <v>0</v>
      </c>
      <c r="D45" s="204">
        <f>SUMIFS('caseload data'!F:F,'caseload data'!$D:$D,"PO",'caseload data'!$C:$C,'custody caseload'!$B$43,'caseload data'!$B:$B,"custody")</f>
        <v>0</v>
      </c>
      <c r="E45" s="204">
        <f>SUMIFS('caseload data'!G:G,'caseload data'!$D:$D,"PO",'caseload data'!$C:$C,'custody caseload'!$B$43,'caseload data'!$B:$B,"custody")</f>
        <v>0</v>
      </c>
      <c r="F45" s="204">
        <f>SUMIFS('caseload data'!H:H,'caseload data'!$D:$D,"PO",'caseload data'!$C:$C,'custody caseload'!$B$43,'caseload data'!$B:$B,"custody")</f>
        <v>0</v>
      </c>
      <c r="G45" s="204">
        <f>SUMIFS('caseload data'!I:I,'caseload data'!$D:$D,"PO",'caseload data'!$C:$C,'custody caseload'!$B$43,'caseload data'!$B:$B,"custody")</f>
        <v>0</v>
      </c>
      <c r="H45" s="204">
        <f>SUMIFS('caseload data'!J:J,'caseload data'!$D:$D,"PO",'caseload data'!$C:$C,'custody caseload'!$B$43,'caseload data'!$B:$B,"custody")</f>
        <v>0</v>
      </c>
      <c r="I45" s="204">
        <f>SUMIFS('caseload data'!K:K,'caseload data'!$D:$D,"PO",'caseload data'!$C:$C,'custody caseload'!$B$43,'caseload data'!$B:$B,"custody")</f>
        <v>0</v>
      </c>
      <c r="J45" s="204">
        <f>SUMIFS('caseload data'!L:L,'caseload data'!$D:$D,"PO",'caseload data'!$C:$C,'custody caseload'!$B$43,'caseload data'!$B:$B,"custody")</f>
        <v>0</v>
      </c>
      <c r="K45" s="204">
        <f>SUMIFS('caseload data'!M:M,'caseload data'!$D:$D,"PO",'caseload data'!$C:$C,'custody caseload'!$B$43,'caseload data'!$B:$B,"custody")</f>
        <v>0</v>
      </c>
      <c r="L45" s="204">
        <f>SUMIFS('caseload data'!N:N,'caseload data'!$D:$D,"PO",'caseload data'!$C:$C,'custody caseload'!$B$43,'caseload data'!$B:$B,"custody")</f>
        <v>0</v>
      </c>
      <c r="M45" s="204">
        <f>SUMIFS('caseload data'!O:O,'caseload data'!$D:$D,"PO",'caseload data'!$C:$C,'custody caseload'!$B$43,'caseload data'!$B:$B,"custody")</f>
        <v>0</v>
      </c>
      <c r="N45" s="204">
        <f>SUMIFS('caseload data'!P:P,'caseload data'!$D:$D,"PO",'caseload data'!$C:$C,'custody caseload'!$B$43,'caseload data'!$B:$B,"custody")</f>
        <v>0</v>
      </c>
      <c r="O45" s="204">
        <f>SUMIFS('caseload data'!Q:Q,'caseload data'!$D:$D,"PO",'caseload data'!$C:$C,'custody caseload'!$B$43,'caseload data'!$B:$B,"custody")</f>
        <v>0</v>
      </c>
      <c r="P45" s="204">
        <f>SUMIFS('caseload data'!R:R,'caseload data'!$D:$D,"PO",'caseload data'!$C:$C,'custody caseload'!$B$43,'caseload data'!$B:$B,"custody")</f>
        <v>0</v>
      </c>
      <c r="Q45" s="204">
        <f>SUMIFS('caseload data'!S:S,'caseload data'!$D:$D,"PO",'caseload data'!$C:$C,'custody caseload'!$B$43,'caseload data'!$B:$B,"custody")</f>
        <v>0</v>
      </c>
      <c r="R45" s="204">
        <f>SUMIFS('caseload data'!T:T,'caseload data'!$D:$D,"PO",'caseload data'!$C:$C,'custody caseload'!$B$43,'caseload data'!$B:$B,"custody")</f>
        <v>0</v>
      </c>
      <c r="S45" s="95"/>
      <c r="T45" s="129" t="s">
        <v>184</v>
      </c>
      <c r="U45" s="204">
        <f>SUMIFS('caseload data'!E:E,'caseload data'!$D:$D,"PO",'caseload data'!$C:$C,'custody caseload'!$T$43,'caseload data'!$B:$B,"custody")</f>
        <v>0</v>
      </c>
      <c r="V45" s="204">
        <f>SUMIFS('caseload data'!F:F,'caseload data'!$D:$D,"PO",'caseload data'!$C:$C,'custody caseload'!$T$43,'caseload data'!$B:$B,"custody")</f>
        <v>0</v>
      </c>
      <c r="W45" s="204">
        <f>SUMIFS('caseload data'!G:G,'caseload data'!$D:$D,"PO",'caseload data'!$C:$C,'custody caseload'!$T$43,'caseload data'!$B:$B,"custody")</f>
        <v>0</v>
      </c>
      <c r="X45" s="204">
        <f>SUMIFS('caseload data'!H:H,'caseload data'!$D:$D,"PO",'caseload data'!$C:$C,'custody caseload'!$T$43,'caseload data'!$B:$B,"custody")</f>
        <v>0</v>
      </c>
      <c r="Y45" s="204">
        <f>SUMIFS('caseload data'!I:I,'caseload data'!$D:$D,"PO",'caseload data'!$C:$C,'custody caseload'!$T$43,'caseload data'!$B:$B,"custody")</f>
        <v>0</v>
      </c>
      <c r="Z45" s="204">
        <f>SUMIFS('caseload data'!J:J,'caseload data'!$D:$D,"PO",'caseload data'!$C:$C,'custody caseload'!$T$43,'caseload data'!$B:$B,"custody")</f>
        <v>0</v>
      </c>
      <c r="AA45" s="204">
        <f>SUMIFS('caseload data'!K:K,'caseload data'!$D:$D,"PO",'caseload data'!$C:$C,'custody caseload'!$T$43,'caseload data'!$B:$B,"custody")</f>
        <v>0</v>
      </c>
      <c r="AB45" s="204">
        <f>SUMIFS('caseload data'!L:L,'caseload data'!$D:$D,"PO",'caseload data'!$C:$C,'custody caseload'!$T$43,'caseload data'!$B:$B,"custody")</f>
        <v>0</v>
      </c>
      <c r="AC45" s="204">
        <f>SUMIFS('caseload data'!M:M,'caseload data'!$D:$D,"PO",'caseload data'!$C:$C,'custody caseload'!$T$43,'caseload data'!$B:$B,"custody")</f>
        <v>0</v>
      </c>
      <c r="AD45" s="204">
        <f>SUMIFS('caseload data'!N:N,'caseload data'!$D:$D,"PO",'caseload data'!$C:$C,'custody caseload'!$T$43,'caseload data'!$B:$B,"custody")</f>
        <v>0</v>
      </c>
      <c r="AE45" s="204">
        <f>SUMIFS('caseload data'!O:O,'caseload data'!$D:$D,"PO",'caseload data'!$C:$C,'custody caseload'!$T$43,'caseload data'!$B:$B,"custody")</f>
        <v>0</v>
      </c>
      <c r="AF45" s="204">
        <f>SUMIFS('caseload data'!P:P,'caseload data'!$D:$D,"PO",'caseload data'!$C:$C,'custody caseload'!$T$43,'caseload data'!$B:$B,"custody")</f>
        <v>0</v>
      </c>
      <c r="AG45" s="204">
        <f>SUMIFS('caseload data'!Q:Q,'caseload data'!$D:$D,"PO",'caseload data'!$C:$C,'custody caseload'!$T$43,'caseload data'!$B:$B,"custody")</f>
        <v>0</v>
      </c>
      <c r="AH45" s="204">
        <f>SUMIFS('caseload data'!R:R,'caseload data'!$D:$D,"PO",'caseload data'!$C:$C,'custody caseload'!$T$43,'caseload data'!$B:$B,"custody")</f>
        <v>0</v>
      </c>
      <c r="AI45" s="204">
        <f>SUMIFS('caseload data'!S:S,'caseload data'!$D:$D,"PO",'caseload data'!$C:$C,'custody caseload'!$T$43,'caseload data'!$B:$B,"custody")</f>
        <v>0</v>
      </c>
      <c r="AJ45" s="204">
        <f>SUMIFS('caseload data'!T:T,'caseload data'!$D:$D,"PO",'caseload data'!$C:$C,'custody caseload'!$T$43,'caseload data'!$B:$B,"custody")</f>
        <v>0</v>
      </c>
    </row>
    <row r="46" spans="2:36" ht="15" x14ac:dyDescent="0.2">
      <c r="B46" s="130" t="s">
        <v>185</v>
      </c>
      <c r="C46" s="186">
        <f>SUMIFS('caseload data'!E:E,'caseload data'!$D:$D,"PSO",'caseload data'!$C:$C,'custody caseload'!$B$43,'caseload data'!$B:$B,"custody")</f>
        <v>0</v>
      </c>
      <c r="D46" s="186">
        <f>SUMIFS('caseload data'!F:F,'caseload data'!$D:$D,"PSO",'caseload data'!$C:$C,'custody caseload'!$B$43,'caseload data'!$B:$B,"custody")</f>
        <v>0</v>
      </c>
      <c r="E46" s="186">
        <f>SUMIFS('caseload data'!G:G,'caseload data'!$D:$D,"PSO",'caseload data'!$C:$C,'custody caseload'!$B$43,'caseload data'!$B:$B,"custody")</f>
        <v>0</v>
      </c>
      <c r="F46" s="186">
        <f>SUMIFS('caseload data'!H:H,'caseload data'!$D:$D,"PSO",'caseload data'!$C:$C,'custody caseload'!$B$43,'caseload data'!$B:$B,"custody")</f>
        <v>0</v>
      </c>
      <c r="G46" s="186">
        <f>SUMIFS('caseload data'!I:I,'caseload data'!$D:$D,"PSO",'caseload data'!$C:$C,'custody caseload'!$B$43,'caseload data'!$B:$B,"custody")</f>
        <v>0</v>
      </c>
      <c r="H46" s="186">
        <f>SUMIFS('caseload data'!J:J,'caseload data'!$D:$D,"PSO",'caseload data'!$C:$C,'custody caseload'!$B$43,'caseload data'!$B:$B,"custody")</f>
        <v>0</v>
      </c>
      <c r="I46" s="186">
        <f>SUMIFS('caseload data'!K:K,'caseload data'!$D:$D,"PSO",'caseload data'!$C:$C,'custody caseload'!$B$43,'caseload data'!$B:$B,"custody")</f>
        <v>0</v>
      </c>
      <c r="J46" s="186">
        <f>SUMIFS('caseload data'!L:L,'caseload data'!$D:$D,"PSO",'caseload data'!$C:$C,'custody caseload'!$B$43,'caseload data'!$B:$B,"custody")</f>
        <v>0</v>
      </c>
      <c r="K46" s="204">
        <f>SUMIFS('caseload data'!M:M,'caseload data'!$D:$D,"PSO",'caseload data'!$C:$C,'custody caseload'!$B$43,'caseload data'!$B:$B,"custody")</f>
        <v>0</v>
      </c>
      <c r="L46" s="204">
        <f>SUMIFS('caseload data'!N:N,'caseload data'!$D:$D,"PSO",'caseload data'!$C:$C,'custody caseload'!$B$43,'caseload data'!$B:$B,"custody")</f>
        <v>0</v>
      </c>
      <c r="M46" s="204">
        <f>SUMIFS('caseload data'!O:O,'caseload data'!$D:$D,"PSO",'caseload data'!$C:$C,'custody caseload'!$B$43,'caseload data'!$B:$B,"custody")</f>
        <v>0</v>
      </c>
      <c r="N46" s="204">
        <f>SUMIFS('caseload data'!P:P,'caseload data'!$D:$D,"PSO",'caseload data'!$C:$C,'custody caseload'!$B$43,'caseload data'!$B:$B,"custody")</f>
        <v>0</v>
      </c>
      <c r="O46" s="204">
        <f>SUMIFS('caseload data'!Q:Q,'caseload data'!$D:$D,"PSO",'caseload data'!$C:$C,'custody caseload'!$B$43,'caseload data'!$B:$B,"custody")</f>
        <v>0</v>
      </c>
      <c r="P46" s="204">
        <f>SUMIFS('caseload data'!R:R,'caseload data'!$D:$D,"PSO",'caseload data'!$C:$C,'custody caseload'!$B$43,'caseload data'!$B:$B,"custody")</f>
        <v>0</v>
      </c>
      <c r="Q46" s="204">
        <f>SUMIFS('caseload data'!S:S,'caseload data'!$D:$D,"PSO",'caseload data'!$C:$C,'custody caseload'!$B$43,'caseload data'!$B:$B,"custody")</f>
        <v>0</v>
      </c>
      <c r="R46" s="204">
        <f>SUMIFS('caseload data'!T:T,'caseload data'!$D:$D,"PSO",'caseload data'!$C:$C,'custody caseload'!$B$43,'caseload data'!$B:$B,"custody")</f>
        <v>0</v>
      </c>
      <c r="S46" s="95"/>
      <c r="T46" s="130" t="s">
        <v>185</v>
      </c>
      <c r="U46" s="186">
        <f>SUMIFS('caseload data'!E:E,'caseload data'!$D:$D,"PSO",'caseload data'!$C:$C,'custody caseload'!$T$43,'caseload data'!$B:$B,"custody")</f>
        <v>0</v>
      </c>
      <c r="V46" s="186">
        <f>SUMIFS('caseload data'!F:F,'caseload data'!$D:$D,"PSO",'caseload data'!$C:$C,'custody caseload'!$T$43,'caseload data'!$B:$B,"custody")</f>
        <v>0</v>
      </c>
      <c r="W46" s="186">
        <f>SUMIFS('caseload data'!G:G,'caseload data'!$D:$D,"PSO",'caseload data'!$C:$C,'custody caseload'!$T$43,'caseload data'!$B:$B,"custody")</f>
        <v>0</v>
      </c>
      <c r="X46" s="186">
        <f>SUMIFS('caseload data'!H:H,'caseload data'!$D:$D,"PSO",'caseload data'!$C:$C,'custody caseload'!$T$43,'caseload data'!$B:$B,"custody")</f>
        <v>0</v>
      </c>
      <c r="Y46" s="186">
        <f>SUMIFS('caseload data'!I:I,'caseload data'!$D:$D,"PSO",'caseload data'!$C:$C,'custody caseload'!$T$43,'caseload data'!$B:$B,"custody")</f>
        <v>0</v>
      </c>
      <c r="Z46" s="186">
        <f>SUMIFS('caseload data'!J:J,'caseload data'!$D:$D,"PSO",'caseload data'!$C:$C,'custody caseload'!$T$43,'caseload data'!$B:$B,"custody")</f>
        <v>0</v>
      </c>
      <c r="AA46" s="186">
        <f>SUMIFS('caseload data'!K:K,'caseload data'!$D:$D,"PSO",'caseload data'!$C:$C,'custody caseload'!$T$43,'caseload data'!$B:$B,"custody")</f>
        <v>0</v>
      </c>
      <c r="AB46" s="186">
        <f>SUMIFS('caseload data'!L:L,'caseload data'!$D:$D,"PSO",'caseload data'!$C:$C,'custody caseload'!$T$43,'caseload data'!$B:$B,"custody")</f>
        <v>0</v>
      </c>
      <c r="AC46" s="204">
        <f>SUMIFS('caseload data'!M:M,'caseload data'!$D:$D,"PSO",'caseload data'!$C:$C,'custody caseload'!$T$43,'caseload data'!$B:$B,"custody")</f>
        <v>0</v>
      </c>
      <c r="AD46" s="204">
        <f>SUMIFS('caseload data'!N:N,'caseload data'!$D:$D,"PSO",'caseload data'!$C:$C,'custody caseload'!$T$43,'caseload data'!$B:$B,"custody")</f>
        <v>0</v>
      </c>
      <c r="AE46" s="204">
        <f>SUMIFS('caseload data'!O:O,'caseload data'!$D:$D,"PSO",'caseload data'!$C:$C,'custody caseload'!$T$43,'caseload data'!$B:$B,"custody")</f>
        <v>0</v>
      </c>
      <c r="AF46" s="204">
        <f>SUMIFS('caseload data'!P:P,'caseload data'!$D:$D,"PSO",'caseload data'!$C:$C,'custody caseload'!$T$43,'caseload data'!$B:$B,"custody")</f>
        <v>0</v>
      </c>
      <c r="AG46" s="204">
        <f>SUMIFS('caseload data'!Q:Q,'caseload data'!$D:$D,"PSO",'caseload data'!$C:$C,'custody caseload'!$T$43,'caseload data'!$B:$B,"custody")</f>
        <v>0</v>
      </c>
      <c r="AH46" s="204">
        <f>SUMIFS('caseload data'!R:R,'caseload data'!$D:$D,"PSO",'caseload data'!$C:$C,'custody caseload'!$T$43,'caseload data'!$B:$B,"custody")</f>
        <v>0</v>
      </c>
      <c r="AI46" s="204">
        <f>SUMIFS('caseload data'!S:S,'caseload data'!$D:$D,"PSO",'caseload data'!$C:$C,'custody caseload'!$T$43,'caseload data'!$B:$B,"custody")</f>
        <v>0</v>
      </c>
      <c r="AJ46" s="204">
        <f>SUMIFS('caseload data'!T:T,'caseload data'!$D:$D,"PSO",'caseload data'!$C:$C,'custody caseload'!$T$43,'caseload data'!$B:$B,"custody")</f>
        <v>0</v>
      </c>
    </row>
    <row r="47" spans="2:36" ht="15" x14ac:dyDescent="0.2">
      <c r="B47" s="130" t="s">
        <v>186</v>
      </c>
      <c r="C47" s="186">
        <f>SUMIFS('caseload data'!E:E,'caseload data'!$D:$D,"TPO",'caseload data'!$C:$C,'custody caseload'!$B$43,'caseload data'!$B:$B,"custody")</f>
        <v>0</v>
      </c>
      <c r="D47" s="186">
        <f>SUMIFS('caseload data'!F:F,'caseload data'!$D:$D,"TPO",'caseload data'!$C:$C,'custody caseload'!$B$43,'caseload data'!$B:$B,"custody")</f>
        <v>0</v>
      </c>
      <c r="E47" s="186">
        <f>SUMIFS('caseload data'!G:G,'caseload data'!$D:$D,"TPO",'caseload data'!$C:$C,'custody caseload'!$B$43,'caseload data'!$B:$B,"custody")</f>
        <v>0</v>
      </c>
      <c r="F47" s="186">
        <f>SUMIFS('caseload data'!H:H,'caseload data'!$D:$D,"TPO",'caseload data'!$C:$C,'custody caseload'!$B$43,'caseload data'!$B:$B,"custody")</f>
        <v>0</v>
      </c>
      <c r="G47" s="186">
        <f>SUMIFS('caseload data'!I:I,'caseload data'!$D:$D,"TPO",'caseload data'!$C:$C,'custody caseload'!$B$43,'caseload data'!$B:$B,"custody")</f>
        <v>0</v>
      </c>
      <c r="H47" s="186">
        <f>SUMIFS('caseload data'!J:J,'caseload data'!$D:$D,"TPO",'caseload data'!$C:$C,'custody caseload'!$B$43,'caseload data'!$B:$B,"custody")</f>
        <v>0</v>
      </c>
      <c r="I47" s="186">
        <f>SUMIFS('caseload data'!K:K,'caseload data'!$D:$D,"TPO",'caseload data'!$C:$C,'custody caseload'!$B$43,'caseload data'!$B:$B,"custody")</f>
        <v>0</v>
      </c>
      <c r="J47" s="186">
        <f>SUMIFS('caseload data'!L:L,'caseload data'!$D:$D,"TPO",'caseload data'!$C:$C,'custody caseload'!$B$43,'caseload data'!$B:$B,"custody")</f>
        <v>0</v>
      </c>
      <c r="K47" s="204">
        <f>SUMIFS('caseload data'!M:M,'caseload data'!$D:$D,"TPO",'caseload data'!$C:$C,'custody caseload'!$B$43,'caseload data'!$B:$B,"custody")</f>
        <v>0</v>
      </c>
      <c r="L47" s="204">
        <f>SUMIFS('caseload data'!N:N,'caseload data'!$D:$D,"TPO",'caseload data'!$C:$C,'custody caseload'!$B$43,'caseload data'!$B:$B,"custody")</f>
        <v>0</v>
      </c>
      <c r="M47" s="204">
        <f>SUMIFS('caseload data'!O:O,'caseload data'!$D:$D,"TPO",'caseload data'!$C:$C,'custody caseload'!$B$43,'caseload data'!$B:$B,"custody")</f>
        <v>0</v>
      </c>
      <c r="N47" s="204">
        <f>SUMIFS('caseload data'!P:P,'caseload data'!$D:$D,"TPO",'caseload data'!$C:$C,'custody caseload'!$B$43,'caseload data'!$B:$B,"custody")</f>
        <v>0</v>
      </c>
      <c r="O47" s="204">
        <f>SUMIFS('caseload data'!Q:Q,'caseload data'!$D:$D,"TPO",'caseload data'!$C:$C,'custody caseload'!$B$43,'caseload data'!$B:$B,"custody")</f>
        <v>0</v>
      </c>
      <c r="P47" s="204">
        <f>SUMIFS('caseload data'!R:R,'caseload data'!$D:$D,"TPO",'caseload data'!$C:$C,'custody caseload'!$B$43,'caseload data'!$B:$B,"custody")</f>
        <v>0</v>
      </c>
      <c r="Q47" s="204">
        <f>SUMIFS('caseload data'!S:S,'caseload data'!$D:$D,"TPO",'caseload data'!$C:$C,'custody caseload'!$B$43,'caseload data'!$B:$B,"custody")</f>
        <v>0</v>
      </c>
      <c r="R47" s="204">
        <f>SUMIFS('caseload data'!T:T,'caseload data'!$D:$D,"TPO",'caseload data'!$C:$C,'custody caseload'!$B$43,'caseload data'!$B:$B,"custody")</f>
        <v>0</v>
      </c>
      <c r="S47" s="95"/>
      <c r="T47" s="130" t="s">
        <v>186</v>
      </c>
      <c r="U47" s="186">
        <f>SUMIFS('caseload data'!E:E,'caseload data'!$D:$D,"TPO",'caseload data'!$C:$C,'custody caseload'!$T$43,'caseload data'!$B:$B,"custody")</f>
        <v>0</v>
      </c>
      <c r="V47" s="186">
        <f>SUMIFS('caseload data'!F:F,'caseload data'!$D:$D,"TPO",'caseload data'!$C:$C,'custody caseload'!$T$43,'caseload data'!$B:$B,"custody")</f>
        <v>0</v>
      </c>
      <c r="W47" s="186">
        <f>SUMIFS('caseload data'!G:G,'caseload data'!$D:$D,"TPO",'caseload data'!$C:$C,'custody caseload'!$T$43,'caseload data'!$B:$B,"custody")</f>
        <v>0</v>
      </c>
      <c r="X47" s="186">
        <f>SUMIFS('caseload data'!H:H,'caseload data'!$D:$D,"TPO",'caseload data'!$C:$C,'custody caseload'!$T$43,'caseload data'!$B:$B,"custody")</f>
        <v>0</v>
      </c>
      <c r="Y47" s="186">
        <f>SUMIFS('caseload data'!I:I,'caseload data'!$D:$D,"TPO",'caseload data'!$C:$C,'custody caseload'!$T$43,'caseload data'!$B:$B,"custody")</f>
        <v>0</v>
      </c>
      <c r="Z47" s="186">
        <f>SUMIFS('caseload data'!J:J,'caseload data'!$D:$D,"TPO",'caseload data'!$C:$C,'custody caseload'!$T$43,'caseload data'!$B:$B,"custody")</f>
        <v>0</v>
      </c>
      <c r="AA47" s="186">
        <f>SUMIFS('caseload data'!K:K,'caseload data'!$D:$D,"TPO",'caseload data'!$C:$C,'custody caseload'!$T$43,'caseload data'!$B:$B,"custody")</f>
        <v>0</v>
      </c>
      <c r="AB47" s="186">
        <f>SUMIFS('caseload data'!L:L,'caseload data'!$D:$D,"TPO",'caseload data'!$C:$C,'custody caseload'!$T$43,'caseload data'!$B:$B,"custody")</f>
        <v>0</v>
      </c>
      <c r="AC47" s="204">
        <f>SUMIFS('caseload data'!M:M,'caseload data'!$D:$D,"TPO",'caseload data'!$C:$C,'custody caseload'!$T$43,'caseload data'!$B:$B,"custody")</f>
        <v>0</v>
      </c>
      <c r="AD47" s="204">
        <f>SUMIFS('caseload data'!N:N,'caseload data'!$D:$D,"TPO",'caseload data'!$C:$C,'custody caseload'!$T$43,'caseload data'!$B:$B,"custody")</f>
        <v>0</v>
      </c>
      <c r="AE47" s="204">
        <f>SUMIFS('caseload data'!O:O,'caseload data'!$D:$D,"TPO",'caseload data'!$C:$C,'custody caseload'!$T$43,'caseload data'!$B:$B,"custody")</f>
        <v>0</v>
      </c>
      <c r="AF47" s="204">
        <f>SUMIFS('caseload data'!P:P,'caseload data'!$D:$D,"TPO",'caseload data'!$C:$C,'custody caseload'!$T$43,'caseload data'!$B:$B,"custody")</f>
        <v>0</v>
      </c>
      <c r="AG47" s="204">
        <f>SUMIFS('caseload data'!Q:Q,'caseload data'!$D:$D,"TPO",'caseload data'!$C:$C,'custody caseload'!$T$43,'caseload data'!$B:$B,"custody")</f>
        <v>0</v>
      </c>
      <c r="AH47" s="204">
        <f>SUMIFS('caseload data'!R:R,'caseload data'!$D:$D,"TPO",'caseload data'!$C:$C,'custody caseload'!$T$43,'caseload data'!$B:$B,"custody")</f>
        <v>0</v>
      </c>
      <c r="AI47" s="204">
        <f>SUMIFS('caseload data'!S:S,'caseload data'!$D:$D,"TPO",'caseload data'!$C:$C,'custody caseload'!$T$43,'caseload data'!$B:$B,"custody")</f>
        <v>0</v>
      </c>
      <c r="AJ47" s="204">
        <f>SUMIFS('caseload data'!T:T,'caseload data'!$D:$D,"TPO",'caseload data'!$C:$C,'custody caseload'!$T$43,'caseload data'!$B:$B,"custody")</f>
        <v>0</v>
      </c>
    </row>
    <row r="48" spans="2:36" x14ac:dyDescent="0.15">
      <c r="B48" s="131" t="s">
        <v>187</v>
      </c>
      <c r="C48" s="204">
        <f>SUMIFS('caseload data'!E:E,'caseload data'!$D:$D,"SPO",'caseload data'!$C:$C,'custody caseload'!$B$43,'caseload data'!$B:$B,"custody")</f>
        <v>0</v>
      </c>
      <c r="D48" s="204">
        <f>SUMIFS('caseload data'!F:F,'caseload data'!$D:$D,"SPO",'caseload data'!$C:$C,'custody caseload'!$B$43,'caseload data'!$B:$B,"custody")</f>
        <v>0</v>
      </c>
      <c r="E48" s="204">
        <f>SUMIFS('caseload data'!G:G,'caseload data'!$D:$D,"SPO",'caseload data'!$C:$C,'custody caseload'!$B$43,'caseload data'!$B:$B,"custody")</f>
        <v>0</v>
      </c>
      <c r="F48" s="204">
        <f>SUMIFS('caseload data'!H:H,'caseload data'!$D:$D,"SPO",'caseload data'!$C:$C,'custody caseload'!$B$43,'caseload data'!$B:$B,"custody")</f>
        <v>0</v>
      </c>
      <c r="G48" s="204">
        <f>SUMIFS('caseload data'!I:I,'caseload data'!$D:$D,"SPO",'caseload data'!$C:$C,'custody caseload'!$B$43,'caseload data'!$B:$B,"custody")</f>
        <v>0</v>
      </c>
      <c r="H48" s="204">
        <f>SUMIFS('caseload data'!J:J,'caseload data'!$D:$D,"SPO",'caseload data'!$C:$C,'custody caseload'!$B$43,'caseload data'!$B:$B,"custody")</f>
        <v>0</v>
      </c>
      <c r="I48" s="204">
        <f>SUMIFS('caseload data'!K:K,'caseload data'!$D:$D,"SPO",'caseload data'!$C:$C,'custody caseload'!$B$43,'caseload data'!$B:$B,"custody")</f>
        <v>0</v>
      </c>
      <c r="J48" s="204">
        <f>SUMIFS('caseload data'!L:L,'caseload data'!$D:$D,"SPO",'caseload data'!$C:$C,'custody caseload'!$B$43,'caseload data'!$B:$B,"custody")</f>
        <v>0</v>
      </c>
      <c r="K48" s="204">
        <f>SUMIFS('caseload data'!M:M,'caseload data'!$D:$D,"SPO",'caseload data'!$C:$C,'custody caseload'!$B$43,'caseload data'!$B:$B,"custody")</f>
        <v>0</v>
      </c>
      <c r="L48" s="204">
        <f>SUMIFS('caseload data'!N:N,'caseload data'!$D:$D,"SPO",'caseload data'!$C:$C,'custody caseload'!$B$43,'caseload data'!$B:$B,"custody")</f>
        <v>0</v>
      </c>
      <c r="M48" s="204">
        <f>SUMIFS('caseload data'!O:O,'caseload data'!$D:$D,"SPO",'caseload data'!$C:$C,'custody caseload'!$B$43,'caseload data'!$B:$B,"custody")</f>
        <v>0</v>
      </c>
      <c r="N48" s="204">
        <f>SUMIFS('caseload data'!P:P,'caseload data'!$D:$D,"SPO",'caseload data'!$C:$C,'custody caseload'!$B$43,'caseload data'!$B:$B,"custody")</f>
        <v>0</v>
      </c>
      <c r="O48" s="204">
        <f>SUMIFS('caseload data'!Q:Q,'caseload data'!$D:$D,"SPO",'caseload data'!$C:$C,'custody caseload'!$B$43,'caseload data'!$B:$B,"custody")</f>
        <v>0</v>
      </c>
      <c r="P48" s="204">
        <f>SUMIFS('caseload data'!R:R,'caseload data'!$D:$D,"SPO",'caseload data'!$C:$C,'custody caseload'!$B$43,'caseload data'!$B:$B,"custody")</f>
        <v>0</v>
      </c>
      <c r="Q48" s="204">
        <f>SUMIFS('caseload data'!S:S,'caseload data'!$D:$D,"SPO",'caseload data'!$C:$C,'custody caseload'!$B$43,'caseload data'!$B:$B,"custody")</f>
        <v>0</v>
      </c>
      <c r="R48" s="204">
        <f>SUMIFS('caseload data'!T:T,'caseload data'!$D:$D,"SPO",'caseload data'!$C:$C,'custody caseload'!$B$43,'caseload data'!$B:$B,"custody")</f>
        <v>0</v>
      </c>
      <c r="S48" s="95"/>
      <c r="T48" s="131" t="s">
        <v>187</v>
      </c>
      <c r="U48" s="204">
        <f>SUMIFS('caseload data'!E:E,'caseload data'!$D:$D,"SPO",'caseload data'!$C:$C,'custody caseload'!$T$43,'caseload data'!$B:$B,"custody")</f>
        <v>0</v>
      </c>
      <c r="V48" s="204">
        <f>SUMIFS('caseload data'!F:F,'caseload data'!$D:$D,"SPO",'caseload data'!$C:$C,'custody caseload'!$T$43,'caseload data'!$B:$B,"custody")</f>
        <v>0</v>
      </c>
      <c r="W48" s="204">
        <f>SUMIFS('caseload data'!G:G,'caseload data'!$D:$D,"SPO",'caseload data'!$C:$C,'custody caseload'!$T$43,'caseload data'!$B:$B,"custody")</f>
        <v>0</v>
      </c>
      <c r="X48" s="204">
        <f>SUMIFS('caseload data'!H:H,'caseload data'!$D:$D,"SPO",'caseload data'!$C:$C,'custody caseload'!$T$43,'caseload data'!$B:$B,"custody")</f>
        <v>0</v>
      </c>
      <c r="Y48" s="204">
        <f>SUMIFS('caseload data'!I:I,'caseload data'!$D:$D,"SPO",'caseload data'!$C:$C,'custody caseload'!$T$43,'caseload data'!$B:$B,"custody")</f>
        <v>0</v>
      </c>
      <c r="Z48" s="204">
        <f>SUMIFS('caseload data'!J:J,'caseload data'!$D:$D,"SPO",'caseload data'!$C:$C,'custody caseload'!$T$43,'caseload data'!$B:$B,"custody")</f>
        <v>0</v>
      </c>
      <c r="AA48" s="204">
        <f>SUMIFS('caseload data'!K:K,'caseload data'!$D:$D,"SPO",'caseload data'!$C:$C,'custody caseload'!$T$43,'caseload data'!$B:$B,"custody")</f>
        <v>0</v>
      </c>
      <c r="AB48" s="204">
        <f>SUMIFS('caseload data'!L:L,'caseload data'!$D:$D,"SPO",'caseload data'!$C:$C,'custody caseload'!$T$43,'caseload data'!$B:$B,"custody")</f>
        <v>0</v>
      </c>
      <c r="AC48" s="204">
        <f>SUMIFS('caseload data'!M:M,'caseload data'!$D:$D,"SPO",'caseload data'!$C:$C,'custody caseload'!$T$43,'caseload data'!$B:$B,"custody")</f>
        <v>0</v>
      </c>
      <c r="AD48" s="204">
        <f>SUMIFS('caseload data'!N:N,'caseload data'!$D:$D,"SPO",'caseload data'!$C:$C,'custody caseload'!$T$43,'caseload data'!$B:$B,"custody")</f>
        <v>0</v>
      </c>
      <c r="AE48" s="204">
        <f>SUMIFS('caseload data'!O:O,'caseload data'!$D:$D,"SPO",'caseload data'!$C:$C,'custody caseload'!$T$43,'caseload data'!$B:$B,"custody")</f>
        <v>0</v>
      </c>
      <c r="AF48" s="204">
        <f>SUMIFS('caseload data'!P:P,'caseload data'!$D:$D,"SPO",'caseload data'!$C:$C,'custody caseload'!$T$43,'caseload data'!$B:$B,"custody")</f>
        <v>0</v>
      </c>
      <c r="AG48" s="204">
        <f>SUMIFS('caseload data'!Q:Q,'caseload data'!$D:$D,"SPO",'caseload data'!$C:$C,'custody caseload'!$T$43,'caseload data'!$B:$B,"custody")</f>
        <v>0</v>
      </c>
      <c r="AH48" s="204">
        <f>SUMIFS('caseload data'!R:R,'caseload data'!$D:$D,"SPO",'caseload data'!$C:$C,'custody caseload'!$T$43,'caseload data'!$B:$B,"custody")</f>
        <v>0</v>
      </c>
      <c r="AI48" s="204">
        <f>SUMIFS('caseload data'!S:S,'caseload data'!$D:$D,"SPO",'caseload data'!$C:$C,'custody caseload'!$T$43,'caseload data'!$B:$B,"custody")</f>
        <v>0</v>
      </c>
      <c r="AJ48" s="204">
        <f>SUMIFS('caseload data'!T:T,'caseload data'!$D:$D,"SPO",'caseload data'!$C:$C,'custody caseload'!$T$43,'caseload data'!$B:$B,"custody")</f>
        <v>0</v>
      </c>
    </row>
    <row r="49" spans="2:36" x14ac:dyDescent="0.15">
      <c r="B49" s="183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183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</row>
    <row r="50" spans="2:36" ht="30" customHeight="1" x14ac:dyDescent="0.15">
      <c r="B50" s="182" t="str">
        <f>HLOOKUP($B$5,Region_Table,14,0)</f>
        <v>Hammersmith, Fulham, Kensington, Chelsea and Westminster</v>
      </c>
      <c r="C50" s="359" t="s">
        <v>366</v>
      </c>
      <c r="D50" s="365"/>
      <c r="E50" s="365"/>
      <c r="F50" s="365"/>
      <c r="G50" s="365"/>
      <c r="H50" s="365"/>
      <c r="I50" s="365"/>
      <c r="J50" s="365"/>
      <c r="K50" s="365"/>
      <c r="L50" s="365"/>
      <c r="M50" s="368"/>
      <c r="N50" s="368"/>
      <c r="O50" s="369"/>
      <c r="P50" s="362">
        <f>SUMIFS('caseload data'!V:V,'caseload data'!B:B,"custody",'caseload data'!$C:$C,'custody caseload'!B50)</f>
        <v>0</v>
      </c>
      <c r="Q50" s="370"/>
      <c r="R50" s="371"/>
      <c r="S50" s="95"/>
      <c r="T50" s="182" t="str">
        <f>HLOOKUP($B$5,Region_Table,15,0)</f>
        <v>Harrow and Barnet</v>
      </c>
      <c r="U50" s="359" t="s">
        <v>366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8"/>
      <c r="AF50" s="368"/>
      <c r="AG50" s="369"/>
      <c r="AH50" s="362">
        <f>SUMIFS('caseload data'!V:V,'caseload data'!B:B,"custody",'caseload data'!$C:$C,'custody caseload'!T50)</f>
        <v>0</v>
      </c>
      <c r="AI50" s="370"/>
      <c r="AJ50" s="371"/>
    </row>
    <row r="51" spans="2:36" x14ac:dyDescent="0.15">
      <c r="B51" s="127" t="s">
        <v>324</v>
      </c>
      <c r="C51" s="58" t="s">
        <v>504</v>
      </c>
      <c r="D51" s="58" t="s">
        <v>503</v>
      </c>
      <c r="E51" s="58" t="s">
        <v>502</v>
      </c>
      <c r="F51" s="58" t="s">
        <v>501</v>
      </c>
      <c r="G51" s="58" t="s">
        <v>510</v>
      </c>
      <c r="H51" s="58" t="s">
        <v>176</v>
      </c>
      <c r="I51" s="58" t="s">
        <v>177</v>
      </c>
      <c r="J51" s="58" t="s">
        <v>505</v>
      </c>
      <c r="K51" s="58" t="s">
        <v>507</v>
      </c>
      <c r="L51" s="58" t="s">
        <v>178</v>
      </c>
      <c r="M51" s="58" t="s">
        <v>179</v>
      </c>
      <c r="N51" s="58" t="s">
        <v>506</v>
      </c>
      <c r="O51" s="58" t="s">
        <v>508</v>
      </c>
      <c r="P51" s="58" t="s">
        <v>180</v>
      </c>
      <c r="Q51" s="58" t="s">
        <v>181</v>
      </c>
      <c r="R51" s="58" t="s">
        <v>509</v>
      </c>
      <c r="S51" s="95"/>
      <c r="T51" s="127" t="s">
        <v>324</v>
      </c>
      <c r="U51" s="58" t="s">
        <v>504</v>
      </c>
      <c r="V51" s="58" t="s">
        <v>503</v>
      </c>
      <c r="W51" s="58" t="s">
        <v>502</v>
      </c>
      <c r="X51" s="58" t="s">
        <v>501</v>
      </c>
      <c r="Y51" s="58" t="s">
        <v>510</v>
      </c>
      <c r="Z51" s="58" t="s">
        <v>176</v>
      </c>
      <c r="AA51" s="58" t="s">
        <v>177</v>
      </c>
      <c r="AB51" s="58" t="s">
        <v>505</v>
      </c>
      <c r="AC51" s="58" t="s">
        <v>507</v>
      </c>
      <c r="AD51" s="58" t="s">
        <v>178</v>
      </c>
      <c r="AE51" s="58" t="s">
        <v>179</v>
      </c>
      <c r="AF51" s="58" t="s">
        <v>506</v>
      </c>
      <c r="AG51" s="58" t="s">
        <v>508</v>
      </c>
      <c r="AH51" s="58" t="s">
        <v>180</v>
      </c>
      <c r="AI51" s="58" t="s">
        <v>181</v>
      </c>
      <c r="AJ51" s="58" t="s">
        <v>509</v>
      </c>
    </row>
    <row r="52" spans="2:36" x14ac:dyDescent="0.15">
      <c r="B52" s="129" t="s">
        <v>184</v>
      </c>
      <c r="C52" s="204">
        <f>SUMIFS('caseload data'!E:E,'caseload data'!$D:$D,"PO",'caseload data'!$C:$C,'custody caseload'!$B$50,'caseload data'!$B:$B,"custody")</f>
        <v>0</v>
      </c>
      <c r="D52" s="204">
        <f>SUMIFS('caseload data'!F:F,'caseload data'!$D:$D,"PO",'caseload data'!$C:$C,'custody caseload'!$B$50,'caseload data'!$B:$B,"custody")</f>
        <v>0</v>
      </c>
      <c r="E52" s="204">
        <f>SUMIFS('caseload data'!G:G,'caseload data'!$D:$D,"PO",'caseload data'!$C:$C,'custody caseload'!$B$50,'caseload data'!$B:$B,"custody")</f>
        <v>0</v>
      </c>
      <c r="F52" s="204">
        <f>SUMIFS('caseload data'!H:H,'caseload data'!$D:$D,"PO",'caseload data'!$C:$C,'custody caseload'!$B$50,'caseload data'!$B:$B,"custody")</f>
        <v>0</v>
      </c>
      <c r="G52" s="204">
        <f>SUMIFS('caseload data'!I:I,'caseload data'!$D:$D,"PO",'caseload data'!$C:$C,'custody caseload'!$B$50,'caseload data'!$B:$B,"custody")</f>
        <v>0</v>
      </c>
      <c r="H52" s="204">
        <f>SUMIFS('caseload data'!J:J,'caseload data'!$D:$D,"PO",'caseload data'!$C:$C,'custody caseload'!$B$50,'caseload data'!$B:$B,"custody")</f>
        <v>0</v>
      </c>
      <c r="I52" s="204">
        <f>SUMIFS('caseload data'!K:K,'caseload data'!$D:$D,"PO",'caseload data'!$C:$C,'custody caseload'!$B$50,'caseload data'!$B:$B,"custody")</f>
        <v>0</v>
      </c>
      <c r="J52" s="204">
        <f>SUMIFS('caseload data'!L:L,'caseload data'!$D:$D,"PO",'caseload data'!$C:$C,'custody caseload'!$B$50,'caseload data'!$B:$B,"custody")</f>
        <v>0</v>
      </c>
      <c r="K52" s="204">
        <f>SUMIFS('caseload data'!M:M,'caseload data'!$D:$D,"PO",'caseload data'!$C:$C,'custody caseload'!$B$50,'caseload data'!$B:$B,"custody")</f>
        <v>0</v>
      </c>
      <c r="L52" s="204">
        <f>SUMIFS('caseload data'!N:N,'caseload data'!$D:$D,"PO",'caseload data'!$C:$C,'custody caseload'!$B$50,'caseload data'!$B:$B,"custody")</f>
        <v>0</v>
      </c>
      <c r="M52" s="204">
        <f>SUMIFS('caseload data'!O:O,'caseload data'!$D:$D,"PO",'caseload data'!$C:$C,'custody caseload'!$B$50,'caseload data'!$B:$B,"custody")</f>
        <v>0</v>
      </c>
      <c r="N52" s="204">
        <f>SUMIFS('caseload data'!P:P,'caseload data'!$D:$D,"PO",'caseload data'!$C:$C,'custody caseload'!$B$50,'caseload data'!$B:$B,"custody")</f>
        <v>0</v>
      </c>
      <c r="O52" s="204">
        <f>SUMIFS('caseload data'!Q:Q,'caseload data'!$D:$D,"PO",'caseload data'!$C:$C,'custody caseload'!$B$50,'caseload data'!$B:$B,"custody")</f>
        <v>0</v>
      </c>
      <c r="P52" s="204">
        <f>SUMIFS('caseload data'!R:R,'caseload data'!$D:$D,"PO",'caseload data'!$C:$C,'custody caseload'!$B$50,'caseload data'!$B:$B,"custody")</f>
        <v>0</v>
      </c>
      <c r="Q52" s="204">
        <f>SUMIFS('caseload data'!S:S,'caseload data'!$D:$D,"PO",'caseload data'!$C:$C,'custody caseload'!$B$50,'caseload data'!$B:$B,"custody")</f>
        <v>0</v>
      </c>
      <c r="R52" s="204">
        <f>SUMIFS('caseload data'!T:T,'caseload data'!$D:$D,"PO",'caseload data'!$C:$C,'custody caseload'!$B$50,'caseload data'!$B:$B,"custody")</f>
        <v>0</v>
      </c>
      <c r="S52" s="95"/>
      <c r="T52" s="129" t="s">
        <v>184</v>
      </c>
      <c r="U52" s="204">
        <f>SUMIFS('caseload data'!E:E,'caseload data'!$D:$D,"PO",'caseload data'!$C:$C,'custody caseload'!$T$50,'caseload data'!$B:$B,"custody")</f>
        <v>0</v>
      </c>
      <c r="V52" s="204">
        <f>SUMIFS('caseload data'!F:F,'caseload data'!$D:$D,"PO",'caseload data'!$C:$C,'custody caseload'!$T$50,'caseload data'!$B:$B,"custody")</f>
        <v>0</v>
      </c>
      <c r="W52" s="204">
        <f>SUMIFS('caseload data'!G:G,'caseload data'!$D:$D,"PO",'caseload data'!$C:$C,'custody caseload'!$T$50,'caseload data'!$B:$B,"custody")</f>
        <v>0</v>
      </c>
      <c r="X52" s="204">
        <f>SUMIFS('caseload data'!H:H,'caseload data'!$D:$D,"PO",'caseload data'!$C:$C,'custody caseload'!$T$50,'caseload data'!$B:$B,"custody")</f>
        <v>0</v>
      </c>
      <c r="Y52" s="204">
        <f>SUMIFS('caseload data'!I:I,'caseload data'!$D:$D,"PO",'caseload data'!$C:$C,'custody caseload'!$T$50,'caseload data'!$B:$B,"custody")</f>
        <v>0</v>
      </c>
      <c r="Z52" s="204">
        <f>SUMIFS('caseload data'!J:J,'caseload data'!$D:$D,"PO",'caseload data'!$C:$C,'custody caseload'!$T$50,'caseload data'!$B:$B,"custody")</f>
        <v>0</v>
      </c>
      <c r="AA52" s="204">
        <f>SUMIFS('caseload data'!K:K,'caseload data'!$D:$D,"PO",'caseload data'!$C:$C,'custody caseload'!$T$50,'caseload data'!$B:$B,"custody")</f>
        <v>0</v>
      </c>
      <c r="AB52" s="204">
        <f>SUMIFS('caseload data'!L:L,'caseload data'!$D:$D,"PO",'caseload data'!$C:$C,'custody caseload'!$T$50,'caseload data'!$B:$B,"custody")</f>
        <v>0</v>
      </c>
      <c r="AC52" s="204">
        <f>SUMIFS('caseload data'!M:M,'caseload data'!$D:$D,"PO",'caseload data'!$C:$C,'custody caseload'!$T$50,'caseload data'!$B:$B,"custody")</f>
        <v>0</v>
      </c>
      <c r="AD52" s="204">
        <f>SUMIFS('caseload data'!N:N,'caseload data'!$D:$D,"PO",'caseload data'!$C:$C,'custody caseload'!$T$50,'caseload data'!$B:$B,"custody")</f>
        <v>0</v>
      </c>
      <c r="AE52" s="204">
        <f>SUMIFS('caseload data'!O:O,'caseload data'!$D:$D,"PO",'caseload data'!$C:$C,'custody caseload'!$T$50,'caseload data'!$B:$B,"custody")</f>
        <v>0</v>
      </c>
      <c r="AF52" s="204">
        <f>SUMIFS('caseload data'!P:P,'caseload data'!$D:$D,"PO",'caseload data'!$C:$C,'custody caseload'!$T$50,'caseload data'!$B:$B,"custody")</f>
        <v>0</v>
      </c>
      <c r="AG52" s="204">
        <f>SUMIFS('caseload data'!Q:Q,'caseload data'!$D:$D,"PO",'caseload data'!$C:$C,'custody caseload'!$T$50,'caseload data'!$B:$B,"custody")</f>
        <v>0</v>
      </c>
      <c r="AH52" s="204">
        <f>SUMIFS('caseload data'!R:R,'caseload data'!$D:$D,"PO",'caseload data'!$C:$C,'custody caseload'!$T$50,'caseload data'!$B:$B,"custody")</f>
        <v>0</v>
      </c>
      <c r="AI52" s="204">
        <f>SUMIFS('caseload data'!S:S,'caseload data'!$D:$D,"PO",'caseload data'!$C:$C,'custody caseload'!$T$50,'caseload data'!$B:$B,"custody")</f>
        <v>0</v>
      </c>
      <c r="AJ52" s="204">
        <f>SUMIFS('caseload data'!T:T,'caseload data'!$D:$D,"PO",'caseload data'!$C:$C,'custody caseload'!$T$50,'caseload data'!$B:$B,"custody")</f>
        <v>0</v>
      </c>
    </row>
    <row r="53" spans="2:36" ht="15" x14ac:dyDescent="0.2">
      <c r="B53" s="130" t="s">
        <v>185</v>
      </c>
      <c r="C53" s="186">
        <f>SUMIFS('caseload data'!E:E,'caseload data'!$D:$D,"PSO",'caseload data'!$C:$C,'custody caseload'!$B$50,'caseload data'!$B:$B,"custody")</f>
        <v>0</v>
      </c>
      <c r="D53" s="186">
        <f>SUMIFS('caseload data'!F:F,'caseload data'!$D:$D,"PSO",'caseload data'!$C:$C,'custody caseload'!$B$50,'caseload data'!$B:$B,"custody")</f>
        <v>0</v>
      </c>
      <c r="E53" s="186">
        <f>SUMIFS('caseload data'!G:G,'caseload data'!$D:$D,"PSO",'caseload data'!$C:$C,'custody caseload'!$B$50,'caseload data'!$B:$B,"custody")</f>
        <v>0</v>
      </c>
      <c r="F53" s="186">
        <f>SUMIFS('caseload data'!H:H,'caseload data'!$D:$D,"PSO",'caseload data'!$C:$C,'custody caseload'!$B$50,'caseload data'!$B:$B,"custody")</f>
        <v>0</v>
      </c>
      <c r="G53" s="186">
        <f>SUMIFS('caseload data'!I:I,'caseload data'!$D:$D,"PSO",'caseload data'!$C:$C,'custody caseload'!$B$50,'caseload data'!$B:$B,"custody")</f>
        <v>0</v>
      </c>
      <c r="H53" s="186">
        <f>SUMIFS('caseload data'!J:J,'caseload data'!$D:$D,"PSO",'caseload data'!$C:$C,'custody caseload'!$B$50,'caseload data'!$B:$B,"custody")</f>
        <v>0</v>
      </c>
      <c r="I53" s="186">
        <f>SUMIFS('caseload data'!K:K,'caseload data'!$D:$D,"PSO",'caseload data'!$C:$C,'custody caseload'!$B$50,'caseload data'!$B:$B,"custody")</f>
        <v>0</v>
      </c>
      <c r="J53" s="186">
        <f>SUMIFS('caseload data'!L:L,'caseload data'!$D:$D,"PSO",'caseload data'!$C:$C,'custody caseload'!$B$50,'caseload data'!$B:$B,"custody")</f>
        <v>0</v>
      </c>
      <c r="K53" s="204">
        <f>SUMIFS('caseload data'!M:M,'caseload data'!$D:$D,"PSO",'caseload data'!$C:$C,'custody caseload'!$B$50,'caseload data'!$B:$B,"custody")</f>
        <v>0</v>
      </c>
      <c r="L53" s="204">
        <f>SUMIFS('caseload data'!N:N,'caseload data'!$D:$D,"PSO",'caseload data'!$C:$C,'custody caseload'!$B$50,'caseload data'!$B:$B,"custody")</f>
        <v>0</v>
      </c>
      <c r="M53" s="204">
        <f>SUMIFS('caseload data'!O:O,'caseload data'!$D:$D,"PSO",'caseload data'!$C:$C,'custody caseload'!$B$50,'caseload data'!$B:$B,"custody")</f>
        <v>0</v>
      </c>
      <c r="N53" s="204">
        <f>SUMIFS('caseload data'!P:P,'caseload data'!$D:$D,"PSO",'caseload data'!$C:$C,'custody caseload'!$B$50,'caseload data'!$B:$B,"custody")</f>
        <v>0</v>
      </c>
      <c r="O53" s="204">
        <f>SUMIFS('caseload data'!Q:Q,'caseload data'!$D:$D,"PSO",'caseload data'!$C:$C,'custody caseload'!$B$50,'caseload data'!$B:$B,"custody")</f>
        <v>0</v>
      </c>
      <c r="P53" s="204">
        <f>SUMIFS('caseload data'!R:R,'caseload data'!$D:$D,"PSO",'caseload data'!$C:$C,'custody caseload'!$B$50,'caseload data'!$B:$B,"custody")</f>
        <v>0</v>
      </c>
      <c r="Q53" s="204">
        <f>SUMIFS('caseload data'!S:S,'caseload data'!$D:$D,"PSO",'caseload data'!$C:$C,'custody caseload'!$B$50,'caseload data'!$B:$B,"custody")</f>
        <v>0</v>
      </c>
      <c r="R53" s="204">
        <f>SUMIFS('caseload data'!T:T,'caseload data'!$D:$D,"PSO",'caseload data'!$C:$C,'custody caseload'!$B$50,'caseload data'!$B:$B,"custody")</f>
        <v>0</v>
      </c>
      <c r="S53" s="95"/>
      <c r="T53" s="130" t="s">
        <v>185</v>
      </c>
      <c r="U53" s="186">
        <f>SUMIFS('caseload data'!E:E,'caseload data'!$D:$D,"PSO",'caseload data'!$C:$C,'custody caseload'!$T$50,'caseload data'!$B:$B,"custody")</f>
        <v>0</v>
      </c>
      <c r="V53" s="186">
        <f>SUMIFS('caseload data'!F:F,'caseload data'!$D:$D,"PSO",'caseload data'!$C:$C,'custody caseload'!$T$50,'caseload data'!$B:$B,"custody")</f>
        <v>0</v>
      </c>
      <c r="W53" s="186">
        <f>SUMIFS('caseload data'!G:G,'caseload data'!$D:$D,"PSO",'caseload data'!$C:$C,'custody caseload'!$T$50,'caseload data'!$B:$B,"custody")</f>
        <v>0</v>
      </c>
      <c r="X53" s="186">
        <f>SUMIFS('caseload data'!H:H,'caseload data'!$D:$D,"PSO",'caseload data'!$C:$C,'custody caseload'!$T$50,'caseload data'!$B:$B,"custody")</f>
        <v>0</v>
      </c>
      <c r="Y53" s="186">
        <f>SUMIFS('caseload data'!I:I,'caseload data'!$D:$D,"PSO",'caseload data'!$C:$C,'custody caseload'!$T$50,'caseload data'!$B:$B,"custody")</f>
        <v>0</v>
      </c>
      <c r="Z53" s="186">
        <f>SUMIFS('caseload data'!J:J,'caseload data'!$D:$D,"PSO",'caseload data'!$C:$C,'custody caseload'!$T$50,'caseload data'!$B:$B,"custody")</f>
        <v>0</v>
      </c>
      <c r="AA53" s="186">
        <f>SUMIFS('caseload data'!K:K,'caseload data'!$D:$D,"PSO",'caseload data'!$C:$C,'custody caseload'!$T$50,'caseload data'!$B:$B,"custody")</f>
        <v>0</v>
      </c>
      <c r="AB53" s="186">
        <f>SUMIFS('caseload data'!L:L,'caseload data'!$D:$D,"PSO",'caseload data'!$C:$C,'custody caseload'!$T$50,'caseload data'!$B:$B,"custody")</f>
        <v>0</v>
      </c>
      <c r="AC53" s="204">
        <f>SUMIFS('caseload data'!M:M,'caseload data'!$D:$D,"PSO",'caseload data'!$C:$C,'custody caseload'!$T$50,'caseload data'!$B:$B,"custody")</f>
        <v>0</v>
      </c>
      <c r="AD53" s="204">
        <f>SUMIFS('caseload data'!N:N,'caseload data'!$D:$D,"PSO",'caseload data'!$C:$C,'custody caseload'!$T$50,'caseload data'!$B:$B,"custody")</f>
        <v>0</v>
      </c>
      <c r="AE53" s="204">
        <f>SUMIFS('caseload data'!O:O,'caseload data'!$D:$D,"PSO",'caseload data'!$C:$C,'custody caseload'!$T$50,'caseload data'!$B:$B,"custody")</f>
        <v>0</v>
      </c>
      <c r="AF53" s="204">
        <f>SUMIFS('caseload data'!P:P,'caseload data'!$D:$D,"PSO",'caseload data'!$C:$C,'custody caseload'!$T$50,'caseload data'!$B:$B,"custody")</f>
        <v>0</v>
      </c>
      <c r="AG53" s="204">
        <f>SUMIFS('caseload data'!Q:Q,'caseload data'!$D:$D,"PSO",'caseload data'!$C:$C,'custody caseload'!$T$50,'caseload data'!$B:$B,"custody")</f>
        <v>0</v>
      </c>
      <c r="AH53" s="204">
        <f>SUMIFS('caseload data'!R:R,'caseload data'!$D:$D,"PSO",'caseload data'!$C:$C,'custody caseload'!$T$50,'caseload data'!$B:$B,"custody")</f>
        <v>0</v>
      </c>
      <c r="AI53" s="204">
        <f>SUMIFS('caseload data'!S:S,'caseload data'!$D:$D,"PSO",'caseload data'!$C:$C,'custody caseload'!$T$50,'caseload data'!$B:$B,"custody")</f>
        <v>0</v>
      </c>
      <c r="AJ53" s="204">
        <f>SUMIFS('caseload data'!T:T,'caseload data'!$D:$D,"PSO",'caseload data'!$C:$C,'custody caseload'!$T$50,'caseload data'!$B:$B,"custody")</f>
        <v>0</v>
      </c>
    </row>
    <row r="54" spans="2:36" ht="15" x14ac:dyDescent="0.2">
      <c r="B54" s="130" t="s">
        <v>186</v>
      </c>
      <c r="C54" s="186">
        <f>SUMIFS('caseload data'!E:E,'caseload data'!$D:$D,"TPO",'caseload data'!$C:$C,'custody caseload'!$B$50,'caseload data'!$B:$B,"custody")</f>
        <v>0</v>
      </c>
      <c r="D54" s="186">
        <f>SUMIFS('caseload data'!F:F,'caseload data'!$D:$D,"TPO",'caseload data'!$C:$C,'custody caseload'!$B$50,'caseload data'!$B:$B,"custody")</f>
        <v>0</v>
      </c>
      <c r="E54" s="186">
        <f>SUMIFS('caseload data'!G:G,'caseload data'!$D:$D,"TPO",'caseload data'!$C:$C,'custody caseload'!$B$50,'caseload data'!$B:$B,"custody")</f>
        <v>0</v>
      </c>
      <c r="F54" s="186">
        <f>SUMIFS('caseload data'!H:H,'caseload data'!$D:$D,"TPO",'caseload data'!$C:$C,'custody caseload'!$B$50,'caseload data'!$B:$B,"custody")</f>
        <v>0</v>
      </c>
      <c r="G54" s="186">
        <f>SUMIFS('caseload data'!I:I,'caseload data'!$D:$D,"TPO",'caseload data'!$C:$C,'custody caseload'!$B$50,'caseload data'!$B:$B,"custody")</f>
        <v>0</v>
      </c>
      <c r="H54" s="186">
        <f>SUMIFS('caseload data'!J:J,'caseload data'!$D:$D,"TPO",'caseload data'!$C:$C,'custody caseload'!$B$50,'caseload data'!$B:$B,"custody")</f>
        <v>0</v>
      </c>
      <c r="I54" s="186">
        <f>SUMIFS('caseload data'!K:K,'caseload data'!$D:$D,"TPO",'caseload data'!$C:$C,'custody caseload'!$B$50,'caseload data'!$B:$B,"custody")</f>
        <v>0</v>
      </c>
      <c r="J54" s="186">
        <f>SUMIFS('caseload data'!L:L,'caseload data'!$D:$D,"TPO",'caseload data'!$C:$C,'custody caseload'!$B$50,'caseload data'!$B:$B,"custody")</f>
        <v>0</v>
      </c>
      <c r="K54" s="204">
        <f>SUMIFS('caseload data'!M:M,'caseload data'!$D:$D,"TPO",'caseload data'!$C:$C,'custody caseload'!$B$50,'caseload data'!$B:$B,"custody")</f>
        <v>0</v>
      </c>
      <c r="L54" s="204">
        <f>SUMIFS('caseload data'!N:N,'caseload data'!$D:$D,"TPO",'caseload data'!$C:$C,'custody caseload'!$B$50,'caseload data'!$B:$B,"custody")</f>
        <v>0</v>
      </c>
      <c r="M54" s="204">
        <f>SUMIFS('caseload data'!O:O,'caseload data'!$D:$D,"TPO",'caseload data'!$C:$C,'custody caseload'!$B$50,'caseload data'!$B:$B,"custody")</f>
        <v>0</v>
      </c>
      <c r="N54" s="204">
        <f>SUMIFS('caseload data'!P:P,'caseload data'!$D:$D,"TPO",'caseload data'!$C:$C,'custody caseload'!$B$50,'caseload data'!$B:$B,"custody")</f>
        <v>0</v>
      </c>
      <c r="O54" s="204">
        <f>SUMIFS('caseload data'!Q:Q,'caseload data'!$D:$D,"TPO",'caseload data'!$C:$C,'custody caseload'!$B$50,'caseload data'!$B:$B,"custody")</f>
        <v>0</v>
      </c>
      <c r="P54" s="204">
        <f>SUMIFS('caseload data'!R:R,'caseload data'!$D:$D,"TPO",'caseload data'!$C:$C,'custody caseload'!$B$50,'caseload data'!$B:$B,"custody")</f>
        <v>0</v>
      </c>
      <c r="Q54" s="204">
        <f>SUMIFS('caseload data'!S:S,'caseload data'!$D:$D,"TPO",'caseload data'!$C:$C,'custody caseload'!$B$50,'caseload data'!$B:$B,"custody")</f>
        <v>0</v>
      </c>
      <c r="R54" s="204">
        <f>SUMIFS('caseload data'!T:T,'caseload data'!$D:$D,"TPO",'caseload data'!$C:$C,'custody caseload'!$B$50,'caseload data'!$B:$B,"custody")</f>
        <v>0</v>
      </c>
      <c r="S54" s="95"/>
      <c r="T54" s="130" t="s">
        <v>186</v>
      </c>
      <c r="U54" s="186">
        <f>SUMIFS('caseload data'!E:E,'caseload data'!$D:$D,"TPO",'caseload data'!$C:$C,'custody caseload'!$T$50,'caseload data'!$B:$B,"custody")</f>
        <v>0</v>
      </c>
      <c r="V54" s="186">
        <f>SUMIFS('caseload data'!F:F,'caseload data'!$D:$D,"TPO",'caseload data'!$C:$C,'custody caseload'!$T$50,'caseload data'!$B:$B,"custody")</f>
        <v>0</v>
      </c>
      <c r="W54" s="186">
        <f>SUMIFS('caseload data'!G:G,'caseload data'!$D:$D,"TPO",'caseload data'!$C:$C,'custody caseload'!$T$50,'caseload data'!$B:$B,"custody")</f>
        <v>0</v>
      </c>
      <c r="X54" s="186">
        <f>SUMIFS('caseload data'!H:H,'caseload data'!$D:$D,"TPO",'caseload data'!$C:$C,'custody caseload'!$T$50,'caseload data'!$B:$B,"custody")</f>
        <v>0</v>
      </c>
      <c r="Y54" s="186">
        <f>SUMIFS('caseload data'!I:I,'caseload data'!$D:$D,"TPO",'caseload data'!$C:$C,'custody caseload'!$T$50,'caseload data'!$B:$B,"custody")</f>
        <v>0</v>
      </c>
      <c r="Z54" s="186">
        <f>SUMIFS('caseload data'!J:J,'caseload data'!$D:$D,"TPO",'caseload data'!$C:$C,'custody caseload'!$T$50,'caseload data'!$B:$B,"custody")</f>
        <v>0</v>
      </c>
      <c r="AA54" s="186">
        <f>SUMIFS('caseload data'!K:K,'caseload data'!$D:$D,"TPO",'caseload data'!$C:$C,'custody caseload'!$T$50,'caseload data'!$B:$B,"custody")</f>
        <v>0</v>
      </c>
      <c r="AB54" s="186">
        <f>SUMIFS('caseload data'!L:L,'caseload data'!$D:$D,"TPO",'caseload data'!$C:$C,'custody caseload'!$T$50,'caseload data'!$B:$B,"custody")</f>
        <v>0</v>
      </c>
      <c r="AC54" s="204">
        <f>SUMIFS('caseload data'!M:M,'caseload data'!$D:$D,"TPO",'caseload data'!$C:$C,'custody caseload'!$T$50,'caseload data'!$B:$B,"custody")</f>
        <v>0</v>
      </c>
      <c r="AD54" s="204">
        <f>SUMIFS('caseload data'!N:N,'caseload data'!$D:$D,"TPO",'caseload data'!$C:$C,'custody caseload'!$T$50,'caseload data'!$B:$B,"custody")</f>
        <v>0</v>
      </c>
      <c r="AE54" s="204">
        <f>SUMIFS('caseload data'!O:O,'caseload data'!$D:$D,"TPO",'caseload data'!$C:$C,'custody caseload'!$T$50,'caseload data'!$B:$B,"custody")</f>
        <v>0</v>
      </c>
      <c r="AF54" s="204">
        <f>SUMIFS('caseload data'!P:P,'caseload data'!$D:$D,"TPO",'caseload data'!$C:$C,'custody caseload'!$T$50,'caseload data'!$B:$B,"custody")</f>
        <v>0</v>
      </c>
      <c r="AG54" s="204">
        <f>SUMIFS('caseload data'!Q:Q,'caseload data'!$D:$D,"TPO",'caseload data'!$C:$C,'custody caseload'!$T$50,'caseload data'!$B:$B,"custody")</f>
        <v>0</v>
      </c>
      <c r="AH54" s="204">
        <f>SUMIFS('caseload data'!R:R,'caseload data'!$D:$D,"TPO",'caseload data'!$C:$C,'custody caseload'!$T$50,'caseload data'!$B:$B,"custody")</f>
        <v>0</v>
      </c>
      <c r="AI54" s="204">
        <f>SUMIFS('caseload data'!S:S,'caseload data'!$D:$D,"TPO",'caseload data'!$C:$C,'custody caseload'!$T$50,'caseload data'!$B:$B,"custody")</f>
        <v>0</v>
      </c>
      <c r="AJ54" s="204">
        <f>SUMIFS('caseload data'!T:T,'caseload data'!$D:$D,"TPO",'caseload data'!$C:$C,'custody caseload'!$T$50,'caseload data'!$B:$B,"custody")</f>
        <v>0</v>
      </c>
    </row>
    <row r="55" spans="2:36" x14ac:dyDescent="0.15">
      <c r="B55" s="131" t="s">
        <v>187</v>
      </c>
      <c r="C55" s="204">
        <f>SUMIFS('caseload data'!E:E,'caseload data'!$D:$D,"SPO",'caseload data'!$C:$C,'custody caseload'!$B$50,'caseload data'!$B:$B,"custody")</f>
        <v>0</v>
      </c>
      <c r="D55" s="204">
        <f>SUMIFS('caseload data'!F:F,'caseload data'!$D:$D,"SPO",'caseload data'!$C:$C,'custody caseload'!$B$50,'caseload data'!$B:$B,"custody")</f>
        <v>0</v>
      </c>
      <c r="E55" s="204">
        <f>SUMIFS('caseload data'!G:G,'caseload data'!$D:$D,"SPO",'caseload data'!$C:$C,'custody caseload'!$B$50,'caseload data'!$B:$B,"custody")</f>
        <v>0</v>
      </c>
      <c r="F55" s="204">
        <f>SUMIFS('caseload data'!H:H,'caseload data'!$D:$D,"SPO",'caseload data'!$C:$C,'custody caseload'!$B$50,'caseload data'!$B:$B,"custody")</f>
        <v>0</v>
      </c>
      <c r="G55" s="204">
        <f>SUMIFS('caseload data'!I:I,'caseload data'!$D:$D,"SPO",'caseload data'!$C:$C,'custody caseload'!$B$50,'caseload data'!$B:$B,"custody")</f>
        <v>0</v>
      </c>
      <c r="H55" s="204">
        <f>SUMIFS('caseload data'!J:J,'caseload data'!$D:$D,"SPO",'caseload data'!$C:$C,'custody caseload'!$B$50,'caseload data'!$B:$B,"custody")</f>
        <v>0</v>
      </c>
      <c r="I55" s="204">
        <f>SUMIFS('caseload data'!K:K,'caseload data'!$D:$D,"SPO",'caseload data'!$C:$C,'custody caseload'!$B$50,'caseload data'!$B:$B,"custody")</f>
        <v>0</v>
      </c>
      <c r="J55" s="204">
        <f>SUMIFS('caseload data'!L:L,'caseload data'!$D:$D,"SPO",'caseload data'!$C:$C,'custody caseload'!$B$50,'caseload data'!$B:$B,"custody")</f>
        <v>0</v>
      </c>
      <c r="K55" s="204">
        <f>SUMIFS('caseload data'!M:M,'caseload data'!$D:$D,"SPO",'caseload data'!$C:$C,'custody caseload'!$B$50,'caseload data'!$B:$B,"custody")</f>
        <v>0</v>
      </c>
      <c r="L55" s="204">
        <f>SUMIFS('caseload data'!N:N,'caseload data'!$D:$D,"SPO",'caseload data'!$C:$C,'custody caseload'!$B$50,'caseload data'!$B:$B,"custody")</f>
        <v>0</v>
      </c>
      <c r="M55" s="204">
        <f>SUMIFS('caseload data'!O:O,'caseload data'!$D:$D,"SPO",'caseload data'!$C:$C,'custody caseload'!$B$50,'caseload data'!$B:$B,"custody")</f>
        <v>0</v>
      </c>
      <c r="N55" s="204">
        <f>SUMIFS('caseload data'!P:P,'caseload data'!$D:$D,"SPO",'caseload data'!$C:$C,'custody caseload'!$B$50,'caseload data'!$B:$B,"custody")</f>
        <v>0</v>
      </c>
      <c r="O55" s="204">
        <f>SUMIFS('caseload data'!Q:Q,'caseload data'!$D:$D,"SPO",'caseload data'!$C:$C,'custody caseload'!$B$50,'caseload data'!$B:$B,"custody")</f>
        <v>0</v>
      </c>
      <c r="P55" s="204">
        <f>SUMIFS('caseload data'!R:R,'caseload data'!$D:$D,"SPO",'caseload data'!$C:$C,'custody caseload'!$B$50,'caseload data'!$B:$B,"custody")</f>
        <v>0</v>
      </c>
      <c r="Q55" s="204">
        <f>SUMIFS('caseload data'!S:S,'caseload data'!$D:$D,"SPO",'caseload data'!$C:$C,'custody caseload'!$B$50,'caseload data'!$B:$B,"custody")</f>
        <v>0</v>
      </c>
      <c r="R55" s="204">
        <f>SUMIFS('caseload data'!T:T,'caseload data'!$D:$D,"SPO",'caseload data'!$C:$C,'custody caseload'!$B$50,'caseload data'!$B:$B,"custody")</f>
        <v>0</v>
      </c>
      <c r="S55" s="95"/>
      <c r="T55" s="131" t="s">
        <v>187</v>
      </c>
      <c r="U55" s="204">
        <f>SUMIFS('caseload data'!E:E,'caseload data'!$D:$D,"SPO",'caseload data'!$C:$C,'custody caseload'!$T$50,'caseload data'!$B:$B,"custody")</f>
        <v>0</v>
      </c>
      <c r="V55" s="204">
        <f>SUMIFS('caseload data'!F:F,'caseload data'!$D:$D,"SPO",'caseload data'!$C:$C,'custody caseload'!$T$50,'caseload data'!$B:$B,"custody")</f>
        <v>0</v>
      </c>
      <c r="W55" s="204">
        <f>SUMIFS('caseload data'!G:G,'caseload data'!$D:$D,"SPO",'caseload data'!$C:$C,'custody caseload'!$T$50,'caseload data'!$B:$B,"custody")</f>
        <v>0</v>
      </c>
      <c r="X55" s="204">
        <f>SUMIFS('caseload data'!H:H,'caseload data'!$D:$D,"SPO",'caseload data'!$C:$C,'custody caseload'!$T$50,'caseload data'!$B:$B,"custody")</f>
        <v>0</v>
      </c>
      <c r="Y55" s="204">
        <f>SUMIFS('caseload data'!I:I,'caseload data'!$D:$D,"SPO",'caseload data'!$C:$C,'custody caseload'!$T$50,'caseload data'!$B:$B,"custody")</f>
        <v>0</v>
      </c>
      <c r="Z55" s="204">
        <f>SUMIFS('caseload data'!J:J,'caseload data'!$D:$D,"SPO",'caseload data'!$C:$C,'custody caseload'!$T$50,'caseload data'!$B:$B,"custody")</f>
        <v>0</v>
      </c>
      <c r="AA55" s="204">
        <f>SUMIFS('caseload data'!K:K,'caseload data'!$D:$D,"SPO",'caseload data'!$C:$C,'custody caseload'!$T$50,'caseload data'!$B:$B,"custody")</f>
        <v>0</v>
      </c>
      <c r="AB55" s="204">
        <f>SUMIFS('caseload data'!L:L,'caseload data'!$D:$D,"SPO",'caseload data'!$C:$C,'custody caseload'!$T$50,'caseload data'!$B:$B,"custody")</f>
        <v>0</v>
      </c>
      <c r="AC55" s="204">
        <f>SUMIFS('caseload data'!M:M,'caseload data'!$D:$D,"SPO",'caseload data'!$C:$C,'custody caseload'!$T$50,'caseload data'!$B:$B,"custody")</f>
        <v>0</v>
      </c>
      <c r="AD55" s="204">
        <f>SUMIFS('caseload data'!N:N,'caseload data'!$D:$D,"SPO",'caseload data'!$C:$C,'custody caseload'!$T$50,'caseload data'!$B:$B,"custody")</f>
        <v>0</v>
      </c>
      <c r="AE55" s="204">
        <f>SUMIFS('caseload data'!O:O,'caseload data'!$D:$D,"SPO",'caseload data'!$C:$C,'custody caseload'!$T$50,'caseload data'!$B:$B,"custody")</f>
        <v>0</v>
      </c>
      <c r="AF55" s="204">
        <f>SUMIFS('caseload data'!P:P,'caseload data'!$D:$D,"SPO",'caseload data'!$C:$C,'custody caseload'!$T$50,'caseload data'!$B:$B,"custody")</f>
        <v>0</v>
      </c>
      <c r="AG55" s="204">
        <f>SUMIFS('caseload data'!Q:Q,'caseload data'!$D:$D,"SPO",'caseload data'!$C:$C,'custody caseload'!$T$50,'caseload data'!$B:$B,"custody")</f>
        <v>0</v>
      </c>
      <c r="AH55" s="204">
        <f>SUMIFS('caseload data'!R:R,'caseload data'!$D:$D,"SPO",'caseload data'!$C:$C,'custody caseload'!$T$50,'caseload data'!$B:$B,"custody")</f>
        <v>0</v>
      </c>
      <c r="AI55" s="204">
        <f>SUMIFS('caseload data'!S:S,'caseload data'!$D:$D,"SPO",'caseload data'!$C:$C,'custody caseload'!$T$50,'caseload data'!$B:$B,"custody")</f>
        <v>0</v>
      </c>
      <c r="AJ55" s="204">
        <f>SUMIFS('caseload data'!T:T,'caseload data'!$D:$D,"SPO",'caseload data'!$C:$C,'custody caseload'!$T$50,'caseload data'!$B:$B,"custody")</f>
        <v>0</v>
      </c>
    </row>
    <row r="56" spans="2:36" x14ac:dyDescent="0.15">
      <c r="B56" s="183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183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</row>
    <row r="57" spans="2:36" ht="28.5" customHeight="1" x14ac:dyDescent="0.15">
      <c r="B57" s="182" t="str">
        <f>HLOOKUP($B$5,Region_Table,16,0)</f>
        <v>Headquarters - N07</v>
      </c>
      <c r="C57" s="359" t="s">
        <v>366</v>
      </c>
      <c r="D57" s="365"/>
      <c r="E57" s="365"/>
      <c r="F57" s="365"/>
      <c r="G57" s="365"/>
      <c r="H57" s="365"/>
      <c r="I57" s="365"/>
      <c r="J57" s="365"/>
      <c r="K57" s="365"/>
      <c r="L57" s="365"/>
      <c r="M57" s="368"/>
      <c r="N57" s="368"/>
      <c r="O57" s="369"/>
      <c r="P57" s="362">
        <f>SUMIFS('caseload data'!V:V,'caseload data'!B:B,"custody",'caseload data'!$C:$C,'custody caseload'!B57)</f>
        <v>0</v>
      </c>
      <c r="Q57" s="370"/>
      <c r="R57" s="371"/>
      <c r="S57" s="95"/>
      <c r="T57" s="182" t="str">
        <f>HLOOKUP($B$5,Region_Table,17,0)</f>
        <v>Inactive Level 2(N07)</v>
      </c>
      <c r="U57" s="359" t="s">
        <v>366</v>
      </c>
      <c r="V57" s="365"/>
      <c r="W57" s="365"/>
      <c r="X57" s="365"/>
      <c r="Y57" s="365"/>
      <c r="Z57" s="365"/>
      <c r="AA57" s="365"/>
      <c r="AB57" s="365"/>
      <c r="AC57" s="365"/>
      <c r="AD57" s="365"/>
      <c r="AE57" s="368"/>
      <c r="AF57" s="368"/>
      <c r="AG57" s="369"/>
      <c r="AH57" s="362">
        <f>SUMIFS('caseload data'!V:V,'caseload data'!B:B,"custody",'caseload data'!$C:$C,'custody caseload'!T57)</f>
        <v>0</v>
      </c>
      <c r="AI57" s="370"/>
      <c r="AJ57" s="371"/>
    </row>
    <row r="58" spans="2:36" x14ac:dyDescent="0.15">
      <c r="B58" s="127" t="s">
        <v>324</v>
      </c>
      <c r="C58" s="58" t="s">
        <v>504</v>
      </c>
      <c r="D58" s="58" t="s">
        <v>503</v>
      </c>
      <c r="E58" s="58" t="s">
        <v>502</v>
      </c>
      <c r="F58" s="58" t="s">
        <v>501</v>
      </c>
      <c r="G58" s="58" t="s">
        <v>510</v>
      </c>
      <c r="H58" s="58" t="s">
        <v>176</v>
      </c>
      <c r="I58" s="58" t="s">
        <v>177</v>
      </c>
      <c r="J58" s="58" t="s">
        <v>505</v>
      </c>
      <c r="K58" s="58" t="s">
        <v>507</v>
      </c>
      <c r="L58" s="58" t="s">
        <v>178</v>
      </c>
      <c r="M58" s="58" t="s">
        <v>179</v>
      </c>
      <c r="N58" s="58" t="s">
        <v>506</v>
      </c>
      <c r="O58" s="58" t="s">
        <v>508</v>
      </c>
      <c r="P58" s="58" t="s">
        <v>180</v>
      </c>
      <c r="Q58" s="58" t="s">
        <v>181</v>
      </c>
      <c r="R58" s="58" t="s">
        <v>509</v>
      </c>
      <c r="S58" s="95"/>
      <c r="T58" s="127" t="s">
        <v>324</v>
      </c>
      <c r="U58" s="58" t="s">
        <v>504</v>
      </c>
      <c r="V58" s="58" t="s">
        <v>503</v>
      </c>
      <c r="W58" s="58" t="s">
        <v>502</v>
      </c>
      <c r="X58" s="58" t="s">
        <v>501</v>
      </c>
      <c r="Y58" s="58" t="s">
        <v>510</v>
      </c>
      <c r="Z58" s="58" t="s">
        <v>176</v>
      </c>
      <c r="AA58" s="58" t="s">
        <v>177</v>
      </c>
      <c r="AB58" s="58" t="s">
        <v>505</v>
      </c>
      <c r="AC58" s="58" t="s">
        <v>507</v>
      </c>
      <c r="AD58" s="58" t="s">
        <v>178</v>
      </c>
      <c r="AE58" s="58" t="s">
        <v>179</v>
      </c>
      <c r="AF58" s="58" t="s">
        <v>506</v>
      </c>
      <c r="AG58" s="58" t="s">
        <v>508</v>
      </c>
      <c r="AH58" s="58" t="s">
        <v>180</v>
      </c>
      <c r="AI58" s="58" t="s">
        <v>181</v>
      </c>
      <c r="AJ58" s="58" t="s">
        <v>509</v>
      </c>
    </row>
    <row r="59" spans="2:36" x14ac:dyDescent="0.15">
      <c r="B59" s="129" t="s">
        <v>184</v>
      </c>
      <c r="C59" s="204">
        <f>SUMIFS('caseload data'!E:E,'caseload data'!$D:$D,"PO",'caseload data'!$C:$C,'custody caseload'!$B$57,'caseload data'!$B:$B,"custody")</f>
        <v>0</v>
      </c>
      <c r="D59" s="204">
        <f>SUMIFS('caseload data'!F:F,'caseload data'!$D:$D,"PO",'caseload data'!$C:$C,'custody caseload'!$B$57,'caseload data'!$B:$B,"custody")</f>
        <v>0</v>
      </c>
      <c r="E59" s="204">
        <f>SUMIFS('caseload data'!G:G,'caseload data'!$D:$D,"PO",'caseload data'!$C:$C,'custody caseload'!$B$57,'caseload data'!$B:$B,"custody")</f>
        <v>0</v>
      </c>
      <c r="F59" s="204">
        <f>SUMIFS('caseload data'!H:H,'caseload data'!$D:$D,"PO",'caseload data'!$C:$C,'custody caseload'!$B$57,'caseload data'!$B:$B,"custody")</f>
        <v>0</v>
      </c>
      <c r="G59" s="204">
        <f>SUMIFS('caseload data'!I:I,'caseload data'!$D:$D,"PO",'caseload data'!$C:$C,'custody caseload'!$B$57,'caseload data'!$B:$B,"custody")</f>
        <v>0</v>
      </c>
      <c r="H59" s="204">
        <f>SUMIFS('caseload data'!J:J,'caseload data'!$D:$D,"PO",'caseload data'!$C:$C,'custody caseload'!$B$57,'caseload data'!$B:$B,"custody")</f>
        <v>0</v>
      </c>
      <c r="I59" s="204">
        <f>SUMIFS('caseload data'!K:K,'caseload data'!$D:$D,"PO",'caseload data'!$C:$C,'custody caseload'!$B$57,'caseload data'!$B:$B,"custody")</f>
        <v>0</v>
      </c>
      <c r="J59" s="204">
        <f>SUMIFS('caseload data'!L:L,'caseload data'!$D:$D,"PO",'caseload data'!$C:$C,'custody caseload'!$B$57,'caseload data'!$B:$B,"custody")</f>
        <v>0</v>
      </c>
      <c r="K59" s="204">
        <f>SUMIFS('caseload data'!M:M,'caseload data'!$D:$D,"PO",'caseload data'!$C:$C,'custody caseload'!$B$57,'caseload data'!$B:$B,"custody")</f>
        <v>0</v>
      </c>
      <c r="L59" s="204">
        <f>SUMIFS('caseload data'!N:N,'caseload data'!$D:$D,"PO",'caseload data'!$C:$C,'custody caseload'!$B$57,'caseload data'!$B:$B,"custody")</f>
        <v>0</v>
      </c>
      <c r="M59" s="204">
        <f>SUMIFS('caseload data'!O:O,'caseload data'!$D:$D,"PO",'caseload data'!$C:$C,'custody caseload'!$B$57,'caseload data'!$B:$B,"custody")</f>
        <v>0</v>
      </c>
      <c r="N59" s="204">
        <f>SUMIFS('caseload data'!P:P,'caseload data'!$D:$D,"PO",'caseload data'!$C:$C,'custody caseload'!$B$57,'caseload data'!$B:$B,"custody")</f>
        <v>0</v>
      </c>
      <c r="O59" s="204">
        <f>SUMIFS('caseload data'!Q:Q,'caseload data'!$D:$D,"PO",'caseload data'!$C:$C,'custody caseload'!$B$57,'caseload data'!$B:$B,"custody")</f>
        <v>0</v>
      </c>
      <c r="P59" s="204">
        <f>SUMIFS('caseload data'!R:R,'caseload data'!$D:$D,"PO",'caseload data'!$C:$C,'custody caseload'!$B$57,'caseload data'!$B:$B,"custody")</f>
        <v>0</v>
      </c>
      <c r="Q59" s="204">
        <f>SUMIFS('caseload data'!S:S,'caseload data'!$D:$D,"PO",'caseload data'!$C:$C,'custody caseload'!$B$57,'caseload data'!$B:$B,"custody")</f>
        <v>0</v>
      </c>
      <c r="R59" s="204">
        <f>SUMIFS('caseload data'!T:T,'caseload data'!$D:$D,"PO",'caseload data'!$C:$C,'custody caseload'!$B$57,'caseload data'!$B:$B,"custody")</f>
        <v>0</v>
      </c>
      <c r="S59" s="95"/>
      <c r="T59" s="129" t="s">
        <v>184</v>
      </c>
      <c r="U59" s="204">
        <f>SUMIFS('caseload data'!E:E,'caseload data'!$D:$D,"PO",'caseload data'!$C:$C,'custody caseload'!$T$57,'caseload data'!$B:$B,"custody")</f>
        <v>0</v>
      </c>
      <c r="V59" s="204">
        <f>SUMIFS('caseload data'!F:F,'caseload data'!$D:$D,"PO",'caseload data'!$C:$C,'custody caseload'!$T$57,'caseload data'!$B:$B,"custody")</f>
        <v>0</v>
      </c>
      <c r="W59" s="204">
        <f>SUMIFS('caseload data'!G:G,'caseload data'!$D:$D,"PO",'caseload data'!$C:$C,'custody caseload'!$T$57,'caseload data'!$B:$B,"custody")</f>
        <v>0</v>
      </c>
      <c r="X59" s="204">
        <f>SUMIFS('caseload data'!H:H,'caseload data'!$D:$D,"PO",'caseload data'!$C:$C,'custody caseload'!$T$57,'caseload data'!$B:$B,"custody")</f>
        <v>0</v>
      </c>
      <c r="Y59" s="204">
        <f>SUMIFS('caseload data'!I:I,'caseload data'!$D:$D,"PO",'caseload data'!$C:$C,'custody caseload'!$T$57,'caseload data'!$B:$B,"custody")</f>
        <v>0</v>
      </c>
      <c r="Z59" s="204">
        <f>SUMIFS('caseload data'!J:J,'caseload data'!$D:$D,"PO",'caseload data'!$C:$C,'custody caseload'!$T$57,'caseload data'!$B:$B,"custody")</f>
        <v>0</v>
      </c>
      <c r="AA59" s="204">
        <f>SUMIFS('caseload data'!K:K,'caseload data'!$D:$D,"PO",'caseload data'!$C:$C,'custody caseload'!$T$57,'caseload data'!$B:$B,"custody")</f>
        <v>0</v>
      </c>
      <c r="AB59" s="204">
        <f>SUMIFS('caseload data'!L:L,'caseload data'!$D:$D,"PO",'caseload data'!$C:$C,'custody caseload'!$T$57,'caseload data'!$B:$B,"custody")</f>
        <v>0</v>
      </c>
      <c r="AC59" s="204">
        <f>SUMIFS('caseload data'!M:M,'caseload data'!$D:$D,"PO",'caseload data'!$C:$C,'custody caseload'!$T$57,'caseload data'!$B:$B,"custody")</f>
        <v>0</v>
      </c>
      <c r="AD59" s="204">
        <f>SUMIFS('caseload data'!N:N,'caseload data'!$D:$D,"PO",'caseload data'!$C:$C,'custody caseload'!$T$57,'caseload data'!$B:$B,"custody")</f>
        <v>0</v>
      </c>
      <c r="AE59" s="204">
        <f>SUMIFS('caseload data'!O:O,'caseload data'!$D:$D,"PO",'caseload data'!$C:$C,'custody caseload'!$T$57,'caseload data'!$B:$B,"custody")</f>
        <v>0</v>
      </c>
      <c r="AF59" s="204">
        <f>SUMIFS('caseload data'!P:P,'caseload data'!$D:$D,"PO",'caseload data'!$C:$C,'custody caseload'!$T$57,'caseload data'!$B:$B,"custody")</f>
        <v>0</v>
      </c>
      <c r="AG59" s="204">
        <f>SUMIFS('caseload data'!Q:Q,'caseload data'!$D:$D,"PO",'caseload data'!$C:$C,'custody caseload'!$T$57,'caseload data'!$B:$B,"custody")</f>
        <v>0</v>
      </c>
      <c r="AH59" s="204">
        <f>SUMIFS('caseload data'!R:R,'caseload data'!$D:$D,"PO",'caseload data'!$C:$C,'custody caseload'!$T$57,'caseload data'!$B:$B,"custody")</f>
        <v>0</v>
      </c>
      <c r="AI59" s="204">
        <f>SUMIFS('caseload data'!S:S,'caseload data'!$D:$D,"PO",'caseload data'!$C:$C,'custody caseload'!$T$57,'caseload data'!$B:$B,"custody")</f>
        <v>0</v>
      </c>
      <c r="AJ59" s="204">
        <f>SUMIFS('caseload data'!T:T,'caseload data'!$D:$D,"PO",'caseload data'!$C:$C,'custody caseload'!$T$57,'caseload data'!$B:$B,"custody")</f>
        <v>0</v>
      </c>
    </row>
    <row r="60" spans="2:36" ht="15" x14ac:dyDescent="0.2">
      <c r="B60" s="130" t="s">
        <v>185</v>
      </c>
      <c r="C60" s="186">
        <f>SUMIFS('caseload data'!E:E,'caseload data'!$D:$D,"PSO",'caseload data'!$C:$C,'custody caseload'!$B$57,'caseload data'!$B:$B,"custody")</f>
        <v>0</v>
      </c>
      <c r="D60" s="186">
        <f>SUMIFS('caseload data'!F:F,'caseload data'!$D:$D,"PSO",'caseload data'!$C:$C,'custody caseload'!$B$57,'caseload data'!$B:$B,"custody")</f>
        <v>0</v>
      </c>
      <c r="E60" s="186">
        <f>SUMIFS('caseload data'!G:G,'caseload data'!$D:$D,"PSO",'caseload data'!$C:$C,'custody caseload'!$B$57,'caseload data'!$B:$B,"custody")</f>
        <v>0</v>
      </c>
      <c r="F60" s="186">
        <f>SUMIFS('caseload data'!H:H,'caseload data'!$D:$D,"PSO",'caseload data'!$C:$C,'custody caseload'!$B$57,'caseload data'!$B:$B,"custody")</f>
        <v>0</v>
      </c>
      <c r="G60" s="186">
        <f>SUMIFS('caseload data'!I:I,'caseload data'!$D:$D,"PSO",'caseload data'!$C:$C,'custody caseload'!$B$57,'caseload data'!$B:$B,"custody")</f>
        <v>0</v>
      </c>
      <c r="H60" s="186">
        <f>SUMIFS('caseload data'!J:J,'caseload data'!$D:$D,"PSO",'caseload data'!$C:$C,'custody caseload'!$B$57,'caseload data'!$B:$B,"custody")</f>
        <v>0</v>
      </c>
      <c r="I60" s="186">
        <f>SUMIFS('caseload data'!K:K,'caseload data'!$D:$D,"PSO",'caseload data'!$C:$C,'custody caseload'!$B$57,'caseload data'!$B:$B,"custody")</f>
        <v>0</v>
      </c>
      <c r="J60" s="186">
        <f>SUMIFS('caseload data'!L:L,'caseload data'!$D:$D,"PSO",'caseload data'!$C:$C,'custody caseload'!$B$57,'caseload data'!$B:$B,"custody")</f>
        <v>0</v>
      </c>
      <c r="K60" s="204">
        <f>SUMIFS('caseload data'!M:M,'caseload data'!$D:$D,"PSO",'caseload data'!$C:$C,'custody caseload'!$B$57,'caseload data'!$B:$B,"custody")</f>
        <v>0</v>
      </c>
      <c r="L60" s="204">
        <f>SUMIFS('caseload data'!N:N,'caseload data'!$D:$D,"PSO",'caseload data'!$C:$C,'custody caseload'!$B$57,'caseload data'!$B:$B,"custody")</f>
        <v>0</v>
      </c>
      <c r="M60" s="204">
        <f>SUMIFS('caseload data'!O:O,'caseload data'!$D:$D,"PSO",'caseload data'!$C:$C,'custody caseload'!$B$57,'caseload data'!$B:$B,"custody")</f>
        <v>0</v>
      </c>
      <c r="N60" s="204">
        <f>SUMIFS('caseload data'!P:P,'caseload data'!$D:$D,"PSO",'caseload data'!$C:$C,'custody caseload'!$B$57,'caseload data'!$B:$B,"custody")</f>
        <v>0</v>
      </c>
      <c r="O60" s="204">
        <f>SUMIFS('caseload data'!Q:Q,'caseload data'!$D:$D,"PSO",'caseload data'!$C:$C,'custody caseload'!$B$57,'caseload data'!$B:$B,"custody")</f>
        <v>0</v>
      </c>
      <c r="P60" s="204">
        <f>SUMIFS('caseload data'!R:R,'caseload data'!$D:$D,"PSO",'caseload data'!$C:$C,'custody caseload'!$B$57,'caseload data'!$B:$B,"custody")</f>
        <v>0</v>
      </c>
      <c r="Q60" s="204">
        <f>SUMIFS('caseload data'!S:S,'caseload data'!$D:$D,"PSO",'caseload data'!$C:$C,'custody caseload'!$B$57,'caseload data'!$B:$B,"custody")</f>
        <v>0</v>
      </c>
      <c r="R60" s="204">
        <f>SUMIFS('caseload data'!T:T,'caseload data'!$D:$D,"PSO",'caseload data'!$C:$C,'custody caseload'!$B$57,'caseload data'!$B:$B,"custody")</f>
        <v>0</v>
      </c>
      <c r="S60" s="95"/>
      <c r="T60" s="130" t="s">
        <v>185</v>
      </c>
      <c r="U60" s="186">
        <f>SUMIFS('caseload data'!E:E,'caseload data'!$D:$D,"PSO",'caseload data'!$C:$C,'custody caseload'!$T$57,'caseload data'!$B:$B,"custody")</f>
        <v>0</v>
      </c>
      <c r="V60" s="186">
        <f>SUMIFS('caseload data'!F:F,'caseload data'!$D:$D,"PSO",'caseload data'!$C:$C,'custody caseload'!$T$57,'caseload data'!$B:$B,"custody")</f>
        <v>0</v>
      </c>
      <c r="W60" s="186">
        <f>SUMIFS('caseload data'!G:G,'caseload data'!$D:$D,"PSO",'caseload data'!$C:$C,'custody caseload'!$T$57,'caseload data'!$B:$B,"custody")</f>
        <v>0</v>
      </c>
      <c r="X60" s="186">
        <f>SUMIFS('caseload data'!H:H,'caseload data'!$D:$D,"PSO",'caseload data'!$C:$C,'custody caseload'!$T$57,'caseload data'!$B:$B,"custody")</f>
        <v>0</v>
      </c>
      <c r="Y60" s="186">
        <f>SUMIFS('caseload data'!I:I,'caseload data'!$D:$D,"PSO",'caseload data'!$C:$C,'custody caseload'!$T$57,'caseload data'!$B:$B,"custody")</f>
        <v>0</v>
      </c>
      <c r="Z60" s="186">
        <f>SUMIFS('caseload data'!J:J,'caseload data'!$D:$D,"PSO",'caseload data'!$C:$C,'custody caseload'!$T$57,'caseload data'!$B:$B,"custody")</f>
        <v>0</v>
      </c>
      <c r="AA60" s="186">
        <f>SUMIFS('caseload data'!K:K,'caseload data'!$D:$D,"PSO",'caseload data'!$C:$C,'custody caseload'!$T$57,'caseload data'!$B:$B,"custody")</f>
        <v>0</v>
      </c>
      <c r="AB60" s="186">
        <f>SUMIFS('caseload data'!L:L,'caseload data'!$D:$D,"PSO",'caseload data'!$C:$C,'custody caseload'!$T$57,'caseload data'!$B:$B,"custody")</f>
        <v>0</v>
      </c>
      <c r="AC60" s="204">
        <f>SUMIFS('caseload data'!M:M,'caseload data'!$D:$D,"PSO",'caseload data'!$C:$C,'custody caseload'!$T$57,'caseload data'!$B:$B,"custody")</f>
        <v>0</v>
      </c>
      <c r="AD60" s="204">
        <f>SUMIFS('caseload data'!N:N,'caseload data'!$D:$D,"PSO",'caseload data'!$C:$C,'custody caseload'!$T$57,'caseload data'!$B:$B,"custody")</f>
        <v>0</v>
      </c>
      <c r="AE60" s="204">
        <f>SUMIFS('caseload data'!O:O,'caseload data'!$D:$D,"PSO",'caseload data'!$C:$C,'custody caseload'!$T$57,'caseload data'!$B:$B,"custody")</f>
        <v>0</v>
      </c>
      <c r="AF60" s="204">
        <f>SUMIFS('caseload data'!P:P,'caseload data'!$D:$D,"PSO",'caseload data'!$C:$C,'custody caseload'!$T$57,'caseload data'!$B:$B,"custody")</f>
        <v>0</v>
      </c>
      <c r="AG60" s="204">
        <f>SUMIFS('caseload data'!Q:Q,'caseload data'!$D:$D,"PSO",'caseload data'!$C:$C,'custody caseload'!$T$57,'caseload data'!$B:$B,"custody")</f>
        <v>0</v>
      </c>
      <c r="AH60" s="204">
        <f>SUMIFS('caseload data'!R:R,'caseload data'!$D:$D,"PSO",'caseload data'!$C:$C,'custody caseload'!$T$57,'caseload data'!$B:$B,"custody")</f>
        <v>0</v>
      </c>
      <c r="AI60" s="204">
        <f>SUMIFS('caseload data'!S:S,'caseload data'!$D:$D,"PSO",'caseload data'!$C:$C,'custody caseload'!$T$57,'caseload data'!$B:$B,"custody")</f>
        <v>0</v>
      </c>
      <c r="AJ60" s="204">
        <f>SUMIFS('caseload data'!T:T,'caseload data'!$D:$D,"PSO",'caseload data'!$C:$C,'custody caseload'!$T$57,'caseload data'!$B:$B,"custody")</f>
        <v>0</v>
      </c>
    </row>
    <row r="61" spans="2:36" ht="15" x14ac:dyDescent="0.2">
      <c r="B61" s="130" t="s">
        <v>186</v>
      </c>
      <c r="C61" s="186">
        <f>SUMIFS('caseload data'!E:E,'caseload data'!$D:$D,"TPO",'caseload data'!$C:$C,'custody caseload'!$B$57,'caseload data'!$B:$B,"custody")</f>
        <v>0</v>
      </c>
      <c r="D61" s="186">
        <f>SUMIFS('caseload data'!F:F,'caseload data'!$D:$D,"TPO",'caseload data'!$C:$C,'custody caseload'!$B$57,'caseload data'!$B:$B,"custody")</f>
        <v>0</v>
      </c>
      <c r="E61" s="186">
        <f>SUMIFS('caseload data'!G:G,'caseload data'!$D:$D,"TPO",'caseload data'!$C:$C,'custody caseload'!$B$57,'caseload data'!$B:$B,"custody")</f>
        <v>0</v>
      </c>
      <c r="F61" s="186">
        <f>SUMIFS('caseload data'!H:H,'caseload data'!$D:$D,"TPO",'caseload data'!$C:$C,'custody caseload'!$B$57,'caseload data'!$B:$B,"custody")</f>
        <v>0</v>
      </c>
      <c r="G61" s="186">
        <f>SUMIFS('caseload data'!I:I,'caseload data'!$D:$D,"TPO",'caseload data'!$C:$C,'custody caseload'!$B$57,'caseload data'!$B:$B,"custody")</f>
        <v>0</v>
      </c>
      <c r="H61" s="186">
        <f>SUMIFS('caseload data'!J:J,'caseload data'!$D:$D,"TPO",'caseload data'!$C:$C,'custody caseload'!$B$57,'caseload data'!$B:$B,"custody")</f>
        <v>0</v>
      </c>
      <c r="I61" s="186">
        <f>SUMIFS('caseload data'!K:K,'caseload data'!$D:$D,"TPO",'caseload data'!$C:$C,'custody caseload'!$B$57,'caseload data'!$B:$B,"custody")</f>
        <v>0</v>
      </c>
      <c r="J61" s="186">
        <f>SUMIFS('caseload data'!L:L,'caseload data'!$D:$D,"TPO",'caseload data'!$C:$C,'custody caseload'!$B$57,'caseload data'!$B:$B,"custody")</f>
        <v>0</v>
      </c>
      <c r="K61" s="204">
        <f>SUMIFS('caseload data'!M:M,'caseload data'!$D:$D,"TPO",'caseload data'!$C:$C,'custody caseload'!$B$57,'caseload data'!$B:$B,"custody")</f>
        <v>0</v>
      </c>
      <c r="L61" s="204">
        <f>SUMIFS('caseload data'!N:N,'caseload data'!$D:$D,"TPO",'caseload data'!$C:$C,'custody caseload'!$B$57,'caseload data'!$B:$B,"custody")</f>
        <v>0</v>
      </c>
      <c r="M61" s="204">
        <f>SUMIFS('caseload data'!O:O,'caseload data'!$D:$D,"TPO",'caseload data'!$C:$C,'custody caseload'!$B$57,'caseload data'!$B:$B,"custody")</f>
        <v>0</v>
      </c>
      <c r="N61" s="204">
        <f>SUMIFS('caseload data'!P:P,'caseload data'!$D:$D,"TPO",'caseload data'!$C:$C,'custody caseload'!$B$57,'caseload data'!$B:$B,"custody")</f>
        <v>0</v>
      </c>
      <c r="O61" s="204">
        <f>SUMIFS('caseload data'!Q:Q,'caseload data'!$D:$D,"TPO",'caseload data'!$C:$C,'custody caseload'!$B$57,'caseload data'!$B:$B,"custody")</f>
        <v>0</v>
      </c>
      <c r="P61" s="204">
        <f>SUMIFS('caseload data'!R:R,'caseload data'!$D:$D,"TPO",'caseload data'!$C:$C,'custody caseload'!$B$57,'caseload data'!$B:$B,"custody")</f>
        <v>0</v>
      </c>
      <c r="Q61" s="204">
        <f>SUMIFS('caseload data'!S:S,'caseload data'!$D:$D,"TPO",'caseload data'!$C:$C,'custody caseload'!$B$57,'caseload data'!$B:$B,"custody")</f>
        <v>0</v>
      </c>
      <c r="R61" s="204">
        <f>SUMIFS('caseload data'!T:T,'caseload data'!$D:$D,"TPO",'caseload data'!$C:$C,'custody caseload'!$B$57,'caseload data'!$B:$B,"custody")</f>
        <v>0</v>
      </c>
      <c r="S61" s="95"/>
      <c r="T61" s="130" t="s">
        <v>186</v>
      </c>
      <c r="U61" s="186">
        <f>SUMIFS('caseload data'!E:E,'caseload data'!$D:$D,"TPO",'caseload data'!$C:$C,'custody caseload'!$T$57,'caseload data'!$B:$B,"custody")</f>
        <v>0</v>
      </c>
      <c r="V61" s="186">
        <f>SUMIFS('caseload data'!F:F,'caseload data'!$D:$D,"TPO",'caseload data'!$C:$C,'custody caseload'!$T$57,'caseload data'!$B:$B,"custody")</f>
        <v>0</v>
      </c>
      <c r="W61" s="186">
        <f>SUMIFS('caseload data'!G:G,'caseload data'!$D:$D,"TPO",'caseload data'!$C:$C,'custody caseload'!$T$57,'caseload data'!$B:$B,"custody")</f>
        <v>0</v>
      </c>
      <c r="X61" s="186">
        <f>SUMIFS('caseload data'!H:H,'caseload data'!$D:$D,"TPO",'caseload data'!$C:$C,'custody caseload'!$T$57,'caseload data'!$B:$B,"custody")</f>
        <v>0</v>
      </c>
      <c r="Y61" s="186">
        <f>SUMIFS('caseload data'!I:I,'caseload data'!$D:$D,"TPO",'caseload data'!$C:$C,'custody caseload'!$T$57,'caseload data'!$B:$B,"custody")</f>
        <v>0</v>
      </c>
      <c r="Z61" s="186">
        <f>SUMIFS('caseload data'!J:J,'caseload data'!$D:$D,"TPO",'caseload data'!$C:$C,'custody caseload'!$T$57,'caseload data'!$B:$B,"custody")</f>
        <v>0</v>
      </c>
      <c r="AA61" s="186">
        <f>SUMIFS('caseload data'!K:K,'caseload data'!$D:$D,"TPO",'caseload data'!$C:$C,'custody caseload'!$T$57,'caseload data'!$B:$B,"custody")</f>
        <v>0</v>
      </c>
      <c r="AB61" s="186">
        <f>SUMIFS('caseload data'!L:L,'caseload data'!$D:$D,"TPO",'caseload data'!$C:$C,'custody caseload'!$T$57,'caseload data'!$B:$B,"custody")</f>
        <v>0</v>
      </c>
      <c r="AC61" s="204">
        <f>SUMIFS('caseload data'!M:M,'caseload data'!$D:$D,"TPO",'caseload data'!$C:$C,'custody caseload'!$T$57,'caseload data'!$B:$B,"custody")</f>
        <v>0</v>
      </c>
      <c r="AD61" s="204">
        <f>SUMIFS('caseload data'!N:N,'caseload data'!$D:$D,"TPO",'caseload data'!$C:$C,'custody caseload'!$T$57,'caseload data'!$B:$B,"custody")</f>
        <v>0</v>
      </c>
      <c r="AE61" s="204">
        <f>SUMIFS('caseload data'!O:O,'caseload data'!$D:$D,"TPO",'caseload data'!$C:$C,'custody caseload'!$T$57,'caseload data'!$B:$B,"custody")</f>
        <v>0</v>
      </c>
      <c r="AF61" s="204">
        <f>SUMIFS('caseload data'!P:P,'caseload data'!$D:$D,"TPO",'caseload data'!$C:$C,'custody caseload'!$T$57,'caseload data'!$B:$B,"custody")</f>
        <v>0</v>
      </c>
      <c r="AG61" s="204">
        <f>SUMIFS('caseload data'!Q:Q,'caseload data'!$D:$D,"TPO",'caseload data'!$C:$C,'custody caseload'!$T$57,'caseload data'!$B:$B,"custody")</f>
        <v>0</v>
      </c>
      <c r="AH61" s="204">
        <f>SUMIFS('caseload data'!R:R,'caseload data'!$D:$D,"TPO",'caseload data'!$C:$C,'custody caseload'!$T$57,'caseload data'!$B:$B,"custody")</f>
        <v>0</v>
      </c>
      <c r="AI61" s="204">
        <f>SUMIFS('caseload data'!S:S,'caseload data'!$D:$D,"TPO",'caseload data'!$C:$C,'custody caseload'!$T$57,'caseload data'!$B:$B,"custody")</f>
        <v>0</v>
      </c>
      <c r="AJ61" s="204">
        <f>SUMIFS('caseload data'!T:T,'caseload data'!$D:$D,"TPO",'caseload data'!$C:$C,'custody caseload'!$T$57,'caseload data'!$B:$B,"custody")</f>
        <v>0</v>
      </c>
    </row>
    <row r="62" spans="2:36" x14ac:dyDescent="0.15">
      <c r="B62" s="131" t="s">
        <v>187</v>
      </c>
      <c r="C62" s="204">
        <f>SUMIFS('caseload data'!E:E,'caseload data'!$D:$D,"SPO",'caseload data'!$C:$C,'custody caseload'!$B$57,'caseload data'!$B:$B,"custody")</f>
        <v>0</v>
      </c>
      <c r="D62" s="204">
        <f>SUMIFS('caseload data'!F:F,'caseload data'!$D:$D,"SPO",'caseload data'!$C:$C,'custody caseload'!$B$57,'caseload data'!$B:$B,"custody")</f>
        <v>0</v>
      </c>
      <c r="E62" s="204">
        <f>SUMIFS('caseload data'!G:G,'caseload data'!$D:$D,"SPO",'caseload data'!$C:$C,'custody caseload'!$B$57,'caseload data'!$B:$B,"custody")</f>
        <v>0</v>
      </c>
      <c r="F62" s="204">
        <f>SUMIFS('caseload data'!H:H,'caseload data'!$D:$D,"SPO",'caseload data'!$C:$C,'custody caseload'!$B$57,'caseload data'!$B:$B,"custody")</f>
        <v>0</v>
      </c>
      <c r="G62" s="204">
        <f>SUMIFS('caseload data'!I:I,'caseload data'!$D:$D,"SPO",'caseload data'!$C:$C,'custody caseload'!$B$57,'caseload data'!$B:$B,"custody")</f>
        <v>0</v>
      </c>
      <c r="H62" s="204">
        <f>SUMIFS('caseload data'!J:J,'caseload data'!$D:$D,"SPO",'caseload data'!$C:$C,'custody caseload'!$B$57,'caseload data'!$B:$B,"custody")</f>
        <v>0</v>
      </c>
      <c r="I62" s="204">
        <f>SUMIFS('caseload data'!K:K,'caseload data'!$D:$D,"SPO",'caseload data'!$C:$C,'custody caseload'!$B$57,'caseload data'!$B:$B,"custody")</f>
        <v>0</v>
      </c>
      <c r="J62" s="204">
        <f>SUMIFS('caseload data'!L:L,'caseload data'!$D:$D,"SPO",'caseload data'!$C:$C,'custody caseload'!$B$57,'caseload data'!$B:$B,"custody")</f>
        <v>0</v>
      </c>
      <c r="K62" s="204">
        <f>SUMIFS('caseload data'!M:M,'caseload data'!$D:$D,"SPO",'caseload data'!$C:$C,'custody caseload'!$B$57,'caseload data'!$B:$B,"custody")</f>
        <v>0</v>
      </c>
      <c r="L62" s="204">
        <f>SUMIFS('caseload data'!N:N,'caseload data'!$D:$D,"SPO",'caseload data'!$C:$C,'custody caseload'!$B$57,'caseload data'!$B:$B,"custody")</f>
        <v>0</v>
      </c>
      <c r="M62" s="204">
        <f>SUMIFS('caseload data'!O:O,'caseload data'!$D:$D,"SPO",'caseload data'!$C:$C,'custody caseload'!$B$57,'caseload data'!$B:$B,"custody")</f>
        <v>0</v>
      </c>
      <c r="N62" s="204">
        <f>SUMIFS('caseload data'!P:P,'caseload data'!$D:$D,"SPO",'caseload data'!$C:$C,'custody caseload'!$B$57,'caseload data'!$B:$B,"custody")</f>
        <v>0</v>
      </c>
      <c r="O62" s="204">
        <f>SUMIFS('caseload data'!Q:Q,'caseload data'!$D:$D,"SPO",'caseload data'!$C:$C,'custody caseload'!$B$57,'caseload data'!$B:$B,"custody")</f>
        <v>0</v>
      </c>
      <c r="P62" s="204">
        <f>SUMIFS('caseload data'!R:R,'caseload data'!$D:$D,"SPO",'caseload data'!$C:$C,'custody caseload'!$B$57,'caseload data'!$B:$B,"custody")</f>
        <v>0</v>
      </c>
      <c r="Q62" s="204">
        <f>SUMIFS('caseload data'!S:S,'caseload data'!$D:$D,"SPO",'caseload data'!$C:$C,'custody caseload'!$B$57,'caseload data'!$B:$B,"custody")</f>
        <v>0</v>
      </c>
      <c r="R62" s="204">
        <f>SUMIFS('caseload data'!T:T,'caseload data'!$D:$D,"SPO",'caseload data'!$C:$C,'custody caseload'!$B$57,'caseload data'!$B:$B,"custody")</f>
        <v>0</v>
      </c>
      <c r="S62" s="95"/>
      <c r="T62" s="131" t="s">
        <v>187</v>
      </c>
      <c r="U62" s="204">
        <f>SUMIFS('caseload data'!E:E,'caseload data'!$D:$D,"SPO",'caseload data'!$C:$C,'custody caseload'!$T$57,'caseload data'!$B:$B,"custody")</f>
        <v>0</v>
      </c>
      <c r="V62" s="204">
        <f>SUMIFS('caseload data'!F:F,'caseload data'!$D:$D,"SPO",'caseload data'!$C:$C,'custody caseload'!$T$57,'caseload data'!$B:$B,"custody")</f>
        <v>0</v>
      </c>
      <c r="W62" s="204">
        <f>SUMIFS('caseload data'!G:G,'caseload data'!$D:$D,"SPO",'caseload data'!$C:$C,'custody caseload'!$T$57,'caseload data'!$B:$B,"custody")</f>
        <v>0</v>
      </c>
      <c r="X62" s="204">
        <f>SUMIFS('caseload data'!H:H,'caseload data'!$D:$D,"SPO",'caseload data'!$C:$C,'custody caseload'!$T$57,'caseload data'!$B:$B,"custody")</f>
        <v>0</v>
      </c>
      <c r="Y62" s="204">
        <f>SUMIFS('caseload data'!I:I,'caseload data'!$D:$D,"SPO",'caseload data'!$C:$C,'custody caseload'!$T$57,'caseload data'!$B:$B,"custody")</f>
        <v>0</v>
      </c>
      <c r="Z62" s="204">
        <f>SUMIFS('caseload data'!J:J,'caseload data'!$D:$D,"SPO",'caseload data'!$C:$C,'custody caseload'!$T$57,'caseload data'!$B:$B,"custody")</f>
        <v>0</v>
      </c>
      <c r="AA62" s="204">
        <f>SUMIFS('caseload data'!K:K,'caseload data'!$D:$D,"SPO",'caseload data'!$C:$C,'custody caseload'!$T$57,'caseload data'!$B:$B,"custody")</f>
        <v>0</v>
      </c>
      <c r="AB62" s="204">
        <f>SUMIFS('caseload data'!L:L,'caseload data'!$D:$D,"SPO",'caseload data'!$C:$C,'custody caseload'!$T$57,'caseload data'!$B:$B,"custody")</f>
        <v>0</v>
      </c>
      <c r="AC62" s="204">
        <f>SUMIFS('caseload data'!M:M,'caseload data'!$D:$D,"SPO",'caseload data'!$C:$C,'custody caseload'!$T$57,'caseload data'!$B:$B,"custody")</f>
        <v>0</v>
      </c>
      <c r="AD62" s="204">
        <f>SUMIFS('caseload data'!N:N,'caseload data'!$D:$D,"SPO",'caseload data'!$C:$C,'custody caseload'!$T$57,'caseload data'!$B:$B,"custody")</f>
        <v>0</v>
      </c>
      <c r="AE62" s="204">
        <f>SUMIFS('caseload data'!O:O,'caseload data'!$D:$D,"SPO",'caseload data'!$C:$C,'custody caseload'!$T$57,'caseload data'!$B:$B,"custody")</f>
        <v>0</v>
      </c>
      <c r="AF62" s="204">
        <f>SUMIFS('caseload data'!P:P,'caseload data'!$D:$D,"SPO",'caseload data'!$C:$C,'custody caseload'!$T$57,'caseload data'!$B:$B,"custody")</f>
        <v>0</v>
      </c>
      <c r="AG62" s="204">
        <f>SUMIFS('caseload data'!Q:Q,'caseload data'!$D:$D,"SPO",'caseload data'!$C:$C,'custody caseload'!$T$57,'caseload data'!$B:$B,"custody")</f>
        <v>0</v>
      </c>
      <c r="AH62" s="204">
        <f>SUMIFS('caseload data'!R:R,'caseload data'!$D:$D,"SPO",'caseload data'!$C:$C,'custody caseload'!$T$57,'caseload data'!$B:$B,"custody")</f>
        <v>0</v>
      </c>
      <c r="AI62" s="204">
        <f>SUMIFS('caseload data'!S:S,'caseload data'!$D:$D,"SPO",'caseload data'!$C:$C,'custody caseload'!$T$57,'caseload data'!$B:$B,"custody")</f>
        <v>0</v>
      </c>
      <c r="AJ62" s="204">
        <f>SUMIFS('caseload data'!T:T,'caseload data'!$D:$D,"SPO",'caseload data'!$C:$C,'custody caseload'!$T$57,'caseload data'!$B:$B,"custody")</f>
        <v>0</v>
      </c>
    </row>
    <row r="64" spans="2:36" x14ac:dyDescent="0.15">
      <c r="B64" s="182" t="str">
        <f>HLOOKUP($B$5,Region_Table,18,0)</f>
        <v>Kingston, Richmond and Hounslow</v>
      </c>
      <c r="C64" s="359" t="s">
        <v>366</v>
      </c>
      <c r="D64" s="365"/>
      <c r="E64" s="365"/>
      <c r="F64" s="365"/>
      <c r="G64" s="365"/>
      <c r="H64" s="365"/>
      <c r="I64" s="365"/>
      <c r="J64" s="365"/>
      <c r="K64" s="365"/>
      <c r="L64" s="365"/>
      <c r="M64" s="368"/>
      <c r="N64" s="368"/>
      <c r="O64" s="369"/>
      <c r="P64" s="362">
        <f>SUMIFS('caseload data'!V:V,'caseload data'!B:B,"custody",'caseload data'!$C:$C,'custody caseload'!B64)</f>
        <v>0</v>
      </c>
      <c r="Q64" s="370"/>
      <c r="R64" s="371"/>
      <c r="S64" s="95"/>
      <c r="T64" s="182" t="str">
        <f>HLOOKUP($B$5,Region_Table,19,0)</f>
        <v>Lambeth - N07</v>
      </c>
      <c r="U64" s="359" t="s">
        <v>366</v>
      </c>
      <c r="V64" s="365"/>
      <c r="W64" s="365"/>
      <c r="X64" s="365"/>
      <c r="Y64" s="365"/>
      <c r="Z64" s="365"/>
      <c r="AA64" s="365"/>
      <c r="AB64" s="365"/>
      <c r="AC64" s="365"/>
      <c r="AD64" s="365"/>
      <c r="AE64" s="368"/>
      <c r="AF64" s="368"/>
      <c r="AG64" s="369"/>
      <c r="AH64" s="362">
        <f>SUMIFS('caseload data'!V:V,'caseload data'!B:B,"custody",'caseload data'!$C:$C,'custody caseload'!T64)</f>
        <v>0</v>
      </c>
      <c r="AI64" s="370"/>
      <c r="AJ64" s="371"/>
    </row>
    <row r="65" spans="2:36" x14ac:dyDescent="0.15">
      <c r="B65" s="127" t="s">
        <v>324</v>
      </c>
      <c r="C65" s="58" t="s">
        <v>504</v>
      </c>
      <c r="D65" s="58" t="s">
        <v>503</v>
      </c>
      <c r="E65" s="58" t="s">
        <v>502</v>
      </c>
      <c r="F65" s="58" t="s">
        <v>501</v>
      </c>
      <c r="G65" s="58" t="s">
        <v>510</v>
      </c>
      <c r="H65" s="58" t="s">
        <v>176</v>
      </c>
      <c r="I65" s="58" t="s">
        <v>177</v>
      </c>
      <c r="J65" s="58" t="s">
        <v>505</v>
      </c>
      <c r="K65" s="58" t="s">
        <v>507</v>
      </c>
      <c r="L65" s="58" t="s">
        <v>178</v>
      </c>
      <c r="M65" s="58" t="s">
        <v>179</v>
      </c>
      <c r="N65" s="58" t="s">
        <v>506</v>
      </c>
      <c r="O65" s="58" t="s">
        <v>508</v>
      </c>
      <c r="P65" s="58" t="s">
        <v>180</v>
      </c>
      <c r="Q65" s="58" t="s">
        <v>181</v>
      </c>
      <c r="R65" s="58" t="s">
        <v>509</v>
      </c>
      <c r="S65" s="95"/>
      <c r="T65" s="127" t="s">
        <v>324</v>
      </c>
      <c r="U65" s="58" t="s">
        <v>504</v>
      </c>
      <c r="V65" s="58" t="s">
        <v>503</v>
      </c>
      <c r="W65" s="58" t="s">
        <v>502</v>
      </c>
      <c r="X65" s="58" t="s">
        <v>501</v>
      </c>
      <c r="Y65" s="58" t="s">
        <v>510</v>
      </c>
      <c r="Z65" s="58" t="s">
        <v>176</v>
      </c>
      <c r="AA65" s="58" t="s">
        <v>177</v>
      </c>
      <c r="AB65" s="58" t="s">
        <v>505</v>
      </c>
      <c r="AC65" s="58" t="s">
        <v>507</v>
      </c>
      <c r="AD65" s="58" t="s">
        <v>178</v>
      </c>
      <c r="AE65" s="58" t="s">
        <v>179</v>
      </c>
      <c r="AF65" s="58" t="s">
        <v>506</v>
      </c>
      <c r="AG65" s="58" t="s">
        <v>508</v>
      </c>
      <c r="AH65" s="58" t="s">
        <v>180</v>
      </c>
      <c r="AI65" s="58" t="s">
        <v>181</v>
      </c>
      <c r="AJ65" s="58" t="s">
        <v>509</v>
      </c>
    </row>
    <row r="66" spans="2:36" x14ac:dyDescent="0.15">
      <c r="B66" s="129" t="s">
        <v>184</v>
      </c>
      <c r="C66" s="204">
        <f>SUMIFS('caseload data'!E:E,'caseload data'!$D:$D,"PO",'caseload data'!$C:$C,'custody caseload'!$B$64,'caseload data'!$B:$B,"custody")</f>
        <v>0</v>
      </c>
      <c r="D66" s="204">
        <f>SUMIFS('caseload data'!F:F,'caseload data'!$D:$D,"PO",'caseload data'!$C:$C,'custody caseload'!$B$64,'caseload data'!$B:$B,"custody")</f>
        <v>0</v>
      </c>
      <c r="E66" s="204">
        <f>SUMIFS('caseload data'!G:G,'caseload data'!$D:$D,"PO",'caseload data'!$C:$C,'custody caseload'!$B$64,'caseload data'!$B:$B,"custody")</f>
        <v>0</v>
      </c>
      <c r="F66" s="204">
        <f>SUMIFS('caseload data'!H:H,'caseload data'!$D:$D,"PO",'caseload data'!$C:$C,'custody caseload'!$B$64,'caseload data'!$B:$B,"custody")</f>
        <v>0</v>
      </c>
      <c r="G66" s="204">
        <f>SUMIFS('caseload data'!I:I,'caseload data'!$D:$D,"PO",'caseload data'!$C:$C,'custody caseload'!$B$64,'caseload data'!$B:$B,"custody")</f>
        <v>0</v>
      </c>
      <c r="H66" s="204">
        <f>SUMIFS('caseload data'!J:J,'caseload data'!$D:$D,"PO",'caseload data'!$C:$C,'custody caseload'!$B$64,'caseload data'!$B:$B,"custody")</f>
        <v>0</v>
      </c>
      <c r="I66" s="204">
        <f>SUMIFS('caseload data'!K:K,'caseload data'!$D:$D,"PO",'caseload data'!$C:$C,'custody caseload'!$B$64,'caseload data'!$B:$B,"custody")</f>
        <v>0</v>
      </c>
      <c r="J66" s="204">
        <f>SUMIFS('caseload data'!L:L,'caseload data'!$D:$D,"PO",'caseload data'!$C:$C,'custody caseload'!$B$64,'caseload data'!$B:$B,"custody")</f>
        <v>0</v>
      </c>
      <c r="K66" s="204">
        <f>SUMIFS('caseload data'!M:M,'caseload data'!$D:$D,"PO",'caseload data'!$C:$C,'custody caseload'!$B$64,'caseload data'!$B:$B,"custody")</f>
        <v>0</v>
      </c>
      <c r="L66" s="204">
        <f>SUMIFS('caseload data'!N:N,'caseload data'!$D:$D,"PO",'caseload data'!$C:$C,'custody caseload'!$B$64,'caseload data'!$B:$B,"custody")</f>
        <v>0</v>
      </c>
      <c r="M66" s="204">
        <f>SUMIFS('caseload data'!O:O,'caseload data'!$D:$D,"PO",'caseload data'!$C:$C,'custody caseload'!$B$64,'caseload data'!$B:$B,"custody")</f>
        <v>0</v>
      </c>
      <c r="N66" s="204">
        <f>SUMIFS('caseload data'!P:P,'caseload data'!$D:$D,"PO",'caseload data'!$C:$C,'custody caseload'!$B$64,'caseload data'!$B:$B,"custody")</f>
        <v>0</v>
      </c>
      <c r="O66" s="204">
        <f>SUMIFS('caseload data'!Q:Q,'caseload data'!$D:$D,"PO",'caseload data'!$C:$C,'custody caseload'!$B$64,'caseload data'!$B:$B,"custody")</f>
        <v>0</v>
      </c>
      <c r="P66" s="204">
        <f>SUMIFS('caseload data'!R:R,'caseload data'!$D:$D,"PO",'caseload data'!$C:$C,'custody caseload'!$B$64,'caseload data'!$B:$B,"custody")</f>
        <v>0</v>
      </c>
      <c r="Q66" s="204">
        <f>SUMIFS('caseload data'!S:S,'caseload data'!$D:$D,"PO",'caseload data'!$C:$C,'custody caseload'!$B$64,'caseload data'!$B:$B,"custody")</f>
        <v>0</v>
      </c>
      <c r="R66" s="204">
        <f>SUMIFS('caseload data'!T:T,'caseload data'!$D:$D,"PO",'caseload data'!$C:$C,'custody caseload'!$B$64,'caseload data'!$B:$B,"custody")</f>
        <v>0</v>
      </c>
      <c r="S66" s="95"/>
      <c r="T66" s="129" t="s">
        <v>184</v>
      </c>
      <c r="U66" s="204">
        <f>SUMIFS('caseload data'!E:E,'caseload data'!$D:$D,"PO",'caseload data'!$C:$C,'custody caseload'!$T$64,'caseload data'!$B:$B,"custody")</f>
        <v>0</v>
      </c>
      <c r="V66" s="204">
        <f>SUMIFS('caseload data'!F:F,'caseload data'!$D:$D,"PO",'caseload data'!$C:$C,'custody caseload'!$T$64,'caseload data'!$B:$B,"custody")</f>
        <v>0</v>
      </c>
      <c r="W66" s="204">
        <f>SUMIFS('caseload data'!G:G,'caseload data'!$D:$D,"PO",'caseload data'!$C:$C,'custody caseload'!$T$64,'caseload data'!$B:$B,"custody")</f>
        <v>0</v>
      </c>
      <c r="X66" s="204">
        <f>SUMIFS('caseload data'!H:H,'caseload data'!$D:$D,"PO",'caseload data'!$C:$C,'custody caseload'!$T$64,'caseload data'!$B:$B,"custody")</f>
        <v>0</v>
      </c>
      <c r="Y66" s="204">
        <f>SUMIFS('caseload data'!I:I,'caseload data'!$D:$D,"PO",'caseload data'!$C:$C,'custody caseload'!$T$64,'caseload data'!$B:$B,"custody")</f>
        <v>0</v>
      </c>
      <c r="Z66" s="204">
        <f>SUMIFS('caseload data'!J:J,'caseload data'!$D:$D,"PO",'caseload data'!$C:$C,'custody caseload'!$T$64,'caseload data'!$B:$B,"custody")</f>
        <v>0</v>
      </c>
      <c r="AA66" s="204">
        <f>SUMIFS('caseload data'!K:K,'caseload data'!$D:$D,"PO",'caseload data'!$C:$C,'custody caseload'!$T$64,'caseload data'!$B:$B,"custody")</f>
        <v>0</v>
      </c>
      <c r="AB66" s="204">
        <f>SUMIFS('caseload data'!L:L,'caseload data'!$D:$D,"PO",'caseload data'!$C:$C,'custody caseload'!$T$64,'caseload data'!$B:$B,"custody")</f>
        <v>0</v>
      </c>
      <c r="AC66" s="204">
        <f>SUMIFS('caseload data'!M:M,'caseload data'!$D:$D,"PO",'caseload data'!$C:$C,'custody caseload'!$T$64,'caseload data'!$B:$B,"custody")</f>
        <v>0</v>
      </c>
      <c r="AD66" s="204">
        <f>SUMIFS('caseload data'!N:N,'caseload data'!$D:$D,"PO",'caseload data'!$C:$C,'custody caseload'!$T$64,'caseload data'!$B:$B,"custody")</f>
        <v>0</v>
      </c>
      <c r="AE66" s="204">
        <f>SUMIFS('caseload data'!O:O,'caseload data'!$D:$D,"PO",'caseload data'!$C:$C,'custody caseload'!$T$64,'caseload data'!$B:$B,"custody")</f>
        <v>0</v>
      </c>
      <c r="AF66" s="204">
        <f>SUMIFS('caseload data'!P:P,'caseload data'!$D:$D,"PO",'caseload data'!$C:$C,'custody caseload'!$T$64,'caseload data'!$B:$B,"custody")</f>
        <v>0</v>
      </c>
      <c r="AG66" s="204">
        <f>SUMIFS('caseload data'!Q:Q,'caseload data'!$D:$D,"PO",'caseload data'!$C:$C,'custody caseload'!$T$64,'caseload data'!$B:$B,"custody")</f>
        <v>0</v>
      </c>
      <c r="AH66" s="204">
        <f>SUMIFS('caseload data'!R:R,'caseload data'!$D:$D,"PO",'caseload data'!$C:$C,'custody caseload'!$T$64,'caseload data'!$B:$B,"custody")</f>
        <v>0</v>
      </c>
      <c r="AI66" s="204">
        <f>SUMIFS('caseload data'!S:S,'caseload data'!$D:$D,"PO",'caseload data'!$C:$C,'custody caseload'!$T$64,'caseload data'!$B:$B,"custody")</f>
        <v>0</v>
      </c>
      <c r="AJ66" s="204">
        <f>SUMIFS('caseload data'!T:T,'caseload data'!$D:$D,"PO",'caseload data'!$C:$C,'custody caseload'!$T$64,'caseload data'!$B:$B,"custody")</f>
        <v>0</v>
      </c>
    </row>
    <row r="67" spans="2:36" ht="15" x14ac:dyDescent="0.2">
      <c r="B67" s="130" t="s">
        <v>185</v>
      </c>
      <c r="C67" s="186">
        <f>SUMIFS('caseload data'!E:E,'caseload data'!$D:$D,"PSO",'caseload data'!$C:$C,'custody caseload'!$B$64,'caseload data'!$B:$B,"custody")</f>
        <v>0</v>
      </c>
      <c r="D67" s="186">
        <f>SUMIFS('caseload data'!F:F,'caseload data'!$D:$D,"PSO",'caseload data'!$C:$C,'custody caseload'!$B$64,'caseload data'!$B:$B,"custody")</f>
        <v>0</v>
      </c>
      <c r="E67" s="186">
        <f>SUMIFS('caseload data'!G:G,'caseload data'!$D:$D,"PSO",'caseload data'!$C:$C,'custody caseload'!$B$64,'caseload data'!$B:$B,"custody")</f>
        <v>0</v>
      </c>
      <c r="F67" s="186">
        <f>SUMIFS('caseload data'!H:H,'caseload data'!$D:$D,"PSO",'caseload data'!$C:$C,'custody caseload'!$B$64,'caseload data'!$B:$B,"custody")</f>
        <v>0</v>
      </c>
      <c r="G67" s="186">
        <f>SUMIFS('caseload data'!I:I,'caseload data'!$D:$D,"PSO",'caseload data'!$C:$C,'custody caseload'!$B$64,'caseload data'!$B:$B,"custody")</f>
        <v>0</v>
      </c>
      <c r="H67" s="186">
        <f>SUMIFS('caseload data'!J:J,'caseload data'!$D:$D,"PSO",'caseload data'!$C:$C,'custody caseload'!$B$64,'caseload data'!$B:$B,"custody")</f>
        <v>0</v>
      </c>
      <c r="I67" s="186">
        <f>SUMIFS('caseload data'!K:K,'caseload data'!$D:$D,"PSO",'caseload data'!$C:$C,'custody caseload'!$B$64,'caseload data'!$B:$B,"custody")</f>
        <v>0</v>
      </c>
      <c r="J67" s="186">
        <f>SUMIFS('caseload data'!L:L,'caseload data'!$D:$D,"PSO",'caseload data'!$C:$C,'custody caseload'!$B$64,'caseload data'!$B:$B,"custody")</f>
        <v>0</v>
      </c>
      <c r="K67" s="204">
        <f>SUMIFS('caseload data'!M:M,'caseload data'!$D:$D,"PSO",'caseload data'!$C:$C,'custody caseload'!$B$64,'caseload data'!$B:$B,"custody")</f>
        <v>0</v>
      </c>
      <c r="L67" s="204">
        <f>SUMIFS('caseload data'!N:N,'caseload data'!$D:$D,"PSO",'caseload data'!$C:$C,'custody caseload'!$B$64,'caseload data'!$B:$B,"custody")</f>
        <v>0</v>
      </c>
      <c r="M67" s="204">
        <f>SUMIFS('caseload data'!O:O,'caseload data'!$D:$D,"PSO",'caseload data'!$C:$C,'custody caseload'!$B$64,'caseload data'!$B:$B,"custody")</f>
        <v>0</v>
      </c>
      <c r="N67" s="204">
        <f>SUMIFS('caseload data'!P:P,'caseload data'!$D:$D,"PSO",'caseload data'!$C:$C,'custody caseload'!$B$64,'caseload data'!$B:$B,"custody")</f>
        <v>0</v>
      </c>
      <c r="O67" s="204">
        <f>SUMIFS('caseload data'!Q:Q,'caseload data'!$D:$D,"PSO",'caseload data'!$C:$C,'custody caseload'!$B$64,'caseload data'!$B:$B,"custody")</f>
        <v>0</v>
      </c>
      <c r="P67" s="204">
        <f>SUMIFS('caseload data'!R:R,'caseload data'!$D:$D,"PSO",'caseload data'!$C:$C,'custody caseload'!$B$64,'caseload data'!$B:$B,"custody")</f>
        <v>0</v>
      </c>
      <c r="Q67" s="204">
        <f>SUMIFS('caseload data'!S:S,'caseload data'!$D:$D,"PSO",'caseload data'!$C:$C,'custody caseload'!$B$64,'caseload data'!$B:$B,"custody")</f>
        <v>0</v>
      </c>
      <c r="R67" s="204">
        <f>SUMIFS('caseload data'!T:T,'caseload data'!$D:$D,"PSO",'caseload data'!$C:$C,'custody caseload'!$B$64,'caseload data'!$B:$B,"custody")</f>
        <v>0</v>
      </c>
      <c r="S67" s="95"/>
      <c r="T67" s="130" t="s">
        <v>185</v>
      </c>
      <c r="U67" s="186">
        <f>SUMIFS('caseload data'!E:E,'caseload data'!$D:$D,"PSO",'caseload data'!$C:$C,'custody caseload'!$T$64,'caseload data'!$B:$B,"custody")</f>
        <v>0</v>
      </c>
      <c r="V67" s="186">
        <f>SUMIFS('caseload data'!F:F,'caseload data'!$D:$D,"PSO",'caseload data'!$C:$C,'custody caseload'!$T$64,'caseload data'!$B:$B,"custody")</f>
        <v>0</v>
      </c>
      <c r="W67" s="186">
        <f>SUMIFS('caseload data'!G:G,'caseload data'!$D:$D,"PSO",'caseload data'!$C:$C,'custody caseload'!$T$64,'caseload data'!$B:$B,"custody")</f>
        <v>0</v>
      </c>
      <c r="X67" s="186">
        <f>SUMIFS('caseload data'!H:H,'caseload data'!$D:$D,"PSO",'caseload data'!$C:$C,'custody caseload'!$T$64,'caseload data'!$B:$B,"custody")</f>
        <v>0</v>
      </c>
      <c r="Y67" s="186">
        <f>SUMIFS('caseload data'!I:I,'caseload data'!$D:$D,"PSO",'caseload data'!$C:$C,'custody caseload'!$T$64,'caseload data'!$B:$B,"custody")</f>
        <v>0</v>
      </c>
      <c r="Z67" s="186">
        <f>SUMIFS('caseload data'!J:J,'caseload data'!$D:$D,"PSO",'caseload data'!$C:$C,'custody caseload'!$T$64,'caseload data'!$B:$B,"custody")</f>
        <v>0</v>
      </c>
      <c r="AA67" s="186">
        <f>SUMIFS('caseload data'!K:K,'caseload data'!$D:$D,"PSO",'caseload data'!$C:$C,'custody caseload'!$T$64,'caseload data'!$B:$B,"custody")</f>
        <v>0</v>
      </c>
      <c r="AB67" s="186">
        <f>SUMIFS('caseload data'!L:L,'caseload data'!$D:$D,"PSO",'caseload data'!$C:$C,'custody caseload'!$T$64,'caseload data'!$B:$B,"custody")</f>
        <v>0</v>
      </c>
      <c r="AC67" s="204">
        <f>SUMIFS('caseload data'!M:M,'caseload data'!$D:$D,"PSO",'caseload data'!$C:$C,'custody caseload'!$T$64,'caseload data'!$B:$B,"custody")</f>
        <v>0</v>
      </c>
      <c r="AD67" s="204">
        <f>SUMIFS('caseload data'!N:N,'caseload data'!$D:$D,"PSO",'caseload data'!$C:$C,'custody caseload'!$T$64,'caseload data'!$B:$B,"custody")</f>
        <v>0</v>
      </c>
      <c r="AE67" s="204">
        <f>SUMIFS('caseload data'!O:O,'caseload data'!$D:$D,"PSO",'caseload data'!$C:$C,'custody caseload'!$T$64,'caseload data'!$B:$B,"custody")</f>
        <v>0</v>
      </c>
      <c r="AF67" s="204">
        <f>SUMIFS('caseload data'!P:P,'caseload data'!$D:$D,"PSO",'caseload data'!$C:$C,'custody caseload'!$T$64,'caseload data'!$B:$B,"custody")</f>
        <v>0</v>
      </c>
      <c r="AG67" s="204">
        <f>SUMIFS('caseload data'!Q:Q,'caseload data'!$D:$D,"PSO",'caseload data'!$C:$C,'custody caseload'!$T$64,'caseload data'!$B:$B,"custody")</f>
        <v>0</v>
      </c>
      <c r="AH67" s="204">
        <f>SUMIFS('caseload data'!R:R,'caseload data'!$D:$D,"PSO",'caseload data'!$C:$C,'custody caseload'!$T$64,'caseload data'!$B:$B,"custody")</f>
        <v>0</v>
      </c>
      <c r="AI67" s="204">
        <f>SUMIFS('caseload data'!S:S,'caseload data'!$D:$D,"PSO",'caseload data'!$C:$C,'custody caseload'!$T$64,'caseload data'!$B:$B,"custody")</f>
        <v>0</v>
      </c>
      <c r="AJ67" s="204">
        <f>SUMIFS('caseload data'!T:T,'caseload data'!$D:$D,"PSO",'caseload data'!$C:$C,'custody caseload'!$T$64,'caseload data'!$B:$B,"custody")</f>
        <v>0</v>
      </c>
    </row>
    <row r="68" spans="2:36" ht="15" x14ac:dyDescent="0.2">
      <c r="B68" s="130" t="s">
        <v>186</v>
      </c>
      <c r="C68" s="186">
        <f>SUMIFS('caseload data'!E:E,'caseload data'!$D:$D,"TPO",'caseload data'!$C:$C,'custody caseload'!$B$64,'caseload data'!$B:$B,"custody")</f>
        <v>0</v>
      </c>
      <c r="D68" s="186">
        <f>SUMIFS('caseload data'!F:F,'caseload data'!$D:$D,"TPO",'caseload data'!$C:$C,'custody caseload'!$B$64,'caseload data'!$B:$B,"custody")</f>
        <v>0</v>
      </c>
      <c r="E68" s="186">
        <f>SUMIFS('caseload data'!G:G,'caseload data'!$D:$D,"TPO",'caseload data'!$C:$C,'custody caseload'!$B$64,'caseload data'!$B:$B,"custody")</f>
        <v>0</v>
      </c>
      <c r="F68" s="186">
        <f>SUMIFS('caseload data'!H:H,'caseload data'!$D:$D,"TPO",'caseload data'!$C:$C,'custody caseload'!$B$64,'caseload data'!$B:$B,"custody")</f>
        <v>0</v>
      </c>
      <c r="G68" s="186">
        <f>SUMIFS('caseload data'!I:I,'caseload data'!$D:$D,"TPO",'caseload data'!$C:$C,'custody caseload'!$B$64,'caseload data'!$B:$B,"custody")</f>
        <v>0</v>
      </c>
      <c r="H68" s="186">
        <f>SUMIFS('caseload data'!J:J,'caseload data'!$D:$D,"TPO",'caseload data'!$C:$C,'custody caseload'!$B$64,'caseload data'!$B:$B,"custody")</f>
        <v>0</v>
      </c>
      <c r="I68" s="186">
        <f>SUMIFS('caseload data'!K:K,'caseload data'!$D:$D,"TPO",'caseload data'!$C:$C,'custody caseload'!$B$64,'caseload data'!$B:$B,"custody")</f>
        <v>0</v>
      </c>
      <c r="J68" s="186">
        <f>SUMIFS('caseload data'!L:L,'caseload data'!$D:$D,"TPO",'caseload data'!$C:$C,'custody caseload'!$B$64,'caseload data'!$B:$B,"custody")</f>
        <v>0</v>
      </c>
      <c r="K68" s="204">
        <f>SUMIFS('caseload data'!M:M,'caseload data'!$D:$D,"TPO",'caseload data'!$C:$C,'custody caseload'!$B$64,'caseload data'!$B:$B,"custody")</f>
        <v>0</v>
      </c>
      <c r="L68" s="204">
        <f>SUMIFS('caseload data'!N:N,'caseload data'!$D:$D,"TPO",'caseload data'!$C:$C,'custody caseload'!$B$64,'caseload data'!$B:$B,"custody")</f>
        <v>0</v>
      </c>
      <c r="M68" s="204">
        <f>SUMIFS('caseload data'!O:O,'caseload data'!$D:$D,"TPO",'caseload data'!$C:$C,'custody caseload'!$B$64,'caseload data'!$B:$B,"custody")</f>
        <v>0</v>
      </c>
      <c r="N68" s="204">
        <f>SUMIFS('caseload data'!P:P,'caseload data'!$D:$D,"TPO",'caseload data'!$C:$C,'custody caseload'!$B$64,'caseload data'!$B:$B,"custody")</f>
        <v>0</v>
      </c>
      <c r="O68" s="204">
        <f>SUMIFS('caseload data'!Q:Q,'caseload data'!$D:$D,"TPO",'caseload data'!$C:$C,'custody caseload'!$B$64,'caseload data'!$B:$B,"custody")</f>
        <v>0</v>
      </c>
      <c r="P68" s="204">
        <f>SUMIFS('caseload data'!R:R,'caseload data'!$D:$D,"TPO",'caseload data'!$C:$C,'custody caseload'!$B$64,'caseload data'!$B:$B,"custody")</f>
        <v>0</v>
      </c>
      <c r="Q68" s="204">
        <f>SUMIFS('caseload data'!S:S,'caseload data'!$D:$D,"TPO",'caseload data'!$C:$C,'custody caseload'!$B$64,'caseload data'!$B:$B,"custody")</f>
        <v>0</v>
      </c>
      <c r="R68" s="204">
        <f>SUMIFS('caseload data'!T:T,'caseload data'!$D:$D,"TPO",'caseload data'!$C:$C,'custody caseload'!$B$64,'caseload data'!$B:$B,"custody")</f>
        <v>0</v>
      </c>
      <c r="S68" s="95"/>
      <c r="T68" s="130" t="s">
        <v>186</v>
      </c>
      <c r="U68" s="186">
        <f>SUMIFS('caseload data'!E:E,'caseload data'!$D:$D,"TPO",'caseload data'!$C:$C,'custody caseload'!$T$64,'caseload data'!$B:$B,"custody")</f>
        <v>0</v>
      </c>
      <c r="V68" s="186">
        <f>SUMIFS('caseload data'!F:F,'caseload data'!$D:$D,"TPO",'caseload data'!$C:$C,'custody caseload'!$T$64,'caseload data'!$B:$B,"custody")</f>
        <v>0</v>
      </c>
      <c r="W68" s="186">
        <f>SUMIFS('caseload data'!G:G,'caseload data'!$D:$D,"TPO",'caseload data'!$C:$C,'custody caseload'!$T$64,'caseload data'!$B:$B,"custody")</f>
        <v>0</v>
      </c>
      <c r="X68" s="186">
        <f>SUMIFS('caseload data'!H:H,'caseload data'!$D:$D,"TPO",'caseload data'!$C:$C,'custody caseload'!$T$64,'caseload data'!$B:$B,"custody")</f>
        <v>0</v>
      </c>
      <c r="Y68" s="186">
        <f>SUMIFS('caseload data'!I:I,'caseload data'!$D:$D,"TPO",'caseload data'!$C:$C,'custody caseload'!$T$64,'caseload data'!$B:$B,"custody")</f>
        <v>0</v>
      </c>
      <c r="Z68" s="186">
        <f>SUMIFS('caseload data'!J:J,'caseload data'!$D:$D,"TPO",'caseload data'!$C:$C,'custody caseload'!$T$64,'caseload data'!$B:$B,"custody")</f>
        <v>0</v>
      </c>
      <c r="AA68" s="186">
        <f>SUMIFS('caseload data'!K:K,'caseload data'!$D:$D,"TPO",'caseload data'!$C:$C,'custody caseload'!$T$64,'caseload data'!$B:$B,"custody")</f>
        <v>0</v>
      </c>
      <c r="AB68" s="186">
        <f>SUMIFS('caseload data'!L:L,'caseload data'!$D:$D,"TPO",'caseload data'!$C:$C,'custody caseload'!$T$64,'caseload data'!$B:$B,"custody")</f>
        <v>0</v>
      </c>
      <c r="AC68" s="204">
        <f>SUMIFS('caseload data'!M:M,'caseload data'!$D:$D,"TPO",'caseload data'!$C:$C,'custody caseload'!$T$64,'caseload data'!$B:$B,"custody")</f>
        <v>0</v>
      </c>
      <c r="AD68" s="204">
        <f>SUMIFS('caseload data'!N:N,'caseload data'!$D:$D,"TPO",'caseload data'!$C:$C,'custody caseload'!$T$64,'caseload data'!$B:$B,"custody")</f>
        <v>0</v>
      </c>
      <c r="AE68" s="204">
        <f>SUMIFS('caseload data'!O:O,'caseload data'!$D:$D,"TPO",'caseload data'!$C:$C,'custody caseload'!$T$64,'caseload data'!$B:$B,"custody")</f>
        <v>0</v>
      </c>
      <c r="AF68" s="204">
        <f>SUMIFS('caseload data'!P:P,'caseload data'!$D:$D,"TPO",'caseload data'!$C:$C,'custody caseload'!$T$64,'caseload data'!$B:$B,"custody")</f>
        <v>0</v>
      </c>
      <c r="AG68" s="204">
        <f>SUMIFS('caseload data'!Q:Q,'caseload data'!$D:$D,"TPO",'caseload data'!$C:$C,'custody caseload'!$T$64,'caseload data'!$B:$B,"custody")</f>
        <v>0</v>
      </c>
      <c r="AH68" s="204">
        <f>SUMIFS('caseload data'!R:R,'caseload data'!$D:$D,"TPO",'caseload data'!$C:$C,'custody caseload'!$T$64,'caseload data'!$B:$B,"custody")</f>
        <v>0</v>
      </c>
      <c r="AI68" s="204">
        <f>SUMIFS('caseload data'!S:S,'caseload data'!$D:$D,"TPO",'caseload data'!$C:$C,'custody caseload'!$T$64,'caseload data'!$B:$B,"custody")</f>
        <v>0</v>
      </c>
      <c r="AJ68" s="204">
        <f>SUMIFS('caseload data'!T:T,'caseload data'!$D:$D,"TPO",'caseload data'!$C:$C,'custody caseload'!$T$64,'caseload data'!$B:$B,"custody")</f>
        <v>0</v>
      </c>
    </row>
    <row r="69" spans="2:36" x14ac:dyDescent="0.15">
      <c r="B69" s="131" t="s">
        <v>187</v>
      </c>
      <c r="C69" s="204">
        <f>SUMIFS('caseload data'!E:E,'caseload data'!$D:$D,"SPO",'caseload data'!$C:$C,'custody caseload'!$B$64,'caseload data'!$B:$B,"custody")</f>
        <v>0</v>
      </c>
      <c r="D69" s="204">
        <f>SUMIFS('caseload data'!F:F,'caseload data'!$D:$D,"SPO",'caseload data'!$C:$C,'custody caseload'!$B$64,'caseload data'!$B:$B,"custody")</f>
        <v>0</v>
      </c>
      <c r="E69" s="204">
        <f>SUMIFS('caseload data'!G:G,'caseload data'!$D:$D,"SPO",'caseload data'!$C:$C,'custody caseload'!$B$64,'caseload data'!$B:$B,"custody")</f>
        <v>0</v>
      </c>
      <c r="F69" s="204">
        <f>SUMIFS('caseload data'!H:H,'caseload data'!$D:$D,"SPO",'caseload data'!$C:$C,'custody caseload'!$B$64,'caseload data'!$B:$B,"custody")</f>
        <v>0</v>
      </c>
      <c r="G69" s="204">
        <f>SUMIFS('caseload data'!I:I,'caseload data'!$D:$D,"SPO",'caseload data'!$C:$C,'custody caseload'!$B$64,'caseload data'!$B:$B,"custody")</f>
        <v>0</v>
      </c>
      <c r="H69" s="204">
        <f>SUMIFS('caseload data'!J:J,'caseload data'!$D:$D,"SPO",'caseload data'!$C:$C,'custody caseload'!$B$64,'caseload data'!$B:$B,"custody")</f>
        <v>0</v>
      </c>
      <c r="I69" s="204">
        <f>SUMIFS('caseload data'!K:K,'caseload data'!$D:$D,"SPO",'caseload data'!$C:$C,'custody caseload'!$B$64,'caseload data'!$B:$B,"custody")</f>
        <v>0</v>
      </c>
      <c r="J69" s="204">
        <f>SUMIFS('caseload data'!L:L,'caseload data'!$D:$D,"SPO",'caseload data'!$C:$C,'custody caseload'!$B$64,'caseload data'!$B:$B,"custody")</f>
        <v>0</v>
      </c>
      <c r="K69" s="204">
        <f>SUMIFS('caseload data'!M:M,'caseload data'!$D:$D,"SPO",'caseload data'!$C:$C,'custody caseload'!$B$64,'caseload data'!$B:$B,"custody")</f>
        <v>0</v>
      </c>
      <c r="L69" s="204">
        <f>SUMIFS('caseload data'!N:N,'caseload data'!$D:$D,"SPO",'caseload data'!$C:$C,'custody caseload'!$B$64,'caseload data'!$B:$B,"custody")</f>
        <v>0</v>
      </c>
      <c r="M69" s="204">
        <f>SUMIFS('caseload data'!O:O,'caseload data'!$D:$D,"SPO",'caseload data'!$C:$C,'custody caseload'!$B$64,'caseload data'!$B:$B,"custody")</f>
        <v>0</v>
      </c>
      <c r="N69" s="204">
        <f>SUMIFS('caseload data'!P:P,'caseload data'!$D:$D,"SPO",'caseload data'!$C:$C,'custody caseload'!$B$64,'caseload data'!$B:$B,"custody")</f>
        <v>0</v>
      </c>
      <c r="O69" s="204">
        <f>SUMIFS('caseload data'!Q:Q,'caseload data'!$D:$D,"SPO",'caseload data'!$C:$C,'custody caseload'!$B$64,'caseload data'!$B:$B,"custody")</f>
        <v>0</v>
      </c>
      <c r="P69" s="204">
        <f>SUMIFS('caseload data'!R:R,'caseload data'!$D:$D,"SPO",'caseload data'!$C:$C,'custody caseload'!$B$64,'caseload data'!$B:$B,"custody")</f>
        <v>0</v>
      </c>
      <c r="Q69" s="204">
        <f>SUMIFS('caseload data'!S:S,'caseload data'!$D:$D,"SPO",'caseload data'!$C:$C,'custody caseload'!$B$64,'caseload data'!$B:$B,"custody")</f>
        <v>0</v>
      </c>
      <c r="R69" s="204">
        <f>SUMIFS('caseload data'!T:T,'caseload data'!$D:$D,"SPO",'caseload data'!$C:$C,'custody caseload'!$B$64,'caseload data'!$B:$B,"custody")</f>
        <v>0</v>
      </c>
      <c r="S69" s="95"/>
      <c r="T69" s="131" t="s">
        <v>187</v>
      </c>
      <c r="U69" s="204">
        <f>SUMIFS('caseload data'!E:E,'caseload data'!$D:$D,"SPO",'caseload data'!$C:$C,'custody caseload'!$T$64,'caseload data'!$B:$B,"custody")</f>
        <v>0</v>
      </c>
      <c r="V69" s="204">
        <f>SUMIFS('caseload data'!F:F,'caseload data'!$D:$D,"SPO",'caseload data'!$C:$C,'custody caseload'!$T$64,'caseload data'!$B:$B,"custody")</f>
        <v>0</v>
      </c>
      <c r="W69" s="204">
        <f>SUMIFS('caseload data'!G:G,'caseload data'!$D:$D,"SPO",'caseload data'!$C:$C,'custody caseload'!$T$64,'caseload data'!$B:$B,"custody")</f>
        <v>0</v>
      </c>
      <c r="X69" s="204">
        <f>SUMIFS('caseload data'!H:H,'caseload data'!$D:$D,"SPO",'caseload data'!$C:$C,'custody caseload'!$T$64,'caseload data'!$B:$B,"custody")</f>
        <v>0</v>
      </c>
      <c r="Y69" s="204">
        <f>SUMIFS('caseload data'!I:I,'caseload data'!$D:$D,"SPO",'caseload data'!$C:$C,'custody caseload'!$T$64,'caseload data'!$B:$B,"custody")</f>
        <v>0</v>
      </c>
      <c r="Z69" s="204">
        <f>SUMIFS('caseload data'!J:J,'caseload data'!$D:$D,"SPO",'caseload data'!$C:$C,'custody caseload'!$T$64,'caseload data'!$B:$B,"custody")</f>
        <v>0</v>
      </c>
      <c r="AA69" s="204">
        <f>SUMIFS('caseload data'!K:K,'caseload data'!$D:$D,"SPO",'caseload data'!$C:$C,'custody caseload'!$T$64,'caseload data'!$B:$B,"custody")</f>
        <v>0</v>
      </c>
      <c r="AB69" s="204">
        <f>SUMIFS('caseload data'!L:L,'caseload data'!$D:$D,"SPO",'caseload data'!$C:$C,'custody caseload'!$T$64,'caseload data'!$B:$B,"custody")</f>
        <v>0</v>
      </c>
      <c r="AC69" s="204">
        <f>SUMIFS('caseload data'!M:M,'caseload data'!$D:$D,"SPO",'caseload data'!$C:$C,'custody caseload'!$T$64,'caseload data'!$B:$B,"custody")</f>
        <v>0</v>
      </c>
      <c r="AD69" s="204">
        <f>SUMIFS('caseload data'!N:N,'caseload data'!$D:$D,"SPO",'caseload data'!$C:$C,'custody caseload'!$T$64,'caseload data'!$B:$B,"custody")</f>
        <v>0</v>
      </c>
      <c r="AE69" s="204">
        <f>SUMIFS('caseload data'!O:O,'caseload data'!$D:$D,"SPO",'caseload data'!$C:$C,'custody caseload'!$T$64,'caseload data'!$B:$B,"custody")</f>
        <v>0</v>
      </c>
      <c r="AF69" s="204">
        <f>SUMIFS('caseload data'!P:P,'caseload data'!$D:$D,"SPO",'caseload data'!$C:$C,'custody caseload'!$T$64,'caseload data'!$B:$B,"custody")</f>
        <v>0</v>
      </c>
      <c r="AG69" s="204">
        <f>SUMIFS('caseload data'!Q:Q,'caseload data'!$D:$D,"SPO",'caseload data'!$C:$C,'custody caseload'!$T$64,'caseload data'!$B:$B,"custody")</f>
        <v>0</v>
      </c>
      <c r="AH69" s="204">
        <f>SUMIFS('caseload data'!R:R,'caseload data'!$D:$D,"SPO",'caseload data'!$C:$C,'custody caseload'!$T$64,'caseload data'!$B:$B,"custody")</f>
        <v>0</v>
      </c>
      <c r="AI69" s="204">
        <f>SUMIFS('caseload data'!S:S,'caseload data'!$D:$D,"SPO",'caseload data'!$C:$C,'custody caseload'!$T$64,'caseload data'!$B:$B,"custody")</f>
        <v>0</v>
      </c>
      <c r="AJ69" s="204">
        <f>SUMIFS('caseload data'!T:T,'caseload data'!$D:$D,"SPO",'caseload data'!$C:$C,'custody caseload'!$T$64,'caseload data'!$B:$B,"custody")</f>
        <v>0</v>
      </c>
    </row>
    <row r="71" spans="2:36" x14ac:dyDescent="0.15">
      <c r="B71" s="182" t="str">
        <f>HLOOKUP($B$5,Region_Table,20,0)</f>
        <v>Lewisham and Bromley</v>
      </c>
      <c r="C71" s="359" t="s">
        <v>366</v>
      </c>
      <c r="D71" s="365"/>
      <c r="E71" s="365"/>
      <c r="F71" s="365"/>
      <c r="G71" s="365"/>
      <c r="H71" s="365"/>
      <c r="I71" s="365"/>
      <c r="J71" s="365"/>
      <c r="K71" s="365"/>
      <c r="L71" s="365"/>
      <c r="M71" s="368"/>
      <c r="N71" s="368"/>
      <c r="O71" s="369"/>
      <c r="P71" s="362">
        <f>SUMIFS('caseload data'!V:V,'caseload data'!B:B,"custody",'caseload data'!$C:$C,'custody caseload'!B71)</f>
        <v>0</v>
      </c>
      <c r="Q71" s="370"/>
      <c r="R71" s="371"/>
    </row>
    <row r="72" spans="2:36" x14ac:dyDescent="0.15">
      <c r="B72" s="127" t="s">
        <v>324</v>
      </c>
      <c r="C72" s="58" t="s">
        <v>504</v>
      </c>
      <c r="D72" s="58" t="s">
        <v>503</v>
      </c>
      <c r="E72" s="58" t="s">
        <v>502</v>
      </c>
      <c r="F72" s="58" t="s">
        <v>501</v>
      </c>
      <c r="G72" s="58" t="s">
        <v>510</v>
      </c>
      <c r="H72" s="58" t="s">
        <v>176</v>
      </c>
      <c r="I72" s="58" t="s">
        <v>177</v>
      </c>
      <c r="J72" s="58" t="s">
        <v>505</v>
      </c>
      <c r="K72" s="58" t="s">
        <v>507</v>
      </c>
      <c r="L72" s="58" t="s">
        <v>178</v>
      </c>
      <c r="M72" s="58" t="s">
        <v>179</v>
      </c>
      <c r="N72" s="58" t="s">
        <v>506</v>
      </c>
      <c r="O72" s="58" t="s">
        <v>508</v>
      </c>
      <c r="P72" s="58" t="s">
        <v>180</v>
      </c>
      <c r="Q72" s="58" t="s">
        <v>181</v>
      </c>
      <c r="R72" s="58" t="s">
        <v>509</v>
      </c>
    </row>
    <row r="73" spans="2:36" x14ac:dyDescent="0.15">
      <c r="B73" s="129" t="s">
        <v>184</v>
      </c>
      <c r="C73" s="204">
        <f>SUMIFS('caseload data'!E:E,'caseload data'!$D:$D,"PO",'caseload data'!$C:$C,'custody caseload'!$B$64,'caseload data'!$B:$B,"custody")</f>
        <v>0</v>
      </c>
      <c r="D73" s="204">
        <f>SUMIFS('caseload data'!F:F,'caseload data'!$D:$D,"PO",'caseload data'!$C:$C,'custody caseload'!$B$64,'caseload data'!$B:$B,"custody")</f>
        <v>0</v>
      </c>
      <c r="E73" s="204">
        <f>SUMIFS('caseload data'!G:G,'caseload data'!$D:$D,"PO",'caseload data'!$C:$C,'custody caseload'!$B$64,'caseload data'!$B:$B,"custody")</f>
        <v>0</v>
      </c>
      <c r="F73" s="204">
        <f>SUMIFS('caseload data'!H:H,'caseload data'!$D:$D,"PO",'caseload data'!$C:$C,'custody caseload'!$B$64,'caseload data'!$B:$B,"custody")</f>
        <v>0</v>
      </c>
      <c r="G73" s="204">
        <f>SUMIFS('caseload data'!I:I,'caseload data'!$D:$D,"PO",'caseload data'!$C:$C,'custody caseload'!$B$64,'caseload data'!$B:$B,"custody")</f>
        <v>0</v>
      </c>
      <c r="H73" s="204">
        <f>SUMIFS('caseload data'!J:J,'caseload data'!$D:$D,"PO",'caseload data'!$C:$C,'custody caseload'!$B$64,'caseload data'!$B:$B,"custody")</f>
        <v>0</v>
      </c>
      <c r="I73" s="204">
        <f>SUMIFS('caseload data'!K:K,'caseload data'!$D:$D,"PO",'caseload data'!$C:$C,'custody caseload'!$B$64,'caseload data'!$B:$B,"custody")</f>
        <v>0</v>
      </c>
      <c r="J73" s="204">
        <f>SUMIFS('caseload data'!L:L,'caseload data'!$D:$D,"PO",'caseload data'!$C:$C,'custody caseload'!$B$64,'caseload data'!$B:$B,"custody")</f>
        <v>0</v>
      </c>
      <c r="K73" s="204">
        <f>SUMIFS('caseload data'!M:M,'caseload data'!$D:$D,"PO",'caseload data'!$C:$C,'custody caseload'!$B$64,'caseload data'!$B:$B,"custody")</f>
        <v>0</v>
      </c>
      <c r="L73" s="204">
        <f>SUMIFS('caseload data'!N:N,'caseload data'!$D:$D,"PO",'caseload data'!$C:$C,'custody caseload'!$B$64,'caseload data'!$B:$B,"custody")</f>
        <v>0</v>
      </c>
      <c r="M73" s="204">
        <f>SUMIFS('caseload data'!O:O,'caseload data'!$D:$D,"PO",'caseload data'!$C:$C,'custody caseload'!$B$64,'caseload data'!$B:$B,"custody")</f>
        <v>0</v>
      </c>
      <c r="N73" s="204">
        <f>SUMIFS('caseload data'!P:P,'caseload data'!$D:$D,"PO",'caseload data'!$C:$C,'custody caseload'!$B$64,'caseload data'!$B:$B,"custody")</f>
        <v>0</v>
      </c>
      <c r="O73" s="204">
        <f>SUMIFS('caseload data'!Q:Q,'caseload data'!$D:$D,"PO",'caseload data'!$C:$C,'custody caseload'!$B$64,'caseload data'!$B:$B,"custody")</f>
        <v>0</v>
      </c>
      <c r="P73" s="204">
        <f>SUMIFS('caseload data'!R:R,'caseload data'!$D:$D,"PO",'caseload data'!$C:$C,'custody caseload'!$B$64,'caseload data'!$B:$B,"custody")</f>
        <v>0</v>
      </c>
      <c r="Q73" s="204">
        <f>SUMIFS('caseload data'!S:S,'caseload data'!$D:$D,"PO",'caseload data'!$C:$C,'custody caseload'!$B$64,'caseload data'!$B:$B,"custody")</f>
        <v>0</v>
      </c>
      <c r="R73" s="204">
        <f>SUMIFS('caseload data'!T:T,'caseload data'!$D:$D,"PO",'caseload data'!$C:$C,'custody caseload'!$B$64,'caseload data'!$B:$B,"custody")</f>
        <v>0</v>
      </c>
    </row>
    <row r="74" spans="2:36" ht="15" x14ac:dyDescent="0.2">
      <c r="B74" s="130" t="s">
        <v>185</v>
      </c>
      <c r="C74" s="186">
        <f>SUMIFS('caseload data'!E:E,'caseload data'!$D:$D,"PSO",'caseload data'!$C:$C,'custody caseload'!$B$64,'caseload data'!$B:$B,"custody")</f>
        <v>0</v>
      </c>
      <c r="D74" s="186">
        <f>SUMIFS('caseload data'!F:F,'caseload data'!$D:$D,"PSO",'caseload data'!$C:$C,'custody caseload'!$B$64,'caseload data'!$B:$B,"custody")</f>
        <v>0</v>
      </c>
      <c r="E74" s="186">
        <f>SUMIFS('caseload data'!G:G,'caseload data'!$D:$D,"PSO",'caseload data'!$C:$C,'custody caseload'!$B$64,'caseload data'!$B:$B,"custody")</f>
        <v>0</v>
      </c>
      <c r="F74" s="186">
        <f>SUMIFS('caseload data'!H:H,'caseload data'!$D:$D,"PSO",'caseload data'!$C:$C,'custody caseload'!$B$64,'caseload data'!$B:$B,"custody")</f>
        <v>0</v>
      </c>
      <c r="G74" s="186">
        <f>SUMIFS('caseload data'!I:I,'caseload data'!$D:$D,"PSO",'caseload data'!$C:$C,'custody caseload'!$B$64,'caseload data'!$B:$B,"custody")</f>
        <v>0</v>
      </c>
      <c r="H74" s="186">
        <f>SUMIFS('caseload data'!J:J,'caseload data'!$D:$D,"PSO",'caseload data'!$C:$C,'custody caseload'!$B$64,'caseload data'!$B:$B,"custody")</f>
        <v>0</v>
      </c>
      <c r="I74" s="186">
        <f>SUMIFS('caseload data'!K:K,'caseload data'!$D:$D,"PSO",'caseload data'!$C:$C,'custody caseload'!$B$64,'caseload data'!$B:$B,"custody")</f>
        <v>0</v>
      </c>
      <c r="J74" s="186">
        <f>SUMIFS('caseload data'!L:L,'caseload data'!$D:$D,"PSO",'caseload data'!$C:$C,'custody caseload'!$B$64,'caseload data'!$B:$B,"custody")</f>
        <v>0</v>
      </c>
      <c r="K74" s="204">
        <f>SUMIFS('caseload data'!M:M,'caseload data'!$D:$D,"PSO",'caseload data'!$C:$C,'custody caseload'!$B$64,'caseload data'!$B:$B,"custody")</f>
        <v>0</v>
      </c>
      <c r="L74" s="204">
        <f>SUMIFS('caseload data'!N:N,'caseload data'!$D:$D,"PSO",'caseload data'!$C:$C,'custody caseload'!$B$64,'caseload data'!$B:$B,"custody")</f>
        <v>0</v>
      </c>
      <c r="M74" s="204">
        <f>SUMIFS('caseload data'!O:O,'caseload data'!$D:$D,"PSO",'caseload data'!$C:$C,'custody caseload'!$B$64,'caseload data'!$B:$B,"custody")</f>
        <v>0</v>
      </c>
      <c r="N74" s="204">
        <f>SUMIFS('caseload data'!P:P,'caseload data'!$D:$D,"PSO",'caseload data'!$C:$C,'custody caseload'!$B$64,'caseload data'!$B:$B,"custody")</f>
        <v>0</v>
      </c>
      <c r="O74" s="204">
        <f>SUMIFS('caseload data'!Q:Q,'caseload data'!$D:$D,"PSO",'caseload data'!$C:$C,'custody caseload'!$B$64,'caseload data'!$B:$B,"custody")</f>
        <v>0</v>
      </c>
      <c r="P74" s="204">
        <f>SUMIFS('caseload data'!R:R,'caseload data'!$D:$D,"PSO",'caseload data'!$C:$C,'custody caseload'!$B$64,'caseload data'!$B:$B,"custody")</f>
        <v>0</v>
      </c>
      <c r="Q74" s="204">
        <f>SUMIFS('caseload data'!S:S,'caseload data'!$D:$D,"PSO",'caseload data'!$C:$C,'custody caseload'!$B$64,'caseload data'!$B:$B,"custody")</f>
        <v>0</v>
      </c>
      <c r="R74" s="204">
        <f>SUMIFS('caseload data'!T:T,'caseload data'!$D:$D,"PSO",'caseload data'!$C:$C,'custody caseload'!$B$64,'caseload data'!$B:$B,"custody")</f>
        <v>0</v>
      </c>
    </row>
    <row r="75" spans="2:36" ht="15" x14ac:dyDescent="0.2">
      <c r="B75" s="130" t="s">
        <v>186</v>
      </c>
      <c r="C75" s="186">
        <f>SUMIFS('caseload data'!E:E,'caseload data'!$D:$D,"TPO",'caseload data'!$C:$C,'custody caseload'!$B$64,'caseload data'!$B:$B,"custody")</f>
        <v>0</v>
      </c>
      <c r="D75" s="186">
        <f>SUMIFS('caseload data'!F:F,'caseload data'!$D:$D,"TPO",'caseload data'!$C:$C,'custody caseload'!$B$64,'caseload data'!$B:$B,"custody")</f>
        <v>0</v>
      </c>
      <c r="E75" s="186">
        <f>SUMIFS('caseload data'!G:G,'caseload data'!$D:$D,"TPO",'caseload data'!$C:$C,'custody caseload'!$B$64,'caseload data'!$B:$B,"custody")</f>
        <v>0</v>
      </c>
      <c r="F75" s="186">
        <f>SUMIFS('caseload data'!H:H,'caseload data'!$D:$D,"TPO",'caseload data'!$C:$C,'custody caseload'!$B$64,'caseload data'!$B:$B,"custody")</f>
        <v>0</v>
      </c>
      <c r="G75" s="186">
        <f>SUMIFS('caseload data'!I:I,'caseload data'!$D:$D,"TPO",'caseload data'!$C:$C,'custody caseload'!$B$64,'caseload data'!$B:$B,"custody")</f>
        <v>0</v>
      </c>
      <c r="H75" s="186">
        <f>SUMIFS('caseload data'!J:J,'caseload data'!$D:$D,"TPO",'caseload data'!$C:$C,'custody caseload'!$B$64,'caseload data'!$B:$B,"custody")</f>
        <v>0</v>
      </c>
      <c r="I75" s="186">
        <f>SUMIFS('caseload data'!K:K,'caseload data'!$D:$D,"TPO",'caseload data'!$C:$C,'custody caseload'!$B$64,'caseload data'!$B:$B,"custody")</f>
        <v>0</v>
      </c>
      <c r="J75" s="186">
        <f>SUMIFS('caseload data'!L:L,'caseload data'!$D:$D,"TPO",'caseload data'!$C:$C,'custody caseload'!$B$64,'caseload data'!$B:$B,"custody")</f>
        <v>0</v>
      </c>
      <c r="K75" s="204">
        <f>SUMIFS('caseload data'!M:M,'caseload data'!$D:$D,"TPO",'caseload data'!$C:$C,'custody caseload'!$B$64,'caseload data'!$B:$B,"custody")</f>
        <v>0</v>
      </c>
      <c r="L75" s="204">
        <f>SUMIFS('caseload data'!N:N,'caseload data'!$D:$D,"TPO",'caseload data'!$C:$C,'custody caseload'!$B$64,'caseload data'!$B:$B,"custody")</f>
        <v>0</v>
      </c>
      <c r="M75" s="204">
        <f>SUMIFS('caseload data'!O:O,'caseload data'!$D:$D,"TPO",'caseload data'!$C:$C,'custody caseload'!$B$64,'caseload data'!$B:$B,"custody")</f>
        <v>0</v>
      </c>
      <c r="N75" s="204">
        <f>SUMIFS('caseload data'!P:P,'caseload data'!$D:$D,"TPO",'caseload data'!$C:$C,'custody caseload'!$B$64,'caseload data'!$B:$B,"custody")</f>
        <v>0</v>
      </c>
      <c r="O75" s="204">
        <f>SUMIFS('caseload data'!Q:Q,'caseload data'!$D:$D,"TPO",'caseload data'!$C:$C,'custody caseload'!$B$64,'caseload data'!$B:$B,"custody")</f>
        <v>0</v>
      </c>
      <c r="P75" s="204">
        <f>SUMIFS('caseload data'!R:R,'caseload data'!$D:$D,"TPO",'caseload data'!$C:$C,'custody caseload'!$B$64,'caseload data'!$B:$B,"custody")</f>
        <v>0</v>
      </c>
      <c r="Q75" s="204">
        <f>SUMIFS('caseload data'!S:S,'caseload data'!$D:$D,"TPO",'caseload data'!$C:$C,'custody caseload'!$B$64,'caseload data'!$B:$B,"custody")</f>
        <v>0</v>
      </c>
      <c r="R75" s="204">
        <f>SUMIFS('caseload data'!T:T,'caseload data'!$D:$D,"TPO",'caseload data'!$C:$C,'custody caseload'!$B$64,'caseload data'!$B:$B,"custody")</f>
        <v>0</v>
      </c>
    </row>
    <row r="76" spans="2:36" x14ac:dyDescent="0.15">
      <c r="B76" s="131" t="s">
        <v>187</v>
      </c>
      <c r="C76" s="204">
        <f>SUMIFS('caseload data'!E:E,'caseload data'!$D:$D,"SPO",'caseload data'!$C:$C,'custody caseload'!$B$64,'caseload data'!$B:$B,"custody")</f>
        <v>0</v>
      </c>
      <c r="D76" s="204">
        <f>SUMIFS('caseload data'!F:F,'caseload data'!$D:$D,"SPO",'caseload data'!$C:$C,'custody caseload'!$B$64,'caseload data'!$B:$B,"custody")</f>
        <v>0</v>
      </c>
      <c r="E76" s="204">
        <f>SUMIFS('caseload data'!G:G,'caseload data'!$D:$D,"SPO",'caseload data'!$C:$C,'custody caseload'!$B$64,'caseload data'!$B:$B,"custody")</f>
        <v>0</v>
      </c>
      <c r="F76" s="204">
        <f>SUMIFS('caseload data'!H:H,'caseload data'!$D:$D,"SPO",'caseload data'!$C:$C,'custody caseload'!$B$64,'caseload data'!$B:$B,"custody")</f>
        <v>0</v>
      </c>
      <c r="G76" s="204">
        <f>SUMIFS('caseload data'!I:I,'caseload data'!$D:$D,"SPO",'caseload data'!$C:$C,'custody caseload'!$B$64,'caseload data'!$B:$B,"custody")</f>
        <v>0</v>
      </c>
      <c r="H76" s="204">
        <f>SUMIFS('caseload data'!J:J,'caseload data'!$D:$D,"SPO",'caseload data'!$C:$C,'custody caseload'!$B$64,'caseload data'!$B:$B,"custody")</f>
        <v>0</v>
      </c>
      <c r="I76" s="204">
        <f>SUMIFS('caseload data'!K:K,'caseload data'!$D:$D,"SPO",'caseload data'!$C:$C,'custody caseload'!$B$64,'caseload data'!$B:$B,"custody")</f>
        <v>0</v>
      </c>
      <c r="J76" s="204">
        <f>SUMIFS('caseload data'!L:L,'caseload data'!$D:$D,"SPO",'caseload data'!$C:$C,'custody caseload'!$B$64,'caseload data'!$B:$B,"custody")</f>
        <v>0</v>
      </c>
      <c r="K76" s="204">
        <f>SUMIFS('caseload data'!M:M,'caseload data'!$D:$D,"SPO",'caseload data'!$C:$C,'custody caseload'!$B$64,'caseload data'!$B:$B,"custody")</f>
        <v>0</v>
      </c>
      <c r="L76" s="204">
        <f>SUMIFS('caseload data'!N:N,'caseload data'!$D:$D,"SPO",'caseload data'!$C:$C,'custody caseload'!$B$64,'caseload data'!$B:$B,"custody")</f>
        <v>0</v>
      </c>
      <c r="M76" s="204">
        <f>SUMIFS('caseload data'!O:O,'caseload data'!$D:$D,"SPO",'caseload data'!$C:$C,'custody caseload'!$B$64,'caseload data'!$B:$B,"custody")</f>
        <v>0</v>
      </c>
      <c r="N76" s="204">
        <f>SUMIFS('caseload data'!P:P,'caseload data'!$D:$D,"SPO",'caseload data'!$C:$C,'custody caseload'!$B$64,'caseload data'!$B:$B,"custody")</f>
        <v>0</v>
      </c>
      <c r="O76" s="204">
        <f>SUMIFS('caseload data'!Q:Q,'caseload data'!$D:$D,"SPO",'caseload data'!$C:$C,'custody caseload'!$B$64,'caseload data'!$B:$B,"custody")</f>
        <v>0</v>
      </c>
      <c r="P76" s="204">
        <f>SUMIFS('caseload data'!R:R,'caseload data'!$D:$D,"SPO",'caseload data'!$C:$C,'custody caseload'!$B$64,'caseload data'!$B:$B,"custody")</f>
        <v>0</v>
      </c>
      <c r="Q76" s="204">
        <f>SUMIFS('caseload data'!S:S,'caseload data'!$D:$D,"SPO",'caseload data'!$C:$C,'custody caseload'!$B$64,'caseload data'!$B:$B,"custody")</f>
        <v>0</v>
      </c>
      <c r="R76" s="204">
        <f>SUMIFS('caseload data'!T:T,'caseload data'!$D:$D,"SPO",'caseload data'!$C:$C,'custody caseload'!$B$64,'caseload data'!$B:$B,"custody")</f>
        <v>0</v>
      </c>
    </row>
  </sheetData>
  <mergeCells count="40">
    <mergeCell ref="C71:O71"/>
    <mergeCell ref="P71:R71"/>
    <mergeCell ref="C64:O64"/>
    <mergeCell ref="P64:R64"/>
    <mergeCell ref="U64:AG64"/>
    <mergeCell ref="AH64:AJ64"/>
    <mergeCell ref="C57:O57"/>
    <mergeCell ref="P57:R57"/>
    <mergeCell ref="U57:AG57"/>
    <mergeCell ref="AH57:AJ57"/>
    <mergeCell ref="C43:O43"/>
    <mergeCell ref="P43:R43"/>
    <mergeCell ref="U43:AG43"/>
    <mergeCell ref="AH43:AJ43"/>
    <mergeCell ref="C50:O50"/>
    <mergeCell ref="P50:R50"/>
    <mergeCell ref="U50:AG50"/>
    <mergeCell ref="AH50:AJ50"/>
    <mergeCell ref="C29:O29"/>
    <mergeCell ref="P29:R29"/>
    <mergeCell ref="U29:AG29"/>
    <mergeCell ref="AH29:AJ29"/>
    <mergeCell ref="C36:O36"/>
    <mergeCell ref="P36:R36"/>
    <mergeCell ref="U36:AG36"/>
    <mergeCell ref="AH36:AJ36"/>
    <mergeCell ref="C15:O15"/>
    <mergeCell ref="P15:R15"/>
    <mergeCell ref="U15:AG15"/>
    <mergeCell ref="AH15:AJ15"/>
    <mergeCell ref="C22:O22"/>
    <mergeCell ref="P22:R22"/>
    <mergeCell ref="U22:AG22"/>
    <mergeCell ref="AH22:AJ22"/>
    <mergeCell ref="C8:O8"/>
    <mergeCell ref="P8:R8"/>
    <mergeCell ref="U8:AG8"/>
    <mergeCell ref="AH8:AJ8"/>
    <mergeCell ref="A1:AX1"/>
    <mergeCell ref="A2:AX2"/>
  </mergeCells>
  <conditionalFormatting sqref="C11:C12">
    <cfRule type="cellIs" dxfId="2133" priority="609" operator="equal">
      <formula>0</formula>
    </cfRule>
    <cfRule type="cellIs" dxfId="2132" priority="610" operator="notEqual">
      <formula>0</formula>
    </cfRule>
  </conditionalFormatting>
  <conditionalFormatting sqref="D11:D12">
    <cfRule type="cellIs" dxfId="2131" priority="607" operator="equal">
      <formula>0</formula>
    </cfRule>
    <cfRule type="cellIs" dxfId="2130" priority="608" operator="notEqual">
      <formula>0</formula>
    </cfRule>
  </conditionalFormatting>
  <conditionalFormatting sqref="E11:E12">
    <cfRule type="cellIs" dxfId="2129" priority="605" operator="equal">
      <formula>0</formula>
    </cfRule>
    <cfRule type="cellIs" dxfId="2128" priority="606" operator="notEqual">
      <formula>0</formula>
    </cfRule>
  </conditionalFormatting>
  <conditionalFormatting sqref="F11:F12">
    <cfRule type="cellIs" dxfId="2127" priority="603" operator="equal">
      <formula>0</formula>
    </cfRule>
    <cfRule type="cellIs" dxfId="2126" priority="604" operator="notEqual">
      <formula>0</formula>
    </cfRule>
  </conditionalFormatting>
  <conditionalFormatting sqref="G11:G12">
    <cfRule type="cellIs" dxfId="2125" priority="599" operator="equal">
      <formula>0</formula>
    </cfRule>
    <cfRule type="cellIs" dxfId="2124" priority="600" operator="notEqual">
      <formula>0</formula>
    </cfRule>
  </conditionalFormatting>
  <conditionalFormatting sqref="H11:H12">
    <cfRule type="cellIs" dxfId="2123" priority="597" operator="equal">
      <formula>0</formula>
    </cfRule>
    <cfRule type="cellIs" dxfId="2122" priority="598" operator="notEqual">
      <formula>0</formula>
    </cfRule>
  </conditionalFormatting>
  <conditionalFormatting sqref="I11:I12">
    <cfRule type="cellIs" dxfId="2121" priority="595" operator="equal">
      <formula>0</formula>
    </cfRule>
    <cfRule type="cellIs" dxfId="2120" priority="596" operator="notEqual">
      <formula>0</formula>
    </cfRule>
  </conditionalFormatting>
  <conditionalFormatting sqref="J11:J12">
    <cfRule type="cellIs" dxfId="2119" priority="593" operator="equal">
      <formula>0</formula>
    </cfRule>
    <cfRule type="cellIs" dxfId="2118" priority="594" operator="notEqual">
      <formula>0</formula>
    </cfRule>
  </conditionalFormatting>
  <conditionalFormatting sqref="O10">
    <cfRule type="cellIs" dxfId="2117" priority="591" operator="equal">
      <formula>0</formula>
    </cfRule>
    <cfRule type="cellIs" dxfId="2116" priority="592" operator="notEqual">
      <formula>0</formula>
    </cfRule>
  </conditionalFormatting>
  <conditionalFormatting sqref="O13">
    <cfRule type="cellIs" dxfId="2115" priority="589" operator="equal">
      <formula>0</formula>
    </cfRule>
    <cfRule type="cellIs" dxfId="2114" priority="590" operator="notEqual">
      <formula>0</formula>
    </cfRule>
  </conditionalFormatting>
  <conditionalFormatting sqref="P10">
    <cfRule type="cellIs" dxfId="2113" priority="587" operator="equal">
      <formula>0</formula>
    </cfRule>
    <cfRule type="cellIs" dxfId="2112" priority="588" operator="notEqual">
      <formula>0</formula>
    </cfRule>
  </conditionalFormatting>
  <conditionalFormatting sqref="P13">
    <cfRule type="cellIs" dxfId="2111" priority="585" operator="equal">
      <formula>0</formula>
    </cfRule>
    <cfRule type="cellIs" dxfId="2110" priority="586" operator="notEqual">
      <formula>0</formula>
    </cfRule>
  </conditionalFormatting>
  <conditionalFormatting sqref="Q10">
    <cfRule type="cellIs" dxfId="2109" priority="583" operator="equal">
      <formula>0</formula>
    </cfRule>
    <cfRule type="cellIs" dxfId="2108" priority="584" operator="notEqual">
      <formula>0</formula>
    </cfRule>
  </conditionalFormatting>
  <conditionalFormatting sqref="Q13">
    <cfRule type="cellIs" dxfId="2107" priority="581" operator="equal">
      <formula>0</formula>
    </cfRule>
    <cfRule type="cellIs" dxfId="2106" priority="582" operator="notEqual">
      <formula>0</formula>
    </cfRule>
  </conditionalFormatting>
  <conditionalFormatting sqref="R10">
    <cfRule type="cellIs" dxfId="2105" priority="579" operator="equal">
      <formula>0</formula>
    </cfRule>
    <cfRule type="cellIs" dxfId="2104" priority="580" operator="notEqual">
      <formula>0</formula>
    </cfRule>
  </conditionalFormatting>
  <conditionalFormatting sqref="R13">
    <cfRule type="cellIs" dxfId="2103" priority="577" operator="equal">
      <formula>0</formula>
    </cfRule>
    <cfRule type="cellIs" dxfId="2102" priority="578" operator="notEqual">
      <formula>0</formula>
    </cfRule>
  </conditionalFormatting>
  <conditionalFormatting sqref="C18:C19">
    <cfRule type="cellIs" dxfId="2101" priority="575" operator="equal">
      <formula>0</formula>
    </cfRule>
    <cfRule type="cellIs" dxfId="2100" priority="576" operator="notEqual">
      <formula>0</formula>
    </cfRule>
  </conditionalFormatting>
  <conditionalFormatting sqref="D18:D19">
    <cfRule type="cellIs" dxfId="2099" priority="573" operator="equal">
      <formula>0</formula>
    </cfRule>
    <cfRule type="cellIs" dxfId="2098" priority="574" operator="notEqual">
      <formula>0</formula>
    </cfRule>
  </conditionalFormatting>
  <conditionalFormatting sqref="E18:E19">
    <cfRule type="cellIs" dxfId="2097" priority="571" operator="equal">
      <formula>0</formula>
    </cfRule>
    <cfRule type="cellIs" dxfId="2096" priority="572" operator="notEqual">
      <formula>0</formula>
    </cfRule>
  </conditionalFormatting>
  <conditionalFormatting sqref="F18:F19">
    <cfRule type="cellIs" dxfId="2095" priority="569" operator="equal">
      <formula>0</formula>
    </cfRule>
    <cfRule type="cellIs" dxfId="2094" priority="570" operator="notEqual">
      <formula>0</formula>
    </cfRule>
  </conditionalFormatting>
  <conditionalFormatting sqref="G18:G19">
    <cfRule type="cellIs" dxfId="2093" priority="567" operator="equal">
      <formula>0</formula>
    </cfRule>
    <cfRule type="cellIs" dxfId="2092" priority="568" operator="notEqual">
      <formula>0</formula>
    </cfRule>
  </conditionalFormatting>
  <conditionalFormatting sqref="H18:H19">
    <cfRule type="cellIs" dxfId="2091" priority="565" operator="equal">
      <formula>0</formula>
    </cfRule>
    <cfRule type="cellIs" dxfId="2090" priority="566" operator="notEqual">
      <formula>0</formula>
    </cfRule>
  </conditionalFormatting>
  <conditionalFormatting sqref="I18:I19">
    <cfRule type="cellIs" dxfId="2089" priority="563" operator="equal">
      <formula>0</formula>
    </cfRule>
    <cfRule type="cellIs" dxfId="2088" priority="564" operator="notEqual">
      <formula>0</formula>
    </cfRule>
  </conditionalFormatting>
  <conditionalFormatting sqref="J18:J19">
    <cfRule type="cellIs" dxfId="2087" priority="561" operator="equal">
      <formula>0</formula>
    </cfRule>
    <cfRule type="cellIs" dxfId="2086" priority="562" operator="notEqual">
      <formula>0</formula>
    </cfRule>
  </conditionalFormatting>
  <conditionalFormatting sqref="O17">
    <cfRule type="cellIs" dxfId="2085" priority="559" operator="equal">
      <formula>0</formula>
    </cfRule>
    <cfRule type="cellIs" dxfId="2084" priority="560" operator="notEqual">
      <formula>0</formula>
    </cfRule>
  </conditionalFormatting>
  <conditionalFormatting sqref="O20">
    <cfRule type="cellIs" dxfId="2083" priority="557" operator="equal">
      <formula>0</formula>
    </cfRule>
    <cfRule type="cellIs" dxfId="2082" priority="558" operator="notEqual">
      <formula>0</formula>
    </cfRule>
  </conditionalFormatting>
  <conditionalFormatting sqref="P17">
    <cfRule type="cellIs" dxfId="2081" priority="555" operator="equal">
      <formula>0</formula>
    </cfRule>
    <cfRule type="cellIs" dxfId="2080" priority="556" operator="notEqual">
      <formula>0</formula>
    </cfRule>
  </conditionalFormatting>
  <conditionalFormatting sqref="P20">
    <cfRule type="cellIs" dxfId="2079" priority="553" operator="equal">
      <formula>0</formula>
    </cfRule>
    <cfRule type="cellIs" dxfId="2078" priority="554" operator="notEqual">
      <formula>0</formula>
    </cfRule>
  </conditionalFormatting>
  <conditionalFormatting sqref="Q17">
    <cfRule type="cellIs" dxfId="2077" priority="551" operator="equal">
      <formula>0</formula>
    </cfRule>
    <cfRule type="cellIs" dxfId="2076" priority="552" operator="notEqual">
      <formula>0</formula>
    </cfRule>
  </conditionalFormatting>
  <conditionalFormatting sqref="Q20">
    <cfRule type="cellIs" dxfId="2075" priority="549" operator="equal">
      <formula>0</formula>
    </cfRule>
    <cfRule type="cellIs" dxfId="2074" priority="550" operator="notEqual">
      <formula>0</formula>
    </cfRule>
  </conditionalFormatting>
  <conditionalFormatting sqref="R17">
    <cfRule type="cellIs" dxfId="2073" priority="547" operator="equal">
      <formula>0</formula>
    </cfRule>
    <cfRule type="cellIs" dxfId="2072" priority="548" operator="notEqual">
      <formula>0</formula>
    </cfRule>
  </conditionalFormatting>
  <conditionalFormatting sqref="R20">
    <cfRule type="cellIs" dxfId="2071" priority="545" operator="equal">
      <formula>0</formula>
    </cfRule>
    <cfRule type="cellIs" dxfId="2070" priority="546" operator="notEqual">
      <formula>0</formula>
    </cfRule>
  </conditionalFormatting>
  <conditionalFormatting sqref="C25:C26">
    <cfRule type="cellIs" dxfId="2069" priority="543" operator="equal">
      <formula>0</formula>
    </cfRule>
    <cfRule type="cellIs" dxfId="2068" priority="544" operator="notEqual">
      <formula>0</formula>
    </cfRule>
  </conditionalFormatting>
  <conditionalFormatting sqref="D25:D26">
    <cfRule type="cellIs" dxfId="2067" priority="541" operator="equal">
      <formula>0</formula>
    </cfRule>
    <cfRule type="cellIs" dxfId="2066" priority="542" operator="notEqual">
      <formula>0</formula>
    </cfRule>
  </conditionalFormatting>
  <conditionalFormatting sqref="E25:E26">
    <cfRule type="cellIs" dxfId="2065" priority="539" operator="equal">
      <formula>0</formula>
    </cfRule>
    <cfRule type="cellIs" dxfId="2064" priority="540" operator="notEqual">
      <formula>0</formula>
    </cfRule>
  </conditionalFormatting>
  <conditionalFormatting sqref="F25:F26">
    <cfRule type="cellIs" dxfId="2063" priority="537" operator="equal">
      <formula>0</formula>
    </cfRule>
    <cfRule type="cellIs" dxfId="2062" priority="538" operator="notEqual">
      <formula>0</formula>
    </cfRule>
  </conditionalFormatting>
  <conditionalFormatting sqref="G25:G26">
    <cfRule type="cellIs" dxfId="2061" priority="535" operator="equal">
      <formula>0</formula>
    </cfRule>
    <cfRule type="cellIs" dxfId="2060" priority="536" operator="notEqual">
      <formula>0</formula>
    </cfRule>
  </conditionalFormatting>
  <conditionalFormatting sqref="H25:H26">
    <cfRule type="cellIs" dxfId="2059" priority="533" operator="equal">
      <formula>0</formula>
    </cfRule>
    <cfRule type="cellIs" dxfId="2058" priority="534" operator="notEqual">
      <formula>0</formula>
    </cfRule>
  </conditionalFormatting>
  <conditionalFormatting sqref="I25:I26">
    <cfRule type="cellIs" dxfId="2057" priority="531" operator="equal">
      <formula>0</formula>
    </cfRule>
    <cfRule type="cellIs" dxfId="2056" priority="532" operator="notEqual">
      <formula>0</formula>
    </cfRule>
  </conditionalFormatting>
  <conditionalFormatting sqref="J25:J26">
    <cfRule type="cellIs" dxfId="2055" priority="529" operator="equal">
      <formula>0</formula>
    </cfRule>
    <cfRule type="cellIs" dxfId="2054" priority="530" operator="notEqual">
      <formula>0</formula>
    </cfRule>
  </conditionalFormatting>
  <conditionalFormatting sqref="O24">
    <cfRule type="cellIs" dxfId="2053" priority="527" operator="equal">
      <formula>0</formula>
    </cfRule>
    <cfRule type="cellIs" dxfId="2052" priority="528" operator="notEqual">
      <formula>0</formula>
    </cfRule>
  </conditionalFormatting>
  <conditionalFormatting sqref="O27">
    <cfRule type="cellIs" dxfId="2051" priority="525" operator="equal">
      <formula>0</formula>
    </cfRule>
    <cfRule type="cellIs" dxfId="2050" priority="526" operator="notEqual">
      <formula>0</formula>
    </cfRule>
  </conditionalFormatting>
  <conditionalFormatting sqref="P24">
    <cfRule type="cellIs" dxfId="2049" priority="523" operator="equal">
      <formula>0</formula>
    </cfRule>
    <cfRule type="cellIs" dxfId="2048" priority="524" operator="notEqual">
      <formula>0</formula>
    </cfRule>
  </conditionalFormatting>
  <conditionalFormatting sqref="P27">
    <cfRule type="cellIs" dxfId="2047" priority="521" operator="equal">
      <formula>0</formula>
    </cfRule>
    <cfRule type="cellIs" dxfId="2046" priority="522" operator="notEqual">
      <formula>0</formula>
    </cfRule>
  </conditionalFormatting>
  <conditionalFormatting sqref="Q24">
    <cfRule type="cellIs" dxfId="2045" priority="519" operator="equal">
      <formula>0</formula>
    </cfRule>
    <cfRule type="cellIs" dxfId="2044" priority="520" operator="notEqual">
      <formula>0</formula>
    </cfRule>
  </conditionalFormatting>
  <conditionalFormatting sqref="Q27">
    <cfRule type="cellIs" dxfId="2043" priority="517" operator="equal">
      <formula>0</formula>
    </cfRule>
    <cfRule type="cellIs" dxfId="2042" priority="518" operator="notEqual">
      <formula>0</formula>
    </cfRule>
  </conditionalFormatting>
  <conditionalFormatting sqref="R24">
    <cfRule type="cellIs" dxfId="2041" priority="515" operator="equal">
      <formula>0</formula>
    </cfRule>
    <cfRule type="cellIs" dxfId="2040" priority="516" operator="notEqual">
      <formula>0</formula>
    </cfRule>
  </conditionalFormatting>
  <conditionalFormatting sqref="R27">
    <cfRule type="cellIs" dxfId="2039" priority="513" operator="equal">
      <formula>0</formula>
    </cfRule>
    <cfRule type="cellIs" dxfId="2038" priority="514" operator="notEqual">
      <formula>0</formula>
    </cfRule>
  </conditionalFormatting>
  <conditionalFormatting sqref="C32:C33">
    <cfRule type="cellIs" dxfId="2037" priority="511" operator="equal">
      <formula>0</formula>
    </cfRule>
    <cfRule type="cellIs" dxfId="2036" priority="512" operator="notEqual">
      <formula>0</formula>
    </cfRule>
  </conditionalFormatting>
  <conditionalFormatting sqref="D32:D33">
    <cfRule type="cellIs" dxfId="2035" priority="509" operator="equal">
      <formula>0</formula>
    </cfRule>
    <cfRule type="cellIs" dxfId="2034" priority="510" operator="notEqual">
      <formula>0</formula>
    </cfRule>
  </conditionalFormatting>
  <conditionalFormatting sqref="E32:E33">
    <cfRule type="cellIs" dxfId="2033" priority="507" operator="equal">
      <formula>0</formula>
    </cfRule>
    <cfRule type="cellIs" dxfId="2032" priority="508" operator="notEqual">
      <formula>0</formula>
    </cfRule>
  </conditionalFormatting>
  <conditionalFormatting sqref="F32:F33">
    <cfRule type="cellIs" dxfId="2031" priority="505" operator="equal">
      <formula>0</formula>
    </cfRule>
    <cfRule type="cellIs" dxfId="2030" priority="506" operator="notEqual">
      <formula>0</formula>
    </cfRule>
  </conditionalFormatting>
  <conditionalFormatting sqref="G32:G33">
    <cfRule type="cellIs" dxfId="2029" priority="503" operator="equal">
      <formula>0</formula>
    </cfRule>
    <cfRule type="cellIs" dxfId="2028" priority="504" operator="notEqual">
      <formula>0</formula>
    </cfRule>
  </conditionalFormatting>
  <conditionalFormatting sqref="H32:H33">
    <cfRule type="cellIs" dxfId="2027" priority="501" operator="equal">
      <formula>0</formula>
    </cfRule>
    <cfRule type="cellIs" dxfId="2026" priority="502" operator="notEqual">
      <formula>0</formula>
    </cfRule>
  </conditionalFormatting>
  <conditionalFormatting sqref="I32:I33">
    <cfRule type="cellIs" dxfId="2025" priority="499" operator="equal">
      <formula>0</formula>
    </cfRule>
    <cfRule type="cellIs" dxfId="2024" priority="500" operator="notEqual">
      <formula>0</formula>
    </cfRule>
  </conditionalFormatting>
  <conditionalFormatting sqref="J32:J33">
    <cfRule type="cellIs" dxfId="2023" priority="497" operator="equal">
      <formula>0</formula>
    </cfRule>
    <cfRule type="cellIs" dxfId="2022" priority="498" operator="notEqual">
      <formula>0</formula>
    </cfRule>
  </conditionalFormatting>
  <conditionalFormatting sqref="O31">
    <cfRule type="cellIs" dxfId="2021" priority="495" operator="equal">
      <formula>0</formula>
    </cfRule>
    <cfRule type="cellIs" dxfId="2020" priority="496" operator="notEqual">
      <formula>0</formula>
    </cfRule>
  </conditionalFormatting>
  <conditionalFormatting sqref="O34">
    <cfRule type="cellIs" dxfId="2019" priority="493" operator="equal">
      <formula>0</formula>
    </cfRule>
    <cfRule type="cellIs" dxfId="2018" priority="494" operator="notEqual">
      <formula>0</formula>
    </cfRule>
  </conditionalFormatting>
  <conditionalFormatting sqref="P31">
    <cfRule type="cellIs" dxfId="2017" priority="491" operator="equal">
      <formula>0</formula>
    </cfRule>
    <cfRule type="cellIs" dxfId="2016" priority="492" operator="notEqual">
      <formula>0</formula>
    </cfRule>
  </conditionalFormatting>
  <conditionalFormatting sqref="P34">
    <cfRule type="cellIs" dxfId="2015" priority="489" operator="equal">
      <formula>0</formula>
    </cfRule>
    <cfRule type="cellIs" dxfId="2014" priority="490" operator="notEqual">
      <formula>0</formula>
    </cfRule>
  </conditionalFormatting>
  <conditionalFormatting sqref="Q31">
    <cfRule type="cellIs" dxfId="2013" priority="487" operator="equal">
      <formula>0</formula>
    </cfRule>
    <cfRule type="cellIs" dxfId="2012" priority="488" operator="notEqual">
      <formula>0</formula>
    </cfRule>
  </conditionalFormatting>
  <conditionalFormatting sqref="Q34">
    <cfRule type="cellIs" dxfId="2011" priority="485" operator="equal">
      <formula>0</formula>
    </cfRule>
    <cfRule type="cellIs" dxfId="2010" priority="486" operator="notEqual">
      <formula>0</formula>
    </cfRule>
  </conditionalFormatting>
  <conditionalFormatting sqref="R31">
    <cfRule type="cellIs" dxfId="2009" priority="483" operator="equal">
      <formula>0</formula>
    </cfRule>
    <cfRule type="cellIs" dxfId="2008" priority="484" operator="notEqual">
      <formula>0</formula>
    </cfRule>
  </conditionalFormatting>
  <conditionalFormatting sqref="R34">
    <cfRule type="cellIs" dxfId="2007" priority="481" operator="equal">
      <formula>0</formula>
    </cfRule>
    <cfRule type="cellIs" dxfId="2006" priority="482" operator="notEqual">
      <formula>0</formula>
    </cfRule>
  </conditionalFormatting>
  <conditionalFormatting sqref="C39:C40">
    <cfRule type="cellIs" dxfId="2005" priority="479" operator="equal">
      <formula>0</formula>
    </cfRule>
    <cfRule type="cellIs" dxfId="2004" priority="480" operator="notEqual">
      <formula>0</formula>
    </cfRule>
  </conditionalFormatting>
  <conditionalFormatting sqref="D39:D40">
    <cfRule type="cellIs" dxfId="2003" priority="477" operator="equal">
      <formula>0</formula>
    </cfRule>
    <cfRule type="cellIs" dxfId="2002" priority="478" operator="notEqual">
      <formula>0</formula>
    </cfRule>
  </conditionalFormatting>
  <conditionalFormatting sqref="E39:E40">
    <cfRule type="cellIs" dxfId="2001" priority="475" operator="equal">
      <formula>0</formula>
    </cfRule>
    <cfRule type="cellIs" dxfId="2000" priority="476" operator="notEqual">
      <formula>0</formula>
    </cfRule>
  </conditionalFormatting>
  <conditionalFormatting sqref="F39:F40">
    <cfRule type="cellIs" dxfId="1999" priority="473" operator="equal">
      <formula>0</formula>
    </cfRule>
    <cfRule type="cellIs" dxfId="1998" priority="474" operator="notEqual">
      <formula>0</formula>
    </cfRule>
  </conditionalFormatting>
  <conditionalFormatting sqref="G39:G40">
    <cfRule type="cellIs" dxfId="1997" priority="471" operator="equal">
      <formula>0</formula>
    </cfRule>
    <cfRule type="cellIs" dxfId="1996" priority="472" operator="notEqual">
      <formula>0</formula>
    </cfRule>
  </conditionalFormatting>
  <conditionalFormatting sqref="H39:H40">
    <cfRule type="cellIs" dxfId="1995" priority="469" operator="equal">
      <formula>0</formula>
    </cfRule>
    <cfRule type="cellIs" dxfId="1994" priority="470" operator="notEqual">
      <formula>0</formula>
    </cfRule>
  </conditionalFormatting>
  <conditionalFormatting sqref="I39:I40">
    <cfRule type="cellIs" dxfId="1993" priority="467" operator="equal">
      <formula>0</formula>
    </cfRule>
    <cfRule type="cellIs" dxfId="1992" priority="468" operator="notEqual">
      <formula>0</formula>
    </cfRule>
  </conditionalFormatting>
  <conditionalFormatting sqref="J39:J40">
    <cfRule type="cellIs" dxfId="1991" priority="465" operator="equal">
      <formula>0</formula>
    </cfRule>
    <cfRule type="cellIs" dxfId="1990" priority="466" operator="notEqual">
      <formula>0</formula>
    </cfRule>
  </conditionalFormatting>
  <conditionalFormatting sqref="O38">
    <cfRule type="cellIs" dxfId="1989" priority="463" operator="equal">
      <formula>0</formula>
    </cfRule>
    <cfRule type="cellIs" dxfId="1988" priority="464" operator="notEqual">
      <formula>0</formula>
    </cfRule>
  </conditionalFormatting>
  <conditionalFormatting sqref="O41">
    <cfRule type="cellIs" dxfId="1987" priority="461" operator="equal">
      <formula>0</formula>
    </cfRule>
    <cfRule type="cellIs" dxfId="1986" priority="462" operator="notEqual">
      <formula>0</formula>
    </cfRule>
  </conditionalFormatting>
  <conditionalFormatting sqref="P38">
    <cfRule type="cellIs" dxfId="1985" priority="459" operator="equal">
      <formula>0</formula>
    </cfRule>
    <cfRule type="cellIs" dxfId="1984" priority="460" operator="notEqual">
      <formula>0</formula>
    </cfRule>
  </conditionalFormatting>
  <conditionalFormatting sqref="P41">
    <cfRule type="cellIs" dxfId="1983" priority="457" operator="equal">
      <formula>0</formula>
    </cfRule>
    <cfRule type="cellIs" dxfId="1982" priority="458" operator="notEqual">
      <formula>0</formula>
    </cfRule>
  </conditionalFormatting>
  <conditionalFormatting sqref="Q38">
    <cfRule type="cellIs" dxfId="1981" priority="455" operator="equal">
      <formula>0</formula>
    </cfRule>
    <cfRule type="cellIs" dxfId="1980" priority="456" operator="notEqual">
      <formula>0</formula>
    </cfRule>
  </conditionalFormatting>
  <conditionalFormatting sqref="Q41">
    <cfRule type="cellIs" dxfId="1979" priority="453" operator="equal">
      <formula>0</formula>
    </cfRule>
    <cfRule type="cellIs" dxfId="1978" priority="454" operator="notEqual">
      <formula>0</formula>
    </cfRule>
  </conditionalFormatting>
  <conditionalFormatting sqref="R38">
    <cfRule type="cellIs" dxfId="1977" priority="451" operator="equal">
      <formula>0</formula>
    </cfRule>
    <cfRule type="cellIs" dxfId="1976" priority="452" operator="notEqual">
      <formula>0</formula>
    </cfRule>
  </conditionalFormatting>
  <conditionalFormatting sqref="R41">
    <cfRule type="cellIs" dxfId="1975" priority="449" operator="equal">
      <formula>0</formula>
    </cfRule>
    <cfRule type="cellIs" dxfId="1974" priority="450" operator="notEqual">
      <formula>0</formula>
    </cfRule>
  </conditionalFormatting>
  <conditionalFormatting sqref="C46:C47">
    <cfRule type="cellIs" dxfId="1973" priority="447" operator="equal">
      <formula>0</formula>
    </cfRule>
    <cfRule type="cellIs" dxfId="1972" priority="448" operator="notEqual">
      <formula>0</formula>
    </cfRule>
  </conditionalFormatting>
  <conditionalFormatting sqref="D46:D47">
    <cfRule type="cellIs" dxfId="1971" priority="445" operator="equal">
      <formula>0</formula>
    </cfRule>
    <cfRule type="cellIs" dxfId="1970" priority="446" operator="notEqual">
      <formula>0</formula>
    </cfRule>
  </conditionalFormatting>
  <conditionalFormatting sqref="E46:E47">
    <cfRule type="cellIs" dxfId="1969" priority="443" operator="equal">
      <formula>0</formula>
    </cfRule>
    <cfRule type="cellIs" dxfId="1968" priority="444" operator="notEqual">
      <formula>0</formula>
    </cfRule>
  </conditionalFormatting>
  <conditionalFormatting sqref="F46:F47">
    <cfRule type="cellIs" dxfId="1967" priority="441" operator="equal">
      <formula>0</formula>
    </cfRule>
    <cfRule type="cellIs" dxfId="1966" priority="442" operator="notEqual">
      <formula>0</formula>
    </cfRule>
  </conditionalFormatting>
  <conditionalFormatting sqref="G46:G47">
    <cfRule type="cellIs" dxfId="1965" priority="439" operator="equal">
      <formula>0</formula>
    </cfRule>
    <cfRule type="cellIs" dxfId="1964" priority="440" operator="notEqual">
      <formula>0</formula>
    </cfRule>
  </conditionalFormatting>
  <conditionalFormatting sqref="H46:H47">
    <cfRule type="cellIs" dxfId="1963" priority="437" operator="equal">
      <formula>0</formula>
    </cfRule>
    <cfRule type="cellIs" dxfId="1962" priority="438" operator="notEqual">
      <formula>0</formula>
    </cfRule>
  </conditionalFormatting>
  <conditionalFormatting sqref="I46:I47">
    <cfRule type="cellIs" dxfId="1961" priority="435" operator="equal">
      <formula>0</formula>
    </cfRule>
    <cfRule type="cellIs" dxfId="1960" priority="436" operator="notEqual">
      <formula>0</formula>
    </cfRule>
  </conditionalFormatting>
  <conditionalFormatting sqref="J46:J47">
    <cfRule type="cellIs" dxfId="1959" priority="433" operator="equal">
      <formula>0</formula>
    </cfRule>
    <cfRule type="cellIs" dxfId="1958" priority="434" operator="notEqual">
      <formula>0</formula>
    </cfRule>
  </conditionalFormatting>
  <conditionalFormatting sqref="O45">
    <cfRule type="cellIs" dxfId="1957" priority="431" operator="equal">
      <formula>0</formula>
    </cfRule>
    <cfRule type="cellIs" dxfId="1956" priority="432" operator="notEqual">
      <formula>0</formula>
    </cfRule>
  </conditionalFormatting>
  <conditionalFormatting sqref="O48">
    <cfRule type="cellIs" dxfId="1955" priority="429" operator="equal">
      <formula>0</formula>
    </cfRule>
    <cfRule type="cellIs" dxfId="1954" priority="430" operator="notEqual">
      <formula>0</formula>
    </cfRule>
  </conditionalFormatting>
  <conditionalFormatting sqref="P45">
    <cfRule type="cellIs" dxfId="1953" priority="427" operator="equal">
      <formula>0</formula>
    </cfRule>
    <cfRule type="cellIs" dxfId="1952" priority="428" operator="notEqual">
      <formula>0</formula>
    </cfRule>
  </conditionalFormatting>
  <conditionalFormatting sqref="P48">
    <cfRule type="cellIs" dxfId="1951" priority="425" operator="equal">
      <formula>0</formula>
    </cfRule>
    <cfRule type="cellIs" dxfId="1950" priority="426" operator="notEqual">
      <formula>0</formula>
    </cfRule>
  </conditionalFormatting>
  <conditionalFormatting sqref="Q45">
    <cfRule type="cellIs" dxfId="1949" priority="423" operator="equal">
      <formula>0</formula>
    </cfRule>
    <cfRule type="cellIs" dxfId="1948" priority="424" operator="notEqual">
      <formula>0</formula>
    </cfRule>
  </conditionalFormatting>
  <conditionalFormatting sqref="Q48">
    <cfRule type="cellIs" dxfId="1947" priority="421" operator="equal">
      <formula>0</formula>
    </cfRule>
    <cfRule type="cellIs" dxfId="1946" priority="422" operator="notEqual">
      <formula>0</formula>
    </cfRule>
  </conditionalFormatting>
  <conditionalFormatting sqref="R45">
    <cfRule type="cellIs" dxfId="1945" priority="419" operator="equal">
      <formula>0</formula>
    </cfRule>
    <cfRule type="cellIs" dxfId="1944" priority="420" operator="notEqual">
      <formula>0</formula>
    </cfRule>
  </conditionalFormatting>
  <conditionalFormatting sqref="R48">
    <cfRule type="cellIs" dxfId="1943" priority="417" operator="equal">
      <formula>0</formula>
    </cfRule>
    <cfRule type="cellIs" dxfId="1942" priority="418" operator="notEqual">
      <formula>0</formula>
    </cfRule>
  </conditionalFormatting>
  <conditionalFormatting sqref="C53:C54">
    <cfRule type="cellIs" dxfId="1941" priority="415" operator="equal">
      <formula>0</formula>
    </cfRule>
    <cfRule type="cellIs" dxfId="1940" priority="416" operator="notEqual">
      <formula>0</formula>
    </cfRule>
  </conditionalFormatting>
  <conditionalFormatting sqref="D53:D54">
    <cfRule type="cellIs" dxfId="1939" priority="413" operator="equal">
      <formula>0</formula>
    </cfRule>
    <cfRule type="cellIs" dxfId="1938" priority="414" operator="notEqual">
      <formula>0</formula>
    </cfRule>
  </conditionalFormatting>
  <conditionalFormatting sqref="E53:E54">
    <cfRule type="cellIs" dxfId="1937" priority="411" operator="equal">
      <formula>0</formula>
    </cfRule>
    <cfRule type="cellIs" dxfId="1936" priority="412" operator="notEqual">
      <formula>0</formula>
    </cfRule>
  </conditionalFormatting>
  <conditionalFormatting sqref="F53:F54">
    <cfRule type="cellIs" dxfId="1935" priority="409" operator="equal">
      <formula>0</formula>
    </cfRule>
    <cfRule type="cellIs" dxfId="1934" priority="410" operator="notEqual">
      <formula>0</formula>
    </cfRule>
  </conditionalFormatting>
  <conditionalFormatting sqref="G53:G54">
    <cfRule type="cellIs" dxfId="1933" priority="407" operator="equal">
      <formula>0</formula>
    </cfRule>
    <cfRule type="cellIs" dxfId="1932" priority="408" operator="notEqual">
      <formula>0</formula>
    </cfRule>
  </conditionalFormatting>
  <conditionalFormatting sqref="H53:H54">
    <cfRule type="cellIs" dxfId="1931" priority="405" operator="equal">
      <formula>0</formula>
    </cfRule>
    <cfRule type="cellIs" dxfId="1930" priority="406" operator="notEqual">
      <formula>0</formula>
    </cfRule>
  </conditionalFormatting>
  <conditionalFormatting sqref="I53:I54">
    <cfRule type="cellIs" dxfId="1929" priority="403" operator="equal">
      <formula>0</formula>
    </cfRule>
    <cfRule type="cellIs" dxfId="1928" priority="404" operator="notEqual">
      <formula>0</formula>
    </cfRule>
  </conditionalFormatting>
  <conditionalFormatting sqref="J53:J54">
    <cfRule type="cellIs" dxfId="1927" priority="401" operator="equal">
      <formula>0</formula>
    </cfRule>
    <cfRule type="cellIs" dxfId="1926" priority="402" operator="notEqual">
      <formula>0</formula>
    </cfRule>
  </conditionalFormatting>
  <conditionalFormatting sqref="O52">
    <cfRule type="cellIs" dxfId="1925" priority="399" operator="equal">
      <formula>0</formula>
    </cfRule>
    <cfRule type="cellIs" dxfId="1924" priority="400" operator="notEqual">
      <formula>0</formula>
    </cfRule>
  </conditionalFormatting>
  <conditionalFormatting sqref="O55">
    <cfRule type="cellIs" dxfId="1923" priority="397" operator="equal">
      <formula>0</formula>
    </cfRule>
    <cfRule type="cellIs" dxfId="1922" priority="398" operator="notEqual">
      <formula>0</formula>
    </cfRule>
  </conditionalFormatting>
  <conditionalFormatting sqref="P52">
    <cfRule type="cellIs" dxfId="1921" priority="395" operator="equal">
      <formula>0</formula>
    </cfRule>
    <cfRule type="cellIs" dxfId="1920" priority="396" operator="notEqual">
      <formula>0</formula>
    </cfRule>
  </conditionalFormatting>
  <conditionalFormatting sqref="P55">
    <cfRule type="cellIs" dxfId="1919" priority="393" operator="equal">
      <formula>0</formula>
    </cfRule>
    <cfRule type="cellIs" dxfId="1918" priority="394" operator="notEqual">
      <formula>0</formula>
    </cfRule>
  </conditionalFormatting>
  <conditionalFormatting sqref="Q52">
    <cfRule type="cellIs" dxfId="1917" priority="391" operator="equal">
      <formula>0</formula>
    </cfRule>
    <cfRule type="cellIs" dxfId="1916" priority="392" operator="notEqual">
      <formula>0</formula>
    </cfRule>
  </conditionalFormatting>
  <conditionalFormatting sqref="Q55">
    <cfRule type="cellIs" dxfId="1915" priority="389" operator="equal">
      <formula>0</formula>
    </cfRule>
    <cfRule type="cellIs" dxfId="1914" priority="390" operator="notEqual">
      <formula>0</formula>
    </cfRule>
  </conditionalFormatting>
  <conditionalFormatting sqref="R52">
    <cfRule type="cellIs" dxfId="1913" priority="387" operator="equal">
      <formula>0</formula>
    </cfRule>
    <cfRule type="cellIs" dxfId="1912" priority="388" operator="notEqual">
      <formula>0</formula>
    </cfRule>
  </conditionalFormatting>
  <conditionalFormatting sqref="R55">
    <cfRule type="cellIs" dxfId="1911" priority="385" operator="equal">
      <formula>0</formula>
    </cfRule>
    <cfRule type="cellIs" dxfId="1910" priority="386" operator="notEqual">
      <formula>0</formula>
    </cfRule>
  </conditionalFormatting>
  <conditionalFormatting sqref="C60:C61">
    <cfRule type="cellIs" dxfId="1909" priority="383" operator="equal">
      <formula>0</formula>
    </cfRule>
    <cfRule type="cellIs" dxfId="1908" priority="384" operator="notEqual">
      <formula>0</formula>
    </cfRule>
  </conditionalFormatting>
  <conditionalFormatting sqref="D60:D61">
    <cfRule type="cellIs" dxfId="1907" priority="381" operator="equal">
      <formula>0</formula>
    </cfRule>
    <cfRule type="cellIs" dxfId="1906" priority="382" operator="notEqual">
      <formula>0</formula>
    </cfRule>
  </conditionalFormatting>
  <conditionalFormatting sqref="E60:E61">
    <cfRule type="cellIs" dxfId="1905" priority="379" operator="equal">
      <formula>0</formula>
    </cfRule>
    <cfRule type="cellIs" dxfId="1904" priority="380" operator="notEqual">
      <formula>0</formula>
    </cfRule>
  </conditionalFormatting>
  <conditionalFormatting sqref="F60:F61">
    <cfRule type="cellIs" dxfId="1903" priority="377" operator="equal">
      <formula>0</formula>
    </cfRule>
    <cfRule type="cellIs" dxfId="1902" priority="378" operator="notEqual">
      <formula>0</formula>
    </cfRule>
  </conditionalFormatting>
  <conditionalFormatting sqref="G60:G61">
    <cfRule type="cellIs" dxfId="1901" priority="375" operator="equal">
      <formula>0</formula>
    </cfRule>
    <cfRule type="cellIs" dxfId="1900" priority="376" operator="notEqual">
      <formula>0</formula>
    </cfRule>
  </conditionalFormatting>
  <conditionalFormatting sqref="H60:H61">
    <cfRule type="cellIs" dxfId="1899" priority="373" operator="equal">
      <formula>0</formula>
    </cfRule>
    <cfRule type="cellIs" dxfId="1898" priority="374" operator="notEqual">
      <formula>0</formula>
    </cfRule>
  </conditionalFormatting>
  <conditionalFormatting sqref="I60:I61">
    <cfRule type="cellIs" dxfId="1897" priority="371" operator="equal">
      <formula>0</formula>
    </cfRule>
    <cfRule type="cellIs" dxfId="1896" priority="372" operator="notEqual">
      <formula>0</formula>
    </cfRule>
  </conditionalFormatting>
  <conditionalFormatting sqref="J60:J61">
    <cfRule type="cellIs" dxfId="1895" priority="369" operator="equal">
      <formula>0</formula>
    </cfRule>
    <cfRule type="cellIs" dxfId="1894" priority="370" operator="notEqual">
      <formula>0</formula>
    </cfRule>
  </conditionalFormatting>
  <conditionalFormatting sqref="O59">
    <cfRule type="cellIs" dxfId="1893" priority="367" operator="equal">
      <formula>0</formula>
    </cfRule>
    <cfRule type="cellIs" dxfId="1892" priority="368" operator="notEqual">
      <formula>0</formula>
    </cfRule>
  </conditionalFormatting>
  <conditionalFormatting sqref="O62">
    <cfRule type="cellIs" dxfId="1891" priority="365" operator="equal">
      <formula>0</formula>
    </cfRule>
    <cfRule type="cellIs" dxfId="1890" priority="366" operator="notEqual">
      <formula>0</formula>
    </cfRule>
  </conditionalFormatting>
  <conditionalFormatting sqref="P59">
    <cfRule type="cellIs" dxfId="1889" priority="363" operator="equal">
      <formula>0</formula>
    </cfRule>
    <cfRule type="cellIs" dxfId="1888" priority="364" operator="notEqual">
      <formula>0</formula>
    </cfRule>
  </conditionalFormatting>
  <conditionalFormatting sqref="P62">
    <cfRule type="cellIs" dxfId="1887" priority="361" operator="equal">
      <formula>0</formula>
    </cfRule>
    <cfRule type="cellIs" dxfId="1886" priority="362" operator="notEqual">
      <formula>0</formula>
    </cfRule>
  </conditionalFormatting>
  <conditionalFormatting sqref="Q59">
    <cfRule type="cellIs" dxfId="1885" priority="359" operator="equal">
      <formula>0</formula>
    </cfRule>
    <cfRule type="cellIs" dxfId="1884" priority="360" operator="notEqual">
      <formula>0</formula>
    </cfRule>
  </conditionalFormatting>
  <conditionalFormatting sqref="Q62">
    <cfRule type="cellIs" dxfId="1883" priority="357" operator="equal">
      <formula>0</formula>
    </cfRule>
    <cfRule type="cellIs" dxfId="1882" priority="358" operator="notEqual">
      <formula>0</formula>
    </cfRule>
  </conditionalFormatting>
  <conditionalFormatting sqref="R59">
    <cfRule type="cellIs" dxfId="1881" priority="355" operator="equal">
      <formula>0</formula>
    </cfRule>
    <cfRule type="cellIs" dxfId="1880" priority="356" operator="notEqual">
      <formula>0</formula>
    </cfRule>
  </conditionalFormatting>
  <conditionalFormatting sqref="R62">
    <cfRule type="cellIs" dxfId="1879" priority="353" operator="equal">
      <formula>0</formula>
    </cfRule>
    <cfRule type="cellIs" dxfId="1878" priority="354" operator="notEqual">
      <formula>0</formula>
    </cfRule>
  </conditionalFormatting>
  <conditionalFormatting sqref="C67:C68">
    <cfRule type="cellIs" dxfId="1877" priority="351" operator="equal">
      <formula>0</formula>
    </cfRule>
    <cfRule type="cellIs" dxfId="1876" priority="352" operator="notEqual">
      <formula>0</formula>
    </cfRule>
  </conditionalFormatting>
  <conditionalFormatting sqref="D67:D68">
    <cfRule type="cellIs" dxfId="1875" priority="349" operator="equal">
      <formula>0</formula>
    </cfRule>
    <cfRule type="cellIs" dxfId="1874" priority="350" operator="notEqual">
      <formula>0</formula>
    </cfRule>
  </conditionalFormatting>
  <conditionalFormatting sqref="E67:E68">
    <cfRule type="cellIs" dxfId="1873" priority="347" operator="equal">
      <formula>0</formula>
    </cfRule>
    <cfRule type="cellIs" dxfId="1872" priority="348" operator="notEqual">
      <formula>0</formula>
    </cfRule>
  </conditionalFormatting>
  <conditionalFormatting sqref="F67:F68">
    <cfRule type="cellIs" dxfId="1871" priority="345" operator="equal">
      <formula>0</formula>
    </cfRule>
    <cfRule type="cellIs" dxfId="1870" priority="346" operator="notEqual">
      <formula>0</formula>
    </cfRule>
  </conditionalFormatting>
  <conditionalFormatting sqref="G67:G68">
    <cfRule type="cellIs" dxfId="1869" priority="343" operator="equal">
      <formula>0</formula>
    </cfRule>
    <cfRule type="cellIs" dxfId="1868" priority="344" operator="notEqual">
      <formula>0</formula>
    </cfRule>
  </conditionalFormatting>
  <conditionalFormatting sqref="H67:H68">
    <cfRule type="cellIs" dxfId="1867" priority="341" operator="equal">
      <formula>0</formula>
    </cfRule>
    <cfRule type="cellIs" dxfId="1866" priority="342" operator="notEqual">
      <formula>0</formula>
    </cfRule>
  </conditionalFormatting>
  <conditionalFormatting sqref="I67:I68">
    <cfRule type="cellIs" dxfId="1865" priority="339" operator="equal">
      <formula>0</formula>
    </cfRule>
    <cfRule type="cellIs" dxfId="1864" priority="340" operator="notEqual">
      <formula>0</formula>
    </cfRule>
  </conditionalFormatting>
  <conditionalFormatting sqref="J67:J68">
    <cfRule type="cellIs" dxfId="1863" priority="337" operator="equal">
      <formula>0</formula>
    </cfRule>
    <cfRule type="cellIs" dxfId="1862" priority="338" operator="notEqual">
      <formula>0</formula>
    </cfRule>
  </conditionalFormatting>
  <conditionalFormatting sqref="O66">
    <cfRule type="cellIs" dxfId="1861" priority="335" operator="equal">
      <formula>0</formula>
    </cfRule>
    <cfRule type="cellIs" dxfId="1860" priority="336" operator="notEqual">
      <formula>0</formula>
    </cfRule>
  </conditionalFormatting>
  <conditionalFormatting sqref="O69">
    <cfRule type="cellIs" dxfId="1859" priority="333" operator="equal">
      <formula>0</formula>
    </cfRule>
    <cfRule type="cellIs" dxfId="1858" priority="334" operator="notEqual">
      <formula>0</formula>
    </cfRule>
  </conditionalFormatting>
  <conditionalFormatting sqref="P66">
    <cfRule type="cellIs" dxfId="1857" priority="331" operator="equal">
      <formula>0</formula>
    </cfRule>
    <cfRule type="cellIs" dxfId="1856" priority="332" operator="notEqual">
      <formula>0</formula>
    </cfRule>
  </conditionalFormatting>
  <conditionalFormatting sqref="P69">
    <cfRule type="cellIs" dxfId="1855" priority="329" operator="equal">
      <formula>0</formula>
    </cfRule>
    <cfRule type="cellIs" dxfId="1854" priority="330" operator="notEqual">
      <formula>0</formula>
    </cfRule>
  </conditionalFormatting>
  <conditionalFormatting sqref="Q66">
    <cfRule type="cellIs" dxfId="1853" priority="327" operator="equal">
      <formula>0</formula>
    </cfRule>
    <cfRule type="cellIs" dxfId="1852" priority="328" operator="notEqual">
      <formula>0</formula>
    </cfRule>
  </conditionalFormatting>
  <conditionalFormatting sqref="Q69">
    <cfRule type="cellIs" dxfId="1851" priority="325" operator="equal">
      <formula>0</formula>
    </cfRule>
    <cfRule type="cellIs" dxfId="1850" priority="326" operator="notEqual">
      <formula>0</formula>
    </cfRule>
  </conditionalFormatting>
  <conditionalFormatting sqref="R66">
    <cfRule type="cellIs" dxfId="1849" priority="323" operator="equal">
      <formula>0</formula>
    </cfRule>
    <cfRule type="cellIs" dxfId="1848" priority="324" operator="notEqual">
      <formula>0</formula>
    </cfRule>
  </conditionalFormatting>
  <conditionalFormatting sqref="R69">
    <cfRule type="cellIs" dxfId="1847" priority="321" operator="equal">
      <formula>0</formula>
    </cfRule>
    <cfRule type="cellIs" dxfId="1846" priority="322" operator="notEqual">
      <formula>0</formula>
    </cfRule>
  </conditionalFormatting>
  <conditionalFormatting sqref="C74:C75">
    <cfRule type="cellIs" dxfId="1845" priority="319" operator="equal">
      <formula>0</formula>
    </cfRule>
    <cfRule type="cellIs" dxfId="1844" priority="320" operator="notEqual">
      <formula>0</formula>
    </cfRule>
  </conditionalFormatting>
  <conditionalFormatting sqref="D74:D75">
    <cfRule type="cellIs" dxfId="1843" priority="317" operator="equal">
      <formula>0</formula>
    </cfRule>
    <cfRule type="cellIs" dxfId="1842" priority="318" operator="notEqual">
      <formula>0</formula>
    </cfRule>
  </conditionalFormatting>
  <conditionalFormatting sqref="E74:E75">
    <cfRule type="cellIs" dxfId="1841" priority="315" operator="equal">
      <formula>0</formula>
    </cfRule>
    <cfRule type="cellIs" dxfId="1840" priority="316" operator="notEqual">
      <formula>0</formula>
    </cfRule>
  </conditionalFormatting>
  <conditionalFormatting sqref="F74:F75">
    <cfRule type="cellIs" dxfId="1839" priority="313" operator="equal">
      <formula>0</formula>
    </cfRule>
    <cfRule type="cellIs" dxfId="1838" priority="314" operator="notEqual">
      <formula>0</formula>
    </cfRule>
  </conditionalFormatting>
  <conditionalFormatting sqref="G74:G75">
    <cfRule type="cellIs" dxfId="1837" priority="311" operator="equal">
      <formula>0</formula>
    </cfRule>
    <cfRule type="cellIs" dxfId="1836" priority="312" operator="notEqual">
      <formula>0</formula>
    </cfRule>
  </conditionalFormatting>
  <conditionalFormatting sqref="H74:H75">
    <cfRule type="cellIs" dxfId="1835" priority="309" operator="equal">
      <formula>0</formula>
    </cfRule>
    <cfRule type="cellIs" dxfId="1834" priority="310" operator="notEqual">
      <formula>0</formula>
    </cfRule>
  </conditionalFormatting>
  <conditionalFormatting sqref="I74:I75">
    <cfRule type="cellIs" dxfId="1833" priority="307" operator="equal">
      <formula>0</formula>
    </cfRule>
    <cfRule type="cellIs" dxfId="1832" priority="308" operator="notEqual">
      <formula>0</formula>
    </cfRule>
  </conditionalFormatting>
  <conditionalFormatting sqref="J74:J75">
    <cfRule type="cellIs" dxfId="1831" priority="305" operator="equal">
      <formula>0</formula>
    </cfRule>
    <cfRule type="cellIs" dxfId="1830" priority="306" operator="notEqual">
      <formula>0</formula>
    </cfRule>
  </conditionalFormatting>
  <conditionalFormatting sqref="O73">
    <cfRule type="cellIs" dxfId="1829" priority="303" operator="equal">
      <formula>0</formula>
    </cfRule>
    <cfRule type="cellIs" dxfId="1828" priority="304" operator="notEqual">
      <formula>0</formula>
    </cfRule>
  </conditionalFormatting>
  <conditionalFormatting sqref="O76">
    <cfRule type="cellIs" dxfId="1827" priority="301" operator="equal">
      <formula>0</formula>
    </cfRule>
    <cfRule type="cellIs" dxfId="1826" priority="302" operator="notEqual">
      <formula>0</formula>
    </cfRule>
  </conditionalFormatting>
  <conditionalFormatting sqref="P73">
    <cfRule type="cellIs" dxfId="1825" priority="299" operator="equal">
      <formula>0</formula>
    </cfRule>
    <cfRule type="cellIs" dxfId="1824" priority="300" operator="notEqual">
      <formula>0</formula>
    </cfRule>
  </conditionalFormatting>
  <conditionalFormatting sqref="P76">
    <cfRule type="cellIs" dxfId="1823" priority="297" operator="equal">
      <formula>0</formula>
    </cfRule>
    <cfRule type="cellIs" dxfId="1822" priority="298" operator="notEqual">
      <formula>0</formula>
    </cfRule>
  </conditionalFormatting>
  <conditionalFormatting sqref="Q73">
    <cfRule type="cellIs" dxfId="1821" priority="295" operator="equal">
      <formula>0</formula>
    </cfRule>
    <cfRule type="cellIs" dxfId="1820" priority="296" operator="notEqual">
      <formula>0</formula>
    </cfRule>
  </conditionalFormatting>
  <conditionalFormatting sqref="Q76">
    <cfRule type="cellIs" dxfId="1819" priority="293" operator="equal">
      <formula>0</formula>
    </cfRule>
    <cfRule type="cellIs" dxfId="1818" priority="294" operator="notEqual">
      <formula>0</formula>
    </cfRule>
  </conditionalFormatting>
  <conditionalFormatting sqref="R73">
    <cfRule type="cellIs" dxfId="1817" priority="291" operator="equal">
      <formula>0</formula>
    </cfRule>
    <cfRule type="cellIs" dxfId="1816" priority="292" operator="notEqual">
      <formula>0</formula>
    </cfRule>
  </conditionalFormatting>
  <conditionalFormatting sqref="R76">
    <cfRule type="cellIs" dxfId="1815" priority="289" operator="equal">
      <formula>0</formula>
    </cfRule>
    <cfRule type="cellIs" dxfId="1814" priority="290" operator="notEqual">
      <formula>0</formula>
    </cfRule>
  </conditionalFormatting>
  <conditionalFormatting sqref="U67:U68">
    <cfRule type="cellIs" dxfId="1813" priority="287" operator="equal">
      <formula>0</formula>
    </cfRule>
    <cfRule type="cellIs" dxfId="1812" priority="288" operator="notEqual">
      <formula>0</formula>
    </cfRule>
  </conditionalFormatting>
  <conditionalFormatting sqref="V67:V68">
    <cfRule type="cellIs" dxfId="1811" priority="285" operator="equal">
      <formula>0</formula>
    </cfRule>
    <cfRule type="cellIs" dxfId="1810" priority="286" operator="notEqual">
      <formula>0</formula>
    </cfRule>
  </conditionalFormatting>
  <conditionalFormatting sqref="W67:W68">
    <cfRule type="cellIs" dxfId="1809" priority="283" operator="equal">
      <formula>0</formula>
    </cfRule>
    <cfRule type="cellIs" dxfId="1808" priority="284" operator="notEqual">
      <formula>0</formula>
    </cfRule>
  </conditionalFormatting>
  <conditionalFormatting sqref="X67:X68">
    <cfRule type="cellIs" dxfId="1807" priority="281" operator="equal">
      <formula>0</formula>
    </cfRule>
    <cfRule type="cellIs" dxfId="1806" priority="282" operator="notEqual">
      <formula>0</formula>
    </cfRule>
  </conditionalFormatting>
  <conditionalFormatting sqref="Y67:Y68">
    <cfRule type="cellIs" dxfId="1805" priority="279" operator="equal">
      <formula>0</formula>
    </cfRule>
    <cfRule type="cellIs" dxfId="1804" priority="280" operator="notEqual">
      <formula>0</formula>
    </cfRule>
  </conditionalFormatting>
  <conditionalFormatting sqref="Z67:Z68">
    <cfRule type="cellIs" dxfId="1803" priority="277" operator="equal">
      <formula>0</formula>
    </cfRule>
    <cfRule type="cellIs" dxfId="1802" priority="278" operator="notEqual">
      <formula>0</formula>
    </cfRule>
  </conditionalFormatting>
  <conditionalFormatting sqref="AA67:AA68">
    <cfRule type="cellIs" dxfId="1801" priority="275" operator="equal">
      <formula>0</formula>
    </cfRule>
    <cfRule type="cellIs" dxfId="1800" priority="276" operator="notEqual">
      <formula>0</formula>
    </cfRule>
  </conditionalFormatting>
  <conditionalFormatting sqref="AB67:AB68">
    <cfRule type="cellIs" dxfId="1799" priority="273" operator="equal">
      <formula>0</formula>
    </cfRule>
    <cfRule type="cellIs" dxfId="1798" priority="274" operator="notEqual">
      <formula>0</formula>
    </cfRule>
  </conditionalFormatting>
  <conditionalFormatting sqref="AG66">
    <cfRule type="cellIs" dxfId="1797" priority="271" operator="equal">
      <formula>0</formula>
    </cfRule>
    <cfRule type="cellIs" dxfId="1796" priority="272" operator="notEqual">
      <formula>0</formula>
    </cfRule>
  </conditionalFormatting>
  <conditionalFormatting sqref="AG69">
    <cfRule type="cellIs" dxfId="1795" priority="269" operator="equal">
      <formula>0</formula>
    </cfRule>
    <cfRule type="cellIs" dxfId="1794" priority="270" operator="notEqual">
      <formula>0</formula>
    </cfRule>
  </conditionalFormatting>
  <conditionalFormatting sqref="AH66">
    <cfRule type="cellIs" dxfId="1793" priority="267" operator="equal">
      <formula>0</formula>
    </cfRule>
    <cfRule type="cellIs" dxfId="1792" priority="268" operator="notEqual">
      <formula>0</formula>
    </cfRule>
  </conditionalFormatting>
  <conditionalFormatting sqref="AH69">
    <cfRule type="cellIs" dxfId="1791" priority="265" operator="equal">
      <formula>0</formula>
    </cfRule>
    <cfRule type="cellIs" dxfId="1790" priority="266" operator="notEqual">
      <formula>0</formula>
    </cfRule>
  </conditionalFormatting>
  <conditionalFormatting sqref="AI66">
    <cfRule type="cellIs" dxfId="1789" priority="263" operator="equal">
      <formula>0</formula>
    </cfRule>
    <cfRule type="cellIs" dxfId="1788" priority="264" operator="notEqual">
      <formula>0</formula>
    </cfRule>
  </conditionalFormatting>
  <conditionalFormatting sqref="AI69">
    <cfRule type="cellIs" dxfId="1787" priority="261" operator="equal">
      <formula>0</formula>
    </cfRule>
    <cfRule type="cellIs" dxfId="1786" priority="262" operator="notEqual">
      <formula>0</formula>
    </cfRule>
  </conditionalFormatting>
  <conditionalFormatting sqref="AJ66">
    <cfRule type="cellIs" dxfId="1785" priority="259" operator="equal">
      <formula>0</formula>
    </cfRule>
    <cfRule type="cellIs" dxfId="1784" priority="260" operator="notEqual">
      <formula>0</formula>
    </cfRule>
  </conditionalFormatting>
  <conditionalFormatting sqref="AJ69">
    <cfRule type="cellIs" dxfId="1783" priority="257" operator="equal">
      <formula>0</formula>
    </cfRule>
    <cfRule type="cellIs" dxfId="1782" priority="258" operator="notEqual">
      <formula>0</formula>
    </cfRule>
  </conditionalFormatting>
  <conditionalFormatting sqref="U60:U61">
    <cfRule type="cellIs" dxfId="1781" priority="255" operator="equal">
      <formula>0</formula>
    </cfRule>
    <cfRule type="cellIs" dxfId="1780" priority="256" operator="notEqual">
      <formula>0</formula>
    </cfRule>
  </conditionalFormatting>
  <conditionalFormatting sqref="V60:V61">
    <cfRule type="cellIs" dxfId="1779" priority="253" operator="equal">
      <formula>0</formula>
    </cfRule>
    <cfRule type="cellIs" dxfId="1778" priority="254" operator="notEqual">
      <formula>0</formula>
    </cfRule>
  </conditionalFormatting>
  <conditionalFormatting sqref="W60:W61">
    <cfRule type="cellIs" dxfId="1777" priority="251" operator="equal">
      <formula>0</formula>
    </cfRule>
    <cfRule type="cellIs" dxfId="1776" priority="252" operator="notEqual">
      <formula>0</formula>
    </cfRule>
  </conditionalFormatting>
  <conditionalFormatting sqref="X60:X61">
    <cfRule type="cellIs" dxfId="1775" priority="249" operator="equal">
      <formula>0</formula>
    </cfRule>
    <cfRule type="cellIs" dxfId="1774" priority="250" operator="notEqual">
      <formula>0</formula>
    </cfRule>
  </conditionalFormatting>
  <conditionalFormatting sqref="Y60:Y61">
    <cfRule type="cellIs" dxfId="1773" priority="247" operator="equal">
      <formula>0</formula>
    </cfRule>
    <cfRule type="cellIs" dxfId="1772" priority="248" operator="notEqual">
      <formula>0</formula>
    </cfRule>
  </conditionalFormatting>
  <conditionalFormatting sqref="Z60:Z61">
    <cfRule type="cellIs" dxfId="1771" priority="245" operator="equal">
      <formula>0</formula>
    </cfRule>
    <cfRule type="cellIs" dxfId="1770" priority="246" operator="notEqual">
      <formula>0</formula>
    </cfRule>
  </conditionalFormatting>
  <conditionalFormatting sqref="AA60:AA61">
    <cfRule type="cellIs" dxfId="1769" priority="243" operator="equal">
      <formula>0</formula>
    </cfRule>
    <cfRule type="cellIs" dxfId="1768" priority="244" operator="notEqual">
      <formula>0</formula>
    </cfRule>
  </conditionalFormatting>
  <conditionalFormatting sqref="AB60:AB61">
    <cfRule type="cellIs" dxfId="1767" priority="241" operator="equal">
      <formula>0</formula>
    </cfRule>
    <cfRule type="cellIs" dxfId="1766" priority="242" operator="notEqual">
      <formula>0</formula>
    </cfRule>
  </conditionalFormatting>
  <conditionalFormatting sqref="AG59">
    <cfRule type="cellIs" dxfId="1765" priority="239" operator="equal">
      <formula>0</formula>
    </cfRule>
    <cfRule type="cellIs" dxfId="1764" priority="240" operator="notEqual">
      <formula>0</formula>
    </cfRule>
  </conditionalFormatting>
  <conditionalFormatting sqref="AG62">
    <cfRule type="cellIs" dxfId="1763" priority="237" operator="equal">
      <formula>0</formula>
    </cfRule>
    <cfRule type="cellIs" dxfId="1762" priority="238" operator="notEqual">
      <formula>0</formula>
    </cfRule>
  </conditionalFormatting>
  <conditionalFormatting sqref="AH59">
    <cfRule type="cellIs" dxfId="1761" priority="235" operator="equal">
      <formula>0</formula>
    </cfRule>
    <cfRule type="cellIs" dxfId="1760" priority="236" operator="notEqual">
      <formula>0</formula>
    </cfRule>
  </conditionalFormatting>
  <conditionalFormatting sqref="AH62">
    <cfRule type="cellIs" dxfId="1759" priority="233" operator="equal">
      <formula>0</formula>
    </cfRule>
    <cfRule type="cellIs" dxfId="1758" priority="234" operator="notEqual">
      <formula>0</formula>
    </cfRule>
  </conditionalFormatting>
  <conditionalFormatting sqref="AI59">
    <cfRule type="cellIs" dxfId="1757" priority="231" operator="equal">
      <formula>0</formula>
    </cfRule>
    <cfRule type="cellIs" dxfId="1756" priority="232" operator="notEqual">
      <formula>0</formula>
    </cfRule>
  </conditionalFormatting>
  <conditionalFormatting sqref="AI62">
    <cfRule type="cellIs" dxfId="1755" priority="229" operator="equal">
      <formula>0</formula>
    </cfRule>
    <cfRule type="cellIs" dxfId="1754" priority="230" operator="notEqual">
      <formula>0</formula>
    </cfRule>
  </conditionalFormatting>
  <conditionalFormatting sqref="AJ59">
    <cfRule type="cellIs" dxfId="1753" priority="227" operator="equal">
      <formula>0</formula>
    </cfRule>
    <cfRule type="cellIs" dxfId="1752" priority="228" operator="notEqual">
      <formula>0</formula>
    </cfRule>
  </conditionalFormatting>
  <conditionalFormatting sqref="AJ62">
    <cfRule type="cellIs" dxfId="1751" priority="225" operator="equal">
      <formula>0</formula>
    </cfRule>
    <cfRule type="cellIs" dxfId="1750" priority="226" operator="notEqual">
      <formula>0</formula>
    </cfRule>
  </conditionalFormatting>
  <conditionalFormatting sqref="U53:U54">
    <cfRule type="cellIs" dxfId="1749" priority="223" operator="equal">
      <formula>0</formula>
    </cfRule>
    <cfRule type="cellIs" dxfId="1748" priority="224" operator="notEqual">
      <formula>0</formula>
    </cfRule>
  </conditionalFormatting>
  <conditionalFormatting sqref="V53:V54">
    <cfRule type="cellIs" dxfId="1747" priority="221" operator="equal">
      <formula>0</formula>
    </cfRule>
    <cfRule type="cellIs" dxfId="1746" priority="222" operator="notEqual">
      <formula>0</formula>
    </cfRule>
  </conditionalFormatting>
  <conditionalFormatting sqref="W53:W54">
    <cfRule type="cellIs" dxfId="1745" priority="219" operator="equal">
      <formula>0</formula>
    </cfRule>
    <cfRule type="cellIs" dxfId="1744" priority="220" operator="notEqual">
      <formula>0</formula>
    </cfRule>
  </conditionalFormatting>
  <conditionalFormatting sqref="X53:X54">
    <cfRule type="cellIs" dxfId="1743" priority="217" operator="equal">
      <formula>0</formula>
    </cfRule>
    <cfRule type="cellIs" dxfId="1742" priority="218" operator="notEqual">
      <formula>0</formula>
    </cfRule>
  </conditionalFormatting>
  <conditionalFormatting sqref="Y53:Y54">
    <cfRule type="cellIs" dxfId="1741" priority="215" operator="equal">
      <formula>0</formula>
    </cfRule>
    <cfRule type="cellIs" dxfId="1740" priority="216" operator="notEqual">
      <formula>0</formula>
    </cfRule>
  </conditionalFormatting>
  <conditionalFormatting sqref="Z53:Z54">
    <cfRule type="cellIs" dxfId="1739" priority="213" operator="equal">
      <formula>0</formula>
    </cfRule>
    <cfRule type="cellIs" dxfId="1738" priority="214" operator="notEqual">
      <formula>0</formula>
    </cfRule>
  </conditionalFormatting>
  <conditionalFormatting sqref="AA53:AA54">
    <cfRule type="cellIs" dxfId="1737" priority="211" operator="equal">
      <formula>0</formula>
    </cfRule>
    <cfRule type="cellIs" dxfId="1736" priority="212" operator="notEqual">
      <formula>0</formula>
    </cfRule>
  </conditionalFormatting>
  <conditionalFormatting sqref="AB53:AB54">
    <cfRule type="cellIs" dxfId="1735" priority="209" operator="equal">
      <formula>0</formula>
    </cfRule>
    <cfRule type="cellIs" dxfId="1734" priority="210" operator="notEqual">
      <formula>0</formula>
    </cfRule>
  </conditionalFormatting>
  <conditionalFormatting sqref="AG52">
    <cfRule type="cellIs" dxfId="1733" priority="207" operator="equal">
      <formula>0</formula>
    </cfRule>
    <cfRule type="cellIs" dxfId="1732" priority="208" operator="notEqual">
      <formula>0</formula>
    </cfRule>
  </conditionalFormatting>
  <conditionalFormatting sqref="AG55">
    <cfRule type="cellIs" dxfId="1731" priority="205" operator="equal">
      <formula>0</formula>
    </cfRule>
    <cfRule type="cellIs" dxfId="1730" priority="206" operator="notEqual">
      <formula>0</formula>
    </cfRule>
  </conditionalFormatting>
  <conditionalFormatting sqref="AH52">
    <cfRule type="cellIs" dxfId="1729" priority="203" operator="equal">
      <formula>0</formula>
    </cfRule>
    <cfRule type="cellIs" dxfId="1728" priority="204" operator="notEqual">
      <formula>0</formula>
    </cfRule>
  </conditionalFormatting>
  <conditionalFormatting sqref="AH55">
    <cfRule type="cellIs" dxfId="1727" priority="201" operator="equal">
      <formula>0</formula>
    </cfRule>
    <cfRule type="cellIs" dxfId="1726" priority="202" operator="notEqual">
      <formula>0</formula>
    </cfRule>
  </conditionalFormatting>
  <conditionalFormatting sqref="AI52">
    <cfRule type="cellIs" dxfId="1725" priority="199" operator="equal">
      <formula>0</formula>
    </cfRule>
    <cfRule type="cellIs" dxfId="1724" priority="200" operator="notEqual">
      <formula>0</formula>
    </cfRule>
  </conditionalFormatting>
  <conditionalFormatting sqref="AI55">
    <cfRule type="cellIs" dxfId="1723" priority="197" operator="equal">
      <formula>0</formula>
    </cfRule>
    <cfRule type="cellIs" dxfId="1722" priority="198" operator="notEqual">
      <formula>0</formula>
    </cfRule>
  </conditionalFormatting>
  <conditionalFormatting sqref="AJ52">
    <cfRule type="cellIs" dxfId="1721" priority="195" operator="equal">
      <formula>0</formula>
    </cfRule>
    <cfRule type="cellIs" dxfId="1720" priority="196" operator="notEqual">
      <formula>0</formula>
    </cfRule>
  </conditionalFormatting>
  <conditionalFormatting sqref="AJ55">
    <cfRule type="cellIs" dxfId="1719" priority="193" operator="equal">
      <formula>0</formula>
    </cfRule>
    <cfRule type="cellIs" dxfId="1718" priority="194" operator="notEqual">
      <formula>0</formula>
    </cfRule>
  </conditionalFormatting>
  <conditionalFormatting sqref="U46:U47">
    <cfRule type="cellIs" dxfId="1717" priority="191" operator="equal">
      <formula>0</formula>
    </cfRule>
    <cfRule type="cellIs" dxfId="1716" priority="192" operator="notEqual">
      <formula>0</formula>
    </cfRule>
  </conditionalFormatting>
  <conditionalFormatting sqref="V46:V47">
    <cfRule type="cellIs" dxfId="1715" priority="189" operator="equal">
      <formula>0</formula>
    </cfRule>
    <cfRule type="cellIs" dxfId="1714" priority="190" operator="notEqual">
      <formula>0</formula>
    </cfRule>
  </conditionalFormatting>
  <conditionalFormatting sqref="W46:W47">
    <cfRule type="cellIs" dxfId="1713" priority="187" operator="equal">
      <formula>0</formula>
    </cfRule>
    <cfRule type="cellIs" dxfId="1712" priority="188" operator="notEqual">
      <formula>0</formula>
    </cfRule>
  </conditionalFormatting>
  <conditionalFormatting sqref="X46:X47">
    <cfRule type="cellIs" dxfId="1711" priority="185" operator="equal">
      <formula>0</formula>
    </cfRule>
    <cfRule type="cellIs" dxfId="1710" priority="186" operator="notEqual">
      <formula>0</formula>
    </cfRule>
  </conditionalFormatting>
  <conditionalFormatting sqref="Y46:Y47">
    <cfRule type="cellIs" dxfId="1709" priority="183" operator="equal">
      <formula>0</formula>
    </cfRule>
    <cfRule type="cellIs" dxfId="1708" priority="184" operator="notEqual">
      <formula>0</formula>
    </cfRule>
  </conditionalFormatting>
  <conditionalFormatting sqref="Z46:Z47">
    <cfRule type="cellIs" dxfId="1707" priority="181" operator="equal">
      <formula>0</formula>
    </cfRule>
    <cfRule type="cellIs" dxfId="1706" priority="182" operator="notEqual">
      <formula>0</formula>
    </cfRule>
  </conditionalFormatting>
  <conditionalFormatting sqref="AA46:AA47">
    <cfRule type="cellIs" dxfId="1705" priority="179" operator="equal">
      <formula>0</formula>
    </cfRule>
    <cfRule type="cellIs" dxfId="1704" priority="180" operator="notEqual">
      <formula>0</formula>
    </cfRule>
  </conditionalFormatting>
  <conditionalFormatting sqref="AB46:AB47">
    <cfRule type="cellIs" dxfId="1703" priority="177" operator="equal">
      <formula>0</formula>
    </cfRule>
    <cfRule type="cellIs" dxfId="1702" priority="178" operator="notEqual">
      <formula>0</formula>
    </cfRule>
  </conditionalFormatting>
  <conditionalFormatting sqref="AG45">
    <cfRule type="cellIs" dxfId="1701" priority="175" operator="equal">
      <formula>0</formula>
    </cfRule>
    <cfRule type="cellIs" dxfId="1700" priority="176" operator="notEqual">
      <formula>0</formula>
    </cfRule>
  </conditionalFormatting>
  <conditionalFormatting sqref="AG48">
    <cfRule type="cellIs" dxfId="1699" priority="173" operator="equal">
      <formula>0</formula>
    </cfRule>
    <cfRule type="cellIs" dxfId="1698" priority="174" operator="notEqual">
      <formula>0</formula>
    </cfRule>
  </conditionalFormatting>
  <conditionalFormatting sqref="AH45">
    <cfRule type="cellIs" dxfId="1697" priority="171" operator="equal">
      <formula>0</formula>
    </cfRule>
    <cfRule type="cellIs" dxfId="1696" priority="172" operator="notEqual">
      <formula>0</formula>
    </cfRule>
  </conditionalFormatting>
  <conditionalFormatting sqref="AH48">
    <cfRule type="cellIs" dxfId="1695" priority="169" operator="equal">
      <formula>0</formula>
    </cfRule>
    <cfRule type="cellIs" dxfId="1694" priority="170" operator="notEqual">
      <formula>0</formula>
    </cfRule>
  </conditionalFormatting>
  <conditionalFormatting sqref="AI45">
    <cfRule type="cellIs" dxfId="1693" priority="167" operator="equal">
      <formula>0</formula>
    </cfRule>
    <cfRule type="cellIs" dxfId="1692" priority="168" operator="notEqual">
      <formula>0</formula>
    </cfRule>
  </conditionalFormatting>
  <conditionalFormatting sqref="AI48">
    <cfRule type="cellIs" dxfId="1691" priority="165" operator="equal">
      <formula>0</formula>
    </cfRule>
    <cfRule type="cellIs" dxfId="1690" priority="166" operator="notEqual">
      <formula>0</formula>
    </cfRule>
  </conditionalFormatting>
  <conditionalFormatting sqref="AJ45">
    <cfRule type="cellIs" dxfId="1689" priority="163" operator="equal">
      <formula>0</formula>
    </cfRule>
    <cfRule type="cellIs" dxfId="1688" priority="164" operator="notEqual">
      <formula>0</formula>
    </cfRule>
  </conditionalFormatting>
  <conditionalFormatting sqref="AJ48">
    <cfRule type="cellIs" dxfId="1687" priority="161" operator="equal">
      <formula>0</formula>
    </cfRule>
    <cfRule type="cellIs" dxfId="1686" priority="162" operator="notEqual">
      <formula>0</formula>
    </cfRule>
  </conditionalFormatting>
  <conditionalFormatting sqref="U39:U40">
    <cfRule type="cellIs" dxfId="1685" priority="159" operator="equal">
      <formula>0</formula>
    </cfRule>
    <cfRule type="cellIs" dxfId="1684" priority="160" operator="notEqual">
      <formula>0</formula>
    </cfRule>
  </conditionalFormatting>
  <conditionalFormatting sqref="V39:V40">
    <cfRule type="cellIs" dxfId="1683" priority="157" operator="equal">
      <formula>0</formula>
    </cfRule>
    <cfRule type="cellIs" dxfId="1682" priority="158" operator="notEqual">
      <formula>0</formula>
    </cfRule>
  </conditionalFormatting>
  <conditionalFormatting sqref="W39:W40">
    <cfRule type="cellIs" dxfId="1681" priority="155" operator="equal">
      <formula>0</formula>
    </cfRule>
    <cfRule type="cellIs" dxfId="1680" priority="156" operator="notEqual">
      <formula>0</formula>
    </cfRule>
  </conditionalFormatting>
  <conditionalFormatting sqref="X39:X40">
    <cfRule type="cellIs" dxfId="1679" priority="153" operator="equal">
      <formula>0</formula>
    </cfRule>
    <cfRule type="cellIs" dxfId="1678" priority="154" operator="notEqual">
      <formula>0</formula>
    </cfRule>
  </conditionalFormatting>
  <conditionalFormatting sqref="Y39:Y40">
    <cfRule type="cellIs" dxfId="1677" priority="151" operator="equal">
      <formula>0</formula>
    </cfRule>
    <cfRule type="cellIs" dxfId="1676" priority="152" operator="notEqual">
      <formula>0</formula>
    </cfRule>
  </conditionalFormatting>
  <conditionalFormatting sqref="Z39:Z40">
    <cfRule type="cellIs" dxfId="1675" priority="149" operator="equal">
      <formula>0</formula>
    </cfRule>
    <cfRule type="cellIs" dxfId="1674" priority="150" operator="notEqual">
      <formula>0</formula>
    </cfRule>
  </conditionalFormatting>
  <conditionalFormatting sqref="AA39:AA40">
    <cfRule type="cellIs" dxfId="1673" priority="147" operator="equal">
      <formula>0</formula>
    </cfRule>
    <cfRule type="cellIs" dxfId="1672" priority="148" operator="notEqual">
      <formula>0</formula>
    </cfRule>
  </conditionalFormatting>
  <conditionalFormatting sqref="AB39:AB40">
    <cfRule type="cellIs" dxfId="1671" priority="145" operator="equal">
      <formula>0</formula>
    </cfRule>
    <cfRule type="cellIs" dxfId="1670" priority="146" operator="notEqual">
      <formula>0</formula>
    </cfRule>
  </conditionalFormatting>
  <conditionalFormatting sqref="AG38">
    <cfRule type="cellIs" dxfId="1669" priority="143" operator="equal">
      <formula>0</formula>
    </cfRule>
    <cfRule type="cellIs" dxfId="1668" priority="144" operator="notEqual">
      <formula>0</formula>
    </cfRule>
  </conditionalFormatting>
  <conditionalFormatting sqref="AG41">
    <cfRule type="cellIs" dxfId="1667" priority="141" operator="equal">
      <formula>0</formula>
    </cfRule>
    <cfRule type="cellIs" dxfId="1666" priority="142" operator="notEqual">
      <formula>0</formula>
    </cfRule>
  </conditionalFormatting>
  <conditionalFormatting sqref="AH38">
    <cfRule type="cellIs" dxfId="1665" priority="139" operator="equal">
      <formula>0</formula>
    </cfRule>
    <cfRule type="cellIs" dxfId="1664" priority="140" operator="notEqual">
      <formula>0</formula>
    </cfRule>
  </conditionalFormatting>
  <conditionalFormatting sqref="AH41">
    <cfRule type="cellIs" dxfId="1663" priority="137" operator="equal">
      <formula>0</formula>
    </cfRule>
    <cfRule type="cellIs" dxfId="1662" priority="138" operator="notEqual">
      <formula>0</formula>
    </cfRule>
  </conditionalFormatting>
  <conditionalFormatting sqref="AI38">
    <cfRule type="cellIs" dxfId="1661" priority="135" operator="equal">
      <formula>0</formula>
    </cfRule>
    <cfRule type="cellIs" dxfId="1660" priority="136" operator="notEqual">
      <formula>0</formula>
    </cfRule>
  </conditionalFormatting>
  <conditionalFormatting sqref="AI41">
    <cfRule type="cellIs" dxfId="1659" priority="133" operator="equal">
      <formula>0</formula>
    </cfRule>
    <cfRule type="cellIs" dxfId="1658" priority="134" operator="notEqual">
      <formula>0</formula>
    </cfRule>
  </conditionalFormatting>
  <conditionalFormatting sqref="AJ38">
    <cfRule type="cellIs" dxfId="1657" priority="131" operator="equal">
      <formula>0</formula>
    </cfRule>
    <cfRule type="cellIs" dxfId="1656" priority="132" operator="notEqual">
      <formula>0</formula>
    </cfRule>
  </conditionalFormatting>
  <conditionalFormatting sqref="AJ41">
    <cfRule type="cellIs" dxfId="1655" priority="129" operator="equal">
      <formula>0</formula>
    </cfRule>
    <cfRule type="cellIs" dxfId="1654" priority="130" operator="notEqual">
      <formula>0</formula>
    </cfRule>
  </conditionalFormatting>
  <conditionalFormatting sqref="U32:U33">
    <cfRule type="cellIs" dxfId="1653" priority="127" operator="equal">
      <formula>0</formula>
    </cfRule>
    <cfRule type="cellIs" dxfId="1652" priority="128" operator="notEqual">
      <formula>0</formula>
    </cfRule>
  </conditionalFormatting>
  <conditionalFormatting sqref="V32:V33">
    <cfRule type="cellIs" dxfId="1651" priority="125" operator="equal">
      <formula>0</formula>
    </cfRule>
    <cfRule type="cellIs" dxfId="1650" priority="126" operator="notEqual">
      <formula>0</formula>
    </cfRule>
  </conditionalFormatting>
  <conditionalFormatting sqref="W32:W33">
    <cfRule type="cellIs" dxfId="1649" priority="123" operator="equal">
      <formula>0</formula>
    </cfRule>
    <cfRule type="cellIs" dxfId="1648" priority="124" operator="notEqual">
      <formula>0</formula>
    </cfRule>
  </conditionalFormatting>
  <conditionalFormatting sqref="X32:X33">
    <cfRule type="cellIs" dxfId="1647" priority="121" operator="equal">
      <formula>0</formula>
    </cfRule>
    <cfRule type="cellIs" dxfId="1646" priority="122" operator="notEqual">
      <formula>0</formula>
    </cfRule>
  </conditionalFormatting>
  <conditionalFormatting sqref="Y32:Y33">
    <cfRule type="cellIs" dxfId="1645" priority="119" operator="equal">
      <formula>0</formula>
    </cfRule>
    <cfRule type="cellIs" dxfId="1644" priority="120" operator="notEqual">
      <formula>0</formula>
    </cfRule>
  </conditionalFormatting>
  <conditionalFormatting sqref="Z32:Z33">
    <cfRule type="cellIs" dxfId="1643" priority="117" operator="equal">
      <formula>0</formula>
    </cfRule>
    <cfRule type="cellIs" dxfId="1642" priority="118" operator="notEqual">
      <formula>0</formula>
    </cfRule>
  </conditionalFormatting>
  <conditionalFormatting sqref="AA32:AA33">
    <cfRule type="cellIs" dxfId="1641" priority="115" operator="equal">
      <formula>0</formula>
    </cfRule>
    <cfRule type="cellIs" dxfId="1640" priority="116" operator="notEqual">
      <formula>0</formula>
    </cfRule>
  </conditionalFormatting>
  <conditionalFormatting sqref="AB32:AB33">
    <cfRule type="cellIs" dxfId="1639" priority="113" operator="equal">
      <formula>0</formula>
    </cfRule>
    <cfRule type="cellIs" dxfId="1638" priority="114" operator="notEqual">
      <formula>0</formula>
    </cfRule>
  </conditionalFormatting>
  <conditionalFormatting sqref="AG31">
    <cfRule type="cellIs" dxfId="1637" priority="111" operator="equal">
      <formula>0</formula>
    </cfRule>
    <cfRule type="cellIs" dxfId="1636" priority="112" operator="notEqual">
      <formula>0</formula>
    </cfRule>
  </conditionalFormatting>
  <conditionalFormatting sqref="AG34">
    <cfRule type="cellIs" dxfId="1635" priority="109" operator="equal">
      <formula>0</formula>
    </cfRule>
    <cfRule type="cellIs" dxfId="1634" priority="110" operator="notEqual">
      <formula>0</formula>
    </cfRule>
  </conditionalFormatting>
  <conditionalFormatting sqref="AH31">
    <cfRule type="cellIs" dxfId="1633" priority="107" operator="equal">
      <formula>0</formula>
    </cfRule>
    <cfRule type="cellIs" dxfId="1632" priority="108" operator="notEqual">
      <formula>0</formula>
    </cfRule>
  </conditionalFormatting>
  <conditionalFormatting sqref="AH34">
    <cfRule type="cellIs" dxfId="1631" priority="105" operator="equal">
      <formula>0</formula>
    </cfRule>
    <cfRule type="cellIs" dxfId="1630" priority="106" operator="notEqual">
      <formula>0</formula>
    </cfRule>
  </conditionalFormatting>
  <conditionalFormatting sqref="AI31">
    <cfRule type="cellIs" dxfId="1629" priority="103" operator="equal">
      <formula>0</formula>
    </cfRule>
    <cfRule type="cellIs" dxfId="1628" priority="104" operator="notEqual">
      <formula>0</formula>
    </cfRule>
  </conditionalFormatting>
  <conditionalFormatting sqref="AI34">
    <cfRule type="cellIs" dxfId="1627" priority="101" operator="equal">
      <formula>0</formula>
    </cfRule>
    <cfRule type="cellIs" dxfId="1626" priority="102" operator="notEqual">
      <formula>0</formula>
    </cfRule>
  </conditionalFormatting>
  <conditionalFormatting sqref="AJ31">
    <cfRule type="cellIs" dxfId="1625" priority="99" operator="equal">
      <formula>0</formula>
    </cfRule>
    <cfRule type="cellIs" dxfId="1624" priority="100" operator="notEqual">
      <formula>0</formula>
    </cfRule>
  </conditionalFormatting>
  <conditionalFormatting sqref="AJ34">
    <cfRule type="cellIs" dxfId="1623" priority="97" operator="equal">
      <formula>0</formula>
    </cfRule>
    <cfRule type="cellIs" dxfId="1622" priority="98" operator="notEqual">
      <formula>0</formula>
    </cfRule>
  </conditionalFormatting>
  <conditionalFormatting sqref="U25:U26">
    <cfRule type="cellIs" dxfId="1621" priority="95" operator="equal">
      <formula>0</formula>
    </cfRule>
    <cfRule type="cellIs" dxfId="1620" priority="96" operator="notEqual">
      <formula>0</formula>
    </cfRule>
  </conditionalFormatting>
  <conditionalFormatting sqref="V25:V26">
    <cfRule type="cellIs" dxfId="1619" priority="93" operator="equal">
      <formula>0</formula>
    </cfRule>
    <cfRule type="cellIs" dxfId="1618" priority="94" operator="notEqual">
      <formula>0</formula>
    </cfRule>
  </conditionalFormatting>
  <conditionalFormatting sqref="W25:W26">
    <cfRule type="cellIs" dxfId="1617" priority="91" operator="equal">
      <formula>0</formula>
    </cfRule>
    <cfRule type="cellIs" dxfId="1616" priority="92" operator="notEqual">
      <formula>0</formula>
    </cfRule>
  </conditionalFormatting>
  <conditionalFormatting sqref="X25:X26">
    <cfRule type="cellIs" dxfId="1615" priority="89" operator="equal">
      <formula>0</formula>
    </cfRule>
    <cfRule type="cellIs" dxfId="1614" priority="90" operator="notEqual">
      <formula>0</formula>
    </cfRule>
  </conditionalFormatting>
  <conditionalFormatting sqref="Y25:Y26">
    <cfRule type="cellIs" dxfId="1613" priority="87" operator="equal">
      <formula>0</formula>
    </cfRule>
    <cfRule type="cellIs" dxfId="1612" priority="88" operator="notEqual">
      <formula>0</formula>
    </cfRule>
  </conditionalFormatting>
  <conditionalFormatting sqref="Z25:Z26">
    <cfRule type="cellIs" dxfId="1611" priority="85" operator="equal">
      <formula>0</formula>
    </cfRule>
    <cfRule type="cellIs" dxfId="1610" priority="86" operator="notEqual">
      <formula>0</formula>
    </cfRule>
  </conditionalFormatting>
  <conditionalFormatting sqref="AA25:AA26">
    <cfRule type="cellIs" dxfId="1609" priority="83" operator="equal">
      <formula>0</formula>
    </cfRule>
    <cfRule type="cellIs" dxfId="1608" priority="84" operator="notEqual">
      <formula>0</formula>
    </cfRule>
  </conditionalFormatting>
  <conditionalFormatting sqref="AB25:AB26">
    <cfRule type="cellIs" dxfId="1607" priority="81" operator="equal">
      <formula>0</formula>
    </cfRule>
    <cfRule type="cellIs" dxfId="1606" priority="82" operator="notEqual">
      <formula>0</formula>
    </cfRule>
  </conditionalFormatting>
  <conditionalFormatting sqref="AG24">
    <cfRule type="cellIs" dxfId="1605" priority="79" operator="equal">
      <formula>0</formula>
    </cfRule>
    <cfRule type="cellIs" dxfId="1604" priority="80" operator="notEqual">
      <formula>0</formula>
    </cfRule>
  </conditionalFormatting>
  <conditionalFormatting sqref="AG27">
    <cfRule type="cellIs" dxfId="1603" priority="77" operator="equal">
      <formula>0</formula>
    </cfRule>
    <cfRule type="cellIs" dxfId="1602" priority="78" operator="notEqual">
      <formula>0</formula>
    </cfRule>
  </conditionalFormatting>
  <conditionalFormatting sqref="AH24">
    <cfRule type="cellIs" dxfId="1601" priority="75" operator="equal">
      <formula>0</formula>
    </cfRule>
    <cfRule type="cellIs" dxfId="1600" priority="76" operator="notEqual">
      <formula>0</formula>
    </cfRule>
  </conditionalFormatting>
  <conditionalFormatting sqref="AH27">
    <cfRule type="cellIs" dxfId="1599" priority="73" operator="equal">
      <formula>0</formula>
    </cfRule>
    <cfRule type="cellIs" dxfId="1598" priority="74" operator="notEqual">
      <formula>0</formula>
    </cfRule>
  </conditionalFormatting>
  <conditionalFormatting sqref="AI24">
    <cfRule type="cellIs" dxfId="1597" priority="71" operator="equal">
      <formula>0</formula>
    </cfRule>
    <cfRule type="cellIs" dxfId="1596" priority="72" operator="notEqual">
      <formula>0</formula>
    </cfRule>
  </conditionalFormatting>
  <conditionalFormatting sqref="AI27">
    <cfRule type="cellIs" dxfId="1595" priority="69" operator="equal">
      <formula>0</formula>
    </cfRule>
    <cfRule type="cellIs" dxfId="1594" priority="70" operator="notEqual">
      <formula>0</formula>
    </cfRule>
  </conditionalFormatting>
  <conditionalFormatting sqref="AJ24">
    <cfRule type="cellIs" dxfId="1593" priority="67" operator="equal">
      <formula>0</formula>
    </cfRule>
    <cfRule type="cellIs" dxfId="1592" priority="68" operator="notEqual">
      <formula>0</formula>
    </cfRule>
  </conditionalFormatting>
  <conditionalFormatting sqref="AJ27">
    <cfRule type="cellIs" dxfId="1591" priority="65" operator="equal">
      <formula>0</formula>
    </cfRule>
    <cfRule type="cellIs" dxfId="1590" priority="66" operator="notEqual">
      <formula>0</formula>
    </cfRule>
  </conditionalFormatting>
  <conditionalFormatting sqref="U18:U19">
    <cfRule type="cellIs" dxfId="1589" priority="63" operator="equal">
      <formula>0</formula>
    </cfRule>
    <cfRule type="cellIs" dxfId="1588" priority="64" operator="notEqual">
      <formula>0</formula>
    </cfRule>
  </conditionalFormatting>
  <conditionalFormatting sqref="V18:V19">
    <cfRule type="cellIs" dxfId="1587" priority="61" operator="equal">
      <formula>0</formula>
    </cfRule>
    <cfRule type="cellIs" dxfId="1586" priority="62" operator="notEqual">
      <formula>0</formula>
    </cfRule>
  </conditionalFormatting>
  <conditionalFormatting sqref="W18:W19">
    <cfRule type="cellIs" dxfId="1585" priority="59" operator="equal">
      <formula>0</formula>
    </cfRule>
    <cfRule type="cellIs" dxfId="1584" priority="60" operator="notEqual">
      <formula>0</formula>
    </cfRule>
  </conditionalFormatting>
  <conditionalFormatting sqref="X18:X19">
    <cfRule type="cellIs" dxfId="1583" priority="57" operator="equal">
      <formula>0</formula>
    </cfRule>
    <cfRule type="cellIs" dxfId="1582" priority="58" operator="notEqual">
      <formula>0</formula>
    </cfRule>
  </conditionalFormatting>
  <conditionalFormatting sqref="Y18:Y19">
    <cfRule type="cellIs" dxfId="1581" priority="55" operator="equal">
      <formula>0</formula>
    </cfRule>
    <cfRule type="cellIs" dxfId="1580" priority="56" operator="notEqual">
      <formula>0</formula>
    </cfRule>
  </conditionalFormatting>
  <conditionalFormatting sqref="Z18:Z19">
    <cfRule type="cellIs" dxfId="1579" priority="53" operator="equal">
      <formula>0</formula>
    </cfRule>
    <cfRule type="cellIs" dxfId="1578" priority="54" operator="notEqual">
      <formula>0</formula>
    </cfRule>
  </conditionalFormatting>
  <conditionalFormatting sqref="AA18:AA19">
    <cfRule type="cellIs" dxfId="1577" priority="51" operator="equal">
      <formula>0</formula>
    </cfRule>
    <cfRule type="cellIs" dxfId="1576" priority="52" operator="notEqual">
      <formula>0</formula>
    </cfRule>
  </conditionalFormatting>
  <conditionalFormatting sqref="AB18:AB19">
    <cfRule type="cellIs" dxfId="1575" priority="49" operator="equal">
      <formula>0</formula>
    </cfRule>
    <cfRule type="cellIs" dxfId="1574" priority="50" operator="notEqual">
      <formula>0</formula>
    </cfRule>
  </conditionalFormatting>
  <conditionalFormatting sqref="AG17">
    <cfRule type="cellIs" dxfId="1573" priority="47" operator="equal">
      <formula>0</formula>
    </cfRule>
    <cfRule type="cellIs" dxfId="1572" priority="48" operator="notEqual">
      <formula>0</formula>
    </cfRule>
  </conditionalFormatting>
  <conditionalFormatting sqref="AG20">
    <cfRule type="cellIs" dxfId="1571" priority="45" operator="equal">
      <formula>0</formula>
    </cfRule>
    <cfRule type="cellIs" dxfId="1570" priority="46" operator="notEqual">
      <formula>0</formula>
    </cfRule>
  </conditionalFormatting>
  <conditionalFormatting sqref="AH17">
    <cfRule type="cellIs" dxfId="1569" priority="43" operator="equal">
      <formula>0</formula>
    </cfRule>
    <cfRule type="cellIs" dxfId="1568" priority="44" operator="notEqual">
      <formula>0</formula>
    </cfRule>
  </conditionalFormatting>
  <conditionalFormatting sqref="AH20">
    <cfRule type="cellIs" dxfId="1567" priority="41" operator="equal">
      <formula>0</formula>
    </cfRule>
    <cfRule type="cellIs" dxfId="1566" priority="42" operator="notEqual">
      <formula>0</formula>
    </cfRule>
  </conditionalFormatting>
  <conditionalFormatting sqref="AI17">
    <cfRule type="cellIs" dxfId="1565" priority="39" operator="equal">
      <formula>0</formula>
    </cfRule>
    <cfRule type="cellIs" dxfId="1564" priority="40" operator="notEqual">
      <formula>0</formula>
    </cfRule>
  </conditionalFormatting>
  <conditionalFormatting sqref="AI20">
    <cfRule type="cellIs" dxfId="1563" priority="37" operator="equal">
      <formula>0</formula>
    </cfRule>
    <cfRule type="cellIs" dxfId="1562" priority="38" operator="notEqual">
      <formula>0</formula>
    </cfRule>
  </conditionalFormatting>
  <conditionalFormatting sqref="AJ17">
    <cfRule type="cellIs" dxfId="1561" priority="35" operator="equal">
      <formula>0</formula>
    </cfRule>
    <cfRule type="cellIs" dxfId="1560" priority="36" operator="notEqual">
      <formula>0</formula>
    </cfRule>
  </conditionalFormatting>
  <conditionalFormatting sqref="AJ20">
    <cfRule type="cellIs" dxfId="1559" priority="33" operator="equal">
      <formula>0</formula>
    </cfRule>
    <cfRule type="cellIs" dxfId="1558" priority="34" operator="notEqual">
      <formula>0</formula>
    </cfRule>
  </conditionalFormatting>
  <conditionalFormatting sqref="U11:U12">
    <cfRule type="cellIs" dxfId="1557" priority="31" operator="equal">
      <formula>0</formula>
    </cfRule>
    <cfRule type="cellIs" dxfId="1556" priority="32" operator="notEqual">
      <formula>0</formula>
    </cfRule>
  </conditionalFormatting>
  <conditionalFormatting sqref="V11:V12">
    <cfRule type="cellIs" dxfId="1555" priority="29" operator="equal">
      <formula>0</formula>
    </cfRule>
    <cfRule type="cellIs" dxfId="1554" priority="30" operator="notEqual">
      <formula>0</formula>
    </cfRule>
  </conditionalFormatting>
  <conditionalFormatting sqref="W11:W12">
    <cfRule type="cellIs" dxfId="1553" priority="27" operator="equal">
      <formula>0</formula>
    </cfRule>
    <cfRule type="cellIs" dxfId="1552" priority="28" operator="notEqual">
      <formula>0</formula>
    </cfRule>
  </conditionalFormatting>
  <conditionalFormatting sqref="X11:X12">
    <cfRule type="cellIs" dxfId="1551" priority="25" operator="equal">
      <formula>0</formula>
    </cfRule>
    <cfRule type="cellIs" dxfId="1550" priority="26" operator="notEqual">
      <formula>0</formula>
    </cfRule>
  </conditionalFormatting>
  <conditionalFormatting sqref="Y11:Y12">
    <cfRule type="cellIs" dxfId="1549" priority="23" operator="equal">
      <formula>0</formula>
    </cfRule>
    <cfRule type="cellIs" dxfId="1548" priority="24" operator="notEqual">
      <formula>0</formula>
    </cfRule>
  </conditionalFormatting>
  <conditionalFormatting sqref="Z11:Z12">
    <cfRule type="cellIs" dxfId="1547" priority="21" operator="equal">
      <formula>0</formula>
    </cfRule>
    <cfRule type="cellIs" dxfId="1546" priority="22" operator="notEqual">
      <formula>0</formula>
    </cfRule>
  </conditionalFormatting>
  <conditionalFormatting sqref="AA11:AA12">
    <cfRule type="cellIs" dxfId="1545" priority="19" operator="equal">
      <formula>0</formula>
    </cfRule>
    <cfRule type="cellIs" dxfId="1544" priority="20" operator="notEqual">
      <formula>0</formula>
    </cfRule>
  </conditionalFormatting>
  <conditionalFormatting sqref="AB11:AB12">
    <cfRule type="cellIs" dxfId="1543" priority="17" operator="equal">
      <formula>0</formula>
    </cfRule>
    <cfRule type="cellIs" dxfId="1542" priority="18" operator="notEqual">
      <formula>0</formula>
    </cfRule>
  </conditionalFormatting>
  <conditionalFormatting sqref="AG10">
    <cfRule type="cellIs" dxfId="1541" priority="15" operator="equal">
      <formula>0</formula>
    </cfRule>
    <cfRule type="cellIs" dxfId="1540" priority="16" operator="notEqual">
      <formula>0</formula>
    </cfRule>
  </conditionalFormatting>
  <conditionalFormatting sqref="AG13">
    <cfRule type="cellIs" dxfId="1539" priority="13" operator="equal">
      <formula>0</formula>
    </cfRule>
    <cfRule type="cellIs" dxfId="1538" priority="14" operator="notEqual">
      <formula>0</formula>
    </cfRule>
  </conditionalFormatting>
  <conditionalFormatting sqref="AH10">
    <cfRule type="cellIs" dxfId="1537" priority="11" operator="equal">
      <formula>0</formula>
    </cfRule>
    <cfRule type="cellIs" dxfId="1536" priority="12" operator="notEqual">
      <formula>0</formula>
    </cfRule>
  </conditionalFormatting>
  <conditionalFormatting sqref="AH13">
    <cfRule type="cellIs" dxfId="1535" priority="9" operator="equal">
      <formula>0</formula>
    </cfRule>
    <cfRule type="cellIs" dxfId="1534" priority="10" operator="notEqual">
      <formula>0</formula>
    </cfRule>
  </conditionalFormatting>
  <conditionalFormatting sqref="AI10">
    <cfRule type="cellIs" dxfId="1533" priority="7" operator="equal">
      <formula>0</formula>
    </cfRule>
    <cfRule type="cellIs" dxfId="1532" priority="8" operator="notEqual">
      <formula>0</formula>
    </cfRule>
  </conditionalFormatting>
  <conditionalFormatting sqref="AI13">
    <cfRule type="cellIs" dxfId="1531" priority="5" operator="equal">
      <formula>0</formula>
    </cfRule>
    <cfRule type="cellIs" dxfId="1530" priority="6" operator="notEqual">
      <formula>0</formula>
    </cfRule>
  </conditionalFormatting>
  <conditionalFormatting sqref="AJ10">
    <cfRule type="cellIs" dxfId="1529" priority="3" operator="equal">
      <formula>0</formula>
    </cfRule>
    <cfRule type="cellIs" dxfId="1528" priority="4" operator="notEqual">
      <formula>0</formula>
    </cfRule>
  </conditionalFormatting>
  <conditionalFormatting sqref="AJ13">
    <cfRule type="cellIs" dxfId="1527" priority="1" operator="equal">
      <formula>0</formula>
    </cfRule>
    <cfRule type="cellIs" dxfId="1526" priority="2" operator="notEqual">
      <formula>0</formula>
    </cfRule>
  </conditionalFormatting>
  <dataValidations count="1">
    <dataValidation type="list" allowBlank="1" showInputMessage="1" showErrorMessage="1" sqref="B5" xr:uid="{2689B128-89B0-40E9-A0F8-E0A360005201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6"/>
  <dimension ref="A1:AW76"/>
  <sheetViews>
    <sheetView showGridLines="0" topLeftCell="A5" zoomScale="70" zoomScaleNormal="70" workbookViewId="0">
      <selection activeCell="B5" sqref="B5"/>
    </sheetView>
  </sheetViews>
  <sheetFormatPr baseColWidth="10" defaultColWidth="9.1640625" defaultRowHeight="14" x14ac:dyDescent="0.15"/>
  <cols>
    <col min="1" max="1" width="2.5" style="30" customWidth="1"/>
    <col min="2" max="2" width="36.1640625" style="30" customWidth="1"/>
    <col min="3" max="19" width="9.1640625" style="30"/>
    <col min="20" max="20" width="33" style="30" customWidth="1"/>
    <col min="21" max="16384" width="9.1640625" style="30"/>
  </cols>
  <sheetData>
    <row r="1" spans="1:49" ht="75" customHeight="1" x14ac:dyDescent="0.15">
      <c r="A1" s="375" t="s">
        <v>450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/>
      <c r="AS1" s="375"/>
      <c r="AT1" s="375"/>
      <c r="AU1" s="375"/>
      <c r="AV1" s="375"/>
      <c r="AW1" s="375"/>
    </row>
    <row r="2" spans="1:49" ht="59.25" customHeight="1" x14ac:dyDescent="0.15">
      <c r="A2" s="376"/>
      <c r="B2" s="376"/>
      <c r="C2" s="376"/>
      <c r="D2" s="376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6"/>
      <c r="P2" s="376"/>
      <c r="Q2" s="376"/>
      <c r="R2" s="376"/>
      <c r="S2" s="376"/>
      <c r="T2" s="376"/>
      <c r="U2" s="376"/>
      <c r="V2" s="376"/>
      <c r="W2" s="376"/>
      <c r="X2" s="376"/>
      <c r="Y2" s="376"/>
      <c r="Z2" s="376"/>
      <c r="AA2" s="376"/>
      <c r="AB2" s="376"/>
      <c r="AC2" s="376"/>
      <c r="AD2" s="376"/>
      <c r="AE2" s="376"/>
      <c r="AF2" s="376"/>
      <c r="AG2" s="376"/>
      <c r="AH2" s="376"/>
      <c r="AI2" s="376"/>
      <c r="AJ2" s="376"/>
      <c r="AK2" s="376"/>
      <c r="AL2" s="376"/>
      <c r="AM2" s="376"/>
      <c r="AN2" s="376"/>
      <c r="AO2" s="376"/>
      <c r="AP2" s="376"/>
      <c r="AQ2" s="376"/>
      <c r="AR2" s="376"/>
      <c r="AS2" s="376"/>
      <c r="AT2" s="376"/>
      <c r="AU2" s="376"/>
      <c r="AV2" s="376"/>
    </row>
    <row r="3" spans="1:49" s="72" customFormat="1" ht="16" x14ac:dyDescent="0.15"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</row>
    <row r="4" spans="1:49" ht="30" x14ac:dyDescent="0.15">
      <c r="B4" s="56" t="s">
        <v>470</v>
      </c>
    </row>
    <row r="5" spans="1:49" ht="15" x14ac:dyDescent="0.15">
      <c r="B5" s="78" t="s">
        <v>376</v>
      </c>
      <c r="P5" s="61"/>
    </row>
    <row r="6" spans="1:49" x14ac:dyDescent="0.15">
      <c r="B6" s="70"/>
    </row>
    <row r="8" spans="1:49" ht="28.5" customHeight="1" x14ac:dyDescent="0.15">
      <c r="B8" s="182" t="str">
        <f>HLOOKUP($B$5,Region_Table,2,0)</f>
        <v>Accredited Programmes and Structured Interventions - N07</v>
      </c>
      <c r="C8" s="359" t="s">
        <v>366</v>
      </c>
      <c r="D8" s="365"/>
      <c r="E8" s="365"/>
      <c r="F8" s="365"/>
      <c r="G8" s="365"/>
      <c r="H8" s="365"/>
      <c r="I8" s="365"/>
      <c r="J8" s="365"/>
      <c r="K8" s="365"/>
      <c r="L8" s="365"/>
      <c r="M8" s="368"/>
      <c r="N8" s="368"/>
      <c r="O8" s="369"/>
      <c r="P8" s="362">
        <f>SUMIF('caseload data'!C:C,'custody %'!B8,'caseload data'!V:V)</f>
        <v>0</v>
      </c>
      <c r="Q8" s="370"/>
      <c r="R8" s="371"/>
      <c r="S8" s="95"/>
      <c r="T8" s="182" t="str">
        <f>HLOOKUP($B$5,Region_Table,3,0)</f>
        <v>All London</v>
      </c>
      <c r="U8" s="359" t="s">
        <v>366</v>
      </c>
      <c r="V8" s="365"/>
      <c r="W8" s="365"/>
      <c r="X8" s="365"/>
      <c r="Y8" s="365"/>
      <c r="Z8" s="365"/>
      <c r="AA8" s="365"/>
      <c r="AB8" s="365"/>
      <c r="AC8" s="368"/>
      <c r="AD8" s="368"/>
      <c r="AE8" s="369"/>
      <c r="AF8" s="362">
        <f>SUMIF('caseload data'!C:C,'custody %'!T8,'caseload data'!V:V)</f>
        <v>0</v>
      </c>
      <c r="AG8" s="370"/>
      <c r="AH8" s="371"/>
    </row>
    <row r="9" spans="1:49" x14ac:dyDescent="0.15">
      <c r="B9" s="127" t="s">
        <v>324</v>
      </c>
      <c r="C9" s="58" t="s">
        <v>504</v>
      </c>
      <c r="D9" s="58" t="s">
        <v>503</v>
      </c>
      <c r="E9" s="58" t="s">
        <v>502</v>
      </c>
      <c r="F9" s="58" t="s">
        <v>501</v>
      </c>
      <c r="G9" s="58" t="s">
        <v>510</v>
      </c>
      <c r="H9" s="58" t="s">
        <v>176</v>
      </c>
      <c r="I9" s="58" t="s">
        <v>177</v>
      </c>
      <c r="J9" s="58" t="s">
        <v>505</v>
      </c>
      <c r="K9" s="58" t="s">
        <v>507</v>
      </c>
      <c r="L9" s="58" t="s">
        <v>178</v>
      </c>
      <c r="M9" s="58" t="s">
        <v>179</v>
      </c>
      <c r="N9" s="58" t="s">
        <v>506</v>
      </c>
      <c r="O9" s="58" t="s">
        <v>508</v>
      </c>
      <c r="P9" s="58" t="s">
        <v>180</v>
      </c>
      <c r="Q9" s="58" t="s">
        <v>181</v>
      </c>
      <c r="R9" s="58" t="s">
        <v>509</v>
      </c>
      <c r="S9" s="95"/>
      <c r="T9" s="127" t="s">
        <v>324</v>
      </c>
      <c r="U9" s="58" t="s">
        <v>504</v>
      </c>
      <c r="V9" s="58" t="s">
        <v>503</v>
      </c>
      <c r="W9" s="58" t="s">
        <v>502</v>
      </c>
      <c r="X9" s="58" t="s">
        <v>501</v>
      </c>
      <c r="Y9" s="58" t="s">
        <v>510</v>
      </c>
      <c r="Z9" s="58" t="s">
        <v>176</v>
      </c>
      <c r="AA9" s="58" t="s">
        <v>177</v>
      </c>
      <c r="AB9" s="58" t="s">
        <v>505</v>
      </c>
      <c r="AC9" s="58" t="s">
        <v>507</v>
      </c>
      <c r="AD9" s="58" t="s">
        <v>178</v>
      </c>
      <c r="AE9" s="58" t="s">
        <v>179</v>
      </c>
      <c r="AF9" s="58" t="s">
        <v>506</v>
      </c>
      <c r="AG9" s="58" t="s">
        <v>508</v>
      </c>
      <c r="AH9" s="58" t="s">
        <v>180</v>
      </c>
      <c r="AI9" s="58" t="s">
        <v>181</v>
      </c>
      <c r="AJ9" s="58" t="s">
        <v>509</v>
      </c>
    </row>
    <row r="10" spans="1:49" x14ac:dyDescent="0.15">
      <c r="B10" s="129" t="s">
        <v>184</v>
      </c>
      <c r="C10" s="209" t="str">
        <f>IFERROR(SUMIFS('caseload data'!E:E,'caseload data'!$C:$C,'custody %'!$B$8,'caseload data'!$D:$D,"PO",'caseload data'!$B:$B,"custody")/SUMIFS('caseload data'!E:E,'caseload data'!$B:$B,"custody",'caseload data'!$C:$C,'custody %'!$B$8),"")</f>
        <v/>
      </c>
      <c r="D10" s="209" t="str">
        <f>IFERROR(SUMIFS('caseload data'!F:F,'caseload data'!$C:$C,'custody %'!$B$8,'caseload data'!$D:$D,"PO",'caseload data'!$B:$B,"custody")/SUMIFS('caseload data'!F:F,'caseload data'!$B:$B,"custody",'caseload data'!$C:$C,'custody %'!$B$8),"")</f>
        <v/>
      </c>
      <c r="E10" s="209" t="str">
        <f>IFERROR(SUMIFS('caseload data'!G:G,'caseload data'!$C:$C,'custody %'!$B$8,'caseload data'!$D:$D,"PO",'caseload data'!$B:$B,"custody")/SUMIFS('caseload data'!G:G,'caseload data'!$B:$B,"custody",'caseload data'!$C:$C,'custody %'!$B$8),"")</f>
        <v/>
      </c>
      <c r="F10" s="209" t="str">
        <f>IFERROR(SUMIFS('caseload data'!H:H,'caseload data'!$C:$C,'custody %'!$B$8,'caseload data'!$D:$D,"PO",'caseload data'!$B:$B,"custody")/SUMIFS('caseload data'!H:H,'caseload data'!$B:$B,"custody",'caseload data'!$C:$C,'custody %'!$B$8),"")</f>
        <v/>
      </c>
      <c r="G10" s="209" t="str">
        <f>IFERROR(SUMIFS('caseload data'!I:I,'caseload data'!$C:$C,'custody %'!$B$8,'caseload data'!$D:$D,"PO",'caseload data'!$B:$B,"custody")/SUMIFS('caseload data'!I:I,'caseload data'!$B:$B,"custody",'caseload data'!$C:$C,'custody %'!$B$8),"")</f>
        <v/>
      </c>
      <c r="H10" s="209" t="str">
        <f>IFERROR(SUMIFS('caseload data'!J:J,'caseload data'!$C:$C,'custody %'!$B$8,'caseload data'!$D:$D,"PO",'caseload data'!$B:$B,"custody")/SUMIFS('caseload data'!J:J,'caseload data'!$B:$B,"custody",'caseload data'!$C:$C,'custody %'!$B$8),"")</f>
        <v/>
      </c>
      <c r="I10" s="209" t="str">
        <f>IFERROR(SUMIFS('caseload data'!K:K,'caseload data'!$C:$C,'custody %'!$B$8,'caseload data'!$D:$D,"PO",'caseload data'!$B:$B,"custody")/SUMIFS('caseload data'!K:K,'caseload data'!$B:$B,"custody",'caseload data'!$C:$C,'custody %'!$B$8),"")</f>
        <v/>
      </c>
      <c r="J10" s="209" t="str">
        <f>IFERROR(SUMIFS('caseload data'!L:L,'caseload data'!$C:$C,'custody %'!$B$8,'caseload data'!$D:$D,"PO",'caseload data'!$B:$B,"custody")/SUMIFS('caseload data'!L:L,'caseload data'!$B:$B,"custody",'caseload data'!$C:$C,'custody %'!$B$8),"")</f>
        <v/>
      </c>
      <c r="K10" s="209" t="str">
        <f>IFERROR(SUMIFS('caseload data'!M:M,'caseload data'!$C:$C,'custody %'!$B$8,'caseload data'!$D:$D,"PO",'caseload data'!$B:$B,"custody")/SUMIFS('caseload data'!M:M,'caseload data'!$B:$B,"custody",'caseload data'!$C:$C,'custody %'!$B$8),"")</f>
        <v/>
      </c>
      <c r="L10" s="209" t="str">
        <f>IFERROR(SUMIFS('caseload data'!N:N,'caseload data'!$C:$C,'custody %'!$B$8,'caseload data'!$D:$D,"PO",'caseload data'!$B:$B,"custody")/SUMIFS('caseload data'!N:N,'caseload data'!$B:$B,"custody",'caseload data'!$C:$C,'custody %'!$B$8),"")</f>
        <v/>
      </c>
      <c r="M10" s="209" t="str">
        <f>IFERROR(SUMIFS('caseload data'!O:O,'caseload data'!$C:$C,'custody %'!$B$8,'caseload data'!$D:$D,"PO",'caseload data'!$B:$B,"custody")/SUMIFS('caseload data'!O:O,'caseload data'!$B:$B,"custody",'caseload data'!$C:$C,'custody %'!$B$8),"")</f>
        <v/>
      </c>
      <c r="N10" s="209" t="str">
        <f>IFERROR(SUMIFS('caseload data'!P:P,'caseload data'!$C:$C,'custody %'!$B$8,'caseload data'!$D:$D,"PO",'caseload data'!$B:$B,"custody")/SUMIFS('caseload data'!P:P,'caseload data'!$B:$B,"custody",'caseload data'!$C:$C,'custody %'!$B$8),"")</f>
        <v/>
      </c>
      <c r="O10" s="209" t="str">
        <f>IFERROR(SUMIFS('caseload data'!Q:Q,'caseload data'!$C:$C,'custody %'!$B$8,'caseload data'!$D:$D,"PO",'caseload data'!$B:$B,"custody")/SUMIFS('caseload data'!Q:Q,'caseload data'!$B:$B,"custody",'caseload data'!$C:$C,'custody %'!$B$8),"")</f>
        <v/>
      </c>
      <c r="P10" s="209" t="str">
        <f>IFERROR(SUMIFS('caseload data'!R:R,'caseload data'!$C:$C,'custody %'!$B$8,'caseload data'!$D:$D,"PO",'caseload data'!$B:$B,"custody")/SUMIFS('caseload data'!R:R,'caseload data'!$B:$B,"custody",'caseload data'!$C:$C,'custody %'!$B$8),"")</f>
        <v/>
      </c>
      <c r="Q10" s="209" t="str">
        <f>IFERROR(SUMIFS('caseload data'!S:S,'caseload data'!$C:$C,'custody %'!$B$8,'caseload data'!$D:$D,"PO",'caseload data'!$B:$B,"custody")/SUMIFS('caseload data'!S:S,'caseload data'!$B:$B,"custody",'caseload data'!$C:$C,'custody %'!$B$8),"")</f>
        <v/>
      </c>
      <c r="R10" s="209" t="str">
        <f>IFERROR(SUMIFS('caseload data'!T:T,'caseload data'!$C:$C,'custody %'!$B$8,'caseload data'!$D:$D,"PO",'caseload data'!$B:$B,"custody")/SUMIFS('caseload data'!T:T,'caseload data'!$B:$B,"custody",'caseload data'!$C:$C,'custody %'!$B$8),"")</f>
        <v/>
      </c>
      <c r="S10" s="95"/>
      <c r="T10" s="129" t="s">
        <v>184</v>
      </c>
      <c r="U10" s="209" t="str">
        <f>IFERROR(SUMIFS('caseload data'!E:E,'caseload data'!$C:$C,'custody %'!$T$8,'caseload data'!$D:$D,"PO",'caseload data'!$B:$B,"custody")/SUMIFS('caseload data'!E:E,'caseload data'!$B:$B,"custody",'caseload data'!$C:$C,'custody %'!$T$8),"")</f>
        <v/>
      </c>
      <c r="V10" s="209" t="str">
        <f>IFERROR(SUMIFS('caseload data'!F:F,'caseload data'!$C:$C,'custody %'!$T$8,'caseload data'!$D:$D,"PO",'caseload data'!$B:$B,"custody")/SUMIFS('caseload data'!F:F,'caseload data'!$B:$B,"custody",'caseload data'!$C:$C,'custody %'!$T$8),"")</f>
        <v/>
      </c>
      <c r="W10" s="209" t="str">
        <f>IFERROR(SUMIFS('caseload data'!G:G,'caseload data'!$C:$C,'custody %'!$T$8,'caseload data'!$D:$D,"PO",'caseload data'!$B:$B,"custody")/SUMIFS('caseload data'!G:G,'caseload data'!$B:$B,"custody",'caseload data'!$C:$C,'custody %'!$T$8),"")</f>
        <v/>
      </c>
      <c r="X10" s="209" t="str">
        <f>IFERROR(SUMIFS('caseload data'!H:H,'caseload data'!$C:$C,'custody %'!$T$8,'caseload data'!$D:$D,"PO",'caseload data'!$B:$B,"custody")/SUMIFS('caseload data'!H:H,'caseload data'!$B:$B,"custody",'caseload data'!$C:$C,'custody %'!$T$8),"")</f>
        <v/>
      </c>
      <c r="Y10" s="209" t="str">
        <f>IFERROR(SUMIFS('caseload data'!I:I,'caseload data'!$C:$C,'custody %'!$T$8,'caseload data'!$D:$D,"PO",'caseload data'!$B:$B,"custody")/SUMIFS('caseload data'!I:I,'caseload data'!$B:$B,"custody",'caseload data'!$C:$C,'custody %'!$T$8),"")</f>
        <v/>
      </c>
      <c r="Z10" s="209" t="str">
        <f>IFERROR(SUMIFS('caseload data'!J:J,'caseload data'!$C:$C,'custody %'!$T$8,'caseload data'!$D:$D,"PO",'caseload data'!$B:$B,"custody")/SUMIFS('caseload data'!J:J,'caseload data'!$B:$B,"custody",'caseload data'!$C:$C,'custody %'!$T$8),"")</f>
        <v/>
      </c>
      <c r="AA10" s="209" t="str">
        <f>IFERROR(SUMIFS('caseload data'!K:K,'caseload data'!$C:$C,'custody %'!$T$8,'caseload data'!$D:$D,"PO",'caseload data'!$B:$B,"custody")/SUMIFS('caseload data'!K:K,'caseload data'!$B:$B,"custody",'caseload data'!$C:$C,'custody %'!$T$8),"")</f>
        <v/>
      </c>
      <c r="AB10" s="209" t="str">
        <f>IFERROR(SUMIFS('caseload data'!L:L,'caseload data'!$C:$C,'custody %'!$T$8,'caseload data'!$D:$D,"PO",'caseload data'!$B:$B,"custody")/SUMIFS('caseload data'!L:L,'caseload data'!$B:$B,"custody",'caseload data'!$C:$C,'custody %'!$T$8),"")</f>
        <v/>
      </c>
      <c r="AC10" s="209" t="str">
        <f>IFERROR(SUMIFS('caseload data'!M:M,'caseload data'!$C:$C,'custody %'!$T$8,'caseload data'!$D:$D,"PO",'caseload data'!$B:$B,"custody")/SUMIFS('caseload data'!M:M,'caseload data'!$B:$B,"custody",'caseload data'!$C:$C,'custody %'!$T$8),"")</f>
        <v/>
      </c>
      <c r="AD10" s="209" t="str">
        <f>IFERROR(SUMIFS('caseload data'!N:N,'caseload data'!$C:$C,'custody %'!$T$8,'caseload data'!$D:$D,"PO",'caseload data'!$B:$B,"custody")/SUMIFS('caseload data'!N:N,'caseload data'!$B:$B,"custody",'caseload data'!$C:$C,'custody %'!$T$8),"")</f>
        <v/>
      </c>
      <c r="AE10" s="209" t="str">
        <f>IFERROR(SUMIFS('caseload data'!O:O,'caseload data'!$C:$C,'custody %'!$T$8,'caseload data'!$D:$D,"PO",'caseload data'!$B:$B,"custody")/SUMIFS('caseload data'!O:O,'caseload data'!$B:$B,"custody",'caseload data'!$C:$C,'custody %'!$T$8),"")</f>
        <v/>
      </c>
      <c r="AF10" s="209" t="str">
        <f>IFERROR(SUMIFS('caseload data'!P:P,'caseload data'!$C:$C,'custody %'!$T$8,'caseload data'!$D:$D,"PO",'caseload data'!$B:$B,"custody")/SUMIFS('caseload data'!P:P,'caseload data'!$B:$B,"custody",'caseload data'!$C:$C,'custody %'!$T$8),"")</f>
        <v/>
      </c>
      <c r="AG10" s="209" t="str">
        <f>IFERROR(SUMIFS('caseload data'!Q:Q,'caseload data'!$C:$C,'custody %'!$T$8,'caseload data'!$D:$D,"PO",'caseload data'!$B:$B,"custody")/SUMIFS('caseload data'!Q:Q,'caseload data'!$B:$B,"custody",'caseload data'!$C:$C,'custody %'!$T$8),"")</f>
        <v/>
      </c>
      <c r="AH10" s="209" t="str">
        <f>IFERROR(SUMIFS('caseload data'!R:R,'caseload data'!$C:$C,'custody %'!$T$8,'caseload data'!$D:$D,"PO",'caseload data'!$B:$B,"custody")/SUMIFS('caseload data'!R:R,'caseload data'!$B:$B,"custody",'caseload data'!$C:$C,'custody %'!$T$8),"")</f>
        <v/>
      </c>
      <c r="AI10" s="209"/>
      <c r="AJ10" s="209"/>
    </row>
    <row r="11" spans="1:49" x14ac:dyDescent="0.15">
      <c r="B11" s="130" t="s">
        <v>185</v>
      </c>
      <c r="C11" s="209" t="str">
        <f>IFERROR(SUMIFS('caseload data'!E:E,'caseload data'!$C:$C,'custody %'!$B$8,'caseload data'!$D:$D,"PSO",'caseload data'!$B:$B,"custody")/SUMIFS('caseload data'!E:E,'caseload data'!$B:$B,"custody",'caseload data'!$C:$C,'custody %'!$B$8),"")</f>
        <v/>
      </c>
      <c r="D11" s="209" t="str">
        <f>IFERROR(SUMIFS('caseload data'!F:F,'caseload data'!$C:$C,'custody %'!$B$8,'caseload data'!$D:$D,"PSO",'caseload data'!$B:$B,"custody")/SUMIFS('caseload data'!F:F,'caseload data'!$B:$B,"custody",'caseload data'!$C:$C,'custody %'!$B$8),"")</f>
        <v/>
      </c>
      <c r="E11" s="209" t="str">
        <f>IFERROR(SUMIFS('caseload data'!G:G,'caseload data'!$C:$C,'custody %'!$B$8,'caseload data'!$D:$D,"PSO",'caseload data'!$B:$B,"custody")/SUMIFS('caseload data'!G:G,'caseload data'!$B:$B,"custody",'caseload data'!$C:$C,'custody %'!$B$8),"")</f>
        <v/>
      </c>
      <c r="F11" s="209" t="str">
        <f>IFERROR(SUMIFS('caseload data'!H:H,'caseload data'!$C:$C,'custody %'!$B$8,'caseload data'!$D:$D,"PSO",'caseload data'!$B:$B,"custody")/SUMIFS('caseload data'!H:H,'caseload data'!$B:$B,"custody",'caseload data'!$C:$C,'custody %'!$B$8),"")</f>
        <v/>
      </c>
      <c r="G11" s="209" t="str">
        <f>IFERROR(SUMIFS('caseload data'!I:I,'caseload data'!$C:$C,'custody %'!$B$8,'caseload data'!$D:$D,"PSO",'caseload data'!$B:$B,"custody")/SUMIFS('caseload data'!I:I,'caseload data'!$B:$B,"custody",'caseload data'!$C:$C,'custody %'!$B$8),"")</f>
        <v/>
      </c>
      <c r="H11" s="209" t="str">
        <f>IFERROR(SUMIFS('caseload data'!J:J,'caseload data'!$C:$C,'custody %'!$B$8,'caseload data'!$D:$D,"PSO",'caseload data'!$B:$B,"custody")/SUMIFS('caseload data'!J:J,'caseload data'!$B:$B,"custody",'caseload data'!$C:$C,'custody %'!$B$8),"")</f>
        <v/>
      </c>
      <c r="I11" s="209" t="str">
        <f>IFERROR(SUMIFS('caseload data'!K:K,'caseload data'!$C:$C,'custody %'!$B$8,'caseload data'!$D:$D,"PSO",'caseload data'!$B:$B,"custody")/SUMIFS('caseload data'!K:K,'caseload data'!$B:$B,"custody",'caseload data'!$C:$C,'custody %'!$B$8),"")</f>
        <v/>
      </c>
      <c r="J11" s="209" t="str">
        <f>IFERROR(SUMIFS('caseload data'!L:L,'caseload data'!$C:$C,'custody %'!$B$8,'caseload data'!$D:$D,"PSO",'caseload data'!$B:$B,"custody")/SUMIFS('caseload data'!L:L,'caseload data'!$B:$B,"custody",'caseload data'!$C:$C,'custody %'!$B$8),"")</f>
        <v/>
      </c>
      <c r="K11" s="209" t="str">
        <f>IFERROR(SUMIFS('caseload data'!M:M,'caseload data'!$C:$C,'custody %'!$B$8,'caseload data'!$D:$D,"PSO",'caseload data'!$B:$B,"custody")/SUMIFS('caseload data'!M:M,'caseload data'!$B:$B,"custody",'caseload data'!$C:$C,'custody %'!$B$8),"")</f>
        <v/>
      </c>
      <c r="L11" s="209" t="str">
        <f>IFERROR(SUMIFS('caseload data'!N:N,'caseload data'!$C:$C,'custody %'!$B$8,'caseload data'!$D:$D,"PSO",'caseload data'!$B:$B,"custody")/SUMIFS('caseload data'!N:N,'caseload data'!$B:$B,"custody",'caseload data'!$C:$C,'custody %'!$B$8),"")</f>
        <v/>
      </c>
      <c r="M11" s="209" t="str">
        <f>IFERROR(SUMIFS('caseload data'!O:O,'caseload data'!$C:$C,'custody %'!$B$8,'caseload data'!$D:$D,"PSO",'caseload data'!$B:$B,"custody")/SUMIFS('caseload data'!O:O,'caseload data'!$B:$B,"custody",'caseload data'!$C:$C,'custody %'!$B$8),"")</f>
        <v/>
      </c>
      <c r="N11" s="209" t="str">
        <f>IFERROR(SUMIFS('caseload data'!P:P,'caseload data'!$C:$C,'custody %'!$B$8,'caseload data'!$D:$D,"PSO",'caseload data'!$B:$B,"custody")/SUMIFS('caseload data'!P:P,'caseload data'!$B:$B,"custody",'caseload data'!$C:$C,'custody %'!$B$8),"")</f>
        <v/>
      </c>
      <c r="O11" s="209" t="str">
        <f>IFERROR(SUMIFS('caseload data'!Q:Q,'caseload data'!$C:$C,'custody %'!$B$8,'caseload data'!$D:$D,"PSO",'caseload data'!$B:$B,"custody")/SUMIFS('caseload data'!Q:Q,'caseload data'!$B:$B,"custody",'caseload data'!$C:$C,'custody %'!$B$8),"")</f>
        <v/>
      </c>
      <c r="P11" s="209" t="str">
        <f>IFERROR(SUMIFS('caseload data'!R:R,'caseload data'!$C:$C,'custody %'!$B$8,'caseload data'!$D:$D,"PSO",'caseload data'!$B:$B,"custody")/SUMIFS('caseload data'!R:R,'caseload data'!$B:$B,"custody",'caseload data'!$C:$C,'custody %'!$B$8),"")</f>
        <v/>
      </c>
      <c r="Q11" s="209" t="str">
        <f>IFERROR(SUMIFS('caseload data'!S:S,'caseload data'!$C:$C,'custody %'!$B$8,'caseload data'!$D:$D,"PSO",'caseload data'!$B:$B,"custody")/SUMIFS('caseload data'!S:S,'caseload data'!$B:$B,"custody",'caseload data'!$C:$C,'custody %'!$B$8),"")</f>
        <v/>
      </c>
      <c r="R11" s="209" t="str">
        <f>IFERROR(SUMIFS('caseload data'!T:T,'caseload data'!$C:$C,'custody %'!$B$8,'caseload data'!$D:$D,"PSO",'caseload data'!$B:$B,"custody")/SUMIFS('caseload data'!T:T,'caseload data'!$B:$B,"custody",'caseload data'!$C:$C,'custody %'!$B$8),"")</f>
        <v/>
      </c>
      <c r="S11" s="95"/>
      <c r="T11" s="130" t="s">
        <v>185</v>
      </c>
      <c r="U11" s="209" t="str">
        <f>IFERROR(SUMIFS('caseload data'!E:E,'caseload data'!$C:$C,'custody %'!$T$8,'caseload data'!$D:$D,"PSO",'caseload data'!$B:$B,"custody")/SUMIFS('caseload data'!E:E,'caseload data'!$B:$B,"custody",'caseload data'!$C:$C,'custody %'!$T$8),"")</f>
        <v/>
      </c>
      <c r="V11" s="209" t="str">
        <f>IFERROR(SUMIFS('caseload data'!F:F,'caseload data'!$C:$C,'custody %'!$T$8,'caseload data'!$D:$D,"PSO",'caseload data'!$B:$B,"custody")/SUMIFS('caseload data'!F:F,'caseload data'!$B:$B,"custody",'caseload data'!$C:$C,'custody %'!$T$8),"")</f>
        <v/>
      </c>
      <c r="W11" s="209" t="str">
        <f>IFERROR(SUMIFS('caseload data'!G:G,'caseload data'!$C:$C,'custody %'!$T$8,'caseload data'!$D:$D,"PSO",'caseload data'!$B:$B,"custody")/SUMIFS('caseload data'!G:G,'caseload data'!$B:$B,"custody",'caseload data'!$C:$C,'custody %'!$T$8),"")</f>
        <v/>
      </c>
      <c r="X11" s="209" t="str">
        <f>IFERROR(SUMIFS('caseload data'!H:H,'caseload data'!$C:$C,'custody %'!$T$8,'caseload data'!$D:$D,"PSO",'caseload data'!$B:$B,"custody")/SUMIFS('caseload data'!H:H,'caseload data'!$B:$B,"custody",'caseload data'!$C:$C,'custody %'!$T$8),"")</f>
        <v/>
      </c>
      <c r="Y11" s="209" t="str">
        <f>IFERROR(SUMIFS('caseload data'!I:I,'caseload data'!$C:$C,'custody %'!$T$8,'caseload data'!$D:$D,"PSO",'caseload data'!$B:$B,"custody")/SUMIFS('caseload data'!I:I,'caseload data'!$B:$B,"custody",'caseload data'!$C:$C,'custody %'!$T$8),"")</f>
        <v/>
      </c>
      <c r="Z11" s="209" t="str">
        <f>IFERROR(SUMIFS('caseload data'!J:J,'caseload data'!$C:$C,'custody %'!$T$8,'caseload data'!$D:$D,"PSO",'caseload data'!$B:$B,"custody")/SUMIFS('caseload data'!J:J,'caseload data'!$B:$B,"custody",'caseload data'!$C:$C,'custody %'!$T$8),"")</f>
        <v/>
      </c>
      <c r="AA11" s="209" t="str">
        <f>IFERROR(SUMIFS('caseload data'!K:K,'caseload data'!$C:$C,'custody %'!$T$8,'caseload data'!$D:$D,"PSO",'caseload data'!$B:$B,"custody")/SUMIFS('caseload data'!K:K,'caseload data'!$B:$B,"custody",'caseload data'!$C:$C,'custody %'!$T$8),"")</f>
        <v/>
      </c>
      <c r="AB11" s="209" t="str">
        <f>IFERROR(SUMIFS('caseload data'!L:L,'caseload data'!$C:$C,'custody %'!$T$8,'caseload data'!$D:$D,"PSO",'caseload data'!$B:$B,"custody")/SUMIFS('caseload data'!L:L,'caseload data'!$B:$B,"custody",'caseload data'!$C:$C,'custody %'!$T$8),"")</f>
        <v/>
      </c>
      <c r="AC11" s="209" t="str">
        <f>IFERROR(SUMIFS('caseload data'!M:M,'caseload data'!$C:$C,'custody %'!$T$8,'caseload data'!$D:$D,"PSO",'caseload data'!$B:$B,"custody")/SUMIFS('caseload data'!M:M,'caseload data'!$B:$B,"custody",'caseload data'!$C:$C,'custody %'!$T$8),"")</f>
        <v/>
      </c>
      <c r="AD11" s="209" t="str">
        <f>IFERROR(SUMIFS('caseload data'!N:N,'caseload data'!$C:$C,'custody %'!$T$8,'caseload data'!$D:$D,"PSO",'caseload data'!$B:$B,"custody")/SUMIFS('caseload data'!N:N,'caseload data'!$B:$B,"custody",'caseload data'!$C:$C,'custody %'!$T$8),"")</f>
        <v/>
      </c>
      <c r="AE11" s="209" t="str">
        <f>IFERROR(SUMIFS('caseload data'!O:O,'caseload data'!$C:$C,'custody %'!$T$8,'caseload data'!$D:$D,"PSO",'caseload data'!$B:$B,"custody")/SUMIFS('caseload data'!O:O,'caseload data'!$B:$B,"custody",'caseload data'!$C:$C,'custody %'!$T$8),"")</f>
        <v/>
      </c>
      <c r="AF11" s="209" t="str">
        <f>IFERROR(SUMIFS('caseload data'!P:P,'caseload data'!$C:$C,'custody %'!$T$8,'caseload data'!$D:$D,"PSO",'caseload data'!$B:$B,"custody")/SUMIFS('caseload data'!P:P,'caseload data'!$B:$B,"custody",'caseload data'!$C:$C,'custody %'!$T$8),"")</f>
        <v/>
      </c>
      <c r="AG11" s="209" t="str">
        <f>IFERROR(SUMIFS('caseload data'!Q:Q,'caseload data'!$C:$C,'custody %'!$T$8,'caseload data'!$D:$D,"PSO",'caseload data'!$B:$B,"custody")/SUMIFS('caseload data'!Q:Q,'caseload data'!$B:$B,"custody",'caseload data'!$C:$C,'custody %'!$T$8),"")</f>
        <v/>
      </c>
      <c r="AH11" s="209" t="str">
        <f>IFERROR(SUMIFS('caseload data'!R:R,'caseload data'!$C:$C,'custody %'!$T$8,'caseload data'!$D:$D,"PSO",'caseload data'!$B:$B,"custody")/SUMIFS('caseload data'!R:R,'caseload data'!$B:$B,"custody",'caseload data'!$C:$C,'custody %'!$T$8),"")</f>
        <v/>
      </c>
      <c r="AI11" s="209"/>
      <c r="AJ11" s="209"/>
    </row>
    <row r="12" spans="1:49" x14ac:dyDescent="0.15">
      <c r="B12" s="130" t="s">
        <v>186</v>
      </c>
      <c r="C12" s="209" t="str">
        <f>IFERROR(SUMIFS('caseload data'!E:E,'caseload data'!$C:$C,'custody %'!$B$8,'caseload data'!$D:$D,"TPO",'caseload data'!$B:$B,"custody")/SUMIFS('caseload data'!E:E,'caseload data'!$B:$B,"custody",'caseload data'!$C:$C,'custody %'!$B$8),"")</f>
        <v/>
      </c>
      <c r="D12" s="209" t="str">
        <f>IFERROR(SUMIFS('caseload data'!F:F,'caseload data'!$C:$C,'custody %'!$B$8,'caseload data'!$D:$D,"TPO",'caseload data'!$B:$B,"custody")/SUMIFS('caseload data'!F:F,'caseload data'!$B:$B,"custody",'caseload data'!$C:$C,'custody %'!$B$8),"")</f>
        <v/>
      </c>
      <c r="E12" s="209" t="str">
        <f>IFERROR(SUMIFS('caseload data'!G:G,'caseload data'!$C:$C,'custody %'!$B$8,'caseload data'!$D:$D,"TPO",'caseload data'!$B:$B,"custody")/SUMIFS('caseload data'!G:G,'caseload data'!$B:$B,"custody",'caseload data'!$C:$C,'custody %'!$B$8),"")</f>
        <v/>
      </c>
      <c r="F12" s="209" t="str">
        <f>IFERROR(SUMIFS('caseload data'!H:H,'caseload data'!$C:$C,'custody %'!$B$8,'caseload data'!$D:$D,"TPO",'caseload data'!$B:$B,"custody")/SUMIFS('caseload data'!H:H,'caseload data'!$B:$B,"custody",'caseload data'!$C:$C,'custody %'!$B$8),"")</f>
        <v/>
      </c>
      <c r="G12" s="209" t="str">
        <f>IFERROR(SUMIFS('caseload data'!I:I,'caseload data'!$C:$C,'custody %'!$B$8,'caseload data'!$D:$D,"TPO",'caseload data'!$B:$B,"custody")/SUMIFS('caseload data'!I:I,'caseload data'!$B:$B,"custody",'caseload data'!$C:$C,'custody %'!$B$8),"")</f>
        <v/>
      </c>
      <c r="H12" s="209" t="str">
        <f>IFERROR(SUMIFS('caseload data'!J:J,'caseload data'!$C:$C,'custody %'!$B$8,'caseload data'!$D:$D,"TPO",'caseload data'!$B:$B,"custody")/SUMIFS('caseload data'!J:J,'caseload data'!$B:$B,"custody",'caseload data'!$C:$C,'custody %'!$B$8),"")</f>
        <v/>
      </c>
      <c r="I12" s="209" t="str">
        <f>IFERROR(SUMIFS('caseload data'!K:K,'caseload data'!$C:$C,'custody %'!$B$8,'caseload data'!$D:$D,"TPO",'caseload data'!$B:$B,"custody")/SUMIFS('caseload data'!K:K,'caseload data'!$B:$B,"custody",'caseload data'!$C:$C,'custody %'!$B$8),"")</f>
        <v/>
      </c>
      <c r="J12" s="209" t="str">
        <f>IFERROR(SUMIFS('caseload data'!L:L,'caseload data'!$C:$C,'custody %'!$B$8,'caseload data'!$D:$D,"TPO",'caseload data'!$B:$B,"custody")/SUMIFS('caseload data'!L:L,'caseload data'!$B:$B,"custody",'caseload data'!$C:$C,'custody %'!$B$8),"")</f>
        <v/>
      </c>
      <c r="K12" s="209" t="str">
        <f>IFERROR(SUMIFS('caseload data'!M:M,'caseload data'!$C:$C,'custody %'!$B$8,'caseload data'!$D:$D,"TPO",'caseload data'!$B:$B,"custody")/SUMIFS('caseload data'!M:M,'caseload data'!$B:$B,"custody",'caseload data'!$C:$C,'custody %'!$B$8),"")</f>
        <v/>
      </c>
      <c r="L12" s="209" t="str">
        <f>IFERROR(SUMIFS('caseload data'!N:N,'caseload data'!$C:$C,'custody %'!$B$8,'caseload data'!$D:$D,"TPO",'caseload data'!$B:$B,"custody")/SUMIFS('caseload data'!N:N,'caseload data'!$B:$B,"custody",'caseload data'!$C:$C,'custody %'!$B$8),"")</f>
        <v/>
      </c>
      <c r="M12" s="209" t="str">
        <f>IFERROR(SUMIFS('caseload data'!O:O,'caseload data'!$C:$C,'custody %'!$B$8,'caseload data'!$D:$D,"TPO",'caseload data'!$B:$B,"custody")/SUMIFS('caseload data'!O:O,'caseload data'!$B:$B,"custody",'caseload data'!$C:$C,'custody %'!$B$8),"")</f>
        <v/>
      </c>
      <c r="N12" s="209" t="str">
        <f>IFERROR(SUMIFS('caseload data'!P:P,'caseload data'!$C:$C,'custody %'!$B$8,'caseload data'!$D:$D,"TPO",'caseload data'!$B:$B,"custody")/SUMIFS('caseload data'!P:P,'caseload data'!$B:$B,"custody",'caseload data'!$C:$C,'custody %'!$B$8),"")</f>
        <v/>
      </c>
      <c r="O12" s="209" t="str">
        <f>IFERROR(SUMIFS('caseload data'!Q:Q,'caseload data'!$C:$C,'custody %'!$B$8,'caseload data'!$D:$D,"TPO",'caseload data'!$B:$B,"custody")/SUMIFS('caseload data'!Q:Q,'caseload data'!$B:$B,"custody",'caseload data'!$C:$C,'custody %'!$B$8),"")</f>
        <v/>
      </c>
      <c r="P12" s="209" t="str">
        <f>IFERROR(SUMIFS('caseload data'!R:R,'caseload data'!$C:$C,'custody %'!$B$8,'caseload data'!$D:$D,"TPO",'caseload data'!$B:$B,"custody")/SUMIFS('caseload data'!R:R,'caseload data'!$B:$B,"custody",'caseload data'!$C:$C,'custody %'!$B$8),"")</f>
        <v/>
      </c>
      <c r="Q12" s="209" t="str">
        <f>IFERROR(SUMIFS('caseload data'!S:S,'caseload data'!$C:$C,'custody %'!$B$8,'caseload data'!$D:$D,"TPO",'caseload data'!$B:$B,"custody")/SUMIFS('caseload data'!S:S,'caseload data'!$B:$B,"custody",'caseload data'!$C:$C,'custody %'!$B$8),"")</f>
        <v/>
      </c>
      <c r="R12" s="209" t="str">
        <f>IFERROR(SUMIFS('caseload data'!T:T,'caseload data'!$C:$C,'custody %'!$B$8,'caseload data'!$D:$D,"TPO",'caseload data'!$B:$B,"custody")/SUMIFS('caseload data'!T:T,'caseload data'!$B:$B,"custody",'caseload data'!$C:$C,'custody %'!$B$8),"")</f>
        <v/>
      </c>
      <c r="S12" s="95"/>
      <c r="T12" s="130" t="s">
        <v>186</v>
      </c>
      <c r="U12" s="209" t="str">
        <f>IFERROR(SUMIFS('caseload data'!E:E,'caseload data'!$C:$C,'custody %'!$T$8,'caseload data'!$D:$D,"TPO",'caseload data'!$B:$B,"custody")/SUMIFS('caseload data'!E:E,'caseload data'!$B:$B,"custody",'caseload data'!$C:$C,'custody %'!$T$8),"")</f>
        <v/>
      </c>
      <c r="V12" s="209" t="str">
        <f>IFERROR(SUMIFS('caseload data'!F:F,'caseload data'!$C:$C,'custody %'!$T$8,'caseload data'!$D:$D,"TPO",'caseload data'!$B:$B,"custody")/SUMIFS('caseload data'!F:F,'caseload data'!$B:$B,"custody",'caseload data'!$C:$C,'custody %'!$T$8),"")</f>
        <v/>
      </c>
      <c r="W12" s="209" t="str">
        <f>IFERROR(SUMIFS('caseload data'!G:G,'caseload data'!$C:$C,'custody %'!$T$8,'caseload data'!$D:$D,"TPO",'caseload data'!$B:$B,"custody")/SUMIFS('caseload data'!G:G,'caseload data'!$B:$B,"custody",'caseload data'!$C:$C,'custody %'!$T$8),"")</f>
        <v/>
      </c>
      <c r="X12" s="209" t="str">
        <f>IFERROR(SUMIFS('caseload data'!H:H,'caseload data'!$C:$C,'custody %'!$T$8,'caseload data'!$D:$D,"TPO",'caseload data'!$B:$B,"custody")/SUMIFS('caseload data'!H:H,'caseload data'!$B:$B,"custody",'caseload data'!$C:$C,'custody %'!$T$8),"")</f>
        <v/>
      </c>
      <c r="Y12" s="209" t="str">
        <f>IFERROR(SUMIFS('caseload data'!I:I,'caseload data'!$C:$C,'custody %'!$T$8,'caseload data'!$D:$D,"TPO",'caseload data'!$B:$B,"custody")/SUMIFS('caseload data'!I:I,'caseload data'!$B:$B,"custody",'caseload data'!$C:$C,'custody %'!$T$8),"")</f>
        <v/>
      </c>
      <c r="Z12" s="209" t="str">
        <f>IFERROR(SUMIFS('caseload data'!J:J,'caseload data'!$C:$C,'custody %'!$T$8,'caseload data'!$D:$D,"TPO",'caseload data'!$B:$B,"custody")/SUMIFS('caseload data'!J:J,'caseload data'!$B:$B,"custody",'caseload data'!$C:$C,'custody %'!$T$8),"")</f>
        <v/>
      </c>
      <c r="AA12" s="209" t="str">
        <f>IFERROR(SUMIFS('caseload data'!K:K,'caseload data'!$C:$C,'custody %'!$T$8,'caseload data'!$D:$D,"TPO",'caseload data'!$B:$B,"custody")/SUMIFS('caseload data'!K:K,'caseload data'!$B:$B,"custody",'caseload data'!$C:$C,'custody %'!$T$8),"")</f>
        <v/>
      </c>
      <c r="AB12" s="209" t="str">
        <f>IFERROR(SUMIFS('caseload data'!L:L,'caseload data'!$C:$C,'custody %'!$T$8,'caseload data'!$D:$D,"TPO",'caseload data'!$B:$B,"custody")/SUMIFS('caseload data'!L:L,'caseload data'!$B:$B,"custody",'caseload data'!$C:$C,'custody %'!$T$8),"")</f>
        <v/>
      </c>
      <c r="AC12" s="209" t="str">
        <f>IFERROR(SUMIFS('caseload data'!M:M,'caseload data'!$C:$C,'custody %'!$T$8,'caseload data'!$D:$D,"TPO",'caseload data'!$B:$B,"custody")/SUMIFS('caseload data'!M:M,'caseload data'!$B:$B,"custody",'caseload data'!$C:$C,'custody %'!$T$8),"")</f>
        <v/>
      </c>
      <c r="AD12" s="209" t="str">
        <f>IFERROR(SUMIFS('caseload data'!N:N,'caseload data'!$C:$C,'custody %'!$T$8,'caseload data'!$D:$D,"TPO",'caseload data'!$B:$B,"custody")/SUMIFS('caseload data'!N:N,'caseload data'!$B:$B,"custody",'caseload data'!$C:$C,'custody %'!$T$8),"")</f>
        <v/>
      </c>
      <c r="AE12" s="209" t="str">
        <f>IFERROR(SUMIFS('caseload data'!O:O,'caseload data'!$C:$C,'custody %'!$T$8,'caseload data'!$D:$D,"TPO",'caseload data'!$B:$B,"custody")/SUMIFS('caseload data'!O:O,'caseload data'!$B:$B,"custody",'caseload data'!$C:$C,'custody %'!$T$8),"")</f>
        <v/>
      </c>
      <c r="AF12" s="209" t="str">
        <f>IFERROR(SUMIFS('caseload data'!P:P,'caseload data'!$C:$C,'custody %'!$T$8,'caseload data'!$D:$D,"TPO",'caseload data'!$B:$B,"custody")/SUMIFS('caseload data'!P:P,'caseload data'!$B:$B,"custody",'caseload data'!$C:$C,'custody %'!$T$8),"")</f>
        <v/>
      </c>
      <c r="AG12" s="209" t="str">
        <f>IFERROR(SUMIFS('caseload data'!Q:Q,'caseload data'!$C:$C,'custody %'!$T$8,'caseload data'!$D:$D,"TPO",'caseload data'!$B:$B,"custody")/SUMIFS('caseload data'!Q:Q,'caseload data'!$B:$B,"custody",'caseload data'!$C:$C,'custody %'!$T$8),"")</f>
        <v/>
      </c>
      <c r="AH12" s="209" t="str">
        <f>IFERROR(SUMIFS('caseload data'!R:R,'caseload data'!$C:$C,'custody %'!$T$8,'caseload data'!$D:$D,"TPO",'caseload data'!$B:$B,"custody")/SUMIFS('caseload data'!R:R,'caseload data'!$B:$B,"custody",'caseload data'!$C:$C,'custody %'!$T$8),"")</f>
        <v/>
      </c>
      <c r="AI12" s="209"/>
      <c r="AJ12" s="209"/>
    </row>
    <row r="13" spans="1:49" x14ac:dyDescent="0.15">
      <c r="B13" s="131" t="s">
        <v>187</v>
      </c>
      <c r="C13" s="209" t="str">
        <f>IFERROR(SUMIFS('caseload data'!E:E,'caseload data'!$C:$C,'custody %'!$B$8,'caseload data'!$D:$D,"SPO",'caseload data'!$B:$B,"custody")/SUMIFS('caseload data'!E:E,'caseload data'!$B:$B,"custody",'caseload data'!$C:$C,'custody %'!$B$8),"")</f>
        <v/>
      </c>
      <c r="D13" s="209" t="str">
        <f>IFERROR(SUMIFS('caseload data'!F:F,'caseload data'!$C:$C,'custody %'!$B$8,'caseload data'!$D:$D,"SPO",'caseload data'!$B:$B,"custody")/SUMIFS('caseload data'!F:F,'caseload data'!$B:$B,"custody",'caseload data'!$C:$C,'custody %'!$B$8),"")</f>
        <v/>
      </c>
      <c r="E13" s="209" t="str">
        <f>IFERROR(SUMIFS('caseload data'!G:G,'caseload data'!$C:$C,'custody %'!$B$8,'caseload data'!$D:$D,"SPO",'caseload data'!$B:$B,"custody")/SUMIFS('caseload data'!G:G,'caseload data'!$B:$B,"custody",'caseload data'!$C:$C,'custody %'!$B$8),"")</f>
        <v/>
      </c>
      <c r="F13" s="209" t="str">
        <f>IFERROR(SUMIFS('caseload data'!H:H,'caseload data'!$C:$C,'custody %'!$B$8,'caseload data'!$D:$D,"SPO",'caseload data'!$B:$B,"custody")/SUMIFS('caseload data'!H:H,'caseload data'!$B:$B,"custody",'caseload data'!$C:$C,'custody %'!$B$8),"")</f>
        <v/>
      </c>
      <c r="G13" s="209" t="str">
        <f>IFERROR(SUMIFS('caseload data'!I:I,'caseload data'!$C:$C,'custody %'!$B$8,'caseload data'!$D:$D,"SPO",'caseload data'!$B:$B,"custody")/SUMIFS('caseload data'!I:I,'caseload data'!$B:$B,"custody",'caseload data'!$C:$C,'custody %'!$B$8),"")</f>
        <v/>
      </c>
      <c r="H13" s="209" t="str">
        <f>IFERROR(SUMIFS('caseload data'!J:J,'caseload data'!$C:$C,'custody %'!$B$8,'caseload data'!$D:$D,"SPO",'caseload data'!$B:$B,"custody")/SUMIFS('caseload data'!J:J,'caseload data'!$B:$B,"custody",'caseload data'!$C:$C,'custody %'!$B$8),"")</f>
        <v/>
      </c>
      <c r="I13" s="209" t="str">
        <f>IFERROR(SUMIFS('caseload data'!K:K,'caseload data'!$C:$C,'custody %'!$B$8,'caseload data'!$D:$D,"SPO",'caseload data'!$B:$B,"custody")/SUMIFS('caseload data'!K:K,'caseload data'!$B:$B,"custody",'caseload data'!$C:$C,'custody %'!$B$8),"")</f>
        <v/>
      </c>
      <c r="J13" s="209" t="str">
        <f>IFERROR(SUMIFS('caseload data'!L:L,'caseload data'!$C:$C,'custody %'!$B$8,'caseload data'!$D:$D,"SPO",'caseload data'!$B:$B,"custody")/SUMIFS('caseload data'!L:L,'caseload data'!$B:$B,"custody",'caseload data'!$C:$C,'custody %'!$B$8),"")</f>
        <v/>
      </c>
      <c r="K13" s="209" t="str">
        <f>IFERROR(SUMIFS('caseload data'!M:M,'caseload data'!$C:$C,'custody %'!$B$8,'caseload data'!$D:$D,"SPO",'caseload data'!$B:$B,"custody")/SUMIFS('caseload data'!M:M,'caseload data'!$B:$B,"custody",'caseload data'!$C:$C,'custody %'!$B$8),"")</f>
        <v/>
      </c>
      <c r="L13" s="209" t="str">
        <f>IFERROR(SUMIFS('caseload data'!N:N,'caseload data'!$C:$C,'custody %'!$B$8,'caseload data'!$D:$D,"SPO",'caseload data'!$B:$B,"custody")/SUMIFS('caseload data'!N:N,'caseload data'!$B:$B,"custody",'caseload data'!$C:$C,'custody %'!$B$8),"")</f>
        <v/>
      </c>
      <c r="M13" s="209" t="str">
        <f>IFERROR(SUMIFS('caseload data'!O:O,'caseload data'!$C:$C,'custody %'!$B$8,'caseload data'!$D:$D,"SPO",'caseload data'!$B:$B,"custody")/SUMIFS('caseload data'!O:O,'caseload data'!$B:$B,"custody",'caseload data'!$C:$C,'custody %'!$B$8),"")</f>
        <v/>
      </c>
      <c r="N13" s="209" t="str">
        <f>IFERROR(SUMIFS('caseload data'!P:P,'caseload data'!$C:$C,'custody %'!$B$8,'caseload data'!$D:$D,"SPO",'caseload data'!$B:$B,"custody")/SUMIFS('caseload data'!P:P,'caseload data'!$B:$B,"custody",'caseload data'!$C:$C,'custody %'!$B$8),"")</f>
        <v/>
      </c>
      <c r="O13" s="209" t="str">
        <f>IFERROR(SUMIFS('caseload data'!Q:Q,'caseload data'!$C:$C,'custody %'!$B$8,'caseload data'!$D:$D,"SPO",'caseload data'!$B:$B,"custody")/SUMIFS('caseload data'!Q:Q,'caseload data'!$B:$B,"custody",'caseload data'!$C:$C,'custody %'!$B$8),"")</f>
        <v/>
      </c>
      <c r="P13" s="209" t="str">
        <f>IFERROR(SUMIFS('caseload data'!R:R,'caseload data'!$C:$C,'custody %'!$B$8,'caseload data'!$D:$D,"SPO",'caseload data'!$B:$B,"custody")/SUMIFS('caseload data'!R:R,'caseload data'!$B:$B,"custody",'caseload data'!$C:$C,'custody %'!$B$8),"")</f>
        <v/>
      </c>
      <c r="Q13" s="209" t="str">
        <f>IFERROR(SUMIFS('caseload data'!S:S,'caseload data'!$C:$C,'custody %'!$B$8,'caseload data'!$D:$D,"SPO",'caseload data'!$B:$B,"custody")/SUMIFS('caseload data'!S:S,'caseload data'!$B:$B,"custody",'caseload data'!$C:$C,'custody %'!$B$8),"")</f>
        <v/>
      </c>
      <c r="R13" s="209" t="str">
        <f>IFERROR(SUMIFS('caseload data'!T:T,'caseload data'!$C:$C,'custody %'!$B$8,'caseload data'!$D:$D,"SPO",'caseload data'!$B:$B,"custody")/SUMIFS('caseload data'!T:T,'caseload data'!$B:$B,"custody",'caseload data'!$C:$C,'custody %'!$B$8),"")</f>
        <v/>
      </c>
      <c r="S13" s="95"/>
      <c r="T13" s="131" t="s">
        <v>187</v>
      </c>
      <c r="U13" s="209" t="str">
        <f>IFERROR(SUMIFS('caseload data'!E:E,'caseload data'!$C:$C,'custody %'!$T$8,'caseload data'!$D:$D,"SPO",'caseload data'!$B:$B,"custody")/SUMIFS('caseload data'!E:E,'caseload data'!$B:$B,"custody",'caseload data'!$C:$C,'custody %'!$T$8),"")</f>
        <v/>
      </c>
      <c r="V13" s="209" t="str">
        <f>IFERROR(SUMIFS('caseload data'!F:F,'caseload data'!$C:$C,'custody %'!$T$8,'caseload data'!$D:$D,"SPO",'caseload data'!$B:$B,"custody")/SUMIFS('caseload data'!F:F,'caseload data'!$B:$B,"custody",'caseload data'!$C:$C,'custody %'!$T$8),"")</f>
        <v/>
      </c>
      <c r="W13" s="209" t="str">
        <f>IFERROR(SUMIFS('caseload data'!G:G,'caseload data'!$C:$C,'custody %'!$T$8,'caseload data'!$D:$D,"SPO",'caseload data'!$B:$B,"custody")/SUMIFS('caseload data'!G:G,'caseload data'!$B:$B,"custody",'caseload data'!$C:$C,'custody %'!$T$8),"")</f>
        <v/>
      </c>
      <c r="X13" s="209" t="str">
        <f>IFERROR(SUMIFS('caseload data'!H:H,'caseload data'!$C:$C,'custody %'!$T$8,'caseload data'!$D:$D,"SPO",'caseload data'!$B:$B,"custody")/SUMIFS('caseload data'!H:H,'caseload data'!$B:$B,"custody",'caseload data'!$C:$C,'custody %'!$T$8),"")</f>
        <v/>
      </c>
      <c r="Y13" s="209" t="str">
        <f>IFERROR(SUMIFS('caseload data'!I:I,'caseload data'!$C:$C,'custody %'!$T$8,'caseload data'!$D:$D,"SPO",'caseload data'!$B:$B,"custody")/SUMIFS('caseload data'!I:I,'caseload data'!$B:$B,"custody",'caseload data'!$C:$C,'custody %'!$T$8),"")</f>
        <v/>
      </c>
      <c r="Z13" s="209" t="str">
        <f>IFERROR(SUMIFS('caseload data'!J:J,'caseload data'!$C:$C,'custody %'!$T$8,'caseload data'!$D:$D,"SPO",'caseload data'!$B:$B,"custody")/SUMIFS('caseload data'!J:J,'caseload data'!$B:$B,"custody",'caseload data'!$C:$C,'custody %'!$T$8),"")</f>
        <v/>
      </c>
      <c r="AA13" s="209" t="str">
        <f>IFERROR(SUMIFS('caseload data'!K:K,'caseload data'!$C:$C,'custody %'!$T$8,'caseload data'!$D:$D,"SPO",'caseload data'!$B:$B,"custody")/SUMIFS('caseload data'!K:K,'caseload data'!$B:$B,"custody",'caseload data'!$C:$C,'custody %'!$T$8),"")</f>
        <v/>
      </c>
      <c r="AB13" s="209" t="str">
        <f>IFERROR(SUMIFS('caseload data'!L:L,'caseload data'!$C:$C,'custody %'!$T$8,'caseload data'!$D:$D,"SPO",'caseload data'!$B:$B,"custody")/SUMIFS('caseload data'!L:L,'caseload data'!$B:$B,"custody",'caseload data'!$C:$C,'custody %'!$T$8),"")</f>
        <v/>
      </c>
      <c r="AC13" s="209" t="str">
        <f>IFERROR(SUMIFS('caseload data'!M:M,'caseload data'!$C:$C,'custody %'!$T$8,'caseload data'!$D:$D,"SPO",'caseload data'!$B:$B,"custody")/SUMIFS('caseload data'!M:M,'caseload data'!$B:$B,"custody",'caseload data'!$C:$C,'custody %'!$T$8),"")</f>
        <v/>
      </c>
      <c r="AD13" s="209" t="str">
        <f>IFERROR(SUMIFS('caseload data'!N:N,'caseload data'!$C:$C,'custody %'!$T$8,'caseload data'!$D:$D,"SPO",'caseload data'!$B:$B,"custody")/SUMIFS('caseload data'!N:N,'caseload data'!$B:$B,"custody",'caseload data'!$C:$C,'custody %'!$T$8),"")</f>
        <v/>
      </c>
      <c r="AE13" s="209" t="str">
        <f>IFERROR(SUMIFS('caseload data'!O:O,'caseload data'!$C:$C,'custody %'!$T$8,'caseload data'!$D:$D,"SPO",'caseload data'!$B:$B,"custody")/SUMIFS('caseload data'!O:O,'caseload data'!$B:$B,"custody",'caseload data'!$C:$C,'custody %'!$T$8),"")</f>
        <v/>
      </c>
      <c r="AF13" s="209" t="str">
        <f>IFERROR(SUMIFS('caseload data'!P:P,'caseload data'!$C:$C,'custody %'!$T$8,'caseload data'!$D:$D,"SPO",'caseload data'!$B:$B,"custody")/SUMIFS('caseload data'!P:P,'caseload data'!$B:$B,"custody",'caseload data'!$C:$C,'custody %'!$T$8),"")</f>
        <v/>
      </c>
      <c r="AG13" s="209" t="str">
        <f>IFERROR(SUMIFS('caseload data'!Q:Q,'caseload data'!$C:$C,'custody %'!$T$8,'caseload data'!$D:$D,"SPO",'caseload data'!$B:$B,"custody")/SUMIFS('caseload data'!Q:Q,'caseload data'!$B:$B,"custody",'caseload data'!$C:$C,'custody %'!$T$8),"")</f>
        <v/>
      </c>
      <c r="AH13" s="209" t="str">
        <f>IFERROR(SUMIFS('caseload data'!R:R,'caseload data'!$C:$C,'custody %'!$T$8,'caseload data'!$D:$D,"SPO",'caseload data'!$B:$B,"custody")/SUMIFS('caseload data'!R:R,'caseload data'!$B:$B,"custody",'caseload data'!$C:$C,'custody %'!$T$8),"")</f>
        <v/>
      </c>
      <c r="AI13" s="209"/>
      <c r="AJ13" s="209"/>
    </row>
    <row r="14" spans="1:49" x14ac:dyDescent="0.15">
      <c r="B14" s="183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183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</row>
    <row r="15" spans="1:49" ht="30" customHeight="1" x14ac:dyDescent="0.15">
      <c r="B15" s="182" t="str">
        <f>HLOOKUP($B$5,Region_Table,4,0)</f>
        <v>Barking and Dagenham and Havering</v>
      </c>
      <c r="C15" s="359" t="s">
        <v>366</v>
      </c>
      <c r="D15" s="365"/>
      <c r="E15" s="365"/>
      <c r="F15" s="365"/>
      <c r="G15" s="365"/>
      <c r="H15" s="365"/>
      <c r="I15" s="365"/>
      <c r="J15" s="365"/>
      <c r="K15" s="365"/>
      <c r="L15" s="365"/>
      <c r="M15" s="368"/>
      <c r="N15" s="368"/>
      <c r="O15" s="369"/>
      <c r="P15" s="362">
        <f>SUMIF('caseload data'!$C:$C,'custody %'!B15,'caseload data'!V:V)</f>
        <v>0</v>
      </c>
      <c r="Q15" s="370"/>
      <c r="R15" s="371"/>
      <c r="S15" s="95"/>
      <c r="T15" s="182" t="str">
        <f>HLOOKUP($B$5,Region_Table,5,0)</f>
        <v>Brent - N07</v>
      </c>
      <c r="U15" s="359" t="s">
        <v>366</v>
      </c>
      <c r="V15" s="365"/>
      <c r="W15" s="365"/>
      <c r="X15" s="365"/>
      <c r="Y15" s="365"/>
      <c r="Z15" s="365"/>
      <c r="AA15" s="365"/>
      <c r="AB15" s="365"/>
      <c r="AC15" s="368"/>
      <c r="AD15" s="368"/>
      <c r="AE15" s="369"/>
      <c r="AF15" s="362">
        <f>SUMIF('caseload data'!$C:$C,'custody %'!T15,'caseload data'!V:V)</f>
        <v>0</v>
      </c>
      <c r="AG15" s="370"/>
      <c r="AH15" s="371"/>
    </row>
    <row r="16" spans="1:49" x14ac:dyDescent="0.15">
      <c r="B16" s="127" t="s">
        <v>324</v>
      </c>
      <c r="C16" s="58" t="s">
        <v>504</v>
      </c>
      <c r="D16" s="58" t="s">
        <v>503</v>
      </c>
      <c r="E16" s="58" t="s">
        <v>502</v>
      </c>
      <c r="F16" s="58" t="s">
        <v>501</v>
      </c>
      <c r="G16" s="58" t="s">
        <v>510</v>
      </c>
      <c r="H16" s="58" t="s">
        <v>176</v>
      </c>
      <c r="I16" s="58" t="s">
        <v>177</v>
      </c>
      <c r="J16" s="58" t="s">
        <v>505</v>
      </c>
      <c r="K16" s="58" t="s">
        <v>507</v>
      </c>
      <c r="L16" s="58" t="s">
        <v>178</v>
      </c>
      <c r="M16" s="58" t="s">
        <v>179</v>
      </c>
      <c r="N16" s="58" t="s">
        <v>506</v>
      </c>
      <c r="O16" s="58" t="s">
        <v>508</v>
      </c>
      <c r="P16" s="58" t="s">
        <v>180</v>
      </c>
      <c r="Q16" s="58" t="s">
        <v>181</v>
      </c>
      <c r="R16" s="58" t="s">
        <v>509</v>
      </c>
      <c r="S16" s="95"/>
      <c r="T16" s="127" t="s">
        <v>324</v>
      </c>
      <c r="U16" s="58" t="s">
        <v>504</v>
      </c>
      <c r="V16" s="58" t="s">
        <v>503</v>
      </c>
      <c r="W16" s="58" t="s">
        <v>502</v>
      </c>
      <c r="X16" s="58" t="s">
        <v>501</v>
      </c>
      <c r="Y16" s="58" t="s">
        <v>510</v>
      </c>
      <c r="Z16" s="58" t="s">
        <v>176</v>
      </c>
      <c r="AA16" s="58" t="s">
        <v>177</v>
      </c>
      <c r="AB16" s="58" t="s">
        <v>505</v>
      </c>
      <c r="AC16" s="58" t="s">
        <v>507</v>
      </c>
      <c r="AD16" s="58" t="s">
        <v>178</v>
      </c>
      <c r="AE16" s="58" t="s">
        <v>179</v>
      </c>
      <c r="AF16" s="58" t="s">
        <v>506</v>
      </c>
      <c r="AG16" s="58" t="s">
        <v>508</v>
      </c>
      <c r="AH16" s="58" t="s">
        <v>180</v>
      </c>
      <c r="AI16" s="58" t="s">
        <v>181</v>
      </c>
      <c r="AJ16" s="58" t="s">
        <v>509</v>
      </c>
    </row>
    <row r="17" spans="2:36" x14ac:dyDescent="0.15">
      <c r="B17" s="129" t="s">
        <v>184</v>
      </c>
      <c r="C17" s="209" t="str">
        <f>IFERROR(SUMIFS('caseload data'!E:E,'caseload data'!$C:$C,'custody %'!$B$15,'caseload data'!$D:$D,"PO",'caseload data'!$B:$B,"custody")/SUMIFS('caseload data'!E:E,'caseload data'!$B:$B,"custody",'caseload data'!$C:$C,'custody %'!$B$15),"")</f>
        <v/>
      </c>
      <c r="D17" s="209" t="str">
        <f>IFERROR(SUMIFS('caseload data'!F:F,'caseload data'!$C:$C,'custody %'!$B$15,'caseload data'!$D:$D,"PO",'caseload data'!$B:$B,"custody")/SUMIFS('caseload data'!F:F,'caseload data'!$B:$B,"custody",'caseload data'!$C:$C,'custody %'!$B$15),"")</f>
        <v/>
      </c>
      <c r="E17" s="209" t="str">
        <f>IFERROR(SUMIFS('caseload data'!G:G,'caseload data'!$C:$C,'custody %'!$B$15,'caseload data'!$D:$D,"PO",'caseload data'!$B:$B,"custody")/SUMIFS('caseload data'!G:G,'caseload data'!$B:$B,"custody",'caseload data'!$C:$C,'custody %'!$B$15),"")</f>
        <v/>
      </c>
      <c r="F17" s="209" t="str">
        <f>IFERROR(SUMIFS('caseload data'!H:H,'caseload data'!$C:$C,'custody %'!$B$15,'caseload data'!$D:$D,"PO",'caseload data'!$B:$B,"custody")/SUMIFS('caseload data'!H:H,'caseload data'!$B:$B,"custody",'caseload data'!$C:$C,'custody %'!$B$15),"")</f>
        <v/>
      </c>
      <c r="G17" s="209" t="str">
        <f>IFERROR(SUMIFS('caseload data'!I:I,'caseload data'!$C:$C,'custody %'!$B$15,'caseload data'!$D:$D,"PO",'caseload data'!$B:$B,"custody")/SUMIFS('caseload data'!I:I,'caseload data'!$B:$B,"custody",'caseload data'!$C:$C,'custody %'!$B$15),"")</f>
        <v/>
      </c>
      <c r="H17" s="209" t="str">
        <f>IFERROR(SUMIFS('caseload data'!J:J,'caseload data'!$C:$C,'custody %'!$B$15,'caseload data'!$D:$D,"PO",'caseload data'!$B:$B,"custody")/SUMIFS('caseload data'!J:J,'caseload data'!$B:$B,"custody",'caseload data'!$C:$C,'custody %'!$B$15),"")</f>
        <v/>
      </c>
      <c r="I17" s="209" t="str">
        <f>IFERROR(SUMIFS('caseload data'!K:K,'caseload data'!$C:$C,'custody %'!$B$15,'caseload data'!$D:$D,"PO",'caseload data'!$B:$B,"custody")/SUMIFS('caseload data'!K:K,'caseload data'!$B:$B,"custody",'caseload data'!$C:$C,'custody %'!$B$15),"")</f>
        <v/>
      </c>
      <c r="J17" s="209" t="str">
        <f>IFERROR(SUMIFS('caseload data'!L:L,'caseload data'!$C:$C,'custody %'!$B$15,'caseload data'!$D:$D,"PO",'caseload data'!$B:$B,"custody")/SUMIFS('caseload data'!L:L,'caseload data'!$B:$B,"custody",'caseload data'!$C:$C,'custody %'!$B$15),"")</f>
        <v/>
      </c>
      <c r="K17" s="209" t="str">
        <f>IFERROR(SUMIFS('caseload data'!M:M,'caseload data'!$C:$C,'custody %'!$B$15,'caseload data'!$D:$D,"PO",'caseload data'!$B:$B,"custody")/SUMIFS('caseload data'!M:M,'caseload data'!$B:$B,"custody",'caseload data'!$C:$C,'custody %'!$B$15),"")</f>
        <v/>
      </c>
      <c r="L17" s="209" t="str">
        <f>IFERROR(SUMIFS('caseload data'!N:N,'caseload data'!$C:$C,'custody %'!$B$15,'caseload data'!$D:$D,"PO",'caseload data'!$B:$B,"custody")/SUMIFS('caseload data'!N:N,'caseload data'!$B:$B,"custody",'caseload data'!$C:$C,'custody %'!$B$15),"")</f>
        <v/>
      </c>
      <c r="M17" s="209" t="str">
        <f>IFERROR(SUMIFS('caseload data'!O:O,'caseload data'!$C:$C,'custody %'!$B$15,'caseload data'!$D:$D,"PO",'caseload data'!$B:$B,"custody")/SUMIFS('caseload data'!O:O,'caseload data'!$B:$B,"custody",'caseload data'!$C:$C,'custody %'!$B$15),"")</f>
        <v/>
      </c>
      <c r="N17" s="209" t="str">
        <f>IFERROR(SUMIFS('caseload data'!P:P,'caseload data'!$C:$C,'custody %'!$B$15,'caseload data'!$D:$D,"PO",'caseload data'!$B:$B,"custody")/SUMIFS('caseload data'!P:P,'caseload data'!$B:$B,"custody",'caseload data'!$C:$C,'custody %'!$B$15),"")</f>
        <v/>
      </c>
      <c r="O17" s="209" t="str">
        <f>IFERROR(SUMIFS('caseload data'!Q:Q,'caseload data'!$C:$C,'custody %'!$B$15,'caseload data'!$D:$D,"PO",'caseload data'!$B:$B,"custody")/SUMIFS('caseload data'!Q:Q,'caseload data'!$B:$B,"custody",'caseload data'!$C:$C,'custody %'!$B$15),"")</f>
        <v/>
      </c>
      <c r="P17" s="209" t="str">
        <f>IFERROR(SUMIFS('caseload data'!R:R,'caseload data'!$C:$C,'custody %'!$B$15,'caseload data'!$D:$D,"PO",'caseload data'!$B:$B,"custody")/SUMIFS('caseload data'!R:R,'caseload data'!$B:$B,"custody",'caseload data'!$C:$C,'custody %'!$B$15),"")</f>
        <v/>
      </c>
      <c r="Q17" s="209" t="str">
        <f>IFERROR(SUMIFS('caseload data'!S:S,'caseload data'!$C:$C,'custody %'!$B$15,'caseload data'!$D:$D,"PO",'caseload data'!$B:$B,"custody")/SUMIFS('caseload data'!S:S,'caseload data'!$B:$B,"custody",'caseload data'!$C:$C,'custody %'!$B$15),"")</f>
        <v/>
      </c>
      <c r="R17" s="209" t="str">
        <f>IFERROR(SUMIFS('caseload data'!T:T,'caseload data'!$C:$C,'custody %'!$B$15,'caseload data'!$D:$D,"PO",'caseload data'!$B:$B,"custody")/SUMIFS('caseload data'!T:T,'caseload data'!$B:$B,"custody",'caseload data'!$C:$C,'custody %'!$B$15),"")</f>
        <v/>
      </c>
      <c r="S17" s="95"/>
      <c r="T17" s="129" t="s">
        <v>184</v>
      </c>
      <c r="U17" s="209" t="str">
        <f>IFERROR(SUMIFS('caseload data'!E:E,'caseload data'!$C:$C,'custody %'!$T$15,'caseload data'!$D:$D,"PO",'caseload data'!$B:$B,"custody")/SUMIFS('caseload data'!E:E,'caseload data'!$B:$B,"custody",'caseload data'!$C:$C,'custody %'!$T$15),"")</f>
        <v/>
      </c>
      <c r="V17" s="209" t="str">
        <f>IFERROR(SUMIFS('caseload data'!F:F,'caseload data'!$C:$C,'custody %'!$T$15,'caseload data'!$D:$D,"PO",'caseload data'!$B:$B,"custody")/SUMIFS('caseload data'!F:F,'caseload data'!$B:$B,"custody",'caseload data'!$C:$C,'custody %'!$T$15),"")</f>
        <v/>
      </c>
      <c r="W17" s="209" t="str">
        <f>IFERROR(SUMIFS('caseload data'!G:G,'caseload data'!$C:$C,'custody %'!$T$15,'caseload data'!$D:$D,"PO",'caseload data'!$B:$B,"custody")/SUMIFS('caseload data'!G:G,'caseload data'!$B:$B,"custody",'caseload data'!$C:$C,'custody %'!$T$15),"")</f>
        <v/>
      </c>
      <c r="X17" s="209" t="str">
        <f>IFERROR(SUMIFS('caseload data'!H:H,'caseload data'!$C:$C,'custody %'!$T$15,'caseload data'!$D:$D,"PO",'caseload data'!$B:$B,"custody")/SUMIFS('caseload data'!H:H,'caseload data'!$B:$B,"custody",'caseload data'!$C:$C,'custody %'!$T$15),"")</f>
        <v/>
      </c>
      <c r="Y17" s="209" t="str">
        <f>IFERROR(SUMIFS('caseload data'!I:I,'caseload data'!$C:$C,'custody %'!$T$15,'caseload data'!$D:$D,"PO",'caseload data'!$B:$B,"custody")/SUMIFS('caseload data'!I:I,'caseload data'!$B:$B,"custody",'caseload data'!$C:$C,'custody %'!$T$15),"")</f>
        <v/>
      </c>
      <c r="Z17" s="209" t="str">
        <f>IFERROR(SUMIFS('caseload data'!J:J,'caseload data'!$C:$C,'custody %'!$T$15,'caseload data'!$D:$D,"PO",'caseload data'!$B:$B,"custody")/SUMIFS('caseload data'!J:J,'caseload data'!$B:$B,"custody",'caseload data'!$C:$C,'custody %'!$T$15),"")</f>
        <v/>
      </c>
      <c r="AA17" s="209" t="str">
        <f>IFERROR(SUMIFS('caseload data'!K:K,'caseload data'!$C:$C,'custody %'!$T$15,'caseload data'!$D:$D,"PO",'caseload data'!$B:$B,"custody")/SUMIFS('caseload data'!K:K,'caseload data'!$B:$B,"custody",'caseload data'!$C:$C,'custody %'!$T$15),"")</f>
        <v/>
      </c>
      <c r="AB17" s="209" t="str">
        <f>IFERROR(SUMIFS('caseload data'!L:L,'caseload data'!$C:$C,'custody %'!$T$15,'caseload data'!$D:$D,"PO",'caseload data'!$B:$B,"custody")/SUMIFS('caseload data'!L:L,'caseload data'!$B:$B,"custody",'caseload data'!$C:$C,'custody %'!$T$15),"")</f>
        <v/>
      </c>
      <c r="AC17" s="209" t="str">
        <f>IFERROR(SUMIFS('caseload data'!M:M,'caseload data'!$C:$C,'custody %'!$T$15,'caseload data'!$D:$D,"PO",'caseload data'!$B:$B,"custody")/SUMIFS('caseload data'!M:M,'caseload data'!$B:$B,"custody",'caseload data'!$C:$C,'custody %'!$T$15),"")</f>
        <v/>
      </c>
      <c r="AD17" s="209" t="str">
        <f>IFERROR(SUMIFS('caseload data'!N:N,'caseload data'!$C:$C,'custody %'!$T$15,'caseload data'!$D:$D,"PO",'caseload data'!$B:$B,"custody")/SUMIFS('caseload data'!N:N,'caseload data'!$B:$B,"custody",'caseload data'!$C:$C,'custody %'!$T$15),"")</f>
        <v/>
      </c>
      <c r="AE17" s="209" t="str">
        <f>IFERROR(SUMIFS('caseload data'!O:O,'caseload data'!$C:$C,'custody %'!$T$15,'caseload data'!$D:$D,"PO",'caseload data'!$B:$B,"custody")/SUMIFS('caseload data'!O:O,'caseload data'!$B:$B,"custody",'caseload data'!$C:$C,'custody %'!$T$15),"")</f>
        <v/>
      </c>
      <c r="AF17" s="209" t="str">
        <f>IFERROR(SUMIFS('caseload data'!P:P,'caseload data'!$C:$C,'custody %'!$T$15,'caseload data'!$D:$D,"PO",'caseload data'!$B:$B,"custody")/SUMIFS('caseload data'!P:P,'caseload data'!$B:$B,"custody",'caseload data'!$C:$C,'custody %'!$T$15),"")</f>
        <v/>
      </c>
      <c r="AG17" s="209" t="str">
        <f>IFERROR(SUMIFS('caseload data'!Q:Q,'caseload data'!$C:$C,'custody %'!$T$15,'caseload data'!$D:$D,"PO",'caseload data'!$B:$B,"custody")/SUMIFS('caseload data'!Q:Q,'caseload data'!$B:$B,"custody",'caseload data'!$C:$C,'custody %'!$T$15),"")</f>
        <v/>
      </c>
      <c r="AH17" s="209" t="str">
        <f>IFERROR(SUMIFS('caseload data'!R:R,'caseload data'!$C:$C,'custody %'!$T$15,'caseload data'!$D:$D,"PO",'caseload data'!$B:$B,"custody")/SUMIFS('caseload data'!R:R,'caseload data'!$B:$B,"custody",'caseload data'!$C:$C,'custody %'!$T$15),"")</f>
        <v/>
      </c>
      <c r="AI17" s="209"/>
      <c r="AJ17" s="209"/>
    </row>
    <row r="18" spans="2:36" x14ac:dyDescent="0.15">
      <c r="B18" s="130" t="s">
        <v>185</v>
      </c>
      <c r="C18" s="209" t="str">
        <f>IFERROR(SUMIFS('caseload data'!E:E,'caseload data'!$C:$C,'custody %'!$B$15,'caseload data'!$D:$D,"PSO",'caseload data'!$B:$B,"custody")/SUMIFS('caseload data'!E:E,'caseload data'!$B:$B,"custody",'caseload data'!$C:$C,'custody %'!$B$15),"")</f>
        <v/>
      </c>
      <c r="D18" s="209" t="str">
        <f>IFERROR(SUMIFS('caseload data'!F:F,'caseload data'!$C:$C,'custody %'!$B$15,'caseload data'!$D:$D,"PSO",'caseload data'!$B:$B,"custody")/SUMIFS('caseload data'!F:F,'caseload data'!$B:$B,"custody",'caseload data'!$C:$C,'custody %'!$B$15),"")</f>
        <v/>
      </c>
      <c r="E18" s="209" t="str">
        <f>IFERROR(SUMIFS('caseload data'!G:G,'caseload data'!$C:$C,'custody %'!$B$15,'caseload data'!$D:$D,"PSO",'caseload data'!$B:$B,"custody")/SUMIFS('caseload data'!G:G,'caseload data'!$B:$B,"custody",'caseload data'!$C:$C,'custody %'!$B$15),"")</f>
        <v/>
      </c>
      <c r="F18" s="209" t="str">
        <f>IFERROR(SUMIFS('caseload data'!H:H,'caseload data'!$C:$C,'custody %'!$B$15,'caseload data'!$D:$D,"PSO",'caseload data'!$B:$B,"custody")/SUMIFS('caseload data'!H:H,'caseload data'!$B:$B,"custody",'caseload data'!$C:$C,'custody %'!$B$15),"")</f>
        <v/>
      </c>
      <c r="G18" s="209" t="str">
        <f>IFERROR(SUMIFS('caseload data'!I:I,'caseload data'!$C:$C,'custody %'!$B$15,'caseload data'!$D:$D,"PSO",'caseload data'!$B:$B,"custody")/SUMIFS('caseload data'!I:I,'caseload data'!$B:$B,"custody",'caseload data'!$C:$C,'custody %'!$B$15),"")</f>
        <v/>
      </c>
      <c r="H18" s="209" t="str">
        <f>IFERROR(SUMIFS('caseload data'!J:J,'caseload data'!$C:$C,'custody %'!$B$15,'caseload data'!$D:$D,"PSO",'caseload data'!$B:$B,"custody")/SUMIFS('caseload data'!J:J,'caseload data'!$B:$B,"custody",'caseload data'!$C:$C,'custody %'!$B$15),"")</f>
        <v/>
      </c>
      <c r="I18" s="209" t="str">
        <f>IFERROR(SUMIFS('caseload data'!K:K,'caseload data'!$C:$C,'custody %'!$B$15,'caseload data'!$D:$D,"PSO",'caseload data'!$B:$B,"custody")/SUMIFS('caseload data'!K:K,'caseload data'!$B:$B,"custody",'caseload data'!$C:$C,'custody %'!$B$15),"")</f>
        <v/>
      </c>
      <c r="J18" s="209" t="str">
        <f>IFERROR(SUMIFS('caseload data'!L:L,'caseload data'!$C:$C,'custody %'!$B$15,'caseload data'!$D:$D,"PSO",'caseload data'!$B:$B,"custody")/SUMIFS('caseload data'!L:L,'caseload data'!$B:$B,"custody",'caseload data'!$C:$C,'custody %'!$B$15),"")</f>
        <v/>
      </c>
      <c r="K18" s="209" t="str">
        <f>IFERROR(SUMIFS('caseload data'!M:M,'caseload data'!$C:$C,'custody %'!$B$15,'caseload data'!$D:$D,"PSO",'caseload data'!$B:$B,"custody")/SUMIFS('caseload data'!M:M,'caseload data'!$B:$B,"custody",'caseload data'!$C:$C,'custody %'!$B$15),"")</f>
        <v/>
      </c>
      <c r="L18" s="209" t="str">
        <f>IFERROR(SUMIFS('caseload data'!N:N,'caseload data'!$C:$C,'custody %'!$B$15,'caseload data'!$D:$D,"PSO",'caseload data'!$B:$B,"custody")/SUMIFS('caseload data'!N:N,'caseload data'!$B:$B,"custody",'caseload data'!$C:$C,'custody %'!$B$15),"")</f>
        <v/>
      </c>
      <c r="M18" s="209" t="str">
        <f>IFERROR(SUMIFS('caseload data'!O:O,'caseload data'!$C:$C,'custody %'!$B$15,'caseload data'!$D:$D,"PSO",'caseload data'!$B:$B,"custody")/SUMIFS('caseload data'!O:O,'caseload data'!$B:$B,"custody",'caseload data'!$C:$C,'custody %'!$B$15),"")</f>
        <v/>
      </c>
      <c r="N18" s="209" t="str">
        <f>IFERROR(SUMIFS('caseload data'!P:P,'caseload data'!$C:$C,'custody %'!$B$15,'caseload data'!$D:$D,"PSO",'caseload data'!$B:$B,"custody")/SUMIFS('caseload data'!P:P,'caseload data'!$B:$B,"custody",'caseload data'!$C:$C,'custody %'!$B$15),"")</f>
        <v/>
      </c>
      <c r="O18" s="209" t="str">
        <f>IFERROR(SUMIFS('caseload data'!Q:Q,'caseload data'!$C:$C,'custody %'!$B$15,'caseload data'!$D:$D,"PSO",'caseload data'!$B:$B,"custody")/SUMIFS('caseload data'!Q:Q,'caseload data'!$B:$B,"custody",'caseload data'!$C:$C,'custody %'!$B$15),"")</f>
        <v/>
      </c>
      <c r="P18" s="209" t="str">
        <f>IFERROR(SUMIFS('caseload data'!R:R,'caseload data'!$C:$C,'custody %'!$B$15,'caseload data'!$D:$D,"PSO",'caseload data'!$B:$B,"custody")/SUMIFS('caseload data'!R:R,'caseload data'!$B:$B,"custody",'caseload data'!$C:$C,'custody %'!$B$15),"")</f>
        <v/>
      </c>
      <c r="Q18" s="209" t="str">
        <f>IFERROR(SUMIFS('caseload data'!S:S,'caseload data'!$C:$C,'custody %'!$B$15,'caseload data'!$D:$D,"PSO",'caseload data'!$B:$B,"custody")/SUMIFS('caseload data'!S:S,'caseload data'!$B:$B,"custody",'caseload data'!$C:$C,'custody %'!$B$15),"")</f>
        <v/>
      </c>
      <c r="R18" s="209" t="str">
        <f>IFERROR(SUMIFS('caseload data'!T:T,'caseload data'!$C:$C,'custody %'!$B$15,'caseload data'!$D:$D,"PSO",'caseload data'!$B:$B,"custody")/SUMIFS('caseload data'!T:T,'caseload data'!$B:$B,"custody",'caseload data'!$C:$C,'custody %'!$B$15),"")</f>
        <v/>
      </c>
      <c r="S18" s="95"/>
      <c r="T18" s="130" t="s">
        <v>185</v>
      </c>
      <c r="U18" s="209" t="str">
        <f>IFERROR(SUMIFS('caseload data'!E:E,'caseload data'!$C:$C,'custody %'!$T$15,'caseload data'!$D:$D,"PSO",'caseload data'!$B:$B,"custody")/SUMIFS('caseload data'!E:E,'caseload data'!$B:$B,"custody",'caseload data'!$C:$C,'custody %'!$T$15),"")</f>
        <v/>
      </c>
      <c r="V18" s="209" t="str">
        <f>IFERROR(SUMIFS('caseload data'!F:F,'caseload data'!$C:$C,'custody %'!$T$15,'caseload data'!$D:$D,"PSO",'caseload data'!$B:$B,"custody")/SUMIFS('caseload data'!F:F,'caseload data'!$B:$B,"custody",'caseload data'!$C:$C,'custody %'!$T$15),"")</f>
        <v/>
      </c>
      <c r="W18" s="209" t="str">
        <f>IFERROR(SUMIFS('caseload data'!G:G,'caseload data'!$C:$C,'custody %'!$T$15,'caseload data'!$D:$D,"PSO",'caseload data'!$B:$B,"custody")/SUMIFS('caseload data'!G:G,'caseload data'!$B:$B,"custody",'caseload data'!$C:$C,'custody %'!$T$15),"")</f>
        <v/>
      </c>
      <c r="X18" s="209" t="str">
        <f>IFERROR(SUMIFS('caseload data'!H:H,'caseload data'!$C:$C,'custody %'!$T$15,'caseload data'!$D:$D,"PSO",'caseload data'!$B:$B,"custody")/SUMIFS('caseload data'!H:H,'caseload data'!$B:$B,"custody",'caseload data'!$C:$C,'custody %'!$T$15),"")</f>
        <v/>
      </c>
      <c r="Y18" s="209" t="str">
        <f>IFERROR(SUMIFS('caseload data'!I:I,'caseload data'!$C:$C,'custody %'!$T$15,'caseload data'!$D:$D,"PSO",'caseload data'!$B:$B,"custody")/SUMIFS('caseload data'!I:I,'caseload data'!$B:$B,"custody",'caseload data'!$C:$C,'custody %'!$T$15),"")</f>
        <v/>
      </c>
      <c r="Z18" s="209" t="str">
        <f>IFERROR(SUMIFS('caseload data'!J:J,'caseload data'!$C:$C,'custody %'!$T$15,'caseload data'!$D:$D,"PSO",'caseload data'!$B:$B,"custody")/SUMIFS('caseload data'!J:J,'caseload data'!$B:$B,"custody",'caseload data'!$C:$C,'custody %'!$T$15),"")</f>
        <v/>
      </c>
      <c r="AA18" s="209" t="str">
        <f>IFERROR(SUMIFS('caseload data'!K:K,'caseload data'!$C:$C,'custody %'!$T$15,'caseload data'!$D:$D,"PSO",'caseload data'!$B:$B,"custody")/SUMIFS('caseload data'!K:K,'caseload data'!$B:$B,"custody",'caseload data'!$C:$C,'custody %'!$T$15),"")</f>
        <v/>
      </c>
      <c r="AB18" s="209" t="str">
        <f>IFERROR(SUMIFS('caseload data'!L:L,'caseload data'!$C:$C,'custody %'!$T$15,'caseload data'!$D:$D,"PSO",'caseload data'!$B:$B,"custody")/SUMIFS('caseload data'!L:L,'caseload data'!$B:$B,"custody",'caseload data'!$C:$C,'custody %'!$T$15),"")</f>
        <v/>
      </c>
      <c r="AC18" s="209" t="str">
        <f>IFERROR(SUMIFS('caseload data'!M:M,'caseload data'!$C:$C,'custody %'!$T$15,'caseload data'!$D:$D,"PSO",'caseload data'!$B:$B,"custody")/SUMIFS('caseload data'!M:M,'caseload data'!$B:$B,"custody",'caseload data'!$C:$C,'custody %'!$T$15),"")</f>
        <v/>
      </c>
      <c r="AD18" s="209" t="str">
        <f>IFERROR(SUMIFS('caseload data'!N:N,'caseload data'!$C:$C,'custody %'!$T$15,'caseload data'!$D:$D,"PSO",'caseload data'!$B:$B,"custody")/SUMIFS('caseload data'!N:N,'caseload data'!$B:$B,"custody",'caseload data'!$C:$C,'custody %'!$T$15),"")</f>
        <v/>
      </c>
      <c r="AE18" s="209" t="str">
        <f>IFERROR(SUMIFS('caseload data'!O:O,'caseload data'!$C:$C,'custody %'!$T$15,'caseload data'!$D:$D,"PSO",'caseload data'!$B:$B,"custody")/SUMIFS('caseload data'!O:O,'caseload data'!$B:$B,"custody",'caseload data'!$C:$C,'custody %'!$T$15),"")</f>
        <v/>
      </c>
      <c r="AF18" s="209" t="str">
        <f>IFERROR(SUMIFS('caseload data'!P:P,'caseload data'!$C:$C,'custody %'!$T$15,'caseload data'!$D:$D,"PSO",'caseload data'!$B:$B,"custody")/SUMIFS('caseload data'!P:P,'caseload data'!$B:$B,"custody",'caseload data'!$C:$C,'custody %'!$T$15),"")</f>
        <v/>
      </c>
      <c r="AG18" s="209" t="str">
        <f>IFERROR(SUMIFS('caseload data'!Q:Q,'caseload data'!$C:$C,'custody %'!$T$15,'caseload data'!$D:$D,"PSO",'caseload data'!$B:$B,"custody")/SUMIFS('caseload data'!Q:Q,'caseload data'!$B:$B,"custody",'caseload data'!$C:$C,'custody %'!$T$15),"")</f>
        <v/>
      </c>
      <c r="AH18" s="209" t="str">
        <f>IFERROR(SUMIFS('caseload data'!R:R,'caseload data'!$C:$C,'custody %'!$T$15,'caseload data'!$D:$D,"PSO",'caseload data'!$B:$B,"custody")/SUMIFS('caseload data'!R:R,'caseload data'!$B:$B,"custody",'caseload data'!$C:$C,'custody %'!$T$15),"")</f>
        <v/>
      </c>
      <c r="AI18" s="209"/>
      <c r="AJ18" s="209"/>
    </row>
    <row r="19" spans="2:36" x14ac:dyDescent="0.15">
      <c r="B19" s="130" t="s">
        <v>186</v>
      </c>
      <c r="C19" s="209" t="str">
        <f>IFERROR(SUMIFS('caseload data'!E:E,'caseload data'!$C:$C,'custody %'!$B$15,'caseload data'!$D:$D,"TPO",'caseload data'!$B:$B,"custody")/SUMIFS('caseload data'!E:E,'caseload data'!$B:$B,"custody",'caseload data'!$C:$C,'custody %'!$B$15),"")</f>
        <v/>
      </c>
      <c r="D19" s="209" t="str">
        <f>IFERROR(SUMIFS('caseload data'!F:F,'caseload data'!$C:$C,'custody %'!$B$15,'caseload data'!$D:$D,"TPO",'caseload data'!$B:$B,"custody")/SUMIFS('caseload data'!F:F,'caseload data'!$B:$B,"custody",'caseload data'!$C:$C,'custody %'!$B$15),"")</f>
        <v/>
      </c>
      <c r="E19" s="209" t="str">
        <f>IFERROR(SUMIFS('caseload data'!G:G,'caseload data'!$C:$C,'custody %'!$B$15,'caseload data'!$D:$D,"TPO",'caseload data'!$B:$B,"custody")/SUMIFS('caseload data'!G:G,'caseload data'!$B:$B,"custody",'caseload data'!$C:$C,'custody %'!$B$15),"")</f>
        <v/>
      </c>
      <c r="F19" s="209" t="str">
        <f>IFERROR(SUMIFS('caseload data'!H:H,'caseload data'!$C:$C,'custody %'!$B$15,'caseload data'!$D:$D,"TPO",'caseload data'!$B:$B,"custody")/SUMIFS('caseload data'!H:H,'caseload data'!$B:$B,"custody",'caseload data'!$C:$C,'custody %'!$B$15),"")</f>
        <v/>
      </c>
      <c r="G19" s="209" t="str">
        <f>IFERROR(SUMIFS('caseload data'!I:I,'caseload data'!$C:$C,'custody %'!$B$15,'caseload data'!$D:$D,"TPO",'caseload data'!$B:$B,"custody")/SUMIFS('caseload data'!I:I,'caseload data'!$B:$B,"custody",'caseload data'!$C:$C,'custody %'!$B$15),"")</f>
        <v/>
      </c>
      <c r="H19" s="209" t="str">
        <f>IFERROR(SUMIFS('caseload data'!J:J,'caseload data'!$C:$C,'custody %'!$B$15,'caseload data'!$D:$D,"TPO",'caseload data'!$B:$B,"custody")/SUMIFS('caseload data'!J:J,'caseload data'!$B:$B,"custody",'caseload data'!$C:$C,'custody %'!$B$15),"")</f>
        <v/>
      </c>
      <c r="I19" s="209" t="str">
        <f>IFERROR(SUMIFS('caseload data'!K:K,'caseload data'!$C:$C,'custody %'!$B$15,'caseload data'!$D:$D,"TPO",'caseload data'!$B:$B,"custody")/SUMIFS('caseload data'!K:K,'caseload data'!$B:$B,"custody",'caseload data'!$C:$C,'custody %'!$B$15),"")</f>
        <v/>
      </c>
      <c r="J19" s="209" t="str">
        <f>IFERROR(SUMIFS('caseload data'!L:L,'caseload data'!$C:$C,'custody %'!$B$15,'caseload data'!$D:$D,"TPO",'caseload data'!$B:$B,"custody")/SUMIFS('caseload data'!L:L,'caseload data'!$B:$B,"custody",'caseload data'!$C:$C,'custody %'!$B$15),"")</f>
        <v/>
      </c>
      <c r="K19" s="209" t="str">
        <f>IFERROR(SUMIFS('caseload data'!M:M,'caseload data'!$C:$C,'custody %'!$B$15,'caseload data'!$D:$D,"TPO",'caseload data'!$B:$B,"custody")/SUMIFS('caseload data'!M:M,'caseload data'!$B:$B,"custody",'caseload data'!$C:$C,'custody %'!$B$15),"")</f>
        <v/>
      </c>
      <c r="L19" s="209" t="str">
        <f>IFERROR(SUMIFS('caseload data'!N:N,'caseload data'!$C:$C,'custody %'!$B$15,'caseload data'!$D:$D,"TPO",'caseload data'!$B:$B,"custody")/SUMIFS('caseload data'!N:N,'caseload data'!$B:$B,"custody",'caseload data'!$C:$C,'custody %'!$B$15),"")</f>
        <v/>
      </c>
      <c r="M19" s="209" t="str">
        <f>IFERROR(SUMIFS('caseload data'!O:O,'caseload data'!$C:$C,'custody %'!$B$15,'caseload data'!$D:$D,"TPO",'caseload data'!$B:$B,"custody")/SUMIFS('caseload data'!O:O,'caseload data'!$B:$B,"custody",'caseload data'!$C:$C,'custody %'!$B$15),"")</f>
        <v/>
      </c>
      <c r="N19" s="209" t="str">
        <f>IFERROR(SUMIFS('caseload data'!P:P,'caseload data'!$C:$C,'custody %'!$B$15,'caseload data'!$D:$D,"TPO",'caseload data'!$B:$B,"custody")/SUMIFS('caseload data'!P:P,'caseload data'!$B:$B,"custody",'caseload data'!$C:$C,'custody %'!$B$15),"")</f>
        <v/>
      </c>
      <c r="O19" s="209" t="str">
        <f>IFERROR(SUMIFS('caseload data'!Q:Q,'caseload data'!$C:$C,'custody %'!$B$15,'caseload data'!$D:$D,"TPO",'caseload data'!$B:$B,"custody")/SUMIFS('caseload data'!Q:Q,'caseload data'!$B:$B,"custody",'caseload data'!$C:$C,'custody %'!$B$15),"")</f>
        <v/>
      </c>
      <c r="P19" s="209" t="str">
        <f>IFERROR(SUMIFS('caseload data'!R:R,'caseload data'!$C:$C,'custody %'!$B$15,'caseload data'!$D:$D,"TPO",'caseload data'!$B:$B,"custody")/SUMIFS('caseload data'!R:R,'caseload data'!$B:$B,"custody",'caseload data'!$C:$C,'custody %'!$B$15),"")</f>
        <v/>
      </c>
      <c r="Q19" s="209" t="str">
        <f>IFERROR(SUMIFS('caseload data'!S:S,'caseload data'!$C:$C,'custody %'!$B$15,'caseload data'!$D:$D,"TPO",'caseload data'!$B:$B,"custody")/SUMIFS('caseload data'!S:S,'caseload data'!$B:$B,"custody",'caseload data'!$C:$C,'custody %'!$B$15),"")</f>
        <v/>
      </c>
      <c r="R19" s="209" t="str">
        <f>IFERROR(SUMIFS('caseload data'!T:T,'caseload data'!$C:$C,'custody %'!$B$15,'caseload data'!$D:$D,"TPO",'caseload data'!$B:$B,"custody")/SUMIFS('caseload data'!T:T,'caseload data'!$B:$B,"custody",'caseload data'!$C:$C,'custody %'!$B$15),"")</f>
        <v/>
      </c>
      <c r="S19" s="95"/>
      <c r="T19" s="130" t="s">
        <v>186</v>
      </c>
      <c r="U19" s="209" t="str">
        <f>IFERROR(SUMIFS('caseload data'!E:E,'caseload data'!$C:$C,'custody %'!$T$15,'caseload data'!$D:$D,"TPO",'caseload data'!$B:$B,"custody")/SUMIFS('caseload data'!E:E,'caseload data'!$B:$B,"custody",'caseload data'!$C:$C,'custody %'!$T$15),"")</f>
        <v/>
      </c>
      <c r="V19" s="209" t="str">
        <f>IFERROR(SUMIFS('caseload data'!F:F,'caseload data'!$C:$C,'custody %'!$T$15,'caseload data'!$D:$D,"TPO",'caseload data'!$B:$B,"custody")/SUMIFS('caseload data'!F:F,'caseload data'!$B:$B,"custody",'caseload data'!$C:$C,'custody %'!$T$15),"")</f>
        <v/>
      </c>
      <c r="W19" s="209" t="str">
        <f>IFERROR(SUMIFS('caseload data'!G:G,'caseload data'!$C:$C,'custody %'!$T$15,'caseload data'!$D:$D,"TPO",'caseload data'!$B:$B,"custody")/SUMIFS('caseload data'!G:G,'caseload data'!$B:$B,"custody",'caseload data'!$C:$C,'custody %'!$T$15),"")</f>
        <v/>
      </c>
      <c r="X19" s="209" t="str">
        <f>IFERROR(SUMIFS('caseload data'!H:H,'caseload data'!$C:$C,'custody %'!$T$15,'caseload data'!$D:$D,"TPO",'caseload data'!$B:$B,"custody")/SUMIFS('caseload data'!H:H,'caseload data'!$B:$B,"custody",'caseload data'!$C:$C,'custody %'!$T$15),"")</f>
        <v/>
      </c>
      <c r="Y19" s="209" t="str">
        <f>IFERROR(SUMIFS('caseload data'!I:I,'caseload data'!$C:$C,'custody %'!$T$15,'caseload data'!$D:$D,"TPO",'caseload data'!$B:$B,"custody")/SUMIFS('caseload data'!I:I,'caseload data'!$B:$B,"custody",'caseload data'!$C:$C,'custody %'!$T$15),"")</f>
        <v/>
      </c>
      <c r="Z19" s="209" t="str">
        <f>IFERROR(SUMIFS('caseload data'!J:J,'caseload data'!$C:$C,'custody %'!$T$15,'caseload data'!$D:$D,"TPO",'caseload data'!$B:$B,"custody")/SUMIFS('caseload data'!J:J,'caseload data'!$B:$B,"custody",'caseload data'!$C:$C,'custody %'!$T$15),"")</f>
        <v/>
      </c>
      <c r="AA19" s="209" t="str">
        <f>IFERROR(SUMIFS('caseload data'!K:K,'caseload data'!$C:$C,'custody %'!$T$15,'caseload data'!$D:$D,"TPO",'caseload data'!$B:$B,"custody")/SUMIFS('caseload data'!K:K,'caseload data'!$B:$B,"custody",'caseload data'!$C:$C,'custody %'!$T$15),"")</f>
        <v/>
      </c>
      <c r="AB19" s="209" t="str">
        <f>IFERROR(SUMIFS('caseload data'!L:L,'caseload data'!$C:$C,'custody %'!$T$15,'caseload data'!$D:$D,"TPO",'caseload data'!$B:$B,"custody")/SUMIFS('caseload data'!L:L,'caseload data'!$B:$B,"custody",'caseload data'!$C:$C,'custody %'!$T$15),"")</f>
        <v/>
      </c>
      <c r="AC19" s="209" t="str">
        <f>IFERROR(SUMIFS('caseload data'!M:M,'caseload data'!$C:$C,'custody %'!$T$15,'caseload data'!$D:$D,"TPO",'caseload data'!$B:$B,"custody")/SUMIFS('caseload data'!M:M,'caseload data'!$B:$B,"custody",'caseload data'!$C:$C,'custody %'!$T$15),"")</f>
        <v/>
      </c>
      <c r="AD19" s="209" t="str">
        <f>IFERROR(SUMIFS('caseload data'!N:N,'caseload data'!$C:$C,'custody %'!$T$15,'caseload data'!$D:$D,"TPO",'caseload data'!$B:$B,"custody")/SUMIFS('caseload data'!N:N,'caseload data'!$B:$B,"custody",'caseload data'!$C:$C,'custody %'!$T$15),"")</f>
        <v/>
      </c>
      <c r="AE19" s="209" t="str">
        <f>IFERROR(SUMIFS('caseload data'!O:O,'caseload data'!$C:$C,'custody %'!$T$15,'caseload data'!$D:$D,"TPO",'caseload data'!$B:$B,"custody")/SUMIFS('caseload data'!O:O,'caseload data'!$B:$B,"custody",'caseload data'!$C:$C,'custody %'!$T$15),"")</f>
        <v/>
      </c>
      <c r="AF19" s="209" t="str">
        <f>IFERROR(SUMIFS('caseload data'!P:P,'caseload data'!$C:$C,'custody %'!$T$15,'caseload data'!$D:$D,"TPO",'caseload data'!$B:$B,"custody")/SUMIFS('caseload data'!P:P,'caseload data'!$B:$B,"custody",'caseload data'!$C:$C,'custody %'!$T$15),"")</f>
        <v/>
      </c>
      <c r="AG19" s="209" t="str">
        <f>IFERROR(SUMIFS('caseload data'!Q:Q,'caseload data'!$C:$C,'custody %'!$T$15,'caseload data'!$D:$D,"TPO",'caseload data'!$B:$B,"custody")/SUMIFS('caseload data'!Q:Q,'caseload data'!$B:$B,"custody",'caseload data'!$C:$C,'custody %'!$T$15),"")</f>
        <v/>
      </c>
      <c r="AH19" s="209" t="str">
        <f>IFERROR(SUMIFS('caseload data'!R:R,'caseload data'!$C:$C,'custody %'!$T$15,'caseload data'!$D:$D,"TPO",'caseload data'!$B:$B,"custody")/SUMIFS('caseload data'!R:R,'caseload data'!$B:$B,"custody",'caseload data'!$C:$C,'custody %'!$T$15),"")</f>
        <v/>
      </c>
      <c r="AI19" s="209"/>
      <c r="AJ19" s="209"/>
    </row>
    <row r="20" spans="2:36" x14ac:dyDescent="0.15">
      <c r="B20" s="131" t="s">
        <v>187</v>
      </c>
      <c r="C20" s="209" t="str">
        <f>IFERROR(SUMIFS('caseload data'!E:E,'caseload data'!$C:$C,'custody %'!$B$15,'caseload data'!$D:$D,"SPO",'caseload data'!$B:$B,"custody")/SUMIFS('caseload data'!E:E,'caseload data'!$B:$B,"custody",'caseload data'!$C:$C,'custody %'!$B$15),"")</f>
        <v/>
      </c>
      <c r="D20" s="209" t="str">
        <f>IFERROR(SUMIFS('caseload data'!F:F,'caseload data'!$C:$C,'custody %'!$B$15,'caseload data'!$D:$D,"SPO",'caseload data'!$B:$B,"custody")/SUMIFS('caseload data'!F:F,'caseload data'!$B:$B,"custody",'caseload data'!$C:$C,'custody %'!$B$15),"")</f>
        <v/>
      </c>
      <c r="E20" s="209" t="str">
        <f>IFERROR(SUMIFS('caseload data'!G:G,'caseload data'!$C:$C,'custody %'!$B$15,'caseload data'!$D:$D,"SPO",'caseload data'!$B:$B,"custody")/SUMIFS('caseload data'!G:G,'caseload data'!$B:$B,"custody",'caseload data'!$C:$C,'custody %'!$B$15),"")</f>
        <v/>
      </c>
      <c r="F20" s="209" t="str">
        <f>IFERROR(SUMIFS('caseload data'!H:H,'caseload data'!$C:$C,'custody %'!$B$15,'caseload data'!$D:$D,"SPO",'caseload data'!$B:$B,"custody")/SUMIFS('caseload data'!H:H,'caseload data'!$B:$B,"custody",'caseload data'!$C:$C,'custody %'!$B$15),"")</f>
        <v/>
      </c>
      <c r="G20" s="209" t="str">
        <f>IFERROR(SUMIFS('caseload data'!I:I,'caseload data'!$C:$C,'custody %'!$B$15,'caseload data'!$D:$D,"SPO",'caseload data'!$B:$B,"custody")/SUMIFS('caseload data'!I:I,'caseload data'!$B:$B,"custody",'caseload data'!$C:$C,'custody %'!$B$15),"")</f>
        <v/>
      </c>
      <c r="H20" s="209" t="str">
        <f>IFERROR(SUMIFS('caseload data'!J:J,'caseload data'!$C:$C,'custody %'!$B$15,'caseload data'!$D:$D,"SPO",'caseload data'!$B:$B,"custody")/SUMIFS('caseload data'!J:J,'caseload data'!$B:$B,"custody",'caseload data'!$C:$C,'custody %'!$B$15),"")</f>
        <v/>
      </c>
      <c r="I20" s="209" t="str">
        <f>IFERROR(SUMIFS('caseload data'!K:K,'caseload data'!$C:$C,'custody %'!$B$15,'caseload data'!$D:$D,"SPO",'caseload data'!$B:$B,"custody")/SUMIFS('caseload data'!K:K,'caseload data'!$B:$B,"custody",'caseload data'!$C:$C,'custody %'!$B$15),"")</f>
        <v/>
      </c>
      <c r="J20" s="209" t="str">
        <f>IFERROR(SUMIFS('caseload data'!L:L,'caseload data'!$C:$C,'custody %'!$B$15,'caseload data'!$D:$D,"SPO",'caseload data'!$B:$B,"custody")/SUMIFS('caseload data'!L:L,'caseload data'!$B:$B,"custody",'caseload data'!$C:$C,'custody %'!$B$15),"")</f>
        <v/>
      </c>
      <c r="K20" s="209" t="str">
        <f>IFERROR(SUMIFS('caseload data'!M:M,'caseload data'!$C:$C,'custody %'!$B$15,'caseload data'!$D:$D,"SPO",'caseload data'!$B:$B,"custody")/SUMIFS('caseload data'!M:M,'caseload data'!$B:$B,"custody",'caseload data'!$C:$C,'custody %'!$B$15),"")</f>
        <v/>
      </c>
      <c r="L20" s="209" t="str">
        <f>IFERROR(SUMIFS('caseload data'!N:N,'caseload data'!$C:$C,'custody %'!$B$15,'caseload data'!$D:$D,"SPO",'caseload data'!$B:$B,"custody")/SUMIFS('caseload data'!N:N,'caseload data'!$B:$B,"custody",'caseload data'!$C:$C,'custody %'!$B$15),"")</f>
        <v/>
      </c>
      <c r="M20" s="209" t="str">
        <f>IFERROR(SUMIFS('caseload data'!O:O,'caseload data'!$C:$C,'custody %'!$B$15,'caseload data'!$D:$D,"SPO",'caseload data'!$B:$B,"custody")/SUMIFS('caseload data'!O:O,'caseload data'!$B:$B,"custody",'caseload data'!$C:$C,'custody %'!$B$15),"")</f>
        <v/>
      </c>
      <c r="N20" s="209" t="str">
        <f>IFERROR(SUMIFS('caseload data'!P:P,'caseload data'!$C:$C,'custody %'!$B$15,'caseload data'!$D:$D,"SPO",'caseload data'!$B:$B,"custody")/SUMIFS('caseload data'!P:P,'caseload data'!$B:$B,"custody",'caseload data'!$C:$C,'custody %'!$B$15),"")</f>
        <v/>
      </c>
      <c r="O20" s="209" t="str">
        <f>IFERROR(SUMIFS('caseload data'!Q:Q,'caseload data'!$C:$C,'custody %'!$B$15,'caseload data'!$D:$D,"SPO",'caseload data'!$B:$B,"custody")/SUMIFS('caseload data'!Q:Q,'caseload data'!$B:$B,"custody",'caseload data'!$C:$C,'custody %'!$B$15),"")</f>
        <v/>
      </c>
      <c r="P20" s="209" t="str">
        <f>IFERROR(SUMIFS('caseload data'!R:R,'caseload data'!$C:$C,'custody %'!$B$15,'caseload data'!$D:$D,"SPO",'caseload data'!$B:$B,"custody")/SUMIFS('caseload data'!R:R,'caseload data'!$B:$B,"custody",'caseload data'!$C:$C,'custody %'!$B$15),"")</f>
        <v/>
      </c>
      <c r="Q20" s="209" t="str">
        <f>IFERROR(SUMIFS('caseload data'!S:S,'caseload data'!$C:$C,'custody %'!$B$15,'caseload data'!$D:$D,"SPO",'caseload data'!$B:$B,"custody")/SUMIFS('caseload data'!S:S,'caseload data'!$B:$B,"custody",'caseload data'!$C:$C,'custody %'!$B$15),"")</f>
        <v/>
      </c>
      <c r="R20" s="209" t="str">
        <f>IFERROR(SUMIFS('caseload data'!T:T,'caseload data'!$C:$C,'custody %'!$B$15,'caseload data'!$D:$D,"SPO",'caseload data'!$B:$B,"custody")/SUMIFS('caseload data'!T:T,'caseload data'!$B:$B,"custody",'caseload data'!$C:$C,'custody %'!$B$15),"")</f>
        <v/>
      </c>
      <c r="S20" s="95"/>
      <c r="T20" s="131" t="s">
        <v>187</v>
      </c>
      <c r="U20" s="209" t="str">
        <f>IFERROR(SUMIFS('caseload data'!E:E,'caseload data'!$C:$C,'custody %'!$T$15,'caseload data'!$D:$D,"SPO",'caseload data'!$B:$B,"custody")/SUMIFS('caseload data'!E:E,'caseload data'!$B:$B,"custody",'caseload data'!$C:$C,'custody %'!$T$15),"")</f>
        <v/>
      </c>
      <c r="V20" s="209" t="str">
        <f>IFERROR(SUMIFS('caseload data'!F:F,'caseload data'!$C:$C,'custody %'!$T$15,'caseload data'!$D:$D,"SPO",'caseload data'!$B:$B,"custody")/SUMIFS('caseload data'!F:F,'caseload data'!$B:$B,"custody",'caseload data'!$C:$C,'custody %'!$T$15),"")</f>
        <v/>
      </c>
      <c r="W20" s="209" t="str">
        <f>IFERROR(SUMIFS('caseload data'!G:G,'caseload data'!$C:$C,'custody %'!$T$15,'caseload data'!$D:$D,"SPO",'caseload data'!$B:$B,"custody")/SUMIFS('caseload data'!G:G,'caseload data'!$B:$B,"custody",'caseload data'!$C:$C,'custody %'!$T$15),"")</f>
        <v/>
      </c>
      <c r="X20" s="209" t="str">
        <f>IFERROR(SUMIFS('caseload data'!H:H,'caseload data'!$C:$C,'custody %'!$T$15,'caseload data'!$D:$D,"SPO",'caseload data'!$B:$B,"custody")/SUMIFS('caseload data'!H:H,'caseload data'!$B:$B,"custody",'caseload data'!$C:$C,'custody %'!$T$15),"")</f>
        <v/>
      </c>
      <c r="Y20" s="209" t="str">
        <f>IFERROR(SUMIFS('caseload data'!I:I,'caseload data'!$C:$C,'custody %'!$T$15,'caseload data'!$D:$D,"SPO",'caseload data'!$B:$B,"custody")/SUMIFS('caseload data'!I:I,'caseload data'!$B:$B,"custody",'caseload data'!$C:$C,'custody %'!$T$15),"")</f>
        <v/>
      </c>
      <c r="Z20" s="209" t="str">
        <f>IFERROR(SUMIFS('caseload data'!J:J,'caseload data'!$C:$C,'custody %'!$T$15,'caseload data'!$D:$D,"SPO",'caseload data'!$B:$B,"custody")/SUMIFS('caseload data'!J:J,'caseload data'!$B:$B,"custody",'caseload data'!$C:$C,'custody %'!$T$15),"")</f>
        <v/>
      </c>
      <c r="AA20" s="209" t="str">
        <f>IFERROR(SUMIFS('caseload data'!K:K,'caseload data'!$C:$C,'custody %'!$T$15,'caseload data'!$D:$D,"SPO",'caseload data'!$B:$B,"custody")/SUMIFS('caseload data'!K:K,'caseload data'!$B:$B,"custody",'caseload data'!$C:$C,'custody %'!$T$15),"")</f>
        <v/>
      </c>
      <c r="AB20" s="209" t="str">
        <f>IFERROR(SUMIFS('caseload data'!L:L,'caseload data'!$C:$C,'custody %'!$T$15,'caseload data'!$D:$D,"SPO",'caseload data'!$B:$B,"custody")/SUMIFS('caseload data'!L:L,'caseload data'!$B:$B,"custody",'caseload data'!$C:$C,'custody %'!$T$15),"")</f>
        <v/>
      </c>
      <c r="AC20" s="209" t="str">
        <f>IFERROR(SUMIFS('caseload data'!M:M,'caseload data'!$C:$C,'custody %'!$T$15,'caseload data'!$D:$D,"SPO",'caseload data'!$B:$B,"custody")/SUMIFS('caseload data'!M:M,'caseload data'!$B:$B,"custody",'caseload data'!$C:$C,'custody %'!$T$15),"")</f>
        <v/>
      </c>
      <c r="AD20" s="209" t="str">
        <f>IFERROR(SUMIFS('caseload data'!N:N,'caseload data'!$C:$C,'custody %'!$T$15,'caseload data'!$D:$D,"SPO",'caseload data'!$B:$B,"custody")/SUMIFS('caseload data'!N:N,'caseload data'!$B:$B,"custody",'caseload data'!$C:$C,'custody %'!$T$15),"")</f>
        <v/>
      </c>
      <c r="AE20" s="209" t="str">
        <f>IFERROR(SUMIFS('caseload data'!O:O,'caseload data'!$C:$C,'custody %'!$T$15,'caseload data'!$D:$D,"SPO",'caseload data'!$B:$B,"custody")/SUMIFS('caseload data'!O:O,'caseload data'!$B:$B,"custody",'caseload data'!$C:$C,'custody %'!$T$15),"")</f>
        <v/>
      </c>
      <c r="AF20" s="209" t="str">
        <f>IFERROR(SUMIFS('caseload data'!P:P,'caseload data'!$C:$C,'custody %'!$T$15,'caseload data'!$D:$D,"SPO",'caseload data'!$B:$B,"custody")/SUMIFS('caseload data'!P:P,'caseload data'!$B:$B,"custody",'caseload data'!$C:$C,'custody %'!$T$15),"")</f>
        <v/>
      </c>
      <c r="AG20" s="209" t="str">
        <f>IFERROR(SUMIFS('caseload data'!Q:Q,'caseload data'!$C:$C,'custody %'!$T$15,'caseload data'!$D:$D,"SPO",'caseload data'!$B:$B,"custody")/SUMIFS('caseload data'!Q:Q,'caseload data'!$B:$B,"custody",'caseload data'!$C:$C,'custody %'!$T$15),"")</f>
        <v/>
      </c>
      <c r="AH20" s="209" t="str">
        <f>IFERROR(SUMIFS('caseload data'!R:R,'caseload data'!$C:$C,'custody %'!$T$15,'caseload data'!$D:$D,"SPO",'caseload data'!$B:$B,"custody")/SUMIFS('caseload data'!R:R,'caseload data'!$B:$B,"custody",'caseload data'!$C:$C,'custody %'!$T$15),"")</f>
        <v/>
      </c>
      <c r="AI20" s="209"/>
      <c r="AJ20" s="209"/>
    </row>
    <row r="21" spans="2:36" x14ac:dyDescent="0.15">
      <c r="B21" s="183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183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</row>
    <row r="22" spans="2:36" ht="30.75" customHeight="1" x14ac:dyDescent="0.15">
      <c r="B22" s="182" t="str">
        <f>HLOOKUP($B$5,Region_Table,6,0)</f>
        <v>Camden, Islington</v>
      </c>
      <c r="C22" s="359" t="s">
        <v>366</v>
      </c>
      <c r="D22" s="365"/>
      <c r="E22" s="365"/>
      <c r="F22" s="365"/>
      <c r="G22" s="365"/>
      <c r="H22" s="365"/>
      <c r="I22" s="365"/>
      <c r="J22" s="365"/>
      <c r="K22" s="365"/>
      <c r="L22" s="365"/>
      <c r="M22" s="368"/>
      <c r="N22" s="368"/>
      <c r="O22" s="369"/>
      <c r="P22" s="362">
        <f>SUMIF('caseload data'!$C:$C,'custody %'!B22,'caseload data'!V:V)</f>
        <v>0</v>
      </c>
      <c r="Q22" s="370"/>
      <c r="R22" s="371"/>
      <c r="S22" s="95"/>
      <c r="T22" s="182" t="str">
        <f>HLOOKUP($B$5,Region_Table,7,0)</f>
        <v>Commumity Integration</v>
      </c>
      <c r="U22" s="359" t="s">
        <v>366</v>
      </c>
      <c r="V22" s="365"/>
      <c r="W22" s="365"/>
      <c r="X22" s="365"/>
      <c r="Y22" s="365"/>
      <c r="Z22" s="365"/>
      <c r="AA22" s="365"/>
      <c r="AB22" s="365"/>
      <c r="AC22" s="368"/>
      <c r="AD22" s="368"/>
      <c r="AE22" s="369"/>
      <c r="AF22" s="362">
        <f>SUMIF('caseload data'!$C:$C,'custody %'!T22,'caseload data'!V:V)</f>
        <v>0</v>
      </c>
      <c r="AG22" s="370"/>
      <c r="AH22" s="371"/>
    </row>
    <row r="23" spans="2:36" x14ac:dyDescent="0.15">
      <c r="B23" s="127" t="s">
        <v>324</v>
      </c>
      <c r="C23" s="58" t="s">
        <v>504</v>
      </c>
      <c r="D23" s="58" t="s">
        <v>503</v>
      </c>
      <c r="E23" s="58" t="s">
        <v>502</v>
      </c>
      <c r="F23" s="58" t="s">
        <v>501</v>
      </c>
      <c r="G23" s="58" t="s">
        <v>510</v>
      </c>
      <c r="H23" s="58" t="s">
        <v>176</v>
      </c>
      <c r="I23" s="58" t="s">
        <v>177</v>
      </c>
      <c r="J23" s="58" t="s">
        <v>505</v>
      </c>
      <c r="K23" s="58" t="s">
        <v>507</v>
      </c>
      <c r="L23" s="58" t="s">
        <v>178</v>
      </c>
      <c r="M23" s="58" t="s">
        <v>179</v>
      </c>
      <c r="N23" s="58" t="s">
        <v>506</v>
      </c>
      <c r="O23" s="58" t="s">
        <v>508</v>
      </c>
      <c r="P23" s="58" t="s">
        <v>180</v>
      </c>
      <c r="Q23" s="58" t="s">
        <v>181</v>
      </c>
      <c r="R23" s="58" t="s">
        <v>509</v>
      </c>
      <c r="S23" s="95"/>
      <c r="T23" s="127" t="s">
        <v>324</v>
      </c>
      <c r="U23" s="58" t="s">
        <v>504</v>
      </c>
      <c r="V23" s="58" t="s">
        <v>503</v>
      </c>
      <c r="W23" s="58" t="s">
        <v>502</v>
      </c>
      <c r="X23" s="58" t="s">
        <v>501</v>
      </c>
      <c r="Y23" s="58" t="s">
        <v>510</v>
      </c>
      <c r="Z23" s="58" t="s">
        <v>176</v>
      </c>
      <c r="AA23" s="58" t="s">
        <v>177</v>
      </c>
      <c r="AB23" s="58" t="s">
        <v>505</v>
      </c>
      <c r="AC23" s="58" t="s">
        <v>507</v>
      </c>
      <c r="AD23" s="58" t="s">
        <v>178</v>
      </c>
      <c r="AE23" s="58" t="s">
        <v>179</v>
      </c>
      <c r="AF23" s="58" t="s">
        <v>506</v>
      </c>
      <c r="AG23" s="58" t="s">
        <v>508</v>
      </c>
      <c r="AH23" s="58" t="s">
        <v>180</v>
      </c>
      <c r="AI23" s="58" t="s">
        <v>181</v>
      </c>
      <c r="AJ23" s="58" t="s">
        <v>509</v>
      </c>
    </row>
    <row r="24" spans="2:36" x14ac:dyDescent="0.15">
      <c r="B24" s="129" t="s">
        <v>184</v>
      </c>
      <c r="C24" s="209" t="str">
        <f>IFERROR(SUMIFS('caseload data'!E:E,'caseload data'!$C:$C,'custody %'!$B$22,'caseload data'!$D:$D,"PO",'caseload data'!$B:$B,"custody")/SUMIFS('caseload data'!E:E,'caseload data'!$B:$B,"custody",'caseload data'!$C:$C,'custody %'!$B$22),"")</f>
        <v/>
      </c>
      <c r="D24" s="209" t="str">
        <f>IFERROR(SUMIFS('caseload data'!F:F,'caseload data'!$C:$C,'custody %'!$B$22,'caseload data'!$D:$D,"PO",'caseload data'!$B:$B,"custody")/SUMIFS('caseload data'!F:F,'caseload data'!$B:$B,"custody",'caseload data'!$C:$C,'custody %'!$B$22),"")</f>
        <v/>
      </c>
      <c r="E24" s="209" t="str">
        <f>IFERROR(SUMIFS('caseload data'!G:G,'caseload data'!$C:$C,'custody %'!$B$22,'caseload data'!$D:$D,"PO",'caseload data'!$B:$B,"custody")/SUMIFS('caseload data'!G:G,'caseload data'!$B:$B,"custody",'caseload data'!$C:$C,'custody %'!$B$22),"")</f>
        <v/>
      </c>
      <c r="F24" s="209" t="str">
        <f>IFERROR(SUMIFS('caseload data'!H:H,'caseload data'!$C:$C,'custody %'!$B$22,'caseload data'!$D:$D,"PO",'caseload data'!$B:$B,"custody")/SUMIFS('caseload data'!H:H,'caseload data'!$B:$B,"custody",'caseload data'!$C:$C,'custody %'!$B$22),"")</f>
        <v/>
      </c>
      <c r="G24" s="209" t="str">
        <f>IFERROR(SUMIFS('caseload data'!I:I,'caseload data'!$C:$C,'custody %'!$B$22,'caseload data'!$D:$D,"PO",'caseload data'!$B:$B,"custody")/SUMIFS('caseload data'!I:I,'caseload data'!$B:$B,"custody",'caseload data'!$C:$C,'custody %'!$B$22),"")</f>
        <v/>
      </c>
      <c r="H24" s="209" t="str">
        <f>IFERROR(SUMIFS('caseload data'!J:J,'caseload data'!$C:$C,'custody %'!$B$22,'caseload data'!$D:$D,"PO",'caseload data'!$B:$B,"custody")/SUMIFS('caseload data'!J:J,'caseload data'!$B:$B,"custody",'caseload data'!$C:$C,'custody %'!$B$22),"")</f>
        <v/>
      </c>
      <c r="I24" s="209" t="str">
        <f>IFERROR(SUMIFS('caseload data'!K:K,'caseload data'!$C:$C,'custody %'!$B$22,'caseload data'!$D:$D,"PO",'caseload data'!$B:$B,"custody")/SUMIFS('caseload data'!K:K,'caseload data'!$B:$B,"custody",'caseload data'!$C:$C,'custody %'!$B$22),"")</f>
        <v/>
      </c>
      <c r="J24" s="209" t="str">
        <f>IFERROR(SUMIFS('caseload data'!L:L,'caseload data'!$C:$C,'custody %'!$B$22,'caseload data'!$D:$D,"PO",'caseload data'!$B:$B,"custody")/SUMIFS('caseload data'!L:L,'caseload data'!$B:$B,"custody",'caseload data'!$C:$C,'custody %'!$B$22),"")</f>
        <v/>
      </c>
      <c r="K24" s="209" t="str">
        <f>IFERROR(SUMIFS('caseload data'!M:M,'caseload data'!$C:$C,'custody %'!$B$22,'caseload data'!$D:$D,"PO",'caseload data'!$B:$B,"custody")/SUMIFS('caseload data'!M:M,'caseload data'!$B:$B,"custody",'caseload data'!$C:$C,'custody %'!$B$22),"")</f>
        <v/>
      </c>
      <c r="L24" s="209" t="str">
        <f>IFERROR(SUMIFS('caseload data'!N:N,'caseload data'!$C:$C,'custody %'!$B$22,'caseload data'!$D:$D,"PO",'caseload data'!$B:$B,"custody")/SUMIFS('caseload data'!N:N,'caseload data'!$B:$B,"custody",'caseload data'!$C:$C,'custody %'!$B$22),"")</f>
        <v/>
      </c>
      <c r="M24" s="209" t="str">
        <f>IFERROR(SUMIFS('caseload data'!O:O,'caseload data'!$C:$C,'custody %'!$B$22,'caseload data'!$D:$D,"PO",'caseload data'!$B:$B,"custody")/SUMIFS('caseload data'!O:O,'caseload data'!$B:$B,"custody",'caseload data'!$C:$C,'custody %'!$B$22),"")</f>
        <v/>
      </c>
      <c r="N24" s="209" t="str">
        <f>IFERROR(SUMIFS('caseload data'!P:P,'caseload data'!$C:$C,'custody %'!$B$22,'caseload data'!$D:$D,"PO",'caseload data'!$B:$B,"custody")/SUMIFS('caseload data'!P:P,'caseload data'!$B:$B,"custody",'caseload data'!$C:$C,'custody %'!$B$22),"")</f>
        <v/>
      </c>
      <c r="O24" s="209" t="str">
        <f>IFERROR(SUMIFS('caseload data'!Q:Q,'caseload data'!$C:$C,'custody %'!$B$22,'caseload data'!$D:$D,"PO",'caseload data'!$B:$B,"custody")/SUMIFS('caseload data'!Q:Q,'caseload data'!$B:$B,"custody",'caseload data'!$C:$C,'custody %'!$B$22),"")</f>
        <v/>
      </c>
      <c r="P24" s="209" t="str">
        <f>IFERROR(SUMIFS('caseload data'!R:R,'caseload data'!$C:$C,'custody %'!$B$22,'caseload data'!$D:$D,"PO",'caseload data'!$B:$B,"custody")/SUMIFS('caseload data'!R:R,'caseload data'!$B:$B,"custody",'caseload data'!$C:$C,'custody %'!$B$22),"")</f>
        <v/>
      </c>
      <c r="Q24" s="209" t="str">
        <f>IFERROR(SUMIFS('caseload data'!S:S,'caseload data'!$C:$C,'custody %'!$B$22,'caseload data'!$D:$D,"PO",'caseload data'!$B:$B,"custody")/SUMIFS('caseload data'!S:S,'caseload data'!$B:$B,"custody",'caseload data'!$C:$C,'custody %'!$B$22),"")</f>
        <v/>
      </c>
      <c r="R24" s="209" t="str">
        <f>IFERROR(SUMIFS('caseload data'!T:T,'caseload data'!$C:$C,'custody %'!$B$22,'caseload data'!$D:$D,"PO",'caseload data'!$B:$B,"custody")/SUMIFS('caseload data'!T:T,'caseload data'!$B:$B,"custody",'caseload data'!$C:$C,'custody %'!$B$22),"")</f>
        <v/>
      </c>
      <c r="S24" s="95"/>
      <c r="T24" s="129" t="s">
        <v>184</v>
      </c>
      <c r="U24" s="209" t="str">
        <f>IFERROR(SUMIFS('caseload data'!E:E,'caseload data'!$C:$C,'custody %'!$T$22,'caseload data'!$D:$D,"PO",'caseload data'!$B:$B,"custody")/SUMIFS('caseload data'!E:E,'caseload data'!$B:$B,"custody",'caseload data'!$C:$C,'custody %'!$T$22),"")</f>
        <v/>
      </c>
      <c r="V24" s="209" t="str">
        <f>IFERROR(SUMIFS('caseload data'!F:F,'caseload data'!$C:$C,'custody %'!$T$22,'caseload data'!$D:$D,"PO",'caseload data'!$B:$B,"custody")/SUMIFS('caseload data'!F:F,'caseload data'!$B:$B,"custody",'caseload data'!$C:$C,'custody %'!$T$22),"")</f>
        <v/>
      </c>
      <c r="W24" s="209" t="str">
        <f>IFERROR(SUMIFS('caseload data'!G:G,'caseload data'!$C:$C,'custody %'!$T$22,'caseload data'!$D:$D,"PO",'caseload data'!$B:$B,"custody")/SUMIFS('caseload data'!G:G,'caseload data'!$B:$B,"custody",'caseload data'!$C:$C,'custody %'!$T$22),"")</f>
        <v/>
      </c>
      <c r="X24" s="209" t="str">
        <f>IFERROR(SUMIFS('caseload data'!H:H,'caseload data'!$C:$C,'custody %'!$T$22,'caseload data'!$D:$D,"PO",'caseload data'!$B:$B,"custody")/SUMIFS('caseload data'!H:H,'caseload data'!$B:$B,"custody",'caseload data'!$C:$C,'custody %'!$T$22),"")</f>
        <v/>
      </c>
      <c r="Y24" s="209" t="str">
        <f>IFERROR(SUMIFS('caseload data'!I:I,'caseload data'!$C:$C,'custody %'!$T$22,'caseload data'!$D:$D,"PO",'caseload data'!$B:$B,"custody")/SUMIFS('caseload data'!I:I,'caseload data'!$B:$B,"custody",'caseload data'!$C:$C,'custody %'!$T$22),"")</f>
        <v/>
      </c>
      <c r="Z24" s="209" t="str">
        <f>IFERROR(SUMIFS('caseload data'!J:J,'caseload data'!$C:$C,'custody %'!$T$22,'caseload data'!$D:$D,"PO",'caseload data'!$B:$B,"custody")/SUMIFS('caseload data'!J:J,'caseload data'!$B:$B,"custody",'caseload data'!$C:$C,'custody %'!$T$22),"")</f>
        <v/>
      </c>
      <c r="AA24" s="209" t="str">
        <f>IFERROR(SUMIFS('caseload data'!K:K,'caseload data'!$C:$C,'custody %'!$T$22,'caseload data'!$D:$D,"PO",'caseload data'!$B:$B,"custody")/SUMIFS('caseload data'!K:K,'caseload data'!$B:$B,"custody",'caseload data'!$C:$C,'custody %'!$T$22),"")</f>
        <v/>
      </c>
      <c r="AB24" s="209" t="str">
        <f>IFERROR(SUMIFS('caseload data'!L:L,'caseload data'!$C:$C,'custody %'!$T$22,'caseload data'!$D:$D,"PO",'caseload data'!$B:$B,"custody")/SUMIFS('caseload data'!L:L,'caseload data'!$B:$B,"custody",'caseload data'!$C:$C,'custody %'!$T$22),"")</f>
        <v/>
      </c>
      <c r="AC24" s="209" t="str">
        <f>IFERROR(SUMIFS('caseload data'!M:M,'caseload data'!$C:$C,'custody %'!$T$22,'caseload data'!$D:$D,"PO",'caseload data'!$B:$B,"custody")/SUMIFS('caseload data'!M:M,'caseload data'!$B:$B,"custody",'caseload data'!$C:$C,'custody %'!$T$22),"")</f>
        <v/>
      </c>
      <c r="AD24" s="209" t="str">
        <f>IFERROR(SUMIFS('caseload data'!N:N,'caseload data'!$C:$C,'custody %'!$T$22,'caseload data'!$D:$D,"PO",'caseload data'!$B:$B,"custody")/SUMIFS('caseload data'!N:N,'caseload data'!$B:$B,"custody",'caseload data'!$C:$C,'custody %'!$T$22),"")</f>
        <v/>
      </c>
      <c r="AE24" s="209" t="str">
        <f>IFERROR(SUMIFS('caseload data'!O:O,'caseload data'!$C:$C,'custody %'!$T$22,'caseload data'!$D:$D,"PO",'caseload data'!$B:$B,"custody")/SUMIFS('caseload data'!O:O,'caseload data'!$B:$B,"custody",'caseload data'!$C:$C,'custody %'!$T$22),"")</f>
        <v/>
      </c>
      <c r="AF24" s="209" t="str">
        <f>IFERROR(SUMIFS('caseload data'!P:P,'caseload data'!$C:$C,'custody %'!$T$22,'caseload data'!$D:$D,"PO",'caseload data'!$B:$B,"custody")/SUMIFS('caseload data'!P:P,'caseload data'!$B:$B,"custody",'caseload data'!$C:$C,'custody %'!$T$22),"")</f>
        <v/>
      </c>
      <c r="AG24" s="209" t="str">
        <f>IFERROR(SUMIFS('caseload data'!Q:Q,'caseload data'!$C:$C,'custody %'!$T$22,'caseload data'!$D:$D,"PO",'caseload data'!$B:$B,"custody")/SUMIFS('caseload data'!Q:Q,'caseload data'!$B:$B,"custody",'caseload data'!$C:$C,'custody %'!$T$22),"")</f>
        <v/>
      </c>
      <c r="AH24" s="209" t="str">
        <f>IFERROR(SUMIFS('caseload data'!R:R,'caseload data'!$C:$C,'custody %'!$T$22,'caseload data'!$D:$D,"PO",'caseload data'!$B:$B,"custody")/SUMIFS('caseload data'!R:R,'caseload data'!$B:$B,"custody",'caseload data'!$C:$C,'custody %'!$T$22),"")</f>
        <v/>
      </c>
      <c r="AI24" s="209"/>
      <c r="AJ24" s="209"/>
    </row>
    <row r="25" spans="2:36" x14ac:dyDescent="0.15">
      <c r="B25" s="130" t="s">
        <v>185</v>
      </c>
      <c r="C25" s="209" t="str">
        <f>IFERROR(SUMIFS('caseload data'!E:E,'caseload data'!$C:$C,'custody %'!$B$22,'caseload data'!$D:$D,"PSO",'caseload data'!$B:$B,"custody")/SUMIFS('caseload data'!E:E,'caseload data'!$B:$B,"custody",'caseload data'!$C:$C,'custody %'!$B$22),"")</f>
        <v/>
      </c>
      <c r="D25" s="209" t="str">
        <f>IFERROR(SUMIFS('caseload data'!F:F,'caseload data'!$C:$C,'custody %'!$B$22,'caseload data'!$D:$D,"PSO",'caseload data'!$B:$B,"custody")/SUMIFS('caseload data'!F:F,'caseload data'!$B:$B,"custody",'caseload data'!$C:$C,'custody %'!$B$22),"")</f>
        <v/>
      </c>
      <c r="E25" s="209" t="str">
        <f>IFERROR(SUMIFS('caseload data'!G:G,'caseload data'!$C:$C,'custody %'!$B$22,'caseload data'!$D:$D,"PSO",'caseload data'!$B:$B,"custody")/SUMIFS('caseload data'!G:G,'caseload data'!$B:$B,"custody",'caseload data'!$C:$C,'custody %'!$B$22),"")</f>
        <v/>
      </c>
      <c r="F25" s="209" t="str">
        <f>IFERROR(SUMIFS('caseload data'!H:H,'caseload data'!$C:$C,'custody %'!$B$22,'caseload data'!$D:$D,"PSO",'caseload data'!$B:$B,"custody")/SUMIFS('caseload data'!H:H,'caseload data'!$B:$B,"custody",'caseload data'!$C:$C,'custody %'!$B$22),"")</f>
        <v/>
      </c>
      <c r="G25" s="209" t="str">
        <f>IFERROR(SUMIFS('caseload data'!I:I,'caseload data'!$C:$C,'custody %'!$B$22,'caseload data'!$D:$D,"PSO",'caseload data'!$B:$B,"custody")/SUMIFS('caseload data'!I:I,'caseload data'!$B:$B,"custody",'caseload data'!$C:$C,'custody %'!$B$22),"")</f>
        <v/>
      </c>
      <c r="H25" s="209" t="str">
        <f>IFERROR(SUMIFS('caseload data'!J:J,'caseload data'!$C:$C,'custody %'!$B$22,'caseload data'!$D:$D,"PSO",'caseload data'!$B:$B,"custody")/SUMIFS('caseload data'!J:J,'caseload data'!$B:$B,"custody",'caseload data'!$C:$C,'custody %'!$B$22),"")</f>
        <v/>
      </c>
      <c r="I25" s="209" t="str">
        <f>IFERROR(SUMIFS('caseload data'!K:K,'caseload data'!$C:$C,'custody %'!$B$22,'caseload data'!$D:$D,"PSO",'caseload data'!$B:$B,"custody")/SUMIFS('caseload data'!K:K,'caseload data'!$B:$B,"custody",'caseload data'!$C:$C,'custody %'!$B$22),"")</f>
        <v/>
      </c>
      <c r="J25" s="209" t="str">
        <f>IFERROR(SUMIFS('caseload data'!L:L,'caseload data'!$C:$C,'custody %'!$B$22,'caseload data'!$D:$D,"PSO",'caseload data'!$B:$B,"custody")/SUMIFS('caseload data'!L:L,'caseload data'!$B:$B,"custody",'caseload data'!$C:$C,'custody %'!$B$22),"")</f>
        <v/>
      </c>
      <c r="K25" s="209" t="str">
        <f>IFERROR(SUMIFS('caseload data'!M:M,'caseload data'!$C:$C,'custody %'!$B$22,'caseload data'!$D:$D,"PSO",'caseload data'!$B:$B,"custody")/SUMIFS('caseload data'!M:M,'caseload data'!$B:$B,"custody",'caseload data'!$C:$C,'custody %'!$B$22),"")</f>
        <v/>
      </c>
      <c r="L25" s="209" t="str">
        <f>IFERROR(SUMIFS('caseload data'!N:N,'caseload data'!$C:$C,'custody %'!$B$22,'caseload data'!$D:$D,"PSO",'caseload data'!$B:$B,"custody")/SUMIFS('caseload data'!N:N,'caseload data'!$B:$B,"custody",'caseload data'!$C:$C,'custody %'!$B$22),"")</f>
        <v/>
      </c>
      <c r="M25" s="209" t="str">
        <f>IFERROR(SUMIFS('caseload data'!O:O,'caseload data'!$C:$C,'custody %'!$B$22,'caseload data'!$D:$D,"PSO",'caseload data'!$B:$B,"custody")/SUMIFS('caseload data'!O:O,'caseload data'!$B:$B,"custody",'caseload data'!$C:$C,'custody %'!$B$22),"")</f>
        <v/>
      </c>
      <c r="N25" s="209" t="str">
        <f>IFERROR(SUMIFS('caseload data'!P:P,'caseload data'!$C:$C,'custody %'!$B$22,'caseload data'!$D:$D,"PSO",'caseload data'!$B:$B,"custody")/SUMIFS('caseload data'!P:P,'caseload data'!$B:$B,"custody",'caseload data'!$C:$C,'custody %'!$B$22),"")</f>
        <v/>
      </c>
      <c r="O25" s="209" t="str">
        <f>IFERROR(SUMIFS('caseload data'!Q:Q,'caseload data'!$C:$C,'custody %'!$B$22,'caseload data'!$D:$D,"PSO",'caseload data'!$B:$B,"custody")/SUMIFS('caseload data'!Q:Q,'caseload data'!$B:$B,"custody",'caseload data'!$C:$C,'custody %'!$B$22),"")</f>
        <v/>
      </c>
      <c r="P25" s="209" t="str">
        <f>IFERROR(SUMIFS('caseload data'!R:R,'caseload data'!$C:$C,'custody %'!$B$22,'caseload data'!$D:$D,"PSO",'caseload data'!$B:$B,"custody")/SUMIFS('caseload data'!R:R,'caseload data'!$B:$B,"custody",'caseload data'!$C:$C,'custody %'!$B$22),"")</f>
        <v/>
      </c>
      <c r="Q25" s="209" t="str">
        <f>IFERROR(SUMIFS('caseload data'!S:S,'caseload data'!$C:$C,'custody %'!$B$22,'caseload data'!$D:$D,"PSO",'caseload data'!$B:$B,"custody")/SUMIFS('caseload data'!S:S,'caseload data'!$B:$B,"custody",'caseload data'!$C:$C,'custody %'!$B$22),"")</f>
        <v/>
      </c>
      <c r="R25" s="209" t="str">
        <f>IFERROR(SUMIFS('caseload data'!T:T,'caseload data'!$C:$C,'custody %'!$B$22,'caseload data'!$D:$D,"PSO",'caseload data'!$B:$B,"custody")/SUMIFS('caseload data'!T:T,'caseload data'!$B:$B,"custody",'caseload data'!$C:$C,'custody %'!$B$22),"")</f>
        <v/>
      </c>
      <c r="S25" s="95"/>
      <c r="T25" s="130" t="s">
        <v>185</v>
      </c>
      <c r="U25" s="209" t="str">
        <f>IFERROR(SUMIFS('caseload data'!E:E,'caseload data'!$C:$C,'custody %'!$T$22,'caseload data'!$D:$D,"PSO",'caseload data'!$B:$B,"custody")/SUMIFS('caseload data'!E:E,'caseload data'!$B:$B,"custody",'caseload data'!$C:$C,'custody %'!$T$22),"")</f>
        <v/>
      </c>
      <c r="V25" s="209" t="str">
        <f>IFERROR(SUMIFS('caseload data'!F:F,'caseload data'!$C:$C,'custody %'!$T$22,'caseload data'!$D:$D,"PSO",'caseload data'!$B:$B,"custody")/SUMIFS('caseload data'!F:F,'caseload data'!$B:$B,"custody",'caseload data'!$C:$C,'custody %'!$T$22),"")</f>
        <v/>
      </c>
      <c r="W25" s="209" t="str">
        <f>IFERROR(SUMIFS('caseload data'!G:G,'caseload data'!$C:$C,'custody %'!$T$22,'caseload data'!$D:$D,"PSO",'caseload data'!$B:$B,"custody")/SUMIFS('caseload data'!G:G,'caseload data'!$B:$B,"custody",'caseload data'!$C:$C,'custody %'!$T$22),"")</f>
        <v/>
      </c>
      <c r="X25" s="209" t="str">
        <f>IFERROR(SUMIFS('caseload data'!H:H,'caseload data'!$C:$C,'custody %'!$T$22,'caseload data'!$D:$D,"PSO",'caseload data'!$B:$B,"custody")/SUMIFS('caseload data'!H:H,'caseload data'!$B:$B,"custody",'caseload data'!$C:$C,'custody %'!$T$22),"")</f>
        <v/>
      </c>
      <c r="Y25" s="209" t="str">
        <f>IFERROR(SUMIFS('caseload data'!I:I,'caseload data'!$C:$C,'custody %'!$T$22,'caseload data'!$D:$D,"PSO",'caseload data'!$B:$B,"custody")/SUMIFS('caseload data'!I:I,'caseload data'!$B:$B,"custody",'caseload data'!$C:$C,'custody %'!$T$22),"")</f>
        <v/>
      </c>
      <c r="Z25" s="209" t="str">
        <f>IFERROR(SUMIFS('caseload data'!J:J,'caseload data'!$C:$C,'custody %'!$T$22,'caseload data'!$D:$D,"PSO",'caseload data'!$B:$B,"custody")/SUMIFS('caseload data'!J:J,'caseload data'!$B:$B,"custody",'caseload data'!$C:$C,'custody %'!$T$22),"")</f>
        <v/>
      </c>
      <c r="AA25" s="209" t="str">
        <f>IFERROR(SUMIFS('caseload data'!K:K,'caseload data'!$C:$C,'custody %'!$T$22,'caseload data'!$D:$D,"PSO",'caseload data'!$B:$B,"custody")/SUMIFS('caseload data'!K:K,'caseload data'!$B:$B,"custody",'caseload data'!$C:$C,'custody %'!$T$22),"")</f>
        <v/>
      </c>
      <c r="AB25" s="209" t="str">
        <f>IFERROR(SUMIFS('caseload data'!L:L,'caseload data'!$C:$C,'custody %'!$T$22,'caseload data'!$D:$D,"PSO",'caseload data'!$B:$B,"custody")/SUMIFS('caseload data'!L:L,'caseload data'!$B:$B,"custody",'caseload data'!$C:$C,'custody %'!$T$22),"")</f>
        <v/>
      </c>
      <c r="AC25" s="209" t="str">
        <f>IFERROR(SUMIFS('caseload data'!M:M,'caseload data'!$C:$C,'custody %'!$T$22,'caseload data'!$D:$D,"PSO",'caseload data'!$B:$B,"custody")/SUMIFS('caseload data'!M:M,'caseload data'!$B:$B,"custody",'caseload data'!$C:$C,'custody %'!$T$22),"")</f>
        <v/>
      </c>
      <c r="AD25" s="209" t="str">
        <f>IFERROR(SUMIFS('caseload data'!N:N,'caseload data'!$C:$C,'custody %'!$T$22,'caseload data'!$D:$D,"PSO",'caseload data'!$B:$B,"custody")/SUMIFS('caseload data'!N:N,'caseload data'!$B:$B,"custody",'caseload data'!$C:$C,'custody %'!$T$22),"")</f>
        <v/>
      </c>
      <c r="AE25" s="209" t="str">
        <f>IFERROR(SUMIFS('caseload data'!O:O,'caseload data'!$C:$C,'custody %'!$T$22,'caseload data'!$D:$D,"PSO",'caseload data'!$B:$B,"custody")/SUMIFS('caseload data'!O:O,'caseload data'!$B:$B,"custody",'caseload data'!$C:$C,'custody %'!$T$22),"")</f>
        <v/>
      </c>
      <c r="AF25" s="209" t="str">
        <f>IFERROR(SUMIFS('caseload data'!P:P,'caseload data'!$C:$C,'custody %'!$T$22,'caseload data'!$D:$D,"PSO",'caseload data'!$B:$B,"custody")/SUMIFS('caseload data'!P:P,'caseload data'!$B:$B,"custody",'caseload data'!$C:$C,'custody %'!$T$22),"")</f>
        <v/>
      </c>
      <c r="AG25" s="209" t="str">
        <f>IFERROR(SUMIFS('caseload data'!Q:Q,'caseload data'!$C:$C,'custody %'!$T$22,'caseload data'!$D:$D,"PSO",'caseload data'!$B:$B,"custody")/SUMIFS('caseload data'!Q:Q,'caseload data'!$B:$B,"custody",'caseload data'!$C:$C,'custody %'!$T$22),"")</f>
        <v/>
      </c>
      <c r="AH25" s="209" t="str">
        <f>IFERROR(SUMIFS('caseload data'!R:R,'caseload data'!$C:$C,'custody %'!$T$22,'caseload data'!$D:$D,"PSO",'caseload data'!$B:$B,"custody")/SUMIFS('caseload data'!R:R,'caseload data'!$B:$B,"custody",'caseload data'!$C:$C,'custody %'!$T$22),"")</f>
        <v/>
      </c>
      <c r="AI25" s="209"/>
      <c r="AJ25" s="209"/>
    </row>
    <row r="26" spans="2:36" x14ac:dyDescent="0.15">
      <c r="B26" s="130" t="s">
        <v>186</v>
      </c>
      <c r="C26" s="209" t="str">
        <f>IFERROR(SUMIFS('caseload data'!E:E,'caseload data'!$C:$C,'custody %'!$B$22,'caseload data'!$D:$D,"TPO",'caseload data'!$B:$B,"custody")/SUMIFS('caseload data'!E:E,'caseload data'!$B:$B,"custody",'caseload data'!$C:$C,'custody %'!$B$22),"")</f>
        <v/>
      </c>
      <c r="D26" s="209" t="str">
        <f>IFERROR(SUMIFS('caseload data'!F:F,'caseload data'!$C:$C,'custody %'!$B$22,'caseload data'!$D:$D,"TPO",'caseload data'!$B:$B,"custody")/SUMIFS('caseload data'!F:F,'caseload data'!$B:$B,"custody",'caseload data'!$C:$C,'custody %'!$B$22),"")</f>
        <v/>
      </c>
      <c r="E26" s="209" t="str">
        <f>IFERROR(SUMIFS('caseload data'!G:G,'caseload data'!$C:$C,'custody %'!$B$22,'caseload data'!$D:$D,"TPO",'caseload data'!$B:$B,"custody")/SUMIFS('caseload data'!G:G,'caseload data'!$B:$B,"custody",'caseload data'!$C:$C,'custody %'!$B$22),"")</f>
        <v/>
      </c>
      <c r="F26" s="209" t="str">
        <f>IFERROR(SUMIFS('caseload data'!H:H,'caseload data'!$C:$C,'custody %'!$B$22,'caseload data'!$D:$D,"TPO",'caseload data'!$B:$B,"custody")/SUMIFS('caseload data'!H:H,'caseload data'!$B:$B,"custody",'caseload data'!$C:$C,'custody %'!$B$22),"")</f>
        <v/>
      </c>
      <c r="G26" s="209" t="str">
        <f>IFERROR(SUMIFS('caseload data'!I:I,'caseload data'!$C:$C,'custody %'!$B$22,'caseload data'!$D:$D,"TPO",'caseload data'!$B:$B,"custody")/SUMIFS('caseload data'!I:I,'caseload data'!$B:$B,"custody",'caseload data'!$C:$C,'custody %'!$B$22),"")</f>
        <v/>
      </c>
      <c r="H26" s="209" t="str">
        <f>IFERROR(SUMIFS('caseload data'!J:J,'caseload data'!$C:$C,'custody %'!$B$22,'caseload data'!$D:$D,"TPO",'caseload data'!$B:$B,"custody")/SUMIFS('caseload data'!J:J,'caseload data'!$B:$B,"custody",'caseload data'!$C:$C,'custody %'!$B$22),"")</f>
        <v/>
      </c>
      <c r="I26" s="209" t="str">
        <f>IFERROR(SUMIFS('caseload data'!K:K,'caseload data'!$C:$C,'custody %'!$B$22,'caseload data'!$D:$D,"TPO",'caseload data'!$B:$B,"custody")/SUMIFS('caseload data'!K:K,'caseload data'!$B:$B,"custody",'caseload data'!$C:$C,'custody %'!$B$22),"")</f>
        <v/>
      </c>
      <c r="J26" s="209" t="str">
        <f>IFERROR(SUMIFS('caseload data'!L:L,'caseload data'!$C:$C,'custody %'!$B$22,'caseload data'!$D:$D,"TPO",'caseload data'!$B:$B,"custody")/SUMIFS('caseload data'!L:L,'caseload data'!$B:$B,"custody",'caseload data'!$C:$C,'custody %'!$B$22),"")</f>
        <v/>
      </c>
      <c r="K26" s="209" t="str">
        <f>IFERROR(SUMIFS('caseload data'!M:M,'caseload data'!$C:$C,'custody %'!$B$22,'caseload data'!$D:$D,"TPO",'caseload data'!$B:$B,"custody")/SUMIFS('caseload data'!M:M,'caseload data'!$B:$B,"custody",'caseload data'!$C:$C,'custody %'!$B$22),"")</f>
        <v/>
      </c>
      <c r="L26" s="209" t="str">
        <f>IFERROR(SUMIFS('caseload data'!N:N,'caseload data'!$C:$C,'custody %'!$B$22,'caseload data'!$D:$D,"TPO",'caseload data'!$B:$B,"custody")/SUMIFS('caseload data'!N:N,'caseload data'!$B:$B,"custody",'caseload data'!$C:$C,'custody %'!$B$22),"")</f>
        <v/>
      </c>
      <c r="M26" s="209" t="str">
        <f>IFERROR(SUMIFS('caseload data'!O:O,'caseload data'!$C:$C,'custody %'!$B$22,'caseload data'!$D:$D,"TPO",'caseload data'!$B:$B,"custody")/SUMIFS('caseload data'!O:O,'caseload data'!$B:$B,"custody",'caseload data'!$C:$C,'custody %'!$B$22),"")</f>
        <v/>
      </c>
      <c r="N26" s="209" t="str">
        <f>IFERROR(SUMIFS('caseload data'!P:P,'caseload data'!$C:$C,'custody %'!$B$22,'caseload data'!$D:$D,"TPO",'caseload data'!$B:$B,"custody")/SUMIFS('caseload data'!P:P,'caseload data'!$B:$B,"custody",'caseload data'!$C:$C,'custody %'!$B$22),"")</f>
        <v/>
      </c>
      <c r="O26" s="209" t="str">
        <f>IFERROR(SUMIFS('caseload data'!Q:Q,'caseload data'!$C:$C,'custody %'!$B$22,'caseload data'!$D:$D,"TPO",'caseload data'!$B:$B,"custody")/SUMIFS('caseload data'!Q:Q,'caseload data'!$B:$B,"custody",'caseload data'!$C:$C,'custody %'!$B$22),"")</f>
        <v/>
      </c>
      <c r="P26" s="209" t="str">
        <f>IFERROR(SUMIFS('caseload data'!R:R,'caseload data'!$C:$C,'custody %'!$B$22,'caseload data'!$D:$D,"TPO",'caseload data'!$B:$B,"custody")/SUMIFS('caseload data'!R:R,'caseload data'!$B:$B,"custody",'caseload data'!$C:$C,'custody %'!$B$22),"")</f>
        <v/>
      </c>
      <c r="Q26" s="209" t="str">
        <f>IFERROR(SUMIFS('caseload data'!S:S,'caseload data'!$C:$C,'custody %'!$B$22,'caseload data'!$D:$D,"TPO",'caseload data'!$B:$B,"custody")/SUMIFS('caseload data'!S:S,'caseload data'!$B:$B,"custody",'caseload data'!$C:$C,'custody %'!$B$22),"")</f>
        <v/>
      </c>
      <c r="R26" s="209" t="str">
        <f>IFERROR(SUMIFS('caseload data'!T:T,'caseload data'!$C:$C,'custody %'!$B$22,'caseload data'!$D:$D,"TPO",'caseload data'!$B:$B,"custody")/SUMIFS('caseload data'!T:T,'caseload data'!$B:$B,"custody",'caseload data'!$C:$C,'custody %'!$B$22),"")</f>
        <v/>
      </c>
      <c r="S26" s="95"/>
      <c r="T26" s="130" t="s">
        <v>186</v>
      </c>
      <c r="U26" s="209" t="str">
        <f>IFERROR(SUMIFS('caseload data'!E:E,'caseload data'!$C:$C,'custody %'!$T$22,'caseload data'!$D:$D,"TPO",'caseload data'!$B:$B,"custody")/SUMIFS('caseload data'!E:E,'caseload data'!$B:$B,"custody",'caseload data'!$C:$C,'custody %'!$T$22),"")</f>
        <v/>
      </c>
      <c r="V26" s="209" t="str">
        <f>IFERROR(SUMIFS('caseload data'!F:F,'caseload data'!$C:$C,'custody %'!$T$22,'caseload data'!$D:$D,"TPO",'caseload data'!$B:$B,"custody")/SUMIFS('caseload data'!F:F,'caseload data'!$B:$B,"custody",'caseload data'!$C:$C,'custody %'!$T$22),"")</f>
        <v/>
      </c>
      <c r="W26" s="209" t="str">
        <f>IFERROR(SUMIFS('caseload data'!G:G,'caseload data'!$C:$C,'custody %'!$T$22,'caseload data'!$D:$D,"TPO",'caseload data'!$B:$B,"custody")/SUMIFS('caseload data'!G:G,'caseload data'!$B:$B,"custody",'caseload data'!$C:$C,'custody %'!$T$22),"")</f>
        <v/>
      </c>
      <c r="X26" s="209" t="str">
        <f>IFERROR(SUMIFS('caseload data'!H:H,'caseload data'!$C:$C,'custody %'!$T$22,'caseload data'!$D:$D,"TPO",'caseload data'!$B:$B,"custody")/SUMIFS('caseload data'!H:H,'caseload data'!$B:$B,"custody",'caseload data'!$C:$C,'custody %'!$T$22),"")</f>
        <v/>
      </c>
      <c r="Y26" s="209" t="str">
        <f>IFERROR(SUMIFS('caseload data'!I:I,'caseload data'!$C:$C,'custody %'!$T$22,'caseload data'!$D:$D,"TPO",'caseload data'!$B:$B,"custody")/SUMIFS('caseload data'!I:I,'caseload data'!$B:$B,"custody",'caseload data'!$C:$C,'custody %'!$T$22),"")</f>
        <v/>
      </c>
      <c r="Z26" s="209" t="str">
        <f>IFERROR(SUMIFS('caseload data'!J:J,'caseload data'!$C:$C,'custody %'!$T$22,'caseload data'!$D:$D,"TPO",'caseload data'!$B:$B,"custody")/SUMIFS('caseload data'!J:J,'caseload data'!$B:$B,"custody",'caseload data'!$C:$C,'custody %'!$T$22),"")</f>
        <v/>
      </c>
      <c r="AA26" s="209" t="str">
        <f>IFERROR(SUMIFS('caseload data'!K:K,'caseload data'!$C:$C,'custody %'!$T$22,'caseload data'!$D:$D,"TPO",'caseload data'!$B:$B,"custody")/SUMIFS('caseload data'!K:K,'caseload data'!$B:$B,"custody",'caseload data'!$C:$C,'custody %'!$T$22),"")</f>
        <v/>
      </c>
      <c r="AB26" s="209" t="str">
        <f>IFERROR(SUMIFS('caseload data'!L:L,'caseload data'!$C:$C,'custody %'!$T$22,'caseload data'!$D:$D,"TPO",'caseload data'!$B:$B,"custody")/SUMIFS('caseload data'!L:L,'caseload data'!$B:$B,"custody",'caseload data'!$C:$C,'custody %'!$T$22),"")</f>
        <v/>
      </c>
      <c r="AC26" s="209" t="str">
        <f>IFERROR(SUMIFS('caseload data'!M:M,'caseload data'!$C:$C,'custody %'!$T$22,'caseload data'!$D:$D,"TPO",'caseload data'!$B:$B,"custody")/SUMIFS('caseload data'!M:M,'caseload data'!$B:$B,"custody",'caseload data'!$C:$C,'custody %'!$T$22),"")</f>
        <v/>
      </c>
      <c r="AD26" s="209" t="str">
        <f>IFERROR(SUMIFS('caseload data'!N:N,'caseload data'!$C:$C,'custody %'!$T$22,'caseload data'!$D:$D,"TPO",'caseload data'!$B:$B,"custody")/SUMIFS('caseload data'!N:N,'caseload data'!$B:$B,"custody",'caseload data'!$C:$C,'custody %'!$T$22),"")</f>
        <v/>
      </c>
      <c r="AE26" s="209" t="str">
        <f>IFERROR(SUMIFS('caseload data'!O:O,'caseload data'!$C:$C,'custody %'!$T$22,'caseload data'!$D:$D,"TPO",'caseload data'!$B:$B,"custody")/SUMIFS('caseload data'!O:O,'caseload data'!$B:$B,"custody",'caseload data'!$C:$C,'custody %'!$T$22),"")</f>
        <v/>
      </c>
      <c r="AF26" s="209" t="str">
        <f>IFERROR(SUMIFS('caseload data'!P:P,'caseload data'!$C:$C,'custody %'!$T$22,'caseload data'!$D:$D,"TPO",'caseload data'!$B:$B,"custody")/SUMIFS('caseload data'!P:P,'caseload data'!$B:$B,"custody",'caseload data'!$C:$C,'custody %'!$T$22),"")</f>
        <v/>
      </c>
      <c r="AG26" s="209" t="str">
        <f>IFERROR(SUMIFS('caseload data'!Q:Q,'caseload data'!$C:$C,'custody %'!$T$22,'caseload data'!$D:$D,"TPO",'caseload data'!$B:$B,"custody")/SUMIFS('caseload data'!Q:Q,'caseload data'!$B:$B,"custody",'caseload data'!$C:$C,'custody %'!$T$22),"")</f>
        <v/>
      </c>
      <c r="AH26" s="209" t="str">
        <f>IFERROR(SUMIFS('caseload data'!R:R,'caseload data'!$C:$C,'custody %'!$T$22,'caseload data'!$D:$D,"TPO",'caseload data'!$B:$B,"custody")/SUMIFS('caseload data'!R:R,'caseload data'!$B:$B,"custody",'caseload data'!$C:$C,'custody %'!$T$22),"")</f>
        <v/>
      </c>
      <c r="AI26" s="209"/>
      <c r="AJ26" s="209"/>
    </row>
    <row r="27" spans="2:36" x14ac:dyDescent="0.15">
      <c r="B27" s="131" t="s">
        <v>187</v>
      </c>
      <c r="C27" s="209" t="str">
        <f>IFERROR(SUMIFS('caseload data'!E:E,'caseload data'!$C:$C,'custody %'!$B$22,'caseload data'!$D:$D,"SPO",'caseload data'!$B:$B,"custody")/SUMIFS('caseload data'!E:E,'caseload data'!$B:$B,"custody",'caseload data'!$C:$C,'custody %'!$B$22),"")</f>
        <v/>
      </c>
      <c r="D27" s="209" t="str">
        <f>IFERROR(SUMIFS('caseload data'!F:F,'caseload data'!$C:$C,'custody %'!$B$22,'caseload data'!$D:$D,"SPO",'caseload data'!$B:$B,"custody")/SUMIFS('caseload data'!F:F,'caseload data'!$B:$B,"custody",'caseload data'!$C:$C,'custody %'!$B$22),"")</f>
        <v/>
      </c>
      <c r="E27" s="209" t="str">
        <f>IFERROR(SUMIFS('caseload data'!G:G,'caseload data'!$C:$C,'custody %'!$B$22,'caseload data'!$D:$D,"SPO",'caseload data'!$B:$B,"custody")/SUMIFS('caseload data'!G:G,'caseload data'!$B:$B,"custody",'caseload data'!$C:$C,'custody %'!$B$22),"")</f>
        <v/>
      </c>
      <c r="F27" s="209" t="str">
        <f>IFERROR(SUMIFS('caseload data'!H:H,'caseload data'!$C:$C,'custody %'!$B$22,'caseload data'!$D:$D,"SPO",'caseload data'!$B:$B,"custody")/SUMIFS('caseload data'!H:H,'caseload data'!$B:$B,"custody",'caseload data'!$C:$C,'custody %'!$B$22),"")</f>
        <v/>
      </c>
      <c r="G27" s="209" t="str">
        <f>IFERROR(SUMIFS('caseload data'!I:I,'caseload data'!$C:$C,'custody %'!$B$22,'caseload data'!$D:$D,"SPO",'caseload data'!$B:$B,"custody")/SUMIFS('caseload data'!I:I,'caseload data'!$B:$B,"custody",'caseload data'!$C:$C,'custody %'!$B$22),"")</f>
        <v/>
      </c>
      <c r="H27" s="209" t="str">
        <f>IFERROR(SUMIFS('caseload data'!J:J,'caseload data'!$C:$C,'custody %'!$B$22,'caseload data'!$D:$D,"SPO",'caseload data'!$B:$B,"custody")/SUMIFS('caseload data'!J:J,'caseload data'!$B:$B,"custody",'caseload data'!$C:$C,'custody %'!$B$22),"")</f>
        <v/>
      </c>
      <c r="I27" s="209" t="str">
        <f>IFERROR(SUMIFS('caseload data'!K:K,'caseload data'!$C:$C,'custody %'!$B$22,'caseload data'!$D:$D,"SPO",'caseload data'!$B:$B,"custody")/SUMIFS('caseload data'!K:K,'caseload data'!$B:$B,"custody",'caseload data'!$C:$C,'custody %'!$B$22),"")</f>
        <v/>
      </c>
      <c r="J27" s="209" t="str">
        <f>IFERROR(SUMIFS('caseload data'!L:L,'caseload data'!$C:$C,'custody %'!$B$22,'caseload data'!$D:$D,"SPO",'caseload data'!$B:$B,"custody")/SUMIFS('caseload data'!L:L,'caseload data'!$B:$B,"custody",'caseload data'!$C:$C,'custody %'!$B$22),"")</f>
        <v/>
      </c>
      <c r="K27" s="209" t="str">
        <f>IFERROR(SUMIFS('caseload data'!M:M,'caseload data'!$C:$C,'custody %'!$B$22,'caseload data'!$D:$D,"SPO",'caseload data'!$B:$B,"custody")/SUMIFS('caseload data'!M:M,'caseload data'!$B:$B,"custody",'caseload data'!$C:$C,'custody %'!$B$22),"")</f>
        <v/>
      </c>
      <c r="L27" s="209" t="str">
        <f>IFERROR(SUMIFS('caseload data'!N:N,'caseload data'!$C:$C,'custody %'!$B$22,'caseload data'!$D:$D,"SPO",'caseload data'!$B:$B,"custody")/SUMIFS('caseload data'!N:N,'caseload data'!$B:$B,"custody",'caseload data'!$C:$C,'custody %'!$B$22),"")</f>
        <v/>
      </c>
      <c r="M27" s="209" t="str">
        <f>IFERROR(SUMIFS('caseload data'!O:O,'caseload data'!$C:$C,'custody %'!$B$22,'caseload data'!$D:$D,"SPO",'caseload data'!$B:$B,"custody")/SUMIFS('caseload data'!O:O,'caseload data'!$B:$B,"custody",'caseload data'!$C:$C,'custody %'!$B$22),"")</f>
        <v/>
      </c>
      <c r="N27" s="209" t="str">
        <f>IFERROR(SUMIFS('caseload data'!P:P,'caseload data'!$C:$C,'custody %'!$B$22,'caseload data'!$D:$D,"SPO",'caseload data'!$B:$B,"custody")/SUMIFS('caseload data'!P:P,'caseload data'!$B:$B,"custody",'caseload data'!$C:$C,'custody %'!$B$22),"")</f>
        <v/>
      </c>
      <c r="O27" s="209" t="str">
        <f>IFERROR(SUMIFS('caseload data'!Q:Q,'caseload data'!$C:$C,'custody %'!$B$22,'caseload data'!$D:$D,"SPO",'caseload data'!$B:$B,"custody")/SUMIFS('caseload data'!Q:Q,'caseload data'!$B:$B,"custody",'caseload data'!$C:$C,'custody %'!$B$22),"")</f>
        <v/>
      </c>
      <c r="P27" s="209" t="str">
        <f>IFERROR(SUMIFS('caseload data'!R:R,'caseload data'!$C:$C,'custody %'!$B$22,'caseload data'!$D:$D,"SPO",'caseload data'!$B:$B,"custody")/SUMIFS('caseload data'!R:R,'caseload data'!$B:$B,"custody",'caseload data'!$C:$C,'custody %'!$B$22),"")</f>
        <v/>
      </c>
      <c r="Q27" s="209" t="str">
        <f>IFERROR(SUMIFS('caseload data'!S:S,'caseload data'!$C:$C,'custody %'!$B$22,'caseload data'!$D:$D,"SPO",'caseload data'!$B:$B,"custody")/SUMIFS('caseload data'!S:S,'caseload data'!$B:$B,"custody",'caseload data'!$C:$C,'custody %'!$B$22),"")</f>
        <v/>
      </c>
      <c r="R27" s="209" t="str">
        <f>IFERROR(SUMIFS('caseload data'!T:T,'caseload data'!$C:$C,'custody %'!$B$22,'caseload data'!$D:$D,"SPO",'caseload data'!$B:$B,"custody")/SUMIFS('caseload data'!T:T,'caseload data'!$B:$B,"custody",'caseload data'!$C:$C,'custody %'!$B$22),"")</f>
        <v/>
      </c>
      <c r="S27" s="95"/>
      <c r="T27" s="131" t="s">
        <v>187</v>
      </c>
      <c r="U27" s="209" t="str">
        <f>IFERROR(SUMIFS('caseload data'!E:E,'caseload data'!$C:$C,'custody %'!$T$22,'caseload data'!$D:$D,"SPO",'caseload data'!$B:$B,"custody")/SUMIFS('caseload data'!E:E,'caseload data'!$B:$B,"custody",'caseload data'!$C:$C,'custody %'!$T$22),"")</f>
        <v/>
      </c>
      <c r="V27" s="209" t="str">
        <f>IFERROR(SUMIFS('caseload data'!F:F,'caseload data'!$C:$C,'custody %'!$T$22,'caseload data'!$D:$D,"SPO",'caseload data'!$B:$B,"custody")/SUMIFS('caseload data'!F:F,'caseload data'!$B:$B,"custody",'caseload data'!$C:$C,'custody %'!$T$22),"")</f>
        <v/>
      </c>
      <c r="W27" s="209" t="str">
        <f>IFERROR(SUMIFS('caseload data'!G:G,'caseload data'!$C:$C,'custody %'!$T$22,'caseload data'!$D:$D,"SPO",'caseload data'!$B:$B,"custody")/SUMIFS('caseload data'!G:G,'caseload data'!$B:$B,"custody",'caseload data'!$C:$C,'custody %'!$T$22),"")</f>
        <v/>
      </c>
      <c r="X27" s="209" t="str">
        <f>IFERROR(SUMIFS('caseload data'!H:H,'caseload data'!$C:$C,'custody %'!$T$22,'caseload data'!$D:$D,"SPO",'caseload data'!$B:$B,"custody")/SUMIFS('caseload data'!H:H,'caseload data'!$B:$B,"custody",'caseload data'!$C:$C,'custody %'!$T$22),"")</f>
        <v/>
      </c>
      <c r="Y27" s="209" t="str">
        <f>IFERROR(SUMIFS('caseload data'!I:I,'caseload data'!$C:$C,'custody %'!$T$22,'caseload data'!$D:$D,"SPO",'caseload data'!$B:$B,"custody")/SUMIFS('caseload data'!I:I,'caseload data'!$B:$B,"custody",'caseload data'!$C:$C,'custody %'!$T$22),"")</f>
        <v/>
      </c>
      <c r="Z27" s="209" t="str">
        <f>IFERROR(SUMIFS('caseload data'!J:J,'caseload data'!$C:$C,'custody %'!$T$22,'caseload data'!$D:$D,"SPO",'caseload data'!$B:$B,"custody")/SUMIFS('caseload data'!J:J,'caseload data'!$B:$B,"custody",'caseload data'!$C:$C,'custody %'!$T$22),"")</f>
        <v/>
      </c>
      <c r="AA27" s="209" t="str">
        <f>IFERROR(SUMIFS('caseload data'!K:K,'caseload data'!$C:$C,'custody %'!$T$22,'caseload data'!$D:$D,"SPO",'caseload data'!$B:$B,"custody")/SUMIFS('caseload data'!K:K,'caseload data'!$B:$B,"custody",'caseload data'!$C:$C,'custody %'!$T$22),"")</f>
        <v/>
      </c>
      <c r="AB27" s="209" t="str">
        <f>IFERROR(SUMIFS('caseload data'!L:L,'caseload data'!$C:$C,'custody %'!$T$22,'caseload data'!$D:$D,"SPO",'caseload data'!$B:$B,"custody")/SUMIFS('caseload data'!L:L,'caseload data'!$B:$B,"custody",'caseload data'!$C:$C,'custody %'!$T$22),"")</f>
        <v/>
      </c>
      <c r="AC27" s="209" t="str">
        <f>IFERROR(SUMIFS('caseload data'!M:M,'caseload data'!$C:$C,'custody %'!$T$22,'caseload data'!$D:$D,"SPO",'caseload data'!$B:$B,"custody")/SUMIFS('caseload data'!M:M,'caseload data'!$B:$B,"custody",'caseload data'!$C:$C,'custody %'!$T$22),"")</f>
        <v/>
      </c>
      <c r="AD27" s="209" t="str">
        <f>IFERROR(SUMIFS('caseload data'!N:N,'caseload data'!$C:$C,'custody %'!$T$22,'caseload data'!$D:$D,"SPO",'caseload data'!$B:$B,"custody")/SUMIFS('caseload data'!N:N,'caseload data'!$B:$B,"custody",'caseload data'!$C:$C,'custody %'!$T$22),"")</f>
        <v/>
      </c>
      <c r="AE27" s="209" t="str">
        <f>IFERROR(SUMIFS('caseload data'!O:O,'caseload data'!$C:$C,'custody %'!$T$22,'caseload data'!$D:$D,"SPO",'caseload data'!$B:$B,"custody")/SUMIFS('caseload data'!O:O,'caseload data'!$B:$B,"custody",'caseload data'!$C:$C,'custody %'!$T$22),"")</f>
        <v/>
      </c>
      <c r="AF27" s="209" t="str">
        <f>IFERROR(SUMIFS('caseload data'!P:P,'caseload data'!$C:$C,'custody %'!$T$22,'caseload data'!$D:$D,"SPO",'caseload data'!$B:$B,"custody")/SUMIFS('caseload data'!P:P,'caseload data'!$B:$B,"custody",'caseload data'!$C:$C,'custody %'!$T$22),"")</f>
        <v/>
      </c>
      <c r="AG27" s="209" t="str">
        <f>IFERROR(SUMIFS('caseload data'!Q:Q,'caseload data'!$C:$C,'custody %'!$T$22,'caseload data'!$D:$D,"SPO",'caseload data'!$B:$B,"custody")/SUMIFS('caseload data'!Q:Q,'caseload data'!$B:$B,"custody",'caseload data'!$C:$C,'custody %'!$T$22),"")</f>
        <v/>
      </c>
      <c r="AH27" s="209" t="str">
        <f>IFERROR(SUMIFS('caseload data'!R:R,'caseload data'!$C:$C,'custody %'!$T$22,'caseload data'!$D:$D,"SPO",'caseload data'!$B:$B,"custody")/SUMIFS('caseload data'!R:R,'caseload data'!$B:$B,"custody",'caseload data'!$C:$C,'custody %'!$T$22),"")</f>
        <v/>
      </c>
      <c r="AI27" s="209"/>
      <c r="AJ27" s="209"/>
    </row>
    <row r="28" spans="2:36" x14ac:dyDescent="0.15">
      <c r="B28" s="183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183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</row>
    <row r="29" spans="2:36" ht="29.25" customHeight="1" x14ac:dyDescent="0.15">
      <c r="B29" s="182" t="str">
        <f>HLOOKUP($B$5,Region_Table,8,0)</f>
        <v>Corporate Services - N07</v>
      </c>
      <c r="C29" s="359" t="s">
        <v>366</v>
      </c>
      <c r="D29" s="365"/>
      <c r="E29" s="365"/>
      <c r="F29" s="365"/>
      <c r="G29" s="365"/>
      <c r="H29" s="365"/>
      <c r="I29" s="365"/>
      <c r="J29" s="365"/>
      <c r="K29" s="365"/>
      <c r="L29" s="365"/>
      <c r="M29" s="368"/>
      <c r="N29" s="368"/>
      <c r="O29" s="369"/>
      <c r="P29" s="362">
        <f>SUMIF('caseload data'!$C:$C,'custody %'!B29,'caseload data'!V:V)</f>
        <v>0</v>
      </c>
      <c r="Q29" s="370"/>
      <c r="R29" s="371"/>
      <c r="S29" s="95"/>
      <c r="T29" s="182" t="str">
        <f>HLOOKUP($B$5,Region_Table,9,0)</f>
        <v>Croydon - N07</v>
      </c>
      <c r="U29" s="359" t="s">
        <v>366</v>
      </c>
      <c r="V29" s="365"/>
      <c r="W29" s="365"/>
      <c r="X29" s="365"/>
      <c r="Y29" s="365"/>
      <c r="Z29" s="365"/>
      <c r="AA29" s="365"/>
      <c r="AB29" s="365"/>
      <c r="AC29" s="368"/>
      <c r="AD29" s="368"/>
      <c r="AE29" s="369"/>
      <c r="AF29" s="362">
        <f>SUMIF('caseload data'!$C:$C,'custody %'!T29,'caseload data'!V:V)</f>
        <v>0</v>
      </c>
      <c r="AG29" s="370"/>
      <c r="AH29" s="371"/>
    </row>
    <row r="30" spans="2:36" x14ac:dyDescent="0.15">
      <c r="B30" s="127" t="s">
        <v>324</v>
      </c>
      <c r="C30" s="58" t="s">
        <v>504</v>
      </c>
      <c r="D30" s="58" t="s">
        <v>503</v>
      </c>
      <c r="E30" s="58" t="s">
        <v>502</v>
      </c>
      <c r="F30" s="58" t="s">
        <v>501</v>
      </c>
      <c r="G30" s="58" t="s">
        <v>510</v>
      </c>
      <c r="H30" s="58" t="s">
        <v>176</v>
      </c>
      <c r="I30" s="58" t="s">
        <v>177</v>
      </c>
      <c r="J30" s="58" t="s">
        <v>505</v>
      </c>
      <c r="K30" s="58" t="s">
        <v>507</v>
      </c>
      <c r="L30" s="58" t="s">
        <v>178</v>
      </c>
      <c r="M30" s="58" t="s">
        <v>179</v>
      </c>
      <c r="N30" s="58" t="s">
        <v>506</v>
      </c>
      <c r="O30" s="58" t="s">
        <v>508</v>
      </c>
      <c r="P30" s="58" t="s">
        <v>180</v>
      </c>
      <c r="Q30" s="58" t="s">
        <v>181</v>
      </c>
      <c r="R30" s="58" t="s">
        <v>509</v>
      </c>
      <c r="S30" s="95"/>
      <c r="T30" s="127" t="s">
        <v>324</v>
      </c>
      <c r="U30" s="58" t="s">
        <v>504</v>
      </c>
      <c r="V30" s="58" t="s">
        <v>503</v>
      </c>
      <c r="W30" s="58" t="s">
        <v>502</v>
      </c>
      <c r="X30" s="58" t="s">
        <v>501</v>
      </c>
      <c r="Y30" s="58" t="s">
        <v>510</v>
      </c>
      <c r="Z30" s="58" t="s">
        <v>176</v>
      </c>
      <c r="AA30" s="58" t="s">
        <v>177</v>
      </c>
      <c r="AB30" s="58" t="s">
        <v>505</v>
      </c>
      <c r="AC30" s="58" t="s">
        <v>507</v>
      </c>
      <c r="AD30" s="58" t="s">
        <v>178</v>
      </c>
      <c r="AE30" s="58" t="s">
        <v>179</v>
      </c>
      <c r="AF30" s="58" t="s">
        <v>506</v>
      </c>
      <c r="AG30" s="58" t="s">
        <v>508</v>
      </c>
      <c r="AH30" s="58" t="s">
        <v>180</v>
      </c>
      <c r="AI30" s="58" t="s">
        <v>181</v>
      </c>
      <c r="AJ30" s="58" t="s">
        <v>509</v>
      </c>
    </row>
    <row r="31" spans="2:36" x14ac:dyDescent="0.15">
      <c r="B31" s="129" t="s">
        <v>184</v>
      </c>
      <c r="C31" s="209" t="str">
        <f>IFERROR(SUMIFS('caseload data'!E:E,'caseload data'!$C:$C,'custody %'!$B$29,'caseload data'!$D:$D,"PO",'caseload data'!$B:$B,"custody")/SUMIFS('caseload data'!E:E,'caseload data'!$B:$B,"custody",'caseload data'!$C:$C,'custody %'!$B$29),"")</f>
        <v/>
      </c>
      <c r="D31" s="209" t="str">
        <f>IFERROR(SUMIFS('caseload data'!F:F,'caseload data'!$C:$C,'custody %'!$B$29,'caseload data'!$D:$D,"PO",'caseload data'!$B:$B,"custody")/SUMIFS('caseload data'!F:F,'caseload data'!$B:$B,"custody",'caseload data'!$C:$C,'custody %'!$B$29),"")</f>
        <v/>
      </c>
      <c r="E31" s="209" t="str">
        <f>IFERROR(SUMIFS('caseload data'!G:G,'caseload data'!$C:$C,'custody %'!$B$29,'caseload data'!$D:$D,"PO",'caseload data'!$B:$B,"custody")/SUMIFS('caseload data'!G:G,'caseload data'!$B:$B,"custody",'caseload data'!$C:$C,'custody %'!$B$29),"")</f>
        <v/>
      </c>
      <c r="F31" s="209" t="str">
        <f>IFERROR(SUMIFS('caseload data'!H:H,'caseload data'!$C:$C,'custody %'!$B$29,'caseload data'!$D:$D,"PO",'caseload data'!$B:$B,"custody")/SUMIFS('caseload data'!H:H,'caseload data'!$B:$B,"custody",'caseload data'!$C:$C,'custody %'!$B$29),"")</f>
        <v/>
      </c>
      <c r="G31" s="209" t="str">
        <f>IFERROR(SUMIFS('caseload data'!I:I,'caseload data'!$C:$C,'custody %'!$B$29,'caseload data'!$D:$D,"PO",'caseload data'!$B:$B,"custody")/SUMIFS('caseload data'!I:I,'caseload data'!$B:$B,"custody",'caseload data'!$C:$C,'custody %'!$B$29),"")</f>
        <v/>
      </c>
      <c r="H31" s="209" t="str">
        <f>IFERROR(SUMIFS('caseload data'!J:J,'caseload data'!$C:$C,'custody %'!$B$29,'caseload data'!$D:$D,"PO",'caseload data'!$B:$B,"custody")/SUMIFS('caseload data'!J:J,'caseload data'!$B:$B,"custody",'caseload data'!$C:$C,'custody %'!$B$29),"")</f>
        <v/>
      </c>
      <c r="I31" s="209" t="str">
        <f>IFERROR(SUMIFS('caseload data'!K:K,'caseload data'!$C:$C,'custody %'!$B$29,'caseload data'!$D:$D,"PO",'caseload data'!$B:$B,"custody")/SUMIFS('caseload data'!K:K,'caseload data'!$B:$B,"custody",'caseload data'!$C:$C,'custody %'!$B$29),"")</f>
        <v/>
      </c>
      <c r="J31" s="209" t="str">
        <f>IFERROR(SUMIFS('caseload data'!L:L,'caseload data'!$C:$C,'custody %'!$B$29,'caseload data'!$D:$D,"PO",'caseload data'!$B:$B,"custody")/SUMIFS('caseload data'!L:L,'caseload data'!$B:$B,"custody",'caseload data'!$C:$C,'custody %'!$B$29),"")</f>
        <v/>
      </c>
      <c r="K31" s="209" t="str">
        <f>IFERROR(SUMIFS('caseload data'!M:M,'caseload data'!$C:$C,'custody %'!$B$29,'caseload data'!$D:$D,"PO",'caseload data'!$B:$B,"custody")/SUMIFS('caseload data'!M:M,'caseload data'!$B:$B,"custody",'caseload data'!$C:$C,'custody %'!$B$29),"")</f>
        <v/>
      </c>
      <c r="L31" s="209" t="str">
        <f>IFERROR(SUMIFS('caseload data'!N:N,'caseload data'!$C:$C,'custody %'!$B$29,'caseload data'!$D:$D,"PO",'caseload data'!$B:$B,"custody")/SUMIFS('caseload data'!N:N,'caseload data'!$B:$B,"custody",'caseload data'!$C:$C,'custody %'!$B$29),"")</f>
        <v/>
      </c>
      <c r="M31" s="209" t="str">
        <f>IFERROR(SUMIFS('caseload data'!O:O,'caseload data'!$C:$C,'custody %'!$B$29,'caseload data'!$D:$D,"PO",'caseload data'!$B:$B,"custody")/SUMIFS('caseload data'!O:O,'caseload data'!$B:$B,"custody",'caseload data'!$C:$C,'custody %'!$B$29),"")</f>
        <v/>
      </c>
      <c r="N31" s="209" t="str">
        <f>IFERROR(SUMIFS('caseload data'!P:P,'caseload data'!$C:$C,'custody %'!$B$29,'caseload data'!$D:$D,"PO",'caseload data'!$B:$B,"custody")/SUMIFS('caseload data'!P:P,'caseload data'!$B:$B,"custody",'caseload data'!$C:$C,'custody %'!$B$29),"")</f>
        <v/>
      </c>
      <c r="O31" s="209" t="str">
        <f>IFERROR(SUMIFS('caseload data'!Q:Q,'caseload data'!$C:$C,'custody %'!$B$29,'caseload data'!$D:$D,"PO",'caseload data'!$B:$B,"custody")/SUMIFS('caseload data'!Q:Q,'caseload data'!$B:$B,"custody",'caseload data'!$C:$C,'custody %'!$B$29),"")</f>
        <v/>
      </c>
      <c r="P31" s="209" t="str">
        <f>IFERROR(SUMIFS('caseload data'!R:R,'caseload data'!$C:$C,'custody %'!$B$29,'caseload data'!$D:$D,"PO",'caseload data'!$B:$B,"custody")/SUMIFS('caseload data'!R:R,'caseload data'!$B:$B,"custody",'caseload data'!$C:$C,'custody %'!$B$29),"")</f>
        <v/>
      </c>
      <c r="Q31" s="209" t="str">
        <f>IFERROR(SUMIFS('caseload data'!S:S,'caseload data'!$C:$C,'custody %'!$B$29,'caseload data'!$D:$D,"PO",'caseload data'!$B:$B,"custody")/SUMIFS('caseload data'!S:S,'caseload data'!$B:$B,"custody",'caseload data'!$C:$C,'custody %'!$B$29),"")</f>
        <v/>
      </c>
      <c r="R31" s="209" t="str">
        <f>IFERROR(SUMIFS('caseload data'!T:T,'caseload data'!$C:$C,'custody %'!$B$29,'caseload data'!$D:$D,"PO",'caseload data'!$B:$B,"custody")/SUMIFS('caseload data'!T:T,'caseload data'!$B:$B,"custody",'caseload data'!$C:$C,'custody %'!$B$29),"")</f>
        <v/>
      </c>
      <c r="S31" s="95"/>
      <c r="T31" s="129" t="s">
        <v>184</v>
      </c>
      <c r="U31" s="209" t="str">
        <f>IFERROR(SUMIFS('caseload data'!E:E,'caseload data'!$C:$C,'custody %'!$T$29,'caseload data'!$D:$D,"PO",'caseload data'!$B:$B,"custody")/SUMIFS('caseload data'!E:E,'caseload data'!$B:$B,"custody",'caseload data'!$C:$C,'custody %'!$T$29),"")</f>
        <v/>
      </c>
      <c r="V31" s="209" t="str">
        <f>IFERROR(SUMIFS('caseload data'!F:F,'caseload data'!$C:$C,'custody %'!$T$29,'caseload data'!$D:$D,"PO",'caseload data'!$B:$B,"custody")/SUMIFS('caseload data'!F:F,'caseload data'!$B:$B,"custody",'caseload data'!$C:$C,'custody %'!$T$29),"")</f>
        <v/>
      </c>
      <c r="W31" s="209" t="str">
        <f>IFERROR(SUMIFS('caseload data'!G:G,'caseload data'!$C:$C,'custody %'!$T$29,'caseload data'!$D:$D,"PO",'caseload data'!$B:$B,"custody")/SUMIFS('caseload data'!G:G,'caseload data'!$B:$B,"custody",'caseload data'!$C:$C,'custody %'!$T$29),"")</f>
        <v/>
      </c>
      <c r="X31" s="209" t="str">
        <f>IFERROR(SUMIFS('caseload data'!H:H,'caseload data'!$C:$C,'custody %'!$T$29,'caseload data'!$D:$D,"PO",'caseload data'!$B:$B,"custody")/SUMIFS('caseload data'!H:H,'caseload data'!$B:$B,"custody",'caseload data'!$C:$C,'custody %'!$T$29),"")</f>
        <v/>
      </c>
      <c r="Y31" s="209" t="str">
        <f>IFERROR(SUMIFS('caseload data'!I:I,'caseload data'!$C:$C,'custody %'!$T$29,'caseload data'!$D:$D,"PO",'caseload data'!$B:$B,"custody")/SUMIFS('caseload data'!I:I,'caseload data'!$B:$B,"custody",'caseload data'!$C:$C,'custody %'!$T$29),"")</f>
        <v/>
      </c>
      <c r="Z31" s="209" t="str">
        <f>IFERROR(SUMIFS('caseload data'!J:J,'caseload data'!$C:$C,'custody %'!$T$29,'caseload data'!$D:$D,"PO",'caseload data'!$B:$B,"custody")/SUMIFS('caseload data'!J:J,'caseload data'!$B:$B,"custody",'caseload data'!$C:$C,'custody %'!$T$29),"")</f>
        <v/>
      </c>
      <c r="AA31" s="209" t="str">
        <f>IFERROR(SUMIFS('caseload data'!K:K,'caseload data'!$C:$C,'custody %'!$T$29,'caseload data'!$D:$D,"PO",'caseload data'!$B:$B,"custody")/SUMIFS('caseload data'!K:K,'caseload data'!$B:$B,"custody",'caseload data'!$C:$C,'custody %'!$T$29),"")</f>
        <v/>
      </c>
      <c r="AB31" s="209" t="str">
        <f>IFERROR(SUMIFS('caseload data'!L:L,'caseload data'!$C:$C,'custody %'!$T$29,'caseload data'!$D:$D,"PO",'caseload data'!$B:$B,"custody")/SUMIFS('caseload data'!L:L,'caseload data'!$B:$B,"custody",'caseload data'!$C:$C,'custody %'!$T$29),"")</f>
        <v/>
      </c>
      <c r="AC31" s="209" t="str">
        <f>IFERROR(SUMIFS('caseload data'!M:M,'caseload data'!$C:$C,'custody %'!$T$29,'caseload data'!$D:$D,"PO",'caseload data'!$B:$B,"custody")/SUMIFS('caseload data'!M:M,'caseload data'!$B:$B,"custody",'caseload data'!$C:$C,'custody %'!$T$29),"")</f>
        <v/>
      </c>
      <c r="AD31" s="209" t="str">
        <f>IFERROR(SUMIFS('caseload data'!N:N,'caseload data'!$C:$C,'custody %'!$T$29,'caseload data'!$D:$D,"PO",'caseload data'!$B:$B,"custody")/SUMIFS('caseload data'!N:N,'caseload data'!$B:$B,"custody",'caseload data'!$C:$C,'custody %'!$T$29),"")</f>
        <v/>
      </c>
      <c r="AE31" s="209" t="str">
        <f>IFERROR(SUMIFS('caseload data'!O:O,'caseload data'!$C:$C,'custody %'!$T$29,'caseload data'!$D:$D,"PO",'caseload data'!$B:$B,"custody")/SUMIFS('caseload data'!O:O,'caseload data'!$B:$B,"custody",'caseload data'!$C:$C,'custody %'!$T$29),"")</f>
        <v/>
      </c>
      <c r="AF31" s="209" t="str">
        <f>IFERROR(SUMIFS('caseload data'!P:P,'caseload data'!$C:$C,'custody %'!$T$29,'caseload data'!$D:$D,"PO",'caseload data'!$B:$B,"custody")/SUMIFS('caseload data'!P:P,'caseload data'!$B:$B,"custody",'caseload data'!$C:$C,'custody %'!$T$29),"")</f>
        <v/>
      </c>
      <c r="AG31" s="209" t="str">
        <f>IFERROR(SUMIFS('caseload data'!Q:Q,'caseload data'!$C:$C,'custody %'!$T$29,'caseload data'!$D:$D,"PO",'caseload data'!$B:$B,"custody")/SUMIFS('caseload data'!Q:Q,'caseload data'!$B:$B,"custody",'caseload data'!$C:$C,'custody %'!$T$29),"")</f>
        <v/>
      </c>
      <c r="AH31" s="209" t="str">
        <f>IFERROR(SUMIFS('caseload data'!R:R,'caseload data'!$C:$C,'custody %'!$T$29,'caseload data'!$D:$D,"PO",'caseload data'!$B:$B,"custody")/SUMIFS('caseload data'!R:R,'caseload data'!$B:$B,"custody",'caseload data'!$C:$C,'custody %'!$T$29),"")</f>
        <v/>
      </c>
      <c r="AI31" s="209"/>
      <c r="AJ31" s="209"/>
    </row>
    <row r="32" spans="2:36" x14ac:dyDescent="0.15">
      <c r="B32" s="130" t="s">
        <v>185</v>
      </c>
      <c r="C32" s="209" t="str">
        <f>IFERROR(SUMIFS('caseload data'!E:E,'caseload data'!$C:$C,'custody %'!$B$29,'caseload data'!$D:$D,"PSO",'caseload data'!$B:$B,"custody")/SUMIFS('caseload data'!E:E,'caseload data'!$B:$B,"custody",'caseload data'!$C:$C,'custody %'!$B$29),"")</f>
        <v/>
      </c>
      <c r="D32" s="209" t="str">
        <f>IFERROR(SUMIFS('caseload data'!F:F,'caseload data'!$C:$C,'custody %'!$B$29,'caseload data'!$D:$D,"PSO",'caseload data'!$B:$B,"custody")/SUMIFS('caseload data'!F:F,'caseload data'!$B:$B,"custody",'caseload data'!$C:$C,'custody %'!$B$29),"")</f>
        <v/>
      </c>
      <c r="E32" s="209" t="str">
        <f>IFERROR(SUMIFS('caseload data'!G:G,'caseload data'!$C:$C,'custody %'!$B$29,'caseload data'!$D:$D,"PSO",'caseload data'!$B:$B,"custody")/SUMIFS('caseload data'!G:G,'caseload data'!$B:$B,"custody",'caseload data'!$C:$C,'custody %'!$B$29),"")</f>
        <v/>
      </c>
      <c r="F32" s="209" t="str">
        <f>IFERROR(SUMIFS('caseload data'!H:H,'caseload data'!$C:$C,'custody %'!$B$29,'caseload data'!$D:$D,"PSO",'caseload data'!$B:$B,"custody")/SUMIFS('caseload data'!H:H,'caseload data'!$B:$B,"custody",'caseload data'!$C:$C,'custody %'!$B$29),"")</f>
        <v/>
      </c>
      <c r="G32" s="209" t="str">
        <f>IFERROR(SUMIFS('caseload data'!I:I,'caseload data'!$C:$C,'custody %'!$B$29,'caseload data'!$D:$D,"PSO",'caseload data'!$B:$B,"custody")/SUMIFS('caseload data'!I:I,'caseload data'!$B:$B,"custody",'caseload data'!$C:$C,'custody %'!$B$29),"")</f>
        <v/>
      </c>
      <c r="H32" s="209" t="str">
        <f>IFERROR(SUMIFS('caseload data'!J:J,'caseload data'!$C:$C,'custody %'!$B$29,'caseload data'!$D:$D,"PSO",'caseload data'!$B:$B,"custody")/SUMIFS('caseload data'!J:J,'caseload data'!$B:$B,"custody",'caseload data'!$C:$C,'custody %'!$B$29),"")</f>
        <v/>
      </c>
      <c r="I32" s="209" t="str">
        <f>IFERROR(SUMIFS('caseload data'!K:K,'caseload data'!$C:$C,'custody %'!$B$29,'caseload data'!$D:$D,"PSO",'caseload data'!$B:$B,"custody")/SUMIFS('caseload data'!K:K,'caseload data'!$B:$B,"custody",'caseload data'!$C:$C,'custody %'!$B$29),"")</f>
        <v/>
      </c>
      <c r="J32" s="209" t="str">
        <f>IFERROR(SUMIFS('caseload data'!L:L,'caseload data'!$C:$C,'custody %'!$B$29,'caseload data'!$D:$D,"PSO",'caseload data'!$B:$B,"custody")/SUMIFS('caseload data'!L:L,'caseload data'!$B:$B,"custody",'caseload data'!$C:$C,'custody %'!$B$29),"")</f>
        <v/>
      </c>
      <c r="K32" s="209" t="str">
        <f>IFERROR(SUMIFS('caseload data'!M:M,'caseload data'!$C:$C,'custody %'!$B$29,'caseload data'!$D:$D,"PSO",'caseload data'!$B:$B,"custody")/SUMIFS('caseload data'!M:M,'caseload data'!$B:$B,"custody",'caseload data'!$C:$C,'custody %'!$B$29),"")</f>
        <v/>
      </c>
      <c r="L32" s="209" t="str">
        <f>IFERROR(SUMIFS('caseload data'!N:N,'caseload data'!$C:$C,'custody %'!$B$29,'caseload data'!$D:$D,"PSO",'caseload data'!$B:$B,"custody")/SUMIFS('caseload data'!N:N,'caseload data'!$B:$B,"custody",'caseload data'!$C:$C,'custody %'!$B$29),"")</f>
        <v/>
      </c>
      <c r="M32" s="209" t="str">
        <f>IFERROR(SUMIFS('caseload data'!O:O,'caseload data'!$C:$C,'custody %'!$B$29,'caseload data'!$D:$D,"PSO",'caseload data'!$B:$B,"custody")/SUMIFS('caseload data'!O:O,'caseload data'!$B:$B,"custody",'caseload data'!$C:$C,'custody %'!$B$29),"")</f>
        <v/>
      </c>
      <c r="N32" s="209" t="str">
        <f>IFERROR(SUMIFS('caseload data'!P:P,'caseload data'!$C:$C,'custody %'!$B$29,'caseload data'!$D:$D,"PSO",'caseload data'!$B:$B,"custody")/SUMIFS('caseload data'!P:P,'caseload data'!$B:$B,"custody",'caseload data'!$C:$C,'custody %'!$B$29),"")</f>
        <v/>
      </c>
      <c r="O32" s="209" t="str">
        <f>IFERROR(SUMIFS('caseload data'!Q:Q,'caseload data'!$C:$C,'custody %'!$B$29,'caseload data'!$D:$D,"PSO",'caseload data'!$B:$B,"custody")/SUMIFS('caseload data'!Q:Q,'caseload data'!$B:$B,"custody",'caseload data'!$C:$C,'custody %'!$B$29),"")</f>
        <v/>
      </c>
      <c r="P32" s="209" t="str">
        <f>IFERROR(SUMIFS('caseload data'!R:R,'caseload data'!$C:$C,'custody %'!$B$29,'caseload data'!$D:$D,"PSO",'caseload data'!$B:$B,"custody")/SUMIFS('caseload data'!R:R,'caseload data'!$B:$B,"custody",'caseload data'!$C:$C,'custody %'!$B$29),"")</f>
        <v/>
      </c>
      <c r="Q32" s="209" t="str">
        <f>IFERROR(SUMIFS('caseload data'!S:S,'caseload data'!$C:$C,'custody %'!$B$29,'caseload data'!$D:$D,"PSO",'caseload data'!$B:$B,"custody")/SUMIFS('caseload data'!S:S,'caseload data'!$B:$B,"custody",'caseload data'!$C:$C,'custody %'!$B$29),"")</f>
        <v/>
      </c>
      <c r="R32" s="209" t="str">
        <f>IFERROR(SUMIFS('caseload data'!T:T,'caseload data'!$C:$C,'custody %'!$B$29,'caseload data'!$D:$D,"PSO",'caseload data'!$B:$B,"custody")/SUMIFS('caseload data'!T:T,'caseload data'!$B:$B,"custody",'caseload data'!$C:$C,'custody %'!$B$29),"")</f>
        <v/>
      </c>
      <c r="S32" s="95"/>
      <c r="T32" s="130" t="s">
        <v>185</v>
      </c>
      <c r="U32" s="209" t="str">
        <f>IFERROR(SUMIFS('caseload data'!E:E,'caseload data'!$C:$C,'custody %'!$T$29,'caseload data'!$D:$D,"PSO",'caseload data'!$B:$B,"custody")/SUMIFS('caseload data'!E:E,'caseload data'!$B:$B,"custody",'caseload data'!$C:$C,'custody %'!$T$29),"")</f>
        <v/>
      </c>
      <c r="V32" s="209" t="str">
        <f>IFERROR(SUMIFS('caseload data'!F:F,'caseload data'!$C:$C,'custody %'!$T$29,'caseload data'!$D:$D,"PSO",'caseload data'!$B:$B,"custody")/SUMIFS('caseload data'!F:F,'caseload data'!$B:$B,"custody",'caseload data'!$C:$C,'custody %'!$T$29),"")</f>
        <v/>
      </c>
      <c r="W32" s="209" t="str">
        <f>IFERROR(SUMIFS('caseload data'!G:G,'caseload data'!$C:$C,'custody %'!$T$29,'caseload data'!$D:$D,"PSO",'caseload data'!$B:$B,"custody")/SUMIFS('caseload data'!G:G,'caseload data'!$B:$B,"custody",'caseload data'!$C:$C,'custody %'!$T$29),"")</f>
        <v/>
      </c>
      <c r="X32" s="209" t="str">
        <f>IFERROR(SUMIFS('caseload data'!H:H,'caseload data'!$C:$C,'custody %'!$T$29,'caseload data'!$D:$D,"PSO",'caseload data'!$B:$B,"custody")/SUMIFS('caseload data'!H:H,'caseload data'!$B:$B,"custody",'caseload data'!$C:$C,'custody %'!$T$29),"")</f>
        <v/>
      </c>
      <c r="Y32" s="209" t="str">
        <f>IFERROR(SUMIFS('caseload data'!I:I,'caseload data'!$C:$C,'custody %'!$T$29,'caseload data'!$D:$D,"PSO",'caseload data'!$B:$B,"custody")/SUMIFS('caseload data'!I:I,'caseload data'!$B:$B,"custody",'caseload data'!$C:$C,'custody %'!$T$29),"")</f>
        <v/>
      </c>
      <c r="Z32" s="209" t="str">
        <f>IFERROR(SUMIFS('caseload data'!J:J,'caseload data'!$C:$C,'custody %'!$T$29,'caseload data'!$D:$D,"PSO",'caseload data'!$B:$B,"custody")/SUMIFS('caseload data'!J:J,'caseload data'!$B:$B,"custody",'caseload data'!$C:$C,'custody %'!$T$29),"")</f>
        <v/>
      </c>
      <c r="AA32" s="209" t="str">
        <f>IFERROR(SUMIFS('caseload data'!K:K,'caseload data'!$C:$C,'custody %'!$T$29,'caseload data'!$D:$D,"PSO",'caseload data'!$B:$B,"custody")/SUMIFS('caseload data'!K:K,'caseload data'!$B:$B,"custody",'caseload data'!$C:$C,'custody %'!$T$29),"")</f>
        <v/>
      </c>
      <c r="AB32" s="209" t="str">
        <f>IFERROR(SUMIFS('caseload data'!L:L,'caseload data'!$C:$C,'custody %'!$T$29,'caseload data'!$D:$D,"PSO",'caseload data'!$B:$B,"custody")/SUMIFS('caseload data'!L:L,'caseload data'!$B:$B,"custody",'caseload data'!$C:$C,'custody %'!$T$29),"")</f>
        <v/>
      </c>
      <c r="AC32" s="209" t="str">
        <f>IFERROR(SUMIFS('caseload data'!M:M,'caseload data'!$C:$C,'custody %'!$T$29,'caseload data'!$D:$D,"PSO",'caseload data'!$B:$B,"custody")/SUMIFS('caseload data'!M:M,'caseload data'!$B:$B,"custody",'caseload data'!$C:$C,'custody %'!$T$29),"")</f>
        <v/>
      </c>
      <c r="AD32" s="209" t="str">
        <f>IFERROR(SUMIFS('caseload data'!N:N,'caseload data'!$C:$C,'custody %'!$T$29,'caseload data'!$D:$D,"PSO",'caseload data'!$B:$B,"custody")/SUMIFS('caseload data'!N:N,'caseload data'!$B:$B,"custody",'caseload data'!$C:$C,'custody %'!$T$29),"")</f>
        <v/>
      </c>
      <c r="AE32" s="209" t="str">
        <f>IFERROR(SUMIFS('caseload data'!O:O,'caseload data'!$C:$C,'custody %'!$T$29,'caseload data'!$D:$D,"PSO",'caseload data'!$B:$B,"custody")/SUMIFS('caseload data'!O:O,'caseload data'!$B:$B,"custody",'caseload data'!$C:$C,'custody %'!$T$29),"")</f>
        <v/>
      </c>
      <c r="AF32" s="209" t="str">
        <f>IFERROR(SUMIFS('caseload data'!P:P,'caseload data'!$C:$C,'custody %'!$T$29,'caseload data'!$D:$D,"PSO",'caseload data'!$B:$B,"custody")/SUMIFS('caseload data'!P:P,'caseload data'!$B:$B,"custody",'caseload data'!$C:$C,'custody %'!$T$29),"")</f>
        <v/>
      </c>
      <c r="AG32" s="209" t="str">
        <f>IFERROR(SUMIFS('caseload data'!Q:Q,'caseload data'!$C:$C,'custody %'!$T$29,'caseload data'!$D:$D,"PSO",'caseload data'!$B:$B,"custody")/SUMIFS('caseload data'!Q:Q,'caseload data'!$B:$B,"custody",'caseload data'!$C:$C,'custody %'!$T$29),"")</f>
        <v/>
      </c>
      <c r="AH32" s="209" t="str">
        <f>IFERROR(SUMIFS('caseload data'!R:R,'caseload data'!$C:$C,'custody %'!$T$29,'caseload data'!$D:$D,"PSO",'caseload data'!$B:$B,"custody")/SUMIFS('caseload data'!R:R,'caseload data'!$B:$B,"custody",'caseload data'!$C:$C,'custody %'!$T$29),"")</f>
        <v/>
      </c>
      <c r="AI32" s="209"/>
      <c r="AJ32" s="209"/>
    </row>
    <row r="33" spans="2:36" x14ac:dyDescent="0.15">
      <c r="B33" s="130" t="s">
        <v>186</v>
      </c>
      <c r="C33" s="209" t="str">
        <f>IFERROR(SUMIFS('caseload data'!E:E,'caseload data'!$C:$C,'custody %'!$B$29,'caseload data'!$D:$D,"TPO",'caseload data'!$B:$B,"custody")/SUMIFS('caseload data'!E:E,'caseload data'!$B:$B,"custody",'caseload data'!$C:$C,'custody %'!$B$29),"")</f>
        <v/>
      </c>
      <c r="D33" s="209" t="str">
        <f>IFERROR(SUMIFS('caseload data'!F:F,'caseload data'!$C:$C,'custody %'!$B$29,'caseload data'!$D:$D,"TPO",'caseload data'!$B:$B,"custody")/SUMIFS('caseload data'!F:F,'caseload data'!$B:$B,"custody",'caseload data'!$C:$C,'custody %'!$B$29),"")</f>
        <v/>
      </c>
      <c r="E33" s="209" t="str">
        <f>IFERROR(SUMIFS('caseload data'!G:G,'caseload data'!$C:$C,'custody %'!$B$29,'caseload data'!$D:$D,"TPO",'caseload data'!$B:$B,"custody")/SUMIFS('caseload data'!G:G,'caseload data'!$B:$B,"custody",'caseload data'!$C:$C,'custody %'!$B$29),"")</f>
        <v/>
      </c>
      <c r="F33" s="209" t="str">
        <f>IFERROR(SUMIFS('caseload data'!H:H,'caseload data'!$C:$C,'custody %'!$B$29,'caseload data'!$D:$D,"TPO",'caseload data'!$B:$B,"custody")/SUMIFS('caseload data'!H:H,'caseload data'!$B:$B,"custody",'caseload data'!$C:$C,'custody %'!$B$29),"")</f>
        <v/>
      </c>
      <c r="G33" s="209" t="str">
        <f>IFERROR(SUMIFS('caseload data'!I:I,'caseload data'!$C:$C,'custody %'!$B$29,'caseload data'!$D:$D,"TPO",'caseload data'!$B:$B,"custody")/SUMIFS('caseload data'!I:I,'caseload data'!$B:$B,"custody",'caseload data'!$C:$C,'custody %'!$B$29),"")</f>
        <v/>
      </c>
      <c r="H33" s="209" t="str">
        <f>IFERROR(SUMIFS('caseload data'!J:J,'caseload data'!$C:$C,'custody %'!$B$29,'caseload data'!$D:$D,"TPO",'caseload data'!$B:$B,"custody")/SUMIFS('caseload data'!J:J,'caseload data'!$B:$B,"custody",'caseload data'!$C:$C,'custody %'!$B$29),"")</f>
        <v/>
      </c>
      <c r="I33" s="209" t="str">
        <f>IFERROR(SUMIFS('caseload data'!K:K,'caseload data'!$C:$C,'custody %'!$B$29,'caseload data'!$D:$D,"TPO",'caseload data'!$B:$B,"custody")/SUMIFS('caseload data'!K:K,'caseload data'!$B:$B,"custody",'caseload data'!$C:$C,'custody %'!$B$29),"")</f>
        <v/>
      </c>
      <c r="J33" s="209" t="str">
        <f>IFERROR(SUMIFS('caseload data'!L:L,'caseload data'!$C:$C,'custody %'!$B$29,'caseload data'!$D:$D,"TPO",'caseload data'!$B:$B,"custody")/SUMIFS('caseload data'!L:L,'caseload data'!$B:$B,"custody",'caseload data'!$C:$C,'custody %'!$B$29),"")</f>
        <v/>
      </c>
      <c r="K33" s="209" t="str">
        <f>IFERROR(SUMIFS('caseload data'!M:M,'caseload data'!$C:$C,'custody %'!$B$29,'caseload data'!$D:$D,"TPO",'caseload data'!$B:$B,"custody")/SUMIFS('caseload data'!M:M,'caseload data'!$B:$B,"custody",'caseload data'!$C:$C,'custody %'!$B$29),"")</f>
        <v/>
      </c>
      <c r="L33" s="209" t="str">
        <f>IFERROR(SUMIFS('caseload data'!N:N,'caseload data'!$C:$C,'custody %'!$B$29,'caseload data'!$D:$D,"TPO",'caseload data'!$B:$B,"custody")/SUMIFS('caseload data'!N:N,'caseload data'!$B:$B,"custody",'caseload data'!$C:$C,'custody %'!$B$29),"")</f>
        <v/>
      </c>
      <c r="M33" s="209" t="str">
        <f>IFERROR(SUMIFS('caseload data'!O:O,'caseload data'!$C:$C,'custody %'!$B$29,'caseload data'!$D:$D,"TPO",'caseload data'!$B:$B,"custody")/SUMIFS('caseload data'!O:O,'caseload data'!$B:$B,"custody",'caseload data'!$C:$C,'custody %'!$B$29),"")</f>
        <v/>
      </c>
      <c r="N33" s="209" t="str">
        <f>IFERROR(SUMIFS('caseload data'!P:P,'caseload data'!$C:$C,'custody %'!$B$29,'caseload data'!$D:$D,"TPO",'caseload data'!$B:$B,"custody")/SUMIFS('caseload data'!P:P,'caseload data'!$B:$B,"custody",'caseload data'!$C:$C,'custody %'!$B$29),"")</f>
        <v/>
      </c>
      <c r="O33" s="209" t="str">
        <f>IFERROR(SUMIFS('caseload data'!Q:Q,'caseload data'!$C:$C,'custody %'!$B$29,'caseload data'!$D:$D,"TPO",'caseload data'!$B:$B,"custody")/SUMIFS('caseload data'!Q:Q,'caseload data'!$B:$B,"custody",'caseload data'!$C:$C,'custody %'!$B$29),"")</f>
        <v/>
      </c>
      <c r="P33" s="209" t="str">
        <f>IFERROR(SUMIFS('caseload data'!R:R,'caseload data'!$C:$C,'custody %'!$B$29,'caseload data'!$D:$D,"TPO",'caseload data'!$B:$B,"custody")/SUMIFS('caseload data'!R:R,'caseload data'!$B:$B,"custody",'caseload data'!$C:$C,'custody %'!$B$29),"")</f>
        <v/>
      </c>
      <c r="Q33" s="209" t="str">
        <f>IFERROR(SUMIFS('caseload data'!S:S,'caseload data'!$C:$C,'custody %'!$B$29,'caseload data'!$D:$D,"TPO",'caseload data'!$B:$B,"custody")/SUMIFS('caseload data'!S:S,'caseload data'!$B:$B,"custody",'caseload data'!$C:$C,'custody %'!$B$29),"")</f>
        <v/>
      </c>
      <c r="R33" s="209" t="str">
        <f>IFERROR(SUMIFS('caseload data'!T:T,'caseload data'!$C:$C,'custody %'!$B$29,'caseload data'!$D:$D,"TPO",'caseload data'!$B:$B,"custody")/SUMIFS('caseload data'!T:T,'caseload data'!$B:$B,"custody",'caseload data'!$C:$C,'custody %'!$B$29),"")</f>
        <v/>
      </c>
      <c r="S33" s="95"/>
      <c r="T33" s="130" t="s">
        <v>186</v>
      </c>
      <c r="U33" s="209" t="str">
        <f>IFERROR(SUMIFS('caseload data'!E:E,'caseload data'!$C:$C,'custody %'!$T$29,'caseload data'!$D:$D,"TPO",'caseload data'!$B:$B,"custody")/SUMIFS('caseload data'!E:E,'caseload data'!$B:$B,"custody",'caseload data'!$C:$C,'custody %'!$T$29),"")</f>
        <v/>
      </c>
      <c r="V33" s="209" t="str">
        <f>IFERROR(SUMIFS('caseload data'!F:F,'caseload data'!$C:$C,'custody %'!$T$29,'caseload data'!$D:$D,"TPO",'caseload data'!$B:$B,"custody")/SUMIFS('caseload data'!F:F,'caseload data'!$B:$B,"custody",'caseload data'!$C:$C,'custody %'!$T$29),"")</f>
        <v/>
      </c>
      <c r="W33" s="209" t="str">
        <f>IFERROR(SUMIFS('caseload data'!G:G,'caseload data'!$C:$C,'custody %'!$T$29,'caseload data'!$D:$D,"TPO",'caseload data'!$B:$B,"custody")/SUMIFS('caseload data'!G:G,'caseload data'!$B:$B,"custody",'caseload data'!$C:$C,'custody %'!$T$29),"")</f>
        <v/>
      </c>
      <c r="X33" s="209" t="str">
        <f>IFERROR(SUMIFS('caseload data'!H:H,'caseload data'!$C:$C,'custody %'!$T$29,'caseload data'!$D:$D,"TPO",'caseload data'!$B:$B,"custody")/SUMIFS('caseload data'!H:H,'caseload data'!$B:$B,"custody",'caseload data'!$C:$C,'custody %'!$T$29),"")</f>
        <v/>
      </c>
      <c r="Y33" s="209" t="str">
        <f>IFERROR(SUMIFS('caseload data'!I:I,'caseload data'!$C:$C,'custody %'!$T$29,'caseload data'!$D:$D,"TPO",'caseload data'!$B:$B,"custody")/SUMIFS('caseload data'!I:I,'caseload data'!$B:$B,"custody",'caseload data'!$C:$C,'custody %'!$T$29),"")</f>
        <v/>
      </c>
      <c r="Z33" s="209" t="str">
        <f>IFERROR(SUMIFS('caseload data'!J:J,'caseload data'!$C:$C,'custody %'!$T$29,'caseload data'!$D:$D,"TPO",'caseload data'!$B:$B,"custody")/SUMIFS('caseload data'!J:J,'caseload data'!$B:$B,"custody",'caseload data'!$C:$C,'custody %'!$T$29),"")</f>
        <v/>
      </c>
      <c r="AA33" s="209" t="str">
        <f>IFERROR(SUMIFS('caseload data'!K:K,'caseload data'!$C:$C,'custody %'!$T$29,'caseload data'!$D:$D,"TPO",'caseload data'!$B:$B,"custody")/SUMIFS('caseload data'!K:K,'caseload data'!$B:$B,"custody",'caseload data'!$C:$C,'custody %'!$T$29),"")</f>
        <v/>
      </c>
      <c r="AB33" s="209" t="str">
        <f>IFERROR(SUMIFS('caseload data'!L:L,'caseload data'!$C:$C,'custody %'!$T$29,'caseload data'!$D:$D,"TPO",'caseload data'!$B:$B,"custody")/SUMIFS('caseload data'!L:L,'caseload data'!$B:$B,"custody",'caseload data'!$C:$C,'custody %'!$T$29),"")</f>
        <v/>
      </c>
      <c r="AC33" s="209" t="str">
        <f>IFERROR(SUMIFS('caseload data'!M:M,'caseload data'!$C:$C,'custody %'!$T$29,'caseload data'!$D:$D,"TPO",'caseload data'!$B:$B,"custody")/SUMIFS('caseload data'!M:M,'caseload data'!$B:$B,"custody",'caseload data'!$C:$C,'custody %'!$T$29),"")</f>
        <v/>
      </c>
      <c r="AD33" s="209" t="str">
        <f>IFERROR(SUMIFS('caseload data'!N:N,'caseload data'!$C:$C,'custody %'!$T$29,'caseload data'!$D:$D,"TPO",'caseload data'!$B:$B,"custody")/SUMIFS('caseload data'!N:N,'caseload data'!$B:$B,"custody",'caseload data'!$C:$C,'custody %'!$T$29),"")</f>
        <v/>
      </c>
      <c r="AE33" s="209" t="str">
        <f>IFERROR(SUMIFS('caseload data'!O:O,'caseload data'!$C:$C,'custody %'!$T$29,'caseload data'!$D:$D,"TPO",'caseload data'!$B:$B,"custody")/SUMIFS('caseload data'!O:O,'caseload data'!$B:$B,"custody",'caseload data'!$C:$C,'custody %'!$T$29),"")</f>
        <v/>
      </c>
      <c r="AF33" s="209" t="str">
        <f>IFERROR(SUMIFS('caseload data'!P:P,'caseload data'!$C:$C,'custody %'!$T$29,'caseload data'!$D:$D,"TPO",'caseload data'!$B:$B,"custody")/SUMIFS('caseload data'!P:P,'caseload data'!$B:$B,"custody",'caseload data'!$C:$C,'custody %'!$T$29),"")</f>
        <v/>
      </c>
      <c r="AG33" s="209" t="str">
        <f>IFERROR(SUMIFS('caseload data'!Q:Q,'caseload data'!$C:$C,'custody %'!$T$29,'caseload data'!$D:$D,"TPO",'caseload data'!$B:$B,"custody")/SUMIFS('caseload data'!Q:Q,'caseload data'!$B:$B,"custody",'caseload data'!$C:$C,'custody %'!$T$29),"")</f>
        <v/>
      </c>
      <c r="AH33" s="209" t="str">
        <f>IFERROR(SUMIFS('caseload data'!R:R,'caseload data'!$C:$C,'custody %'!$T$29,'caseload data'!$D:$D,"TPO",'caseload data'!$B:$B,"custody")/SUMIFS('caseload data'!R:R,'caseload data'!$B:$B,"custody",'caseload data'!$C:$C,'custody %'!$T$29),"")</f>
        <v/>
      </c>
      <c r="AI33" s="209"/>
      <c r="AJ33" s="209"/>
    </row>
    <row r="34" spans="2:36" x14ac:dyDescent="0.15">
      <c r="B34" s="131" t="s">
        <v>187</v>
      </c>
      <c r="C34" s="209" t="str">
        <f>IFERROR(SUMIFS('caseload data'!E:E,'caseload data'!$C:$C,'custody %'!$B$29,'caseload data'!$D:$D,"SPO",'caseload data'!$B:$B,"custody")/SUMIFS('caseload data'!E:E,'caseload data'!$B:$B,"custody",'caseload data'!$C:$C,'custody %'!$B$29),"")</f>
        <v/>
      </c>
      <c r="D34" s="209" t="str">
        <f>IFERROR(SUMIFS('caseload data'!F:F,'caseload data'!$C:$C,'custody %'!$B$29,'caseload data'!$D:$D,"SPO",'caseload data'!$B:$B,"custody")/SUMIFS('caseload data'!F:F,'caseload data'!$B:$B,"custody",'caseload data'!$C:$C,'custody %'!$B$29),"")</f>
        <v/>
      </c>
      <c r="E34" s="209" t="str">
        <f>IFERROR(SUMIFS('caseload data'!G:G,'caseload data'!$C:$C,'custody %'!$B$29,'caseload data'!$D:$D,"SPO",'caseload data'!$B:$B,"custody")/SUMIFS('caseload data'!G:G,'caseload data'!$B:$B,"custody",'caseload data'!$C:$C,'custody %'!$B$29),"")</f>
        <v/>
      </c>
      <c r="F34" s="209" t="str">
        <f>IFERROR(SUMIFS('caseload data'!H:H,'caseload data'!$C:$C,'custody %'!$B$29,'caseload data'!$D:$D,"SPO",'caseload data'!$B:$B,"custody")/SUMIFS('caseload data'!H:H,'caseload data'!$B:$B,"custody",'caseload data'!$C:$C,'custody %'!$B$29),"")</f>
        <v/>
      </c>
      <c r="G34" s="209" t="str">
        <f>IFERROR(SUMIFS('caseload data'!I:I,'caseload data'!$C:$C,'custody %'!$B$29,'caseload data'!$D:$D,"SPO",'caseload data'!$B:$B,"custody")/SUMIFS('caseload data'!I:I,'caseload data'!$B:$B,"custody",'caseload data'!$C:$C,'custody %'!$B$29),"")</f>
        <v/>
      </c>
      <c r="H34" s="209" t="str">
        <f>IFERROR(SUMIFS('caseload data'!J:J,'caseload data'!$C:$C,'custody %'!$B$29,'caseload data'!$D:$D,"SPO",'caseload data'!$B:$B,"custody")/SUMIFS('caseload data'!J:J,'caseload data'!$B:$B,"custody",'caseload data'!$C:$C,'custody %'!$B$29),"")</f>
        <v/>
      </c>
      <c r="I34" s="209" t="str">
        <f>IFERROR(SUMIFS('caseload data'!K:K,'caseload data'!$C:$C,'custody %'!$B$29,'caseload data'!$D:$D,"SPO",'caseload data'!$B:$B,"custody")/SUMIFS('caseload data'!K:K,'caseload data'!$B:$B,"custody",'caseload data'!$C:$C,'custody %'!$B$29),"")</f>
        <v/>
      </c>
      <c r="J34" s="209" t="str">
        <f>IFERROR(SUMIFS('caseload data'!L:L,'caseload data'!$C:$C,'custody %'!$B$29,'caseload data'!$D:$D,"SPO",'caseload data'!$B:$B,"custody")/SUMIFS('caseload data'!L:L,'caseload data'!$B:$B,"custody",'caseload data'!$C:$C,'custody %'!$B$29),"")</f>
        <v/>
      </c>
      <c r="K34" s="209" t="str">
        <f>IFERROR(SUMIFS('caseload data'!M:M,'caseload data'!$C:$C,'custody %'!$B$29,'caseload data'!$D:$D,"SPO",'caseload data'!$B:$B,"custody")/SUMIFS('caseload data'!M:M,'caseload data'!$B:$B,"custody",'caseload data'!$C:$C,'custody %'!$B$29),"")</f>
        <v/>
      </c>
      <c r="L34" s="209" t="str">
        <f>IFERROR(SUMIFS('caseload data'!N:N,'caseload data'!$C:$C,'custody %'!$B$29,'caseload data'!$D:$D,"SPO",'caseload data'!$B:$B,"custody")/SUMIFS('caseload data'!N:N,'caseload data'!$B:$B,"custody",'caseload data'!$C:$C,'custody %'!$B$29),"")</f>
        <v/>
      </c>
      <c r="M34" s="209" t="str">
        <f>IFERROR(SUMIFS('caseload data'!O:O,'caseload data'!$C:$C,'custody %'!$B$29,'caseload data'!$D:$D,"SPO",'caseload data'!$B:$B,"custody")/SUMIFS('caseload data'!O:O,'caseload data'!$B:$B,"custody",'caseload data'!$C:$C,'custody %'!$B$29),"")</f>
        <v/>
      </c>
      <c r="N34" s="209" t="str">
        <f>IFERROR(SUMIFS('caseload data'!P:P,'caseload data'!$C:$C,'custody %'!$B$29,'caseload data'!$D:$D,"SPO",'caseload data'!$B:$B,"custody")/SUMIFS('caseload data'!P:P,'caseload data'!$B:$B,"custody",'caseload data'!$C:$C,'custody %'!$B$29),"")</f>
        <v/>
      </c>
      <c r="O34" s="209" t="str">
        <f>IFERROR(SUMIFS('caseload data'!Q:Q,'caseload data'!$C:$C,'custody %'!$B$29,'caseload data'!$D:$D,"SPO",'caseload data'!$B:$B,"custody")/SUMIFS('caseload data'!Q:Q,'caseload data'!$B:$B,"custody",'caseload data'!$C:$C,'custody %'!$B$29),"")</f>
        <v/>
      </c>
      <c r="P34" s="209" t="str">
        <f>IFERROR(SUMIFS('caseload data'!R:R,'caseload data'!$C:$C,'custody %'!$B$29,'caseload data'!$D:$D,"SPO",'caseload data'!$B:$B,"custody")/SUMIFS('caseload data'!R:R,'caseload data'!$B:$B,"custody",'caseload data'!$C:$C,'custody %'!$B$29),"")</f>
        <v/>
      </c>
      <c r="Q34" s="209" t="str">
        <f>IFERROR(SUMIFS('caseload data'!S:S,'caseload data'!$C:$C,'custody %'!$B$29,'caseload data'!$D:$D,"SPO",'caseload data'!$B:$B,"custody")/SUMIFS('caseload data'!S:S,'caseload data'!$B:$B,"custody",'caseload data'!$C:$C,'custody %'!$B$29),"")</f>
        <v/>
      </c>
      <c r="R34" s="209" t="str">
        <f>IFERROR(SUMIFS('caseload data'!T:T,'caseload data'!$C:$C,'custody %'!$B$29,'caseload data'!$D:$D,"SPO",'caseload data'!$B:$B,"custody")/SUMIFS('caseload data'!T:T,'caseload data'!$B:$B,"custody",'caseload data'!$C:$C,'custody %'!$B$29),"")</f>
        <v/>
      </c>
      <c r="S34" s="95"/>
      <c r="T34" s="131" t="s">
        <v>187</v>
      </c>
      <c r="U34" s="209" t="str">
        <f>IFERROR(SUMIFS('caseload data'!E:E,'caseload data'!$C:$C,'custody %'!$T$29,'caseload data'!$D:$D,"SPO",'caseload data'!$B:$B,"custody")/SUMIFS('caseload data'!E:E,'caseload data'!$B:$B,"custody",'caseload data'!$C:$C,'custody %'!$T$29),"")</f>
        <v/>
      </c>
      <c r="V34" s="209" t="str">
        <f>IFERROR(SUMIFS('caseload data'!F:F,'caseload data'!$C:$C,'custody %'!$T$29,'caseload data'!$D:$D,"SPO",'caseload data'!$B:$B,"custody")/SUMIFS('caseload data'!F:F,'caseload data'!$B:$B,"custody",'caseload data'!$C:$C,'custody %'!$T$29),"")</f>
        <v/>
      </c>
      <c r="W34" s="209" t="str">
        <f>IFERROR(SUMIFS('caseload data'!G:G,'caseload data'!$C:$C,'custody %'!$T$29,'caseload data'!$D:$D,"SPO",'caseload data'!$B:$B,"custody")/SUMIFS('caseload data'!G:G,'caseload data'!$B:$B,"custody",'caseload data'!$C:$C,'custody %'!$T$29),"")</f>
        <v/>
      </c>
      <c r="X34" s="209" t="str">
        <f>IFERROR(SUMIFS('caseload data'!H:H,'caseload data'!$C:$C,'custody %'!$T$29,'caseload data'!$D:$D,"SPO",'caseload data'!$B:$B,"custody")/SUMIFS('caseload data'!H:H,'caseload data'!$B:$B,"custody",'caseload data'!$C:$C,'custody %'!$T$29),"")</f>
        <v/>
      </c>
      <c r="Y34" s="209" t="str">
        <f>IFERROR(SUMIFS('caseload data'!I:I,'caseload data'!$C:$C,'custody %'!$T$29,'caseload data'!$D:$D,"SPO",'caseload data'!$B:$B,"custody")/SUMIFS('caseload data'!I:I,'caseload data'!$B:$B,"custody",'caseload data'!$C:$C,'custody %'!$T$29),"")</f>
        <v/>
      </c>
      <c r="Z34" s="209" t="str">
        <f>IFERROR(SUMIFS('caseload data'!J:J,'caseload data'!$C:$C,'custody %'!$T$29,'caseload data'!$D:$D,"SPO",'caseload data'!$B:$B,"custody")/SUMIFS('caseload data'!J:J,'caseload data'!$B:$B,"custody",'caseload data'!$C:$C,'custody %'!$T$29),"")</f>
        <v/>
      </c>
      <c r="AA34" s="209" t="str">
        <f>IFERROR(SUMIFS('caseload data'!K:K,'caseload data'!$C:$C,'custody %'!$T$29,'caseload data'!$D:$D,"SPO",'caseload data'!$B:$B,"custody")/SUMIFS('caseload data'!K:K,'caseload data'!$B:$B,"custody",'caseload data'!$C:$C,'custody %'!$T$29),"")</f>
        <v/>
      </c>
      <c r="AB34" s="209" t="str">
        <f>IFERROR(SUMIFS('caseload data'!L:L,'caseload data'!$C:$C,'custody %'!$T$29,'caseload data'!$D:$D,"SPO",'caseload data'!$B:$B,"custody")/SUMIFS('caseload data'!L:L,'caseload data'!$B:$B,"custody",'caseload data'!$C:$C,'custody %'!$T$29),"")</f>
        <v/>
      </c>
      <c r="AC34" s="209" t="str">
        <f>IFERROR(SUMIFS('caseload data'!M:M,'caseload data'!$C:$C,'custody %'!$T$29,'caseload data'!$D:$D,"SPO",'caseload data'!$B:$B,"custody")/SUMIFS('caseload data'!M:M,'caseload data'!$B:$B,"custody",'caseload data'!$C:$C,'custody %'!$T$29),"")</f>
        <v/>
      </c>
      <c r="AD34" s="209" t="str">
        <f>IFERROR(SUMIFS('caseload data'!N:N,'caseload data'!$C:$C,'custody %'!$T$29,'caseload data'!$D:$D,"SPO",'caseload data'!$B:$B,"custody")/SUMIFS('caseload data'!N:N,'caseload data'!$B:$B,"custody",'caseload data'!$C:$C,'custody %'!$T$29),"")</f>
        <v/>
      </c>
      <c r="AE34" s="209" t="str">
        <f>IFERROR(SUMIFS('caseload data'!O:O,'caseload data'!$C:$C,'custody %'!$T$29,'caseload data'!$D:$D,"SPO",'caseload data'!$B:$B,"custody")/SUMIFS('caseload data'!O:O,'caseload data'!$B:$B,"custody",'caseload data'!$C:$C,'custody %'!$T$29),"")</f>
        <v/>
      </c>
      <c r="AF34" s="209" t="str">
        <f>IFERROR(SUMIFS('caseload data'!P:P,'caseload data'!$C:$C,'custody %'!$T$29,'caseload data'!$D:$D,"SPO",'caseload data'!$B:$B,"custody")/SUMIFS('caseload data'!P:P,'caseload data'!$B:$B,"custody",'caseload data'!$C:$C,'custody %'!$T$29),"")</f>
        <v/>
      </c>
      <c r="AG34" s="209" t="str">
        <f>IFERROR(SUMIFS('caseload data'!Q:Q,'caseload data'!$C:$C,'custody %'!$T$29,'caseload data'!$D:$D,"SPO",'caseload data'!$B:$B,"custody")/SUMIFS('caseload data'!Q:Q,'caseload data'!$B:$B,"custody",'caseload data'!$C:$C,'custody %'!$T$29),"")</f>
        <v/>
      </c>
      <c r="AH34" s="209" t="str">
        <f>IFERROR(SUMIFS('caseload data'!R:R,'caseload data'!$C:$C,'custody %'!$T$29,'caseload data'!$D:$D,"SPO",'caseload data'!$B:$B,"custody")/SUMIFS('caseload data'!R:R,'caseload data'!$B:$B,"custody",'caseload data'!$C:$C,'custody %'!$T$29),"")</f>
        <v/>
      </c>
      <c r="AI34" s="209"/>
      <c r="AJ34" s="209"/>
    </row>
    <row r="35" spans="2:36" x14ac:dyDescent="0.15">
      <c r="B35" s="183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183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</row>
    <row r="36" spans="2:36" ht="27.75" customHeight="1" x14ac:dyDescent="0.15">
      <c r="B36" s="182" t="str">
        <f>HLOOKUP($B$5,Region_Table,10,0)</f>
        <v>Ealing and Hillingdon</v>
      </c>
      <c r="C36" s="359" t="s">
        <v>366</v>
      </c>
      <c r="D36" s="365"/>
      <c r="E36" s="365"/>
      <c r="F36" s="365"/>
      <c r="G36" s="365"/>
      <c r="H36" s="365"/>
      <c r="I36" s="365"/>
      <c r="J36" s="365"/>
      <c r="K36" s="365"/>
      <c r="L36" s="365"/>
      <c r="M36" s="368"/>
      <c r="N36" s="368"/>
      <c r="O36" s="369"/>
      <c r="P36" s="362">
        <f>SUMIF('caseload data'!$C:$C,'custody %'!B36,'caseload data'!V:V)</f>
        <v>0</v>
      </c>
      <c r="Q36" s="370"/>
      <c r="R36" s="371"/>
      <c r="S36" s="95"/>
      <c r="T36" s="182" t="str">
        <f>HLOOKUP($B$5,Region_Table,11,0)</f>
        <v>Enfield and Haringey</v>
      </c>
      <c r="U36" s="359" t="s">
        <v>366</v>
      </c>
      <c r="V36" s="365"/>
      <c r="W36" s="365"/>
      <c r="X36" s="365"/>
      <c r="Y36" s="365"/>
      <c r="Z36" s="365"/>
      <c r="AA36" s="365"/>
      <c r="AB36" s="365"/>
      <c r="AC36" s="368"/>
      <c r="AD36" s="368"/>
      <c r="AE36" s="369"/>
      <c r="AF36" s="362">
        <f>SUMIF('caseload data'!$C:$C,'custody %'!T36,'caseload data'!V:V)</f>
        <v>0</v>
      </c>
      <c r="AG36" s="370"/>
      <c r="AH36" s="371"/>
    </row>
    <row r="37" spans="2:36" x14ac:dyDescent="0.15">
      <c r="B37" s="127" t="s">
        <v>324</v>
      </c>
      <c r="C37" s="58" t="s">
        <v>504</v>
      </c>
      <c r="D37" s="58" t="s">
        <v>503</v>
      </c>
      <c r="E37" s="58" t="s">
        <v>502</v>
      </c>
      <c r="F37" s="58" t="s">
        <v>501</v>
      </c>
      <c r="G37" s="58" t="s">
        <v>510</v>
      </c>
      <c r="H37" s="58" t="s">
        <v>176</v>
      </c>
      <c r="I37" s="58" t="s">
        <v>177</v>
      </c>
      <c r="J37" s="58" t="s">
        <v>505</v>
      </c>
      <c r="K37" s="58" t="s">
        <v>507</v>
      </c>
      <c r="L37" s="58" t="s">
        <v>178</v>
      </c>
      <c r="M37" s="58" t="s">
        <v>179</v>
      </c>
      <c r="N37" s="58" t="s">
        <v>506</v>
      </c>
      <c r="O37" s="58" t="s">
        <v>508</v>
      </c>
      <c r="P37" s="58" t="s">
        <v>180</v>
      </c>
      <c r="Q37" s="58" t="s">
        <v>181</v>
      </c>
      <c r="R37" s="58" t="s">
        <v>509</v>
      </c>
      <c r="S37" s="95"/>
      <c r="T37" s="127" t="s">
        <v>324</v>
      </c>
      <c r="U37" s="58" t="s">
        <v>504</v>
      </c>
      <c r="V37" s="58" t="s">
        <v>503</v>
      </c>
      <c r="W37" s="58" t="s">
        <v>502</v>
      </c>
      <c r="X37" s="58" t="s">
        <v>501</v>
      </c>
      <c r="Y37" s="58" t="s">
        <v>510</v>
      </c>
      <c r="Z37" s="58" t="s">
        <v>176</v>
      </c>
      <c r="AA37" s="58" t="s">
        <v>177</v>
      </c>
      <c r="AB37" s="58" t="s">
        <v>505</v>
      </c>
      <c r="AC37" s="58" t="s">
        <v>507</v>
      </c>
      <c r="AD37" s="58" t="s">
        <v>178</v>
      </c>
      <c r="AE37" s="58" t="s">
        <v>179</v>
      </c>
      <c r="AF37" s="58" t="s">
        <v>506</v>
      </c>
      <c r="AG37" s="58" t="s">
        <v>508</v>
      </c>
      <c r="AH37" s="58" t="s">
        <v>180</v>
      </c>
      <c r="AI37" s="58" t="s">
        <v>181</v>
      </c>
      <c r="AJ37" s="58" t="s">
        <v>509</v>
      </c>
    </row>
    <row r="38" spans="2:36" x14ac:dyDescent="0.15">
      <c r="B38" s="129" t="s">
        <v>184</v>
      </c>
      <c r="C38" s="209" t="str">
        <f>IFERROR(SUMIFS('caseload data'!E:E,'caseload data'!$C:$C,'custody %'!$B$36,'caseload data'!$D:$D,"PO",'caseload data'!$B:$B,"custody")/SUMIFS('caseload data'!E:E,'caseload data'!$B:$B,"custody",'caseload data'!$C:$C,'custody %'!$B$36),"")</f>
        <v/>
      </c>
      <c r="D38" s="209" t="str">
        <f>IFERROR(SUMIFS('caseload data'!F:F,'caseload data'!$C:$C,'custody %'!$B$36,'caseload data'!$D:$D,"PO",'caseload data'!$B:$B,"custody")/SUMIFS('caseload data'!F:F,'caseload data'!$B:$B,"custody",'caseload data'!$C:$C,'custody %'!$B$36),"")</f>
        <v/>
      </c>
      <c r="E38" s="209" t="str">
        <f>IFERROR(SUMIFS('caseload data'!G:G,'caseload data'!$C:$C,'custody %'!$B$36,'caseload data'!$D:$D,"PO",'caseload data'!$B:$B,"custody")/SUMIFS('caseload data'!G:G,'caseload data'!$B:$B,"custody",'caseload data'!$C:$C,'custody %'!$B$36),"")</f>
        <v/>
      </c>
      <c r="F38" s="209" t="str">
        <f>IFERROR(SUMIFS('caseload data'!H:H,'caseload data'!$C:$C,'custody %'!$B$36,'caseload data'!$D:$D,"PO",'caseload data'!$B:$B,"custody")/SUMIFS('caseload data'!H:H,'caseload data'!$B:$B,"custody",'caseload data'!$C:$C,'custody %'!$B$36),"")</f>
        <v/>
      </c>
      <c r="G38" s="209" t="str">
        <f>IFERROR(SUMIFS('caseload data'!I:I,'caseload data'!$C:$C,'custody %'!$B$36,'caseload data'!$D:$D,"PO",'caseload data'!$B:$B,"custody")/SUMIFS('caseload data'!I:I,'caseload data'!$B:$B,"custody",'caseload data'!$C:$C,'custody %'!$B$36),"")</f>
        <v/>
      </c>
      <c r="H38" s="209" t="str">
        <f>IFERROR(SUMIFS('caseload data'!J:J,'caseload data'!$C:$C,'custody %'!$B$36,'caseload data'!$D:$D,"PO",'caseload data'!$B:$B,"custody")/SUMIFS('caseload data'!J:J,'caseload data'!$B:$B,"custody",'caseload data'!$C:$C,'custody %'!$B$36),"")</f>
        <v/>
      </c>
      <c r="I38" s="209" t="str">
        <f>IFERROR(SUMIFS('caseload data'!K:K,'caseload data'!$C:$C,'custody %'!$B$36,'caseload data'!$D:$D,"PO",'caseload data'!$B:$B,"custody")/SUMIFS('caseload data'!K:K,'caseload data'!$B:$B,"custody",'caseload data'!$C:$C,'custody %'!$B$36),"")</f>
        <v/>
      </c>
      <c r="J38" s="209" t="str">
        <f>IFERROR(SUMIFS('caseload data'!L:L,'caseload data'!$C:$C,'custody %'!$B$36,'caseload data'!$D:$D,"PO",'caseload data'!$B:$B,"custody")/SUMIFS('caseload data'!L:L,'caseload data'!$B:$B,"custody",'caseload data'!$C:$C,'custody %'!$B$36),"")</f>
        <v/>
      </c>
      <c r="K38" s="209" t="str">
        <f>IFERROR(SUMIFS('caseload data'!M:M,'caseload data'!$C:$C,'custody %'!$B$36,'caseload data'!$D:$D,"PO",'caseload data'!$B:$B,"custody")/SUMIFS('caseload data'!M:M,'caseload data'!$B:$B,"custody",'caseload data'!$C:$C,'custody %'!$B$36),"")</f>
        <v/>
      </c>
      <c r="L38" s="209" t="str">
        <f>IFERROR(SUMIFS('caseload data'!N:N,'caseload data'!$C:$C,'custody %'!$B$36,'caseload data'!$D:$D,"PO",'caseload data'!$B:$B,"custody")/SUMIFS('caseload data'!N:N,'caseload data'!$B:$B,"custody",'caseload data'!$C:$C,'custody %'!$B$36),"")</f>
        <v/>
      </c>
      <c r="M38" s="209" t="str">
        <f>IFERROR(SUMIFS('caseload data'!O:O,'caseload data'!$C:$C,'custody %'!$B$36,'caseload data'!$D:$D,"PO",'caseload data'!$B:$B,"custody")/SUMIFS('caseload data'!O:O,'caseload data'!$B:$B,"custody",'caseload data'!$C:$C,'custody %'!$B$36),"")</f>
        <v/>
      </c>
      <c r="N38" s="209" t="str">
        <f>IFERROR(SUMIFS('caseload data'!P:P,'caseload data'!$C:$C,'custody %'!$B$36,'caseload data'!$D:$D,"PO",'caseload data'!$B:$B,"custody")/SUMIFS('caseload data'!P:P,'caseload data'!$B:$B,"custody",'caseload data'!$C:$C,'custody %'!$B$36),"")</f>
        <v/>
      </c>
      <c r="O38" s="209" t="str">
        <f>IFERROR(SUMIFS('caseload data'!Q:Q,'caseload data'!$C:$C,'custody %'!$B$36,'caseload data'!$D:$D,"PO",'caseload data'!$B:$B,"custody")/SUMIFS('caseload data'!Q:Q,'caseload data'!$B:$B,"custody",'caseload data'!$C:$C,'custody %'!$B$36),"")</f>
        <v/>
      </c>
      <c r="P38" s="209" t="str">
        <f>IFERROR(SUMIFS('caseload data'!R:R,'caseload data'!$C:$C,'custody %'!$B$36,'caseload data'!$D:$D,"PO",'caseload data'!$B:$B,"custody")/SUMIFS('caseload data'!R:R,'caseload data'!$B:$B,"custody",'caseload data'!$C:$C,'custody %'!$B$36),"")</f>
        <v/>
      </c>
      <c r="Q38" s="209" t="str">
        <f>IFERROR(SUMIFS('caseload data'!S:S,'caseload data'!$C:$C,'custody %'!$B$36,'caseload data'!$D:$D,"PO",'caseload data'!$B:$B,"custody")/SUMIFS('caseload data'!S:S,'caseload data'!$B:$B,"custody",'caseload data'!$C:$C,'custody %'!$B$36),"")</f>
        <v/>
      </c>
      <c r="R38" s="209" t="str">
        <f>IFERROR(SUMIFS('caseload data'!T:T,'caseload data'!$C:$C,'custody %'!$B$36,'caseload data'!$D:$D,"PO",'caseload data'!$B:$B,"custody")/SUMIFS('caseload data'!T:T,'caseload data'!$B:$B,"custody",'caseload data'!$C:$C,'custody %'!$B$36),"")</f>
        <v/>
      </c>
      <c r="S38" s="95"/>
      <c r="T38" s="129" t="s">
        <v>184</v>
      </c>
      <c r="U38" s="209" t="str">
        <f>IFERROR(SUMIFS('caseload data'!E:E,'caseload data'!$C:$C,'custody %'!$T$36,'caseload data'!$D:$D,"PO",'caseload data'!$B:$B,"custody")/SUMIFS('caseload data'!E:E,'caseload data'!$B:$B,"custody",'caseload data'!$C:$C,'custody %'!$T$36),"")</f>
        <v/>
      </c>
      <c r="V38" s="209" t="str">
        <f>IFERROR(SUMIFS('caseload data'!F:F,'caseload data'!$C:$C,'custody %'!$T$36,'caseload data'!$D:$D,"PO",'caseload data'!$B:$B,"custody")/SUMIFS('caseload data'!F:F,'caseload data'!$B:$B,"custody",'caseload data'!$C:$C,'custody %'!$T$36),"")</f>
        <v/>
      </c>
      <c r="W38" s="209" t="str">
        <f>IFERROR(SUMIFS('caseload data'!G:G,'caseload data'!$C:$C,'custody %'!$T$36,'caseload data'!$D:$D,"PO",'caseload data'!$B:$B,"custody")/SUMIFS('caseload data'!G:G,'caseload data'!$B:$B,"custody",'caseload data'!$C:$C,'custody %'!$T$36),"")</f>
        <v/>
      </c>
      <c r="X38" s="209" t="str">
        <f>IFERROR(SUMIFS('caseload data'!H:H,'caseload data'!$C:$C,'custody %'!$T$36,'caseload data'!$D:$D,"PO",'caseload data'!$B:$B,"custody")/SUMIFS('caseload data'!H:H,'caseload data'!$B:$B,"custody",'caseload data'!$C:$C,'custody %'!$T$36),"")</f>
        <v/>
      </c>
      <c r="Y38" s="209" t="str">
        <f>IFERROR(SUMIFS('caseload data'!I:I,'caseload data'!$C:$C,'custody %'!$T$36,'caseload data'!$D:$D,"PO",'caseload data'!$B:$B,"custody")/SUMIFS('caseload data'!I:I,'caseload data'!$B:$B,"custody",'caseload data'!$C:$C,'custody %'!$T$36),"")</f>
        <v/>
      </c>
      <c r="Z38" s="209" t="str">
        <f>IFERROR(SUMIFS('caseload data'!J:J,'caseload data'!$C:$C,'custody %'!$T$36,'caseload data'!$D:$D,"PO",'caseload data'!$B:$B,"custody")/SUMIFS('caseload data'!J:J,'caseload data'!$B:$B,"custody",'caseload data'!$C:$C,'custody %'!$T$36),"")</f>
        <v/>
      </c>
      <c r="AA38" s="209" t="str">
        <f>IFERROR(SUMIFS('caseload data'!K:K,'caseload data'!$C:$C,'custody %'!$T$36,'caseload data'!$D:$D,"PO",'caseload data'!$B:$B,"custody")/SUMIFS('caseload data'!K:K,'caseload data'!$B:$B,"custody",'caseload data'!$C:$C,'custody %'!$T$36),"")</f>
        <v/>
      </c>
      <c r="AB38" s="209" t="str">
        <f>IFERROR(SUMIFS('caseload data'!L:L,'caseload data'!$C:$C,'custody %'!$T$36,'caseload data'!$D:$D,"PO",'caseload data'!$B:$B,"custody")/SUMIFS('caseload data'!L:L,'caseload data'!$B:$B,"custody",'caseload data'!$C:$C,'custody %'!$T$36),"")</f>
        <v/>
      </c>
      <c r="AC38" s="209" t="str">
        <f>IFERROR(SUMIFS('caseload data'!M:M,'caseload data'!$C:$C,'custody %'!$T$36,'caseload data'!$D:$D,"PO",'caseload data'!$B:$B,"custody")/SUMIFS('caseload data'!M:M,'caseload data'!$B:$B,"custody",'caseload data'!$C:$C,'custody %'!$T$36),"")</f>
        <v/>
      </c>
      <c r="AD38" s="209" t="str">
        <f>IFERROR(SUMIFS('caseload data'!N:N,'caseload data'!$C:$C,'custody %'!$T$36,'caseload data'!$D:$D,"PO",'caseload data'!$B:$B,"custody")/SUMIFS('caseload data'!N:N,'caseload data'!$B:$B,"custody",'caseload data'!$C:$C,'custody %'!$T$36),"")</f>
        <v/>
      </c>
      <c r="AE38" s="209" t="str">
        <f>IFERROR(SUMIFS('caseload data'!O:O,'caseload data'!$C:$C,'custody %'!$T$36,'caseload data'!$D:$D,"PO",'caseload data'!$B:$B,"custody")/SUMIFS('caseload data'!O:O,'caseload data'!$B:$B,"custody",'caseload data'!$C:$C,'custody %'!$T$36),"")</f>
        <v/>
      </c>
      <c r="AF38" s="209" t="str">
        <f>IFERROR(SUMIFS('caseload data'!P:P,'caseload data'!$C:$C,'custody %'!$T$36,'caseload data'!$D:$D,"PO",'caseload data'!$B:$B,"custody")/SUMIFS('caseload data'!P:P,'caseload data'!$B:$B,"custody",'caseload data'!$C:$C,'custody %'!$T$36),"")</f>
        <v/>
      </c>
      <c r="AG38" s="209" t="str">
        <f>IFERROR(SUMIFS('caseload data'!Q:Q,'caseload data'!$C:$C,'custody %'!$T$36,'caseload data'!$D:$D,"PO",'caseload data'!$B:$B,"custody")/SUMIFS('caseload data'!Q:Q,'caseload data'!$B:$B,"custody",'caseload data'!$C:$C,'custody %'!$T$36),"")</f>
        <v/>
      </c>
      <c r="AH38" s="209" t="str">
        <f>IFERROR(SUMIFS('caseload data'!R:R,'caseload data'!$C:$C,'custody %'!$T$36,'caseload data'!$D:$D,"PO",'caseload data'!$B:$B,"custody")/SUMIFS('caseload data'!R:R,'caseload data'!$B:$B,"custody",'caseload data'!$C:$C,'custody %'!$T$36),"")</f>
        <v/>
      </c>
      <c r="AI38" s="209"/>
      <c r="AJ38" s="209"/>
    </row>
    <row r="39" spans="2:36" x14ac:dyDescent="0.15">
      <c r="B39" s="130" t="s">
        <v>185</v>
      </c>
      <c r="C39" s="209" t="str">
        <f>IFERROR(SUMIFS('caseload data'!E:E,'caseload data'!$C:$C,'custody %'!$B$36,'caseload data'!$D:$D,"PSO",'caseload data'!$B:$B,"custody")/SUMIFS('caseload data'!E:E,'caseload data'!$B:$B,"custody",'caseload data'!$C:$C,'custody %'!$B$36),"")</f>
        <v/>
      </c>
      <c r="D39" s="209" t="str">
        <f>IFERROR(SUMIFS('caseload data'!F:F,'caseload data'!$C:$C,'custody %'!$B$36,'caseload data'!$D:$D,"PSO",'caseload data'!$B:$B,"custody")/SUMIFS('caseload data'!F:F,'caseload data'!$B:$B,"custody",'caseload data'!$C:$C,'custody %'!$B$36),"")</f>
        <v/>
      </c>
      <c r="E39" s="209" t="str">
        <f>IFERROR(SUMIFS('caseload data'!G:G,'caseload data'!$C:$C,'custody %'!$B$36,'caseload data'!$D:$D,"PSO",'caseload data'!$B:$B,"custody")/SUMIFS('caseload data'!G:G,'caseload data'!$B:$B,"custody",'caseload data'!$C:$C,'custody %'!$B$36),"")</f>
        <v/>
      </c>
      <c r="F39" s="209" t="str">
        <f>IFERROR(SUMIFS('caseload data'!H:H,'caseload data'!$C:$C,'custody %'!$B$36,'caseload data'!$D:$D,"PSO",'caseload data'!$B:$B,"custody")/SUMIFS('caseload data'!H:H,'caseload data'!$B:$B,"custody",'caseload data'!$C:$C,'custody %'!$B$36),"")</f>
        <v/>
      </c>
      <c r="G39" s="209" t="str">
        <f>IFERROR(SUMIFS('caseload data'!I:I,'caseload data'!$C:$C,'custody %'!$B$36,'caseload data'!$D:$D,"PSO",'caseload data'!$B:$B,"custody")/SUMIFS('caseload data'!I:I,'caseload data'!$B:$B,"custody",'caseload data'!$C:$C,'custody %'!$B$36),"")</f>
        <v/>
      </c>
      <c r="H39" s="209" t="str">
        <f>IFERROR(SUMIFS('caseload data'!J:J,'caseload data'!$C:$C,'custody %'!$B$36,'caseload data'!$D:$D,"PSO",'caseload data'!$B:$B,"custody")/SUMIFS('caseload data'!J:J,'caseload data'!$B:$B,"custody",'caseload data'!$C:$C,'custody %'!$B$36),"")</f>
        <v/>
      </c>
      <c r="I39" s="209" t="str">
        <f>IFERROR(SUMIFS('caseload data'!K:K,'caseload data'!$C:$C,'custody %'!$B$36,'caseload data'!$D:$D,"PSO",'caseload data'!$B:$B,"custody")/SUMIFS('caseload data'!K:K,'caseload data'!$B:$B,"custody",'caseload data'!$C:$C,'custody %'!$B$36),"")</f>
        <v/>
      </c>
      <c r="J39" s="209" t="str">
        <f>IFERROR(SUMIFS('caseload data'!L:L,'caseload data'!$C:$C,'custody %'!$B$36,'caseload data'!$D:$D,"PSO",'caseload data'!$B:$B,"custody")/SUMIFS('caseload data'!L:L,'caseload data'!$B:$B,"custody",'caseload data'!$C:$C,'custody %'!$B$36),"")</f>
        <v/>
      </c>
      <c r="K39" s="209" t="str">
        <f>IFERROR(SUMIFS('caseload data'!M:M,'caseload data'!$C:$C,'custody %'!$B$36,'caseload data'!$D:$D,"PSO",'caseload data'!$B:$B,"custody")/SUMIFS('caseload data'!M:M,'caseload data'!$B:$B,"custody",'caseload data'!$C:$C,'custody %'!$B$36),"")</f>
        <v/>
      </c>
      <c r="L39" s="209" t="str">
        <f>IFERROR(SUMIFS('caseload data'!N:N,'caseload data'!$C:$C,'custody %'!$B$36,'caseload data'!$D:$D,"PSO",'caseload data'!$B:$B,"custody")/SUMIFS('caseload data'!N:N,'caseload data'!$B:$B,"custody",'caseload data'!$C:$C,'custody %'!$B$36),"")</f>
        <v/>
      </c>
      <c r="M39" s="209" t="str">
        <f>IFERROR(SUMIFS('caseload data'!O:O,'caseload data'!$C:$C,'custody %'!$B$36,'caseload data'!$D:$D,"PSO",'caseload data'!$B:$B,"custody")/SUMIFS('caseload data'!O:O,'caseload data'!$B:$B,"custody",'caseload data'!$C:$C,'custody %'!$B$36),"")</f>
        <v/>
      </c>
      <c r="N39" s="209" t="str">
        <f>IFERROR(SUMIFS('caseload data'!P:P,'caseload data'!$C:$C,'custody %'!$B$36,'caseload data'!$D:$D,"PSO",'caseload data'!$B:$B,"custody")/SUMIFS('caseload data'!P:P,'caseload data'!$B:$B,"custody",'caseload data'!$C:$C,'custody %'!$B$36),"")</f>
        <v/>
      </c>
      <c r="O39" s="209" t="str">
        <f>IFERROR(SUMIFS('caseload data'!Q:Q,'caseload data'!$C:$C,'custody %'!$B$36,'caseload data'!$D:$D,"PSO",'caseload data'!$B:$B,"custody")/SUMIFS('caseload data'!Q:Q,'caseload data'!$B:$B,"custody",'caseload data'!$C:$C,'custody %'!$B$36),"")</f>
        <v/>
      </c>
      <c r="P39" s="209" t="str">
        <f>IFERROR(SUMIFS('caseload data'!R:R,'caseload data'!$C:$C,'custody %'!$B$36,'caseload data'!$D:$D,"PSO",'caseload data'!$B:$B,"custody")/SUMIFS('caseload data'!R:R,'caseload data'!$B:$B,"custody",'caseload data'!$C:$C,'custody %'!$B$36),"")</f>
        <v/>
      </c>
      <c r="Q39" s="209" t="str">
        <f>IFERROR(SUMIFS('caseload data'!S:S,'caseload data'!$C:$C,'custody %'!$B$36,'caseload data'!$D:$D,"PSO",'caseload data'!$B:$B,"custody")/SUMIFS('caseload data'!S:S,'caseload data'!$B:$B,"custody",'caseload data'!$C:$C,'custody %'!$B$36),"")</f>
        <v/>
      </c>
      <c r="R39" s="209" t="str">
        <f>IFERROR(SUMIFS('caseload data'!T:T,'caseload data'!$C:$C,'custody %'!$B$36,'caseload data'!$D:$D,"PSO",'caseload data'!$B:$B,"custody")/SUMIFS('caseload data'!T:T,'caseload data'!$B:$B,"custody",'caseload data'!$C:$C,'custody %'!$B$36),"")</f>
        <v/>
      </c>
      <c r="S39" s="95"/>
      <c r="T39" s="130" t="s">
        <v>185</v>
      </c>
      <c r="U39" s="209" t="str">
        <f>IFERROR(SUMIFS('caseload data'!E:E,'caseload data'!$C:$C,'custody %'!$T$36,'caseload data'!$D:$D,"PSO",'caseload data'!$B:$B,"custody")/SUMIFS('caseload data'!E:E,'caseload data'!$B:$B,"custody",'caseload data'!$C:$C,'custody %'!$T$36),"")</f>
        <v/>
      </c>
      <c r="V39" s="209" t="str">
        <f>IFERROR(SUMIFS('caseload data'!F:F,'caseload data'!$C:$C,'custody %'!$T$36,'caseload data'!$D:$D,"PSO",'caseload data'!$B:$B,"custody")/SUMIFS('caseload data'!F:F,'caseload data'!$B:$B,"custody",'caseload data'!$C:$C,'custody %'!$T$36),"")</f>
        <v/>
      </c>
      <c r="W39" s="209" t="str">
        <f>IFERROR(SUMIFS('caseload data'!G:G,'caseload data'!$C:$C,'custody %'!$T$36,'caseload data'!$D:$D,"PSO",'caseload data'!$B:$B,"custody")/SUMIFS('caseload data'!G:G,'caseload data'!$B:$B,"custody",'caseload data'!$C:$C,'custody %'!$T$36),"")</f>
        <v/>
      </c>
      <c r="X39" s="209" t="str">
        <f>IFERROR(SUMIFS('caseload data'!H:H,'caseload data'!$C:$C,'custody %'!$T$36,'caseload data'!$D:$D,"PSO",'caseload data'!$B:$B,"custody")/SUMIFS('caseload data'!H:H,'caseload data'!$B:$B,"custody",'caseload data'!$C:$C,'custody %'!$T$36),"")</f>
        <v/>
      </c>
      <c r="Y39" s="209" t="str">
        <f>IFERROR(SUMIFS('caseload data'!I:I,'caseload data'!$C:$C,'custody %'!$T$36,'caseload data'!$D:$D,"PSO",'caseload data'!$B:$B,"custody")/SUMIFS('caseload data'!I:I,'caseload data'!$B:$B,"custody",'caseload data'!$C:$C,'custody %'!$T$36),"")</f>
        <v/>
      </c>
      <c r="Z39" s="209" t="str">
        <f>IFERROR(SUMIFS('caseload data'!J:J,'caseload data'!$C:$C,'custody %'!$T$36,'caseload data'!$D:$D,"PSO",'caseload data'!$B:$B,"custody")/SUMIFS('caseload data'!J:J,'caseload data'!$B:$B,"custody",'caseload data'!$C:$C,'custody %'!$T$36),"")</f>
        <v/>
      </c>
      <c r="AA39" s="209" t="str">
        <f>IFERROR(SUMIFS('caseload data'!K:K,'caseload data'!$C:$C,'custody %'!$T$36,'caseload data'!$D:$D,"PSO",'caseload data'!$B:$B,"custody")/SUMIFS('caseload data'!K:K,'caseload data'!$B:$B,"custody",'caseload data'!$C:$C,'custody %'!$T$36),"")</f>
        <v/>
      </c>
      <c r="AB39" s="209" t="str">
        <f>IFERROR(SUMIFS('caseload data'!L:L,'caseload data'!$C:$C,'custody %'!$T$36,'caseload data'!$D:$D,"PSO",'caseload data'!$B:$B,"custody")/SUMIFS('caseload data'!L:L,'caseload data'!$B:$B,"custody",'caseload data'!$C:$C,'custody %'!$T$36),"")</f>
        <v/>
      </c>
      <c r="AC39" s="209" t="str">
        <f>IFERROR(SUMIFS('caseload data'!M:M,'caseload data'!$C:$C,'custody %'!$T$36,'caseload data'!$D:$D,"PSO",'caseload data'!$B:$B,"custody")/SUMIFS('caseload data'!M:M,'caseload data'!$B:$B,"custody",'caseload data'!$C:$C,'custody %'!$T$36),"")</f>
        <v/>
      </c>
      <c r="AD39" s="209" t="str">
        <f>IFERROR(SUMIFS('caseload data'!N:N,'caseload data'!$C:$C,'custody %'!$T$36,'caseload data'!$D:$D,"PSO",'caseload data'!$B:$B,"custody")/SUMIFS('caseload data'!N:N,'caseload data'!$B:$B,"custody",'caseload data'!$C:$C,'custody %'!$T$36),"")</f>
        <v/>
      </c>
      <c r="AE39" s="209" t="str">
        <f>IFERROR(SUMIFS('caseload data'!O:O,'caseload data'!$C:$C,'custody %'!$T$36,'caseload data'!$D:$D,"PSO",'caseload data'!$B:$B,"custody")/SUMIFS('caseload data'!O:O,'caseload data'!$B:$B,"custody",'caseload data'!$C:$C,'custody %'!$T$36),"")</f>
        <v/>
      </c>
      <c r="AF39" s="209" t="str">
        <f>IFERROR(SUMIFS('caseload data'!P:P,'caseload data'!$C:$C,'custody %'!$T$36,'caseload data'!$D:$D,"PSO",'caseload data'!$B:$B,"custody")/SUMIFS('caseload data'!P:P,'caseload data'!$B:$B,"custody",'caseload data'!$C:$C,'custody %'!$T$36),"")</f>
        <v/>
      </c>
      <c r="AG39" s="209" t="str">
        <f>IFERROR(SUMIFS('caseload data'!Q:Q,'caseload data'!$C:$C,'custody %'!$T$36,'caseload data'!$D:$D,"PSO",'caseload data'!$B:$B,"custody")/SUMIFS('caseload data'!Q:Q,'caseload data'!$B:$B,"custody",'caseload data'!$C:$C,'custody %'!$T$36),"")</f>
        <v/>
      </c>
      <c r="AH39" s="209" t="str">
        <f>IFERROR(SUMIFS('caseload data'!R:R,'caseload data'!$C:$C,'custody %'!$T$36,'caseload data'!$D:$D,"PSO",'caseload data'!$B:$B,"custody")/SUMIFS('caseload data'!R:R,'caseload data'!$B:$B,"custody",'caseload data'!$C:$C,'custody %'!$T$36),"")</f>
        <v/>
      </c>
      <c r="AI39" s="209"/>
      <c r="AJ39" s="209"/>
    </row>
    <row r="40" spans="2:36" x14ac:dyDescent="0.15">
      <c r="B40" s="130" t="s">
        <v>186</v>
      </c>
      <c r="C40" s="209" t="str">
        <f>IFERROR(SUMIFS('caseload data'!E:E,'caseload data'!$C:$C,'custody %'!$B$36,'caseload data'!$D:$D,"TPO",'caseload data'!$B:$B,"custody")/SUMIFS('caseload data'!E:E,'caseload data'!$B:$B,"custody",'caseload data'!$C:$C,'custody %'!$B$36),"")</f>
        <v/>
      </c>
      <c r="D40" s="209" t="str">
        <f>IFERROR(SUMIFS('caseload data'!F:F,'caseload data'!$C:$C,'custody %'!$B$36,'caseload data'!$D:$D,"TPO",'caseload data'!$B:$B,"custody")/SUMIFS('caseload data'!F:F,'caseload data'!$B:$B,"custody",'caseload data'!$C:$C,'custody %'!$B$36),"")</f>
        <v/>
      </c>
      <c r="E40" s="209" t="str">
        <f>IFERROR(SUMIFS('caseload data'!G:G,'caseload data'!$C:$C,'custody %'!$B$36,'caseload data'!$D:$D,"TPO",'caseload data'!$B:$B,"custody")/SUMIFS('caseload data'!G:G,'caseload data'!$B:$B,"custody",'caseload data'!$C:$C,'custody %'!$B$36),"")</f>
        <v/>
      </c>
      <c r="F40" s="209" t="str">
        <f>IFERROR(SUMIFS('caseload data'!H:H,'caseload data'!$C:$C,'custody %'!$B$36,'caseload data'!$D:$D,"TPO",'caseload data'!$B:$B,"custody")/SUMIFS('caseload data'!H:H,'caseload data'!$B:$B,"custody",'caseload data'!$C:$C,'custody %'!$B$36),"")</f>
        <v/>
      </c>
      <c r="G40" s="209" t="str">
        <f>IFERROR(SUMIFS('caseload data'!I:I,'caseload data'!$C:$C,'custody %'!$B$36,'caseload data'!$D:$D,"TPO",'caseload data'!$B:$B,"custody")/SUMIFS('caseload data'!I:I,'caseload data'!$B:$B,"custody",'caseload data'!$C:$C,'custody %'!$B$36),"")</f>
        <v/>
      </c>
      <c r="H40" s="209" t="str">
        <f>IFERROR(SUMIFS('caseload data'!J:J,'caseload data'!$C:$C,'custody %'!$B$36,'caseload data'!$D:$D,"TPO",'caseload data'!$B:$B,"custody")/SUMIFS('caseload data'!J:J,'caseload data'!$B:$B,"custody",'caseload data'!$C:$C,'custody %'!$B$36),"")</f>
        <v/>
      </c>
      <c r="I40" s="209" t="str">
        <f>IFERROR(SUMIFS('caseload data'!K:K,'caseload data'!$C:$C,'custody %'!$B$36,'caseload data'!$D:$D,"TPO",'caseload data'!$B:$B,"custody")/SUMIFS('caseload data'!K:K,'caseload data'!$B:$B,"custody",'caseload data'!$C:$C,'custody %'!$B$36),"")</f>
        <v/>
      </c>
      <c r="J40" s="209" t="str">
        <f>IFERROR(SUMIFS('caseload data'!L:L,'caseload data'!$C:$C,'custody %'!$B$36,'caseload data'!$D:$D,"TPO",'caseload data'!$B:$B,"custody")/SUMIFS('caseload data'!L:L,'caseload data'!$B:$B,"custody",'caseload data'!$C:$C,'custody %'!$B$36),"")</f>
        <v/>
      </c>
      <c r="K40" s="209" t="str">
        <f>IFERROR(SUMIFS('caseload data'!M:M,'caseload data'!$C:$C,'custody %'!$B$36,'caseload data'!$D:$D,"TPO",'caseload data'!$B:$B,"custody")/SUMIFS('caseload data'!M:M,'caseload data'!$B:$B,"custody",'caseload data'!$C:$C,'custody %'!$B$36),"")</f>
        <v/>
      </c>
      <c r="L40" s="209" t="str">
        <f>IFERROR(SUMIFS('caseload data'!N:N,'caseload data'!$C:$C,'custody %'!$B$36,'caseload data'!$D:$D,"TPO",'caseload data'!$B:$B,"custody")/SUMIFS('caseload data'!N:N,'caseload data'!$B:$B,"custody",'caseload data'!$C:$C,'custody %'!$B$36),"")</f>
        <v/>
      </c>
      <c r="M40" s="209" t="str">
        <f>IFERROR(SUMIFS('caseload data'!O:O,'caseload data'!$C:$C,'custody %'!$B$36,'caseload data'!$D:$D,"TPO",'caseload data'!$B:$B,"custody")/SUMIFS('caseload data'!O:O,'caseload data'!$B:$B,"custody",'caseload data'!$C:$C,'custody %'!$B$36),"")</f>
        <v/>
      </c>
      <c r="N40" s="209" t="str">
        <f>IFERROR(SUMIFS('caseload data'!P:P,'caseload data'!$C:$C,'custody %'!$B$36,'caseload data'!$D:$D,"TPO",'caseload data'!$B:$B,"custody")/SUMIFS('caseload data'!P:P,'caseload data'!$B:$B,"custody",'caseload data'!$C:$C,'custody %'!$B$36),"")</f>
        <v/>
      </c>
      <c r="O40" s="209" t="str">
        <f>IFERROR(SUMIFS('caseload data'!Q:Q,'caseload data'!$C:$C,'custody %'!$B$36,'caseload data'!$D:$D,"TPO",'caseload data'!$B:$B,"custody")/SUMIFS('caseload data'!Q:Q,'caseload data'!$B:$B,"custody",'caseload data'!$C:$C,'custody %'!$B$36),"")</f>
        <v/>
      </c>
      <c r="P40" s="209" t="str">
        <f>IFERROR(SUMIFS('caseload data'!R:R,'caseload data'!$C:$C,'custody %'!$B$36,'caseload data'!$D:$D,"TPO",'caseload data'!$B:$B,"custody")/SUMIFS('caseload data'!R:R,'caseload data'!$B:$B,"custody",'caseload data'!$C:$C,'custody %'!$B$36),"")</f>
        <v/>
      </c>
      <c r="Q40" s="209" t="str">
        <f>IFERROR(SUMIFS('caseload data'!S:S,'caseload data'!$C:$C,'custody %'!$B$36,'caseload data'!$D:$D,"TPO",'caseload data'!$B:$B,"custody")/SUMIFS('caseload data'!S:S,'caseload data'!$B:$B,"custody",'caseload data'!$C:$C,'custody %'!$B$36),"")</f>
        <v/>
      </c>
      <c r="R40" s="209" t="str">
        <f>IFERROR(SUMIFS('caseload data'!T:T,'caseload data'!$C:$C,'custody %'!$B$36,'caseload data'!$D:$D,"TPO",'caseload data'!$B:$B,"custody")/SUMIFS('caseload data'!T:T,'caseload data'!$B:$B,"custody",'caseload data'!$C:$C,'custody %'!$B$36),"")</f>
        <v/>
      </c>
      <c r="S40" s="95"/>
      <c r="T40" s="130" t="s">
        <v>186</v>
      </c>
      <c r="U40" s="209" t="str">
        <f>IFERROR(SUMIFS('caseload data'!E:E,'caseload data'!$C:$C,'custody %'!$T$36,'caseload data'!$D:$D,"TPO",'caseload data'!$B:$B,"custody")/SUMIFS('caseload data'!E:E,'caseload data'!$B:$B,"custody",'caseload data'!$C:$C,'custody %'!$T$36),"")</f>
        <v/>
      </c>
      <c r="V40" s="209" t="str">
        <f>IFERROR(SUMIFS('caseload data'!F:F,'caseload data'!$C:$C,'custody %'!$T$36,'caseload data'!$D:$D,"TPO",'caseload data'!$B:$B,"custody")/SUMIFS('caseload data'!F:F,'caseload data'!$B:$B,"custody",'caseload data'!$C:$C,'custody %'!$T$36),"")</f>
        <v/>
      </c>
      <c r="W40" s="209" t="str">
        <f>IFERROR(SUMIFS('caseload data'!G:G,'caseload data'!$C:$C,'custody %'!$T$36,'caseload data'!$D:$D,"TPO",'caseload data'!$B:$B,"custody")/SUMIFS('caseload data'!G:G,'caseload data'!$B:$B,"custody",'caseload data'!$C:$C,'custody %'!$T$36),"")</f>
        <v/>
      </c>
      <c r="X40" s="209" t="str">
        <f>IFERROR(SUMIFS('caseload data'!H:H,'caseload data'!$C:$C,'custody %'!$T$36,'caseload data'!$D:$D,"TPO",'caseload data'!$B:$B,"custody")/SUMIFS('caseload data'!H:H,'caseload data'!$B:$B,"custody",'caseload data'!$C:$C,'custody %'!$T$36),"")</f>
        <v/>
      </c>
      <c r="Y40" s="209" t="str">
        <f>IFERROR(SUMIFS('caseload data'!I:I,'caseload data'!$C:$C,'custody %'!$T$36,'caseload data'!$D:$D,"TPO",'caseload data'!$B:$B,"custody")/SUMIFS('caseload data'!I:I,'caseload data'!$B:$B,"custody",'caseload data'!$C:$C,'custody %'!$T$36),"")</f>
        <v/>
      </c>
      <c r="Z40" s="209" t="str">
        <f>IFERROR(SUMIFS('caseload data'!J:J,'caseload data'!$C:$C,'custody %'!$T$36,'caseload data'!$D:$D,"TPO",'caseload data'!$B:$B,"custody")/SUMIFS('caseload data'!J:J,'caseload data'!$B:$B,"custody",'caseload data'!$C:$C,'custody %'!$T$36),"")</f>
        <v/>
      </c>
      <c r="AA40" s="209" t="str">
        <f>IFERROR(SUMIFS('caseload data'!K:K,'caseload data'!$C:$C,'custody %'!$T$36,'caseload data'!$D:$D,"TPO",'caseload data'!$B:$B,"custody")/SUMIFS('caseload data'!K:K,'caseload data'!$B:$B,"custody",'caseload data'!$C:$C,'custody %'!$T$36),"")</f>
        <v/>
      </c>
      <c r="AB40" s="209" t="str">
        <f>IFERROR(SUMIFS('caseload data'!L:L,'caseload data'!$C:$C,'custody %'!$T$36,'caseload data'!$D:$D,"TPO",'caseload data'!$B:$B,"custody")/SUMIFS('caseload data'!L:L,'caseload data'!$B:$B,"custody",'caseload data'!$C:$C,'custody %'!$T$36),"")</f>
        <v/>
      </c>
      <c r="AC40" s="209" t="str">
        <f>IFERROR(SUMIFS('caseload data'!M:M,'caseload data'!$C:$C,'custody %'!$T$36,'caseload data'!$D:$D,"TPO",'caseload data'!$B:$B,"custody")/SUMIFS('caseload data'!M:M,'caseload data'!$B:$B,"custody",'caseload data'!$C:$C,'custody %'!$T$36),"")</f>
        <v/>
      </c>
      <c r="AD40" s="209" t="str">
        <f>IFERROR(SUMIFS('caseload data'!N:N,'caseload data'!$C:$C,'custody %'!$T$36,'caseload data'!$D:$D,"TPO",'caseload data'!$B:$B,"custody")/SUMIFS('caseload data'!N:N,'caseload data'!$B:$B,"custody",'caseload data'!$C:$C,'custody %'!$T$36),"")</f>
        <v/>
      </c>
      <c r="AE40" s="209" t="str">
        <f>IFERROR(SUMIFS('caseload data'!O:O,'caseload data'!$C:$C,'custody %'!$T$36,'caseload data'!$D:$D,"TPO",'caseload data'!$B:$B,"custody")/SUMIFS('caseload data'!O:O,'caseload data'!$B:$B,"custody",'caseload data'!$C:$C,'custody %'!$T$36),"")</f>
        <v/>
      </c>
      <c r="AF40" s="209" t="str">
        <f>IFERROR(SUMIFS('caseload data'!P:P,'caseload data'!$C:$C,'custody %'!$T$36,'caseload data'!$D:$D,"TPO",'caseload data'!$B:$B,"custody")/SUMIFS('caseload data'!P:P,'caseload data'!$B:$B,"custody",'caseload data'!$C:$C,'custody %'!$T$36),"")</f>
        <v/>
      </c>
      <c r="AG40" s="209" t="str">
        <f>IFERROR(SUMIFS('caseload data'!Q:Q,'caseload data'!$C:$C,'custody %'!$T$36,'caseload data'!$D:$D,"TPO",'caseload data'!$B:$B,"custody")/SUMIFS('caseload data'!Q:Q,'caseload data'!$B:$B,"custody",'caseload data'!$C:$C,'custody %'!$T$36),"")</f>
        <v/>
      </c>
      <c r="AH40" s="209" t="str">
        <f>IFERROR(SUMIFS('caseload data'!R:R,'caseload data'!$C:$C,'custody %'!$T$36,'caseload data'!$D:$D,"TPO",'caseload data'!$B:$B,"custody")/SUMIFS('caseload data'!R:R,'caseload data'!$B:$B,"custody",'caseload data'!$C:$C,'custody %'!$T$36),"")</f>
        <v/>
      </c>
      <c r="AI40" s="209"/>
      <c r="AJ40" s="209"/>
    </row>
    <row r="41" spans="2:36" x14ac:dyDescent="0.15">
      <c r="B41" s="131" t="s">
        <v>187</v>
      </c>
      <c r="C41" s="209" t="str">
        <f>IFERROR(SUMIFS('caseload data'!E:E,'caseload data'!$C:$C,'custody %'!$B$36,'caseload data'!$D:$D,"SPO",'caseload data'!$B:$B,"custody")/SUMIFS('caseload data'!E:E,'caseload data'!$B:$B,"custody",'caseload data'!$C:$C,'custody %'!$B$36),"")</f>
        <v/>
      </c>
      <c r="D41" s="209" t="str">
        <f>IFERROR(SUMIFS('caseload data'!F:F,'caseload data'!$C:$C,'custody %'!$B$36,'caseload data'!$D:$D,"SPO",'caseload data'!$B:$B,"custody")/SUMIFS('caseload data'!F:F,'caseload data'!$B:$B,"custody",'caseload data'!$C:$C,'custody %'!$B$36),"")</f>
        <v/>
      </c>
      <c r="E41" s="209" t="str">
        <f>IFERROR(SUMIFS('caseload data'!G:G,'caseload data'!$C:$C,'custody %'!$B$36,'caseload data'!$D:$D,"SPO",'caseload data'!$B:$B,"custody")/SUMIFS('caseload data'!G:G,'caseload data'!$B:$B,"custody",'caseload data'!$C:$C,'custody %'!$B$36),"")</f>
        <v/>
      </c>
      <c r="F41" s="209" t="str">
        <f>IFERROR(SUMIFS('caseload data'!H:H,'caseload data'!$C:$C,'custody %'!$B$36,'caseload data'!$D:$D,"SPO",'caseload data'!$B:$B,"custody")/SUMIFS('caseload data'!H:H,'caseload data'!$B:$B,"custody",'caseload data'!$C:$C,'custody %'!$B$36),"")</f>
        <v/>
      </c>
      <c r="G41" s="209" t="str">
        <f>IFERROR(SUMIFS('caseload data'!I:I,'caseload data'!$C:$C,'custody %'!$B$36,'caseload data'!$D:$D,"SPO",'caseload data'!$B:$B,"custody")/SUMIFS('caseload data'!I:I,'caseload data'!$B:$B,"custody",'caseload data'!$C:$C,'custody %'!$B$36),"")</f>
        <v/>
      </c>
      <c r="H41" s="209" t="str">
        <f>IFERROR(SUMIFS('caseload data'!J:J,'caseload data'!$C:$C,'custody %'!$B$36,'caseload data'!$D:$D,"SPO",'caseload data'!$B:$B,"custody")/SUMIFS('caseload data'!J:J,'caseload data'!$B:$B,"custody",'caseload data'!$C:$C,'custody %'!$B$36),"")</f>
        <v/>
      </c>
      <c r="I41" s="209" t="str">
        <f>IFERROR(SUMIFS('caseload data'!K:K,'caseload data'!$C:$C,'custody %'!$B$36,'caseload data'!$D:$D,"SPO",'caseload data'!$B:$B,"custody")/SUMIFS('caseload data'!K:K,'caseload data'!$B:$B,"custody",'caseload data'!$C:$C,'custody %'!$B$36),"")</f>
        <v/>
      </c>
      <c r="J41" s="209" t="str">
        <f>IFERROR(SUMIFS('caseload data'!L:L,'caseload data'!$C:$C,'custody %'!$B$36,'caseload data'!$D:$D,"SPO",'caseload data'!$B:$B,"custody")/SUMIFS('caseload data'!L:L,'caseload data'!$B:$B,"custody",'caseload data'!$C:$C,'custody %'!$B$36),"")</f>
        <v/>
      </c>
      <c r="K41" s="209" t="str">
        <f>IFERROR(SUMIFS('caseload data'!M:M,'caseload data'!$C:$C,'custody %'!$B$36,'caseload data'!$D:$D,"SPO",'caseload data'!$B:$B,"custody")/SUMIFS('caseload data'!M:M,'caseload data'!$B:$B,"custody",'caseload data'!$C:$C,'custody %'!$B$36),"")</f>
        <v/>
      </c>
      <c r="L41" s="209" t="str">
        <f>IFERROR(SUMIFS('caseload data'!N:N,'caseload data'!$C:$C,'custody %'!$B$36,'caseload data'!$D:$D,"SPO",'caseload data'!$B:$B,"custody")/SUMIFS('caseload data'!N:N,'caseload data'!$B:$B,"custody",'caseload data'!$C:$C,'custody %'!$B$36),"")</f>
        <v/>
      </c>
      <c r="M41" s="209" t="str">
        <f>IFERROR(SUMIFS('caseload data'!O:O,'caseload data'!$C:$C,'custody %'!$B$36,'caseload data'!$D:$D,"SPO",'caseload data'!$B:$B,"custody")/SUMIFS('caseload data'!O:O,'caseload data'!$B:$B,"custody",'caseload data'!$C:$C,'custody %'!$B$36),"")</f>
        <v/>
      </c>
      <c r="N41" s="209" t="str">
        <f>IFERROR(SUMIFS('caseload data'!P:P,'caseload data'!$C:$C,'custody %'!$B$36,'caseload data'!$D:$D,"SPO",'caseload data'!$B:$B,"custody")/SUMIFS('caseload data'!P:P,'caseload data'!$B:$B,"custody",'caseload data'!$C:$C,'custody %'!$B$36),"")</f>
        <v/>
      </c>
      <c r="O41" s="209" t="str">
        <f>IFERROR(SUMIFS('caseload data'!Q:Q,'caseload data'!$C:$C,'custody %'!$B$36,'caseload data'!$D:$D,"SPO",'caseload data'!$B:$B,"custody")/SUMIFS('caseload data'!Q:Q,'caseload data'!$B:$B,"custody",'caseload data'!$C:$C,'custody %'!$B$36),"")</f>
        <v/>
      </c>
      <c r="P41" s="209" t="str">
        <f>IFERROR(SUMIFS('caseload data'!R:R,'caseload data'!$C:$C,'custody %'!$B$36,'caseload data'!$D:$D,"SPO",'caseload data'!$B:$B,"custody")/SUMIFS('caseload data'!R:R,'caseload data'!$B:$B,"custody",'caseload data'!$C:$C,'custody %'!$B$36),"")</f>
        <v/>
      </c>
      <c r="Q41" s="209" t="str">
        <f>IFERROR(SUMIFS('caseload data'!S:S,'caseload data'!$C:$C,'custody %'!$B$36,'caseload data'!$D:$D,"SPO",'caseload data'!$B:$B,"custody")/SUMIFS('caseload data'!S:S,'caseload data'!$B:$B,"custody",'caseload data'!$C:$C,'custody %'!$B$36),"")</f>
        <v/>
      </c>
      <c r="R41" s="209" t="str">
        <f>IFERROR(SUMIFS('caseload data'!T:T,'caseload data'!$C:$C,'custody %'!$B$36,'caseload data'!$D:$D,"SPO",'caseload data'!$B:$B,"custody")/SUMIFS('caseload data'!T:T,'caseload data'!$B:$B,"custody",'caseload data'!$C:$C,'custody %'!$B$36),"")</f>
        <v/>
      </c>
      <c r="S41" s="95"/>
      <c r="T41" s="131" t="s">
        <v>187</v>
      </c>
      <c r="U41" s="209" t="str">
        <f>IFERROR(SUMIFS('caseload data'!E:E,'caseload data'!$C:$C,'custody %'!$T$36,'caseload data'!$D:$D,"SPO",'caseload data'!$B:$B,"custody")/SUMIFS('caseload data'!E:E,'caseload data'!$B:$B,"custody",'caseload data'!$C:$C,'custody %'!$T$36),"")</f>
        <v/>
      </c>
      <c r="V41" s="209" t="str">
        <f>IFERROR(SUMIFS('caseload data'!F:F,'caseload data'!$C:$C,'custody %'!$T$36,'caseload data'!$D:$D,"SPO",'caseload data'!$B:$B,"custody")/SUMIFS('caseload data'!F:F,'caseload data'!$B:$B,"custody",'caseload data'!$C:$C,'custody %'!$T$36),"")</f>
        <v/>
      </c>
      <c r="W41" s="209" t="str">
        <f>IFERROR(SUMIFS('caseload data'!G:G,'caseload data'!$C:$C,'custody %'!$T$36,'caseload data'!$D:$D,"SPO",'caseload data'!$B:$B,"custody")/SUMIFS('caseload data'!G:G,'caseload data'!$B:$B,"custody",'caseload data'!$C:$C,'custody %'!$T$36),"")</f>
        <v/>
      </c>
      <c r="X41" s="209" t="str">
        <f>IFERROR(SUMIFS('caseload data'!H:H,'caseload data'!$C:$C,'custody %'!$T$36,'caseload data'!$D:$D,"SPO",'caseload data'!$B:$B,"custody")/SUMIFS('caseload data'!H:H,'caseload data'!$B:$B,"custody",'caseload data'!$C:$C,'custody %'!$T$36),"")</f>
        <v/>
      </c>
      <c r="Y41" s="209" t="str">
        <f>IFERROR(SUMIFS('caseload data'!I:I,'caseload data'!$C:$C,'custody %'!$T$36,'caseload data'!$D:$D,"SPO",'caseload data'!$B:$B,"custody")/SUMIFS('caseload data'!I:I,'caseload data'!$B:$B,"custody",'caseload data'!$C:$C,'custody %'!$T$36),"")</f>
        <v/>
      </c>
      <c r="Z41" s="209" t="str">
        <f>IFERROR(SUMIFS('caseload data'!J:J,'caseload data'!$C:$C,'custody %'!$T$36,'caseload data'!$D:$D,"SPO",'caseload data'!$B:$B,"custody")/SUMIFS('caseload data'!J:J,'caseload data'!$B:$B,"custody",'caseload data'!$C:$C,'custody %'!$T$36),"")</f>
        <v/>
      </c>
      <c r="AA41" s="209" t="str">
        <f>IFERROR(SUMIFS('caseload data'!K:K,'caseload data'!$C:$C,'custody %'!$T$36,'caseload data'!$D:$D,"SPO",'caseload data'!$B:$B,"custody")/SUMIFS('caseload data'!K:K,'caseload data'!$B:$B,"custody",'caseload data'!$C:$C,'custody %'!$T$36),"")</f>
        <v/>
      </c>
      <c r="AB41" s="209" t="str">
        <f>IFERROR(SUMIFS('caseload data'!L:L,'caseload data'!$C:$C,'custody %'!$T$36,'caseload data'!$D:$D,"SPO",'caseload data'!$B:$B,"custody")/SUMIFS('caseload data'!L:L,'caseload data'!$B:$B,"custody",'caseload data'!$C:$C,'custody %'!$T$36),"")</f>
        <v/>
      </c>
      <c r="AC41" s="209" t="str">
        <f>IFERROR(SUMIFS('caseload data'!M:M,'caseload data'!$C:$C,'custody %'!$T$36,'caseload data'!$D:$D,"SPO",'caseload data'!$B:$B,"custody")/SUMIFS('caseload data'!M:M,'caseload data'!$B:$B,"custody",'caseload data'!$C:$C,'custody %'!$T$36),"")</f>
        <v/>
      </c>
      <c r="AD41" s="209" t="str">
        <f>IFERROR(SUMIFS('caseload data'!N:N,'caseload data'!$C:$C,'custody %'!$T$36,'caseload data'!$D:$D,"SPO",'caseload data'!$B:$B,"custody")/SUMIFS('caseload data'!N:N,'caseload data'!$B:$B,"custody",'caseload data'!$C:$C,'custody %'!$T$36),"")</f>
        <v/>
      </c>
      <c r="AE41" s="209" t="str">
        <f>IFERROR(SUMIFS('caseload data'!O:O,'caseload data'!$C:$C,'custody %'!$T$36,'caseload data'!$D:$D,"SPO",'caseload data'!$B:$B,"custody")/SUMIFS('caseload data'!O:O,'caseload data'!$B:$B,"custody",'caseload data'!$C:$C,'custody %'!$T$36),"")</f>
        <v/>
      </c>
      <c r="AF41" s="209" t="str">
        <f>IFERROR(SUMIFS('caseload data'!P:P,'caseload data'!$C:$C,'custody %'!$T$36,'caseload data'!$D:$D,"SPO",'caseload data'!$B:$B,"custody")/SUMIFS('caseload data'!P:P,'caseload data'!$B:$B,"custody",'caseload data'!$C:$C,'custody %'!$T$36),"")</f>
        <v/>
      </c>
      <c r="AG41" s="209" t="str">
        <f>IFERROR(SUMIFS('caseload data'!Q:Q,'caseload data'!$C:$C,'custody %'!$T$36,'caseload data'!$D:$D,"SPO",'caseload data'!$B:$B,"custody")/SUMIFS('caseload data'!Q:Q,'caseload data'!$B:$B,"custody",'caseload data'!$C:$C,'custody %'!$T$36),"")</f>
        <v/>
      </c>
      <c r="AH41" s="209" t="str">
        <f>IFERROR(SUMIFS('caseload data'!R:R,'caseload data'!$C:$C,'custody %'!$T$36,'caseload data'!$D:$D,"SPO",'caseload data'!$B:$B,"custody")/SUMIFS('caseload data'!R:R,'caseload data'!$B:$B,"custody",'caseload data'!$C:$C,'custody %'!$T$36),"")</f>
        <v/>
      </c>
      <c r="AI41" s="209"/>
      <c r="AJ41" s="209"/>
    </row>
    <row r="42" spans="2:36" x14ac:dyDescent="0.15">
      <c r="B42" s="183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183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</row>
    <row r="43" spans="2:36" ht="29.25" customHeight="1" x14ac:dyDescent="0.15">
      <c r="B43" s="182" t="str">
        <f>HLOOKUP($B$5,Region_Table,12,0)</f>
        <v>Greenwich and Bexley</v>
      </c>
      <c r="C43" s="359" t="s">
        <v>366</v>
      </c>
      <c r="D43" s="365"/>
      <c r="E43" s="365"/>
      <c r="F43" s="365"/>
      <c r="G43" s="365"/>
      <c r="H43" s="365"/>
      <c r="I43" s="365"/>
      <c r="J43" s="365"/>
      <c r="K43" s="365"/>
      <c r="L43" s="365"/>
      <c r="M43" s="368"/>
      <c r="N43" s="368"/>
      <c r="O43" s="369"/>
      <c r="P43" s="362">
        <f>SUMIF('caseload data'!$C:$C,'custody %'!B43,'caseload data'!V:V)</f>
        <v>0</v>
      </c>
      <c r="Q43" s="370"/>
      <c r="R43" s="371"/>
      <c r="S43" s="95"/>
      <c r="T43" s="182" t="str">
        <f>HLOOKUP($B$5,Region_Table,13,0)</f>
        <v>Hackney and City</v>
      </c>
      <c r="U43" s="359" t="s">
        <v>366</v>
      </c>
      <c r="V43" s="365"/>
      <c r="W43" s="365"/>
      <c r="X43" s="365"/>
      <c r="Y43" s="365"/>
      <c r="Z43" s="365"/>
      <c r="AA43" s="365"/>
      <c r="AB43" s="365"/>
      <c r="AC43" s="368"/>
      <c r="AD43" s="368"/>
      <c r="AE43" s="369"/>
      <c r="AF43" s="362">
        <f>SUMIF('caseload data'!$C:$C,'custody %'!T43,'caseload data'!V:V)</f>
        <v>0</v>
      </c>
      <c r="AG43" s="370"/>
      <c r="AH43" s="371"/>
    </row>
    <row r="44" spans="2:36" x14ac:dyDescent="0.15">
      <c r="B44" s="127" t="s">
        <v>324</v>
      </c>
      <c r="C44" s="58" t="s">
        <v>504</v>
      </c>
      <c r="D44" s="58" t="s">
        <v>503</v>
      </c>
      <c r="E44" s="58" t="s">
        <v>502</v>
      </c>
      <c r="F44" s="58" t="s">
        <v>501</v>
      </c>
      <c r="G44" s="58" t="s">
        <v>510</v>
      </c>
      <c r="H44" s="58" t="s">
        <v>176</v>
      </c>
      <c r="I44" s="58" t="s">
        <v>177</v>
      </c>
      <c r="J44" s="58" t="s">
        <v>505</v>
      </c>
      <c r="K44" s="58" t="s">
        <v>507</v>
      </c>
      <c r="L44" s="58" t="s">
        <v>178</v>
      </c>
      <c r="M44" s="58" t="s">
        <v>179</v>
      </c>
      <c r="N44" s="58" t="s">
        <v>506</v>
      </c>
      <c r="O44" s="58" t="s">
        <v>508</v>
      </c>
      <c r="P44" s="58" t="s">
        <v>180</v>
      </c>
      <c r="Q44" s="58" t="s">
        <v>181</v>
      </c>
      <c r="R44" s="58" t="s">
        <v>509</v>
      </c>
      <c r="S44" s="95"/>
      <c r="T44" s="127" t="s">
        <v>324</v>
      </c>
      <c r="U44" s="58" t="s">
        <v>504</v>
      </c>
      <c r="V44" s="58" t="s">
        <v>503</v>
      </c>
      <c r="W44" s="58" t="s">
        <v>502</v>
      </c>
      <c r="X44" s="58" t="s">
        <v>501</v>
      </c>
      <c r="Y44" s="58" t="s">
        <v>510</v>
      </c>
      <c r="Z44" s="58" t="s">
        <v>176</v>
      </c>
      <c r="AA44" s="58" t="s">
        <v>177</v>
      </c>
      <c r="AB44" s="58" t="s">
        <v>505</v>
      </c>
      <c r="AC44" s="58" t="s">
        <v>507</v>
      </c>
      <c r="AD44" s="58" t="s">
        <v>178</v>
      </c>
      <c r="AE44" s="58" t="s">
        <v>179</v>
      </c>
      <c r="AF44" s="58" t="s">
        <v>506</v>
      </c>
      <c r="AG44" s="58" t="s">
        <v>508</v>
      </c>
      <c r="AH44" s="58" t="s">
        <v>180</v>
      </c>
      <c r="AI44" s="58" t="s">
        <v>181</v>
      </c>
      <c r="AJ44" s="58" t="s">
        <v>509</v>
      </c>
    </row>
    <row r="45" spans="2:36" x14ac:dyDescent="0.15">
      <c r="B45" s="129" t="s">
        <v>184</v>
      </c>
      <c r="C45" s="209" t="str">
        <f>IFERROR(SUMIFS('caseload data'!E:E,'caseload data'!$C:$C,'custody %'!$B$43,'caseload data'!$D:$D,"PO",'caseload data'!$B:$B,"custody")/SUMIFS('caseload data'!E:E,'caseload data'!$B:$B,"custody",'caseload data'!$C:$C,'custody %'!$B$43),"")</f>
        <v/>
      </c>
      <c r="D45" s="209" t="str">
        <f>IFERROR(SUMIFS('caseload data'!F:F,'caseload data'!$C:$C,'custody %'!$B$43,'caseload data'!$D:$D,"PO",'caseload data'!$B:$B,"custody")/SUMIFS('caseload data'!F:F,'caseload data'!$B:$B,"custody",'caseload data'!$C:$C,'custody %'!$B$43),"")</f>
        <v/>
      </c>
      <c r="E45" s="209" t="str">
        <f>IFERROR(SUMIFS('caseload data'!G:G,'caseload data'!$C:$C,'custody %'!$B$43,'caseload data'!$D:$D,"PO",'caseload data'!$B:$B,"custody")/SUMIFS('caseload data'!G:G,'caseload data'!$B:$B,"custody",'caseload data'!$C:$C,'custody %'!$B$43),"")</f>
        <v/>
      </c>
      <c r="F45" s="209" t="str">
        <f>IFERROR(SUMIFS('caseload data'!H:H,'caseload data'!$C:$C,'custody %'!$B$43,'caseload data'!$D:$D,"PO",'caseload data'!$B:$B,"custody")/SUMIFS('caseload data'!H:H,'caseload data'!$B:$B,"custody",'caseload data'!$C:$C,'custody %'!$B$43),"")</f>
        <v/>
      </c>
      <c r="G45" s="209" t="str">
        <f>IFERROR(SUMIFS('caseload data'!I:I,'caseload data'!$C:$C,'custody %'!$B$43,'caseload data'!$D:$D,"PO",'caseload data'!$B:$B,"custody")/SUMIFS('caseload data'!I:I,'caseload data'!$B:$B,"custody",'caseload data'!$C:$C,'custody %'!$B$43),"")</f>
        <v/>
      </c>
      <c r="H45" s="209" t="str">
        <f>IFERROR(SUMIFS('caseload data'!J:J,'caseload data'!$C:$C,'custody %'!$B$43,'caseload data'!$D:$D,"PO",'caseload data'!$B:$B,"custody")/SUMIFS('caseload data'!J:J,'caseload data'!$B:$B,"custody",'caseload data'!$C:$C,'custody %'!$B$43),"")</f>
        <v/>
      </c>
      <c r="I45" s="209" t="str">
        <f>IFERROR(SUMIFS('caseload data'!K:K,'caseload data'!$C:$C,'custody %'!$B$43,'caseload data'!$D:$D,"PO",'caseload data'!$B:$B,"custody")/SUMIFS('caseload data'!K:K,'caseload data'!$B:$B,"custody",'caseload data'!$C:$C,'custody %'!$B$43),"")</f>
        <v/>
      </c>
      <c r="J45" s="209" t="str">
        <f>IFERROR(SUMIFS('caseload data'!L:L,'caseload data'!$C:$C,'custody %'!$B$43,'caseload data'!$D:$D,"PO",'caseload data'!$B:$B,"custody")/SUMIFS('caseload data'!L:L,'caseload data'!$B:$B,"custody",'caseload data'!$C:$C,'custody %'!$B$43),"")</f>
        <v/>
      </c>
      <c r="K45" s="209" t="str">
        <f>IFERROR(SUMIFS('caseload data'!M:M,'caseload data'!$C:$C,'custody %'!$B$43,'caseload data'!$D:$D,"PO",'caseload data'!$B:$B,"custody")/SUMIFS('caseload data'!M:M,'caseload data'!$B:$B,"custody",'caseload data'!$C:$C,'custody %'!$B$43),"")</f>
        <v/>
      </c>
      <c r="L45" s="209" t="str">
        <f>IFERROR(SUMIFS('caseload data'!N:N,'caseload data'!$C:$C,'custody %'!$B$43,'caseload data'!$D:$D,"PO",'caseload data'!$B:$B,"custody")/SUMIFS('caseload data'!N:N,'caseload data'!$B:$B,"custody",'caseload data'!$C:$C,'custody %'!$B$43),"")</f>
        <v/>
      </c>
      <c r="M45" s="209" t="str">
        <f>IFERROR(SUMIFS('caseload data'!O:O,'caseload data'!$C:$C,'custody %'!$B$43,'caseload data'!$D:$D,"PO",'caseload data'!$B:$B,"custody")/SUMIFS('caseload data'!O:O,'caseload data'!$B:$B,"custody",'caseload data'!$C:$C,'custody %'!$B$43),"")</f>
        <v/>
      </c>
      <c r="N45" s="209" t="str">
        <f>IFERROR(SUMIFS('caseload data'!P:P,'caseload data'!$C:$C,'custody %'!$B$43,'caseload data'!$D:$D,"PO",'caseload data'!$B:$B,"custody")/SUMIFS('caseload data'!P:P,'caseload data'!$B:$B,"custody",'caseload data'!$C:$C,'custody %'!$B$43),"")</f>
        <v/>
      </c>
      <c r="O45" s="209" t="str">
        <f>IFERROR(SUMIFS('caseload data'!Q:Q,'caseload data'!$C:$C,'custody %'!$B$43,'caseload data'!$D:$D,"PO",'caseload data'!$B:$B,"custody")/SUMIFS('caseload data'!Q:Q,'caseload data'!$B:$B,"custody",'caseload data'!$C:$C,'custody %'!$B$43),"")</f>
        <v/>
      </c>
      <c r="P45" s="209" t="str">
        <f>IFERROR(SUMIFS('caseload data'!R:R,'caseload data'!$C:$C,'custody %'!$B$43,'caseload data'!$D:$D,"PO",'caseload data'!$B:$B,"custody")/SUMIFS('caseload data'!R:R,'caseload data'!$B:$B,"custody",'caseload data'!$C:$C,'custody %'!$B$43),"")</f>
        <v/>
      </c>
      <c r="Q45" s="209" t="str">
        <f>IFERROR(SUMIFS('caseload data'!S:S,'caseload data'!$C:$C,'custody %'!$B$43,'caseload data'!$D:$D,"PO",'caseload data'!$B:$B,"custody")/SUMIFS('caseload data'!S:S,'caseload data'!$B:$B,"custody",'caseload data'!$C:$C,'custody %'!$B$43),"")</f>
        <v/>
      </c>
      <c r="R45" s="209" t="str">
        <f>IFERROR(SUMIFS('caseload data'!T:T,'caseload data'!$C:$C,'custody %'!$B$43,'caseload data'!$D:$D,"PO",'caseload data'!$B:$B,"custody")/SUMIFS('caseload data'!T:T,'caseload data'!$B:$B,"custody",'caseload data'!$C:$C,'custody %'!$B$43),"")</f>
        <v/>
      </c>
      <c r="S45" s="95"/>
      <c r="T45" s="129" t="s">
        <v>184</v>
      </c>
      <c r="U45" s="209" t="str">
        <f>IFERROR(SUMIFS('caseload data'!E:E,'caseload data'!$C:$C,'custody %'!$T$43,'caseload data'!$D:$D,"PO",'caseload data'!$B:$B,"custody")/SUMIFS('caseload data'!E:E,'caseload data'!$B:$B,"custody",'caseload data'!$C:$C,'custody %'!$T$43),"")</f>
        <v/>
      </c>
      <c r="V45" s="209" t="str">
        <f>IFERROR(SUMIFS('caseload data'!F:F,'caseload data'!$C:$C,'custody %'!$T$43,'caseload data'!$D:$D,"PO",'caseload data'!$B:$B,"custody")/SUMIFS('caseload data'!F:F,'caseload data'!$B:$B,"custody",'caseload data'!$C:$C,'custody %'!$T$43),"")</f>
        <v/>
      </c>
      <c r="W45" s="209" t="str">
        <f>IFERROR(SUMIFS('caseload data'!G:G,'caseload data'!$C:$C,'custody %'!$T$43,'caseload data'!$D:$D,"PO",'caseload data'!$B:$B,"custody")/SUMIFS('caseload data'!G:G,'caseload data'!$B:$B,"custody",'caseload data'!$C:$C,'custody %'!$T$43),"")</f>
        <v/>
      </c>
      <c r="X45" s="209" t="str">
        <f>IFERROR(SUMIFS('caseload data'!H:H,'caseload data'!$C:$C,'custody %'!$T$43,'caseload data'!$D:$D,"PO",'caseload data'!$B:$B,"custody")/SUMIFS('caseload data'!H:H,'caseload data'!$B:$B,"custody",'caseload data'!$C:$C,'custody %'!$T$43),"")</f>
        <v/>
      </c>
      <c r="Y45" s="209" t="str">
        <f>IFERROR(SUMIFS('caseload data'!I:I,'caseload data'!$C:$C,'custody %'!$T$43,'caseload data'!$D:$D,"PO",'caseload data'!$B:$B,"custody")/SUMIFS('caseload data'!I:I,'caseload data'!$B:$B,"custody",'caseload data'!$C:$C,'custody %'!$T$43),"")</f>
        <v/>
      </c>
      <c r="Z45" s="209" t="str">
        <f>IFERROR(SUMIFS('caseload data'!J:J,'caseload data'!$C:$C,'custody %'!$T$43,'caseload data'!$D:$D,"PO",'caseload data'!$B:$B,"custody")/SUMIFS('caseload data'!J:J,'caseload data'!$B:$B,"custody",'caseload data'!$C:$C,'custody %'!$T$43),"")</f>
        <v/>
      </c>
      <c r="AA45" s="209" t="str">
        <f>IFERROR(SUMIFS('caseload data'!K:K,'caseload data'!$C:$C,'custody %'!$T$43,'caseload data'!$D:$D,"PO",'caseload data'!$B:$B,"custody")/SUMIFS('caseload data'!K:K,'caseload data'!$B:$B,"custody",'caseload data'!$C:$C,'custody %'!$T$43),"")</f>
        <v/>
      </c>
      <c r="AB45" s="209" t="str">
        <f>IFERROR(SUMIFS('caseload data'!L:L,'caseload data'!$C:$C,'custody %'!$T$43,'caseload data'!$D:$D,"PO",'caseload data'!$B:$B,"custody")/SUMIFS('caseload data'!L:L,'caseload data'!$B:$B,"custody",'caseload data'!$C:$C,'custody %'!$T$43),"")</f>
        <v/>
      </c>
      <c r="AC45" s="209" t="str">
        <f>IFERROR(SUMIFS('caseload data'!M:M,'caseload data'!$C:$C,'custody %'!$T$43,'caseload data'!$D:$D,"PO",'caseload data'!$B:$B,"custody")/SUMIFS('caseload data'!M:M,'caseload data'!$B:$B,"custody",'caseload data'!$C:$C,'custody %'!$T$43),"")</f>
        <v/>
      </c>
      <c r="AD45" s="209" t="str">
        <f>IFERROR(SUMIFS('caseload data'!N:N,'caseload data'!$C:$C,'custody %'!$T$43,'caseload data'!$D:$D,"PO",'caseload data'!$B:$B,"custody")/SUMIFS('caseload data'!N:N,'caseload data'!$B:$B,"custody",'caseload data'!$C:$C,'custody %'!$T$43),"")</f>
        <v/>
      </c>
      <c r="AE45" s="209" t="str">
        <f>IFERROR(SUMIFS('caseload data'!O:O,'caseload data'!$C:$C,'custody %'!$T$43,'caseload data'!$D:$D,"PO",'caseload data'!$B:$B,"custody")/SUMIFS('caseload data'!O:O,'caseload data'!$B:$B,"custody",'caseload data'!$C:$C,'custody %'!$T$43),"")</f>
        <v/>
      </c>
      <c r="AF45" s="209" t="str">
        <f>IFERROR(SUMIFS('caseload data'!P:P,'caseload data'!$C:$C,'custody %'!$T$43,'caseload data'!$D:$D,"PO",'caseload data'!$B:$B,"custody")/SUMIFS('caseload data'!P:P,'caseload data'!$B:$B,"custody",'caseload data'!$C:$C,'custody %'!$T$43),"")</f>
        <v/>
      </c>
      <c r="AG45" s="209" t="str">
        <f>IFERROR(SUMIFS('caseload data'!Q:Q,'caseload data'!$C:$C,'custody %'!$T$43,'caseload data'!$D:$D,"PO",'caseload data'!$B:$B,"custody")/SUMIFS('caseload data'!Q:Q,'caseload data'!$B:$B,"custody",'caseload data'!$C:$C,'custody %'!$T$43),"")</f>
        <v/>
      </c>
      <c r="AH45" s="209" t="str">
        <f>IFERROR(SUMIFS('caseload data'!R:R,'caseload data'!$C:$C,'custody %'!$T$43,'caseload data'!$D:$D,"PO",'caseload data'!$B:$B,"custody")/SUMIFS('caseload data'!R:R,'caseload data'!$B:$B,"custody",'caseload data'!$C:$C,'custody %'!$T$43),"")</f>
        <v/>
      </c>
      <c r="AI45" s="209"/>
      <c r="AJ45" s="209"/>
    </row>
    <row r="46" spans="2:36" x14ac:dyDescent="0.15">
      <c r="B46" s="130" t="s">
        <v>185</v>
      </c>
      <c r="C46" s="209" t="str">
        <f>IFERROR(SUMIFS('caseload data'!E:E,'caseload data'!$C:$C,'custody %'!$B$43,'caseload data'!$D:$D,"PSO",'caseload data'!$B:$B,"custody")/SUMIFS('caseload data'!E:E,'caseload data'!$B:$B,"custody",'caseload data'!$C:$C,'custody %'!$B$43),"")</f>
        <v/>
      </c>
      <c r="D46" s="209" t="str">
        <f>IFERROR(SUMIFS('caseload data'!F:F,'caseload data'!$C:$C,'custody %'!$B$43,'caseload data'!$D:$D,"PSO",'caseload data'!$B:$B,"custody")/SUMIFS('caseload data'!F:F,'caseload data'!$B:$B,"custody",'caseload data'!$C:$C,'custody %'!$B$43),"")</f>
        <v/>
      </c>
      <c r="E46" s="209" t="str">
        <f>IFERROR(SUMIFS('caseload data'!G:G,'caseload data'!$C:$C,'custody %'!$B$43,'caseload data'!$D:$D,"PSO",'caseload data'!$B:$B,"custody")/SUMIFS('caseload data'!G:G,'caseload data'!$B:$B,"custody",'caseload data'!$C:$C,'custody %'!$B$43),"")</f>
        <v/>
      </c>
      <c r="F46" s="209" t="str">
        <f>IFERROR(SUMIFS('caseload data'!H:H,'caseload data'!$C:$C,'custody %'!$B$43,'caseload data'!$D:$D,"PSO",'caseload data'!$B:$B,"custody")/SUMIFS('caseload data'!H:H,'caseload data'!$B:$B,"custody",'caseload data'!$C:$C,'custody %'!$B$43),"")</f>
        <v/>
      </c>
      <c r="G46" s="209" t="str">
        <f>IFERROR(SUMIFS('caseload data'!I:I,'caseload data'!$C:$C,'custody %'!$B$43,'caseload data'!$D:$D,"PSO",'caseload data'!$B:$B,"custody")/SUMIFS('caseload data'!I:I,'caseload data'!$B:$B,"custody",'caseload data'!$C:$C,'custody %'!$B$43),"")</f>
        <v/>
      </c>
      <c r="H46" s="209" t="str">
        <f>IFERROR(SUMIFS('caseload data'!J:J,'caseload data'!$C:$C,'custody %'!$B$43,'caseload data'!$D:$D,"PSO",'caseload data'!$B:$B,"custody")/SUMIFS('caseload data'!J:J,'caseload data'!$B:$B,"custody",'caseload data'!$C:$C,'custody %'!$B$43),"")</f>
        <v/>
      </c>
      <c r="I46" s="209" t="str">
        <f>IFERROR(SUMIFS('caseload data'!K:K,'caseload data'!$C:$C,'custody %'!$B$43,'caseload data'!$D:$D,"PSO",'caseload data'!$B:$B,"custody")/SUMIFS('caseload data'!K:K,'caseload data'!$B:$B,"custody",'caseload data'!$C:$C,'custody %'!$B$43),"")</f>
        <v/>
      </c>
      <c r="J46" s="209" t="str">
        <f>IFERROR(SUMIFS('caseload data'!L:L,'caseload data'!$C:$C,'custody %'!$B$43,'caseload data'!$D:$D,"PSO",'caseload data'!$B:$B,"custody")/SUMIFS('caseload data'!L:L,'caseload data'!$B:$B,"custody",'caseload data'!$C:$C,'custody %'!$B$43),"")</f>
        <v/>
      </c>
      <c r="K46" s="209" t="str">
        <f>IFERROR(SUMIFS('caseload data'!M:M,'caseload data'!$C:$C,'custody %'!$B$43,'caseload data'!$D:$D,"PSO",'caseload data'!$B:$B,"custody")/SUMIFS('caseload data'!M:M,'caseload data'!$B:$B,"custody",'caseload data'!$C:$C,'custody %'!$B$43),"")</f>
        <v/>
      </c>
      <c r="L46" s="209" t="str">
        <f>IFERROR(SUMIFS('caseload data'!N:N,'caseload data'!$C:$C,'custody %'!$B$43,'caseload data'!$D:$D,"PSO",'caseload data'!$B:$B,"custody")/SUMIFS('caseload data'!N:N,'caseload data'!$B:$B,"custody",'caseload data'!$C:$C,'custody %'!$B$43),"")</f>
        <v/>
      </c>
      <c r="M46" s="209" t="str">
        <f>IFERROR(SUMIFS('caseload data'!O:O,'caseload data'!$C:$C,'custody %'!$B$43,'caseload data'!$D:$D,"PSO",'caseload data'!$B:$B,"custody")/SUMIFS('caseload data'!O:O,'caseload data'!$B:$B,"custody",'caseload data'!$C:$C,'custody %'!$B$43),"")</f>
        <v/>
      </c>
      <c r="N46" s="209" t="str">
        <f>IFERROR(SUMIFS('caseload data'!P:P,'caseload data'!$C:$C,'custody %'!$B$43,'caseload data'!$D:$D,"PSO",'caseload data'!$B:$B,"custody")/SUMIFS('caseload data'!P:P,'caseload data'!$B:$B,"custody",'caseload data'!$C:$C,'custody %'!$B$43),"")</f>
        <v/>
      </c>
      <c r="O46" s="209" t="str">
        <f>IFERROR(SUMIFS('caseload data'!Q:Q,'caseload data'!$C:$C,'custody %'!$B$43,'caseload data'!$D:$D,"PSO",'caseload data'!$B:$B,"custody")/SUMIFS('caseload data'!Q:Q,'caseload data'!$B:$B,"custody",'caseload data'!$C:$C,'custody %'!$B$43),"")</f>
        <v/>
      </c>
      <c r="P46" s="209" t="str">
        <f>IFERROR(SUMIFS('caseload data'!R:R,'caseload data'!$C:$C,'custody %'!$B$43,'caseload data'!$D:$D,"PSO",'caseload data'!$B:$B,"custody")/SUMIFS('caseload data'!R:R,'caseload data'!$B:$B,"custody",'caseload data'!$C:$C,'custody %'!$B$43),"")</f>
        <v/>
      </c>
      <c r="Q46" s="209" t="str">
        <f>IFERROR(SUMIFS('caseload data'!S:S,'caseload data'!$C:$C,'custody %'!$B$43,'caseload data'!$D:$D,"PSO",'caseload data'!$B:$B,"custody")/SUMIFS('caseload data'!S:S,'caseload data'!$B:$B,"custody",'caseload data'!$C:$C,'custody %'!$B$43),"")</f>
        <v/>
      </c>
      <c r="R46" s="209" t="str">
        <f>IFERROR(SUMIFS('caseload data'!T:T,'caseload data'!$C:$C,'custody %'!$B$43,'caseload data'!$D:$D,"PSO",'caseload data'!$B:$B,"custody")/SUMIFS('caseload data'!T:T,'caseload data'!$B:$B,"custody",'caseload data'!$C:$C,'custody %'!$B$43),"")</f>
        <v/>
      </c>
      <c r="S46" s="95"/>
      <c r="T46" s="130" t="s">
        <v>185</v>
      </c>
      <c r="U46" s="209" t="str">
        <f>IFERROR(SUMIFS('caseload data'!E:E,'caseload data'!$C:$C,'custody %'!$T$43,'caseload data'!$D:$D,"PSO",'caseload data'!$B:$B,"custody")/SUMIFS('caseload data'!E:E,'caseload data'!$B:$B,"custody",'caseload data'!$C:$C,'custody %'!$T$43),"")</f>
        <v/>
      </c>
      <c r="V46" s="209" t="str">
        <f>IFERROR(SUMIFS('caseload data'!F:F,'caseload data'!$C:$C,'custody %'!$T$43,'caseload data'!$D:$D,"PSO",'caseload data'!$B:$B,"custody")/SUMIFS('caseload data'!F:F,'caseload data'!$B:$B,"custody",'caseload data'!$C:$C,'custody %'!$T$43),"")</f>
        <v/>
      </c>
      <c r="W46" s="209" t="str">
        <f>IFERROR(SUMIFS('caseload data'!G:G,'caseload data'!$C:$C,'custody %'!$T$43,'caseload data'!$D:$D,"PSO",'caseload data'!$B:$B,"custody")/SUMIFS('caseload data'!G:G,'caseload data'!$B:$B,"custody",'caseload data'!$C:$C,'custody %'!$T$43),"")</f>
        <v/>
      </c>
      <c r="X46" s="209" t="str">
        <f>IFERROR(SUMIFS('caseload data'!H:H,'caseload data'!$C:$C,'custody %'!$T$43,'caseload data'!$D:$D,"PSO",'caseload data'!$B:$B,"custody")/SUMIFS('caseload data'!H:H,'caseload data'!$B:$B,"custody",'caseload data'!$C:$C,'custody %'!$T$43),"")</f>
        <v/>
      </c>
      <c r="Y46" s="209" t="str">
        <f>IFERROR(SUMIFS('caseload data'!I:I,'caseload data'!$C:$C,'custody %'!$T$43,'caseload data'!$D:$D,"PSO",'caseload data'!$B:$B,"custody")/SUMIFS('caseload data'!I:I,'caseload data'!$B:$B,"custody",'caseload data'!$C:$C,'custody %'!$T$43),"")</f>
        <v/>
      </c>
      <c r="Z46" s="209" t="str">
        <f>IFERROR(SUMIFS('caseload data'!J:J,'caseload data'!$C:$C,'custody %'!$T$43,'caseload data'!$D:$D,"PSO",'caseload data'!$B:$B,"custody")/SUMIFS('caseload data'!J:J,'caseload data'!$B:$B,"custody",'caseload data'!$C:$C,'custody %'!$T$43),"")</f>
        <v/>
      </c>
      <c r="AA46" s="209" t="str">
        <f>IFERROR(SUMIFS('caseload data'!K:K,'caseload data'!$C:$C,'custody %'!$T$43,'caseload data'!$D:$D,"PSO",'caseload data'!$B:$B,"custody")/SUMIFS('caseload data'!K:K,'caseload data'!$B:$B,"custody",'caseload data'!$C:$C,'custody %'!$T$43),"")</f>
        <v/>
      </c>
      <c r="AB46" s="209" t="str">
        <f>IFERROR(SUMIFS('caseload data'!L:L,'caseload data'!$C:$C,'custody %'!$T$43,'caseload data'!$D:$D,"PSO",'caseload data'!$B:$B,"custody")/SUMIFS('caseload data'!L:L,'caseload data'!$B:$B,"custody",'caseload data'!$C:$C,'custody %'!$T$43),"")</f>
        <v/>
      </c>
      <c r="AC46" s="209" t="str">
        <f>IFERROR(SUMIFS('caseload data'!M:M,'caseload data'!$C:$C,'custody %'!$T$43,'caseload data'!$D:$D,"PSO",'caseload data'!$B:$B,"custody")/SUMIFS('caseload data'!M:M,'caseload data'!$B:$B,"custody",'caseload data'!$C:$C,'custody %'!$T$43),"")</f>
        <v/>
      </c>
      <c r="AD46" s="209" t="str">
        <f>IFERROR(SUMIFS('caseload data'!N:N,'caseload data'!$C:$C,'custody %'!$T$43,'caseload data'!$D:$D,"PSO",'caseload data'!$B:$B,"custody")/SUMIFS('caseload data'!N:N,'caseload data'!$B:$B,"custody",'caseload data'!$C:$C,'custody %'!$T$43),"")</f>
        <v/>
      </c>
      <c r="AE46" s="209" t="str">
        <f>IFERROR(SUMIFS('caseload data'!O:O,'caseload data'!$C:$C,'custody %'!$T$43,'caseload data'!$D:$D,"PSO",'caseload data'!$B:$B,"custody")/SUMIFS('caseload data'!O:O,'caseload data'!$B:$B,"custody",'caseload data'!$C:$C,'custody %'!$T$43),"")</f>
        <v/>
      </c>
      <c r="AF46" s="209" t="str">
        <f>IFERROR(SUMIFS('caseload data'!P:P,'caseload data'!$C:$C,'custody %'!$T$43,'caseload data'!$D:$D,"PSO",'caseload data'!$B:$B,"custody")/SUMIFS('caseload data'!P:P,'caseload data'!$B:$B,"custody",'caseload data'!$C:$C,'custody %'!$T$43),"")</f>
        <v/>
      </c>
      <c r="AG46" s="209" t="str">
        <f>IFERROR(SUMIFS('caseload data'!Q:Q,'caseload data'!$C:$C,'custody %'!$T$43,'caseload data'!$D:$D,"PSO",'caseload data'!$B:$B,"custody")/SUMIFS('caseload data'!Q:Q,'caseload data'!$B:$B,"custody",'caseload data'!$C:$C,'custody %'!$T$43),"")</f>
        <v/>
      </c>
      <c r="AH46" s="209" t="str">
        <f>IFERROR(SUMIFS('caseload data'!R:R,'caseload data'!$C:$C,'custody %'!$T$43,'caseload data'!$D:$D,"PSO",'caseload data'!$B:$B,"custody")/SUMIFS('caseload data'!R:R,'caseload data'!$B:$B,"custody",'caseload data'!$C:$C,'custody %'!$T$43),"")</f>
        <v/>
      </c>
      <c r="AI46" s="209"/>
      <c r="AJ46" s="209"/>
    </row>
    <row r="47" spans="2:36" x14ac:dyDescent="0.15">
      <c r="B47" s="130" t="s">
        <v>186</v>
      </c>
      <c r="C47" s="209" t="str">
        <f>IFERROR(SUMIFS('caseload data'!E:E,'caseload data'!$C:$C,'custody %'!$B$43,'caseload data'!$D:$D,"TPO",'caseload data'!$B:$B,"custody")/SUMIFS('caseload data'!E:E,'caseload data'!$B:$B,"custody",'caseload data'!$C:$C,'custody %'!$B$43),"")</f>
        <v/>
      </c>
      <c r="D47" s="209" t="str">
        <f>IFERROR(SUMIFS('caseload data'!F:F,'caseload data'!$C:$C,'custody %'!$B$43,'caseload data'!$D:$D,"TPO",'caseload data'!$B:$B,"custody")/SUMIFS('caseload data'!F:F,'caseload data'!$B:$B,"custody",'caseload data'!$C:$C,'custody %'!$B$43),"")</f>
        <v/>
      </c>
      <c r="E47" s="209" t="str">
        <f>IFERROR(SUMIFS('caseload data'!G:G,'caseload data'!$C:$C,'custody %'!$B$43,'caseload data'!$D:$D,"TPO",'caseload data'!$B:$B,"custody")/SUMIFS('caseload data'!G:G,'caseload data'!$B:$B,"custody",'caseload data'!$C:$C,'custody %'!$B$43),"")</f>
        <v/>
      </c>
      <c r="F47" s="209" t="str">
        <f>IFERROR(SUMIFS('caseload data'!H:H,'caseload data'!$C:$C,'custody %'!$B$43,'caseload data'!$D:$D,"TPO",'caseload data'!$B:$B,"custody")/SUMIFS('caseload data'!H:H,'caseload data'!$B:$B,"custody",'caseload data'!$C:$C,'custody %'!$B$43),"")</f>
        <v/>
      </c>
      <c r="G47" s="209" t="str">
        <f>IFERROR(SUMIFS('caseload data'!I:I,'caseload data'!$C:$C,'custody %'!$B$43,'caseload data'!$D:$D,"TPO",'caseload data'!$B:$B,"custody")/SUMIFS('caseload data'!I:I,'caseload data'!$B:$B,"custody",'caseload data'!$C:$C,'custody %'!$B$43),"")</f>
        <v/>
      </c>
      <c r="H47" s="209" t="str">
        <f>IFERROR(SUMIFS('caseload data'!J:J,'caseload data'!$C:$C,'custody %'!$B$43,'caseload data'!$D:$D,"TPO",'caseload data'!$B:$B,"custody")/SUMIFS('caseload data'!J:J,'caseload data'!$B:$B,"custody",'caseload data'!$C:$C,'custody %'!$B$43),"")</f>
        <v/>
      </c>
      <c r="I47" s="209" t="str">
        <f>IFERROR(SUMIFS('caseload data'!K:K,'caseload data'!$C:$C,'custody %'!$B$43,'caseload data'!$D:$D,"TPO",'caseload data'!$B:$B,"custody")/SUMIFS('caseload data'!K:K,'caseload data'!$B:$B,"custody",'caseload data'!$C:$C,'custody %'!$B$43),"")</f>
        <v/>
      </c>
      <c r="J47" s="209" t="str">
        <f>IFERROR(SUMIFS('caseload data'!L:L,'caseload data'!$C:$C,'custody %'!$B$43,'caseload data'!$D:$D,"TPO",'caseload data'!$B:$B,"custody")/SUMIFS('caseload data'!L:L,'caseload data'!$B:$B,"custody",'caseload data'!$C:$C,'custody %'!$B$43),"")</f>
        <v/>
      </c>
      <c r="K47" s="209" t="str">
        <f>IFERROR(SUMIFS('caseload data'!M:M,'caseload data'!$C:$C,'custody %'!$B$43,'caseload data'!$D:$D,"TPO",'caseload data'!$B:$B,"custody")/SUMIFS('caseload data'!M:M,'caseload data'!$B:$B,"custody",'caseload data'!$C:$C,'custody %'!$B$43),"")</f>
        <v/>
      </c>
      <c r="L47" s="209" t="str">
        <f>IFERROR(SUMIFS('caseload data'!N:N,'caseload data'!$C:$C,'custody %'!$B$43,'caseload data'!$D:$D,"TPO",'caseload data'!$B:$B,"custody")/SUMIFS('caseload data'!N:N,'caseload data'!$B:$B,"custody",'caseload data'!$C:$C,'custody %'!$B$43),"")</f>
        <v/>
      </c>
      <c r="M47" s="209" t="str">
        <f>IFERROR(SUMIFS('caseload data'!O:O,'caseload data'!$C:$C,'custody %'!$B$43,'caseload data'!$D:$D,"TPO",'caseload data'!$B:$B,"custody")/SUMIFS('caseload data'!O:O,'caseload data'!$B:$B,"custody",'caseload data'!$C:$C,'custody %'!$B$43),"")</f>
        <v/>
      </c>
      <c r="N47" s="209" t="str">
        <f>IFERROR(SUMIFS('caseload data'!P:P,'caseload data'!$C:$C,'custody %'!$B$43,'caseload data'!$D:$D,"TPO",'caseload data'!$B:$B,"custody")/SUMIFS('caseload data'!P:P,'caseload data'!$B:$B,"custody",'caseload data'!$C:$C,'custody %'!$B$43),"")</f>
        <v/>
      </c>
      <c r="O47" s="209" t="str">
        <f>IFERROR(SUMIFS('caseload data'!Q:Q,'caseload data'!$C:$C,'custody %'!$B$43,'caseload data'!$D:$D,"TPO",'caseload data'!$B:$B,"custody")/SUMIFS('caseload data'!Q:Q,'caseload data'!$B:$B,"custody",'caseload data'!$C:$C,'custody %'!$B$43),"")</f>
        <v/>
      </c>
      <c r="P47" s="209" t="str">
        <f>IFERROR(SUMIFS('caseload data'!R:R,'caseload data'!$C:$C,'custody %'!$B$43,'caseload data'!$D:$D,"TPO",'caseload data'!$B:$B,"custody")/SUMIFS('caseload data'!R:R,'caseload data'!$B:$B,"custody",'caseload data'!$C:$C,'custody %'!$B$43),"")</f>
        <v/>
      </c>
      <c r="Q47" s="209" t="str">
        <f>IFERROR(SUMIFS('caseload data'!S:S,'caseload data'!$C:$C,'custody %'!$B$43,'caseload data'!$D:$D,"TPO",'caseload data'!$B:$B,"custody")/SUMIFS('caseload data'!S:S,'caseload data'!$B:$B,"custody",'caseload data'!$C:$C,'custody %'!$B$43),"")</f>
        <v/>
      </c>
      <c r="R47" s="209" t="str">
        <f>IFERROR(SUMIFS('caseload data'!T:T,'caseload data'!$C:$C,'custody %'!$B$43,'caseload data'!$D:$D,"TPO",'caseload data'!$B:$B,"custody")/SUMIFS('caseload data'!T:T,'caseload data'!$B:$B,"custody",'caseload data'!$C:$C,'custody %'!$B$43),"")</f>
        <v/>
      </c>
      <c r="S47" s="95"/>
      <c r="T47" s="130" t="s">
        <v>186</v>
      </c>
      <c r="U47" s="209" t="str">
        <f>IFERROR(SUMIFS('caseload data'!E:E,'caseload data'!$C:$C,'custody %'!$T$43,'caseload data'!$D:$D,"TPO",'caseload data'!$B:$B,"custody")/SUMIFS('caseload data'!E:E,'caseload data'!$B:$B,"custody",'caseload data'!$C:$C,'custody %'!$T$43),"")</f>
        <v/>
      </c>
      <c r="V47" s="209" t="str">
        <f>IFERROR(SUMIFS('caseload data'!F:F,'caseload data'!$C:$C,'custody %'!$T$43,'caseload data'!$D:$D,"TPO",'caseload data'!$B:$B,"custody")/SUMIFS('caseload data'!F:F,'caseload data'!$B:$B,"custody",'caseload data'!$C:$C,'custody %'!$T$43),"")</f>
        <v/>
      </c>
      <c r="W47" s="209" t="str">
        <f>IFERROR(SUMIFS('caseload data'!G:G,'caseload data'!$C:$C,'custody %'!$T$43,'caseload data'!$D:$D,"TPO",'caseload data'!$B:$B,"custody")/SUMIFS('caseload data'!G:G,'caseload data'!$B:$B,"custody",'caseload data'!$C:$C,'custody %'!$T$43),"")</f>
        <v/>
      </c>
      <c r="X47" s="209" t="str">
        <f>IFERROR(SUMIFS('caseload data'!H:H,'caseload data'!$C:$C,'custody %'!$T$43,'caseload data'!$D:$D,"TPO",'caseload data'!$B:$B,"custody")/SUMIFS('caseload data'!H:H,'caseload data'!$B:$B,"custody",'caseload data'!$C:$C,'custody %'!$T$43),"")</f>
        <v/>
      </c>
      <c r="Y47" s="209" t="str">
        <f>IFERROR(SUMIFS('caseload data'!I:I,'caseload data'!$C:$C,'custody %'!$T$43,'caseload data'!$D:$D,"TPO",'caseload data'!$B:$B,"custody")/SUMIFS('caseload data'!I:I,'caseload data'!$B:$B,"custody",'caseload data'!$C:$C,'custody %'!$T$43),"")</f>
        <v/>
      </c>
      <c r="Z47" s="209" t="str">
        <f>IFERROR(SUMIFS('caseload data'!J:J,'caseload data'!$C:$C,'custody %'!$T$43,'caseload data'!$D:$D,"TPO",'caseload data'!$B:$B,"custody")/SUMIFS('caseload data'!J:J,'caseload data'!$B:$B,"custody",'caseload data'!$C:$C,'custody %'!$T$43),"")</f>
        <v/>
      </c>
      <c r="AA47" s="209" t="str">
        <f>IFERROR(SUMIFS('caseload data'!K:K,'caseload data'!$C:$C,'custody %'!$T$43,'caseload data'!$D:$D,"TPO",'caseload data'!$B:$B,"custody")/SUMIFS('caseload data'!K:K,'caseload data'!$B:$B,"custody",'caseload data'!$C:$C,'custody %'!$T$43),"")</f>
        <v/>
      </c>
      <c r="AB47" s="209" t="str">
        <f>IFERROR(SUMIFS('caseload data'!L:L,'caseload data'!$C:$C,'custody %'!$T$43,'caseload data'!$D:$D,"TPO",'caseload data'!$B:$B,"custody")/SUMIFS('caseload data'!L:L,'caseload data'!$B:$B,"custody",'caseload data'!$C:$C,'custody %'!$T$43),"")</f>
        <v/>
      </c>
      <c r="AC47" s="209" t="str">
        <f>IFERROR(SUMIFS('caseload data'!M:M,'caseload data'!$C:$C,'custody %'!$T$43,'caseload data'!$D:$D,"TPO",'caseload data'!$B:$B,"custody")/SUMIFS('caseload data'!M:M,'caseload data'!$B:$B,"custody",'caseload data'!$C:$C,'custody %'!$T$43),"")</f>
        <v/>
      </c>
      <c r="AD47" s="209" t="str">
        <f>IFERROR(SUMIFS('caseload data'!N:N,'caseload data'!$C:$C,'custody %'!$T$43,'caseload data'!$D:$D,"TPO",'caseload data'!$B:$B,"custody")/SUMIFS('caseload data'!N:N,'caseload data'!$B:$B,"custody",'caseload data'!$C:$C,'custody %'!$T$43),"")</f>
        <v/>
      </c>
      <c r="AE47" s="209" t="str">
        <f>IFERROR(SUMIFS('caseload data'!O:O,'caseload data'!$C:$C,'custody %'!$T$43,'caseload data'!$D:$D,"TPO",'caseload data'!$B:$B,"custody")/SUMIFS('caseload data'!O:O,'caseload data'!$B:$B,"custody",'caseload data'!$C:$C,'custody %'!$T$43),"")</f>
        <v/>
      </c>
      <c r="AF47" s="209" t="str">
        <f>IFERROR(SUMIFS('caseload data'!P:P,'caseload data'!$C:$C,'custody %'!$T$43,'caseload data'!$D:$D,"TPO",'caseload data'!$B:$B,"custody")/SUMIFS('caseload data'!P:P,'caseload data'!$B:$B,"custody",'caseload data'!$C:$C,'custody %'!$T$43),"")</f>
        <v/>
      </c>
      <c r="AG47" s="209" t="str">
        <f>IFERROR(SUMIFS('caseload data'!Q:Q,'caseload data'!$C:$C,'custody %'!$T$43,'caseload data'!$D:$D,"TPO",'caseload data'!$B:$B,"custody")/SUMIFS('caseload data'!Q:Q,'caseload data'!$B:$B,"custody",'caseload data'!$C:$C,'custody %'!$T$43),"")</f>
        <v/>
      </c>
      <c r="AH47" s="209" t="str">
        <f>IFERROR(SUMIFS('caseload data'!R:R,'caseload data'!$C:$C,'custody %'!$T$43,'caseload data'!$D:$D,"TPO",'caseload data'!$B:$B,"custody")/SUMIFS('caseload data'!R:R,'caseload data'!$B:$B,"custody",'caseload data'!$C:$C,'custody %'!$T$43),"")</f>
        <v/>
      </c>
      <c r="AI47" s="209"/>
      <c r="AJ47" s="209"/>
    </row>
    <row r="48" spans="2:36" x14ac:dyDescent="0.15">
      <c r="B48" s="131" t="s">
        <v>187</v>
      </c>
      <c r="C48" s="209" t="str">
        <f>IFERROR(SUMIFS('caseload data'!E:E,'caseload data'!$C:$C,'custody %'!$B$43,'caseload data'!$D:$D,"SPO",'caseload data'!$B:$B,"custody")/SUMIFS('caseload data'!E:E,'caseload data'!$B:$B,"custody",'caseload data'!$C:$C,'custody %'!$B$43),"")</f>
        <v/>
      </c>
      <c r="D48" s="209" t="str">
        <f>IFERROR(SUMIFS('caseload data'!F:F,'caseload data'!$C:$C,'custody %'!$B$43,'caseload data'!$D:$D,"SPO",'caseload data'!$B:$B,"custody")/SUMIFS('caseload data'!F:F,'caseload data'!$B:$B,"custody",'caseload data'!$C:$C,'custody %'!$B$43),"")</f>
        <v/>
      </c>
      <c r="E48" s="209" t="str">
        <f>IFERROR(SUMIFS('caseload data'!G:G,'caseload data'!$C:$C,'custody %'!$B$43,'caseload data'!$D:$D,"SPO",'caseload data'!$B:$B,"custody")/SUMIFS('caseload data'!G:G,'caseload data'!$B:$B,"custody",'caseload data'!$C:$C,'custody %'!$B$43),"")</f>
        <v/>
      </c>
      <c r="F48" s="209" t="str">
        <f>IFERROR(SUMIFS('caseload data'!H:H,'caseload data'!$C:$C,'custody %'!$B$43,'caseload data'!$D:$D,"SPO",'caseload data'!$B:$B,"custody")/SUMIFS('caseload data'!H:H,'caseload data'!$B:$B,"custody",'caseload data'!$C:$C,'custody %'!$B$43),"")</f>
        <v/>
      </c>
      <c r="G48" s="209" t="str">
        <f>IFERROR(SUMIFS('caseload data'!I:I,'caseload data'!$C:$C,'custody %'!$B$43,'caseload data'!$D:$D,"SPO",'caseload data'!$B:$B,"custody")/SUMIFS('caseload data'!I:I,'caseload data'!$B:$B,"custody",'caseload data'!$C:$C,'custody %'!$B$43),"")</f>
        <v/>
      </c>
      <c r="H48" s="209" t="str">
        <f>IFERROR(SUMIFS('caseload data'!J:J,'caseload data'!$C:$C,'custody %'!$B$43,'caseload data'!$D:$D,"SPO",'caseload data'!$B:$B,"custody")/SUMIFS('caseload data'!J:J,'caseload data'!$B:$B,"custody",'caseload data'!$C:$C,'custody %'!$B$43),"")</f>
        <v/>
      </c>
      <c r="I48" s="209" t="str">
        <f>IFERROR(SUMIFS('caseload data'!K:K,'caseload data'!$C:$C,'custody %'!$B$43,'caseload data'!$D:$D,"SPO",'caseload data'!$B:$B,"custody")/SUMIFS('caseload data'!K:K,'caseload data'!$B:$B,"custody",'caseload data'!$C:$C,'custody %'!$B$43),"")</f>
        <v/>
      </c>
      <c r="J48" s="209" t="str">
        <f>IFERROR(SUMIFS('caseload data'!L:L,'caseload data'!$C:$C,'custody %'!$B$43,'caseload data'!$D:$D,"SPO",'caseload data'!$B:$B,"custody")/SUMIFS('caseload data'!L:L,'caseload data'!$B:$B,"custody",'caseload data'!$C:$C,'custody %'!$B$43),"")</f>
        <v/>
      </c>
      <c r="K48" s="209" t="str">
        <f>IFERROR(SUMIFS('caseload data'!M:M,'caseload data'!$C:$C,'custody %'!$B$43,'caseload data'!$D:$D,"SPO",'caseload data'!$B:$B,"custody")/SUMIFS('caseload data'!M:M,'caseload data'!$B:$B,"custody",'caseload data'!$C:$C,'custody %'!$B$43),"")</f>
        <v/>
      </c>
      <c r="L48" s="209" t="str">
        <f>IFERROR(SUMIFS('caseload data'!N:N,'caseload data'!$C:$C,'custody %'!$B$43,'caseload data'!$D:$D,"SPO",'caseload data'!$B:$B,"custody")/SUMIFS('caseload data'!N:N,'caseload data'!$B:$B,"custody",'caseload data'!$C:$C,'custody %'!$B$43),"")</f>
        <v/>
      </c>
      <c r="M48" s="209" t="str">
        <f>IFERROR(SUMIFS('caseload data'!O:O,'caseload data'!$C:$C,'custody %'!$B$43,'caseload data'!$D:$D,"SPO",'caseload data'!$B:$B,"custody")/SUMIFS('caseload data'!O:O,'caseload data'!$B:$B,"custody",'caseload data'!$C:$C,'custody %'!$B$43),"")</f>
        <v/>
      </c>
      <c r="N48" s="209" t="str">
        <f>IFERROR(SUMIFS('caseload data'!P:P,'caseload data'!$C:$C,'custody %'!$B$43,'caseload data'!$D:$D,"SPO",'caseload data'!$B:$B,"custody")/SUMIFS('caseload data'!P:P,'caseload data'!$B:$B,"custody",'caseload data'!$C:$C,'custody %'!$B$43),"")</f>
        <v/>
      </c>
      <c r="O48" s="209" t="str">
        <f>IFERROR(SUMIFS('caseload data'!Q:Q,'caseload data'!$C:$C,'custody %'!$B$43,'caseload data'!$D:$D,"SPO",'caseload data'!$B:$B,"custody")/SUMIFS('caseload data'!Q:Q,'caseload data'!$B:$B,"custody",'caseload data'!$C:$C,'custody %'!$B$43),"")</f>
        <v/>
      </c>
      <c r="P48" s="209" t="str">
        <f>IFERROR(SUMIFS('caseload data'!R:R,'caseload data'!$C:$C,'custody %'!$B$43,'caseload data'!$D:$D,"SPO",'caseload data'!$B:$B,"custody")/SUMIFS('caseload data'!R:R,'caseload data'!$B:$B,"custody",'caseload data'!$C:$C,'custody %'!$B$43),"")</f>
        <v/>
      </c>
      <c r="Q48" s="209" t="str">
        <f>IFERROR(SUMIFS('caseload data'!S:S,'caseload data'!$C:$C,'custody %'!$B$43,'caseload data'!$D:$D,"SPO",'caseload data'!$B:$B,"custody")/SUMIFS('caseload data'!S:S,'caseload data'!$B:$B,"custody",'caseload data'!$C:$C,'custody %'!$B$43),"")</f>
        <v/>
      </c>
      <c r="R48" s="209" t="str">
        <f>IFERROR(SUMIFS('caseload data'!T:T,'caseload data'!$C:$C,'custody %'!$B$43,'caseload data'!$D:$D,"SPO",'caseload data'!$B:$B,"custody")/SUMIFS('caseload data'!T:T,'caseload data'!$B:$B,"custody",'caseload data'!$C:$C,'custody %'!$B$43),"")</f>
        <v/>
      </c>
      <c r="S48" s="95"/>
      <c r="T48" s="131" t="s">
        <v>187</v>
      </c>
      <c r="U48" s="209" t="str">
        <f>IFERROR(SUMIFS('caseload data'!E:E,'caseload data'!$C:$C,'custody %'!$T$43,'caseload data'!$D:$D,"SPO",'caseload data'!$B:$B,"custody")/SUMIFS('caseload data'!E:E,'caseload data'!$B:$B,"custody",'caseload data'!$C:$C,'custody %'!$T$43),"")</f>
        <v/>
      </c>
      <c r="V48" s="209" t="str">
        <f>IFERROR(SUMIFS('caseload data'!F:F,'caseload data'!$C:$C,'custody %'!$T$43,'caseload data'!$D:$D,"SPO",'caseload data'!$B:$B,"custody")/SUMIFS('caseload data'!F:F,'caseload data'!$B:$B,"custody",'caseload data'!$C:$C,'custody %'!$T$43),"")</f>
        <v/>
      </c>
      <c r="W48" s="209" t="str">
        <f>IFERROR(SUMIFS('caseload data'!G:G,'caseload data'!$C:$C,'custody %'!$T$43,'caseload data'!$D:$D,"SPO",'caseload data'!$B:$B,"custody")/SUMIFS('caseload data'!G:G,'caseload data'!$B:$B,"custody",'caseload data'!$C:$C,'custody %'!$T$43),"")</f>
        <v/>
      </c>
      <c r="X48" s="209" t="str">
        <f>IFERROR(SUMIFS('caseload data'!H:H,'caseload data'!$C:$C,'custody %'!$T$43,'caseload data'!$D:$D,"SPO",'caseload data'!$B:$B,"custody")/SUMIFS('caseload data'!H:H,'caseload data'!$B:$B,"custody",'caseload data'!$C:$C,'custody %'!$T$43),"")</f>
        <v/>
      </c>
      <c r="Y48" s="209" t="str">
        <f>IFERROR(SUMIFS('caseload data'!I:I,'caseload data'!$C:$C,'custody %'!$T$43,'caseload data'!$D:$D,"SPO",'caseload data'!$B:$B,"custody")/SUMIFS('caseload data'!I:I,'caseload data'!$B:$B,"custody",'caseload data'!$C:$C,'custody %'!$T$43),"")</f>
        <v/>
      </c>
      <c r="Z48" s="209" t="str">
        <f>IFERROR(SUMIFS('caseload data'!J:J,'caseload data'!$C:$C,'custody %'!$T$43,'caseload data'!$D:$D,"SPO",'caseload data'!$B:$B,"custody")/SUMIFS('caseload data'!J:J,'caseload data'!$B:$B,"custody",'caseload data'!$C:$C,'custody %'!$T$43),"")</f>
        <v/>
      </c>
      <c r="AA48" s="209" t="str">
        <f>IFERROR(SUMIFS('caseload data'!K:K,'caseload data'!$C:$C,'custody %'!$T$43,'caseload data'!$D:$D,"SPO",'caseload data'!$B:$B,"custody")/SUMIFS('caseload data'!K:K,'caseload data'!$B:$B,"custody",'caseload data'!$C:$C,'custody %'!$T$43),"")</f>
        <v/>
      </c>
      <c r="AB48" s="209" t="str">
        <f>IFERROR(SUMIFS('caseload data'!L:L,'caseload data'!$C:$C,'custody %'!$T$43,'caseload data'!$D:$D,"SPO",'caseload data'!$B:$B,"custody")/SUMIFS('caseload data'!L:L,'caseload data'!$B:$B,"custody",'caseload data'!$C:$C,'custody %'!$T$43),"")</f>
        <v/>
      </c>
      <c r="AC48" s="209" t="str">
        <f>IFERROR(SUMIFS('caseload data'!M:M,'caseload data'!$C:$C,'custody %'!$T$43,'caseload data'!$D:$D,"SPO",'caseload data'!$B:$B,"custody")/SUMIFS('caseload data'!M:M,'caseload data'!$B:$B,"custody",'caseload data'!$C:$C,'custody %'!$T$43),"")</f>
        <v/>
      </c>
      <c r="AD48" s="209" t="str">
        <f>IFERROR(SUMIFS('caseload data'!N:N,'caseload data'!$C:$C,'custody %'!$T$43,'caseload data'!$D:$D,"SPO",'caseload data'!$B:$B,"custody")/SUMIFS('caseload data'!N:N,'caseload data'!$B:$B,"custody",'caseload data'!$C:$C,'custody %'!$T$43),"")</f>
        <v/>
      </c>
      <c r="AE48" s="209" t="str">
        <f>IFERROR(SUMIFS('caseload data'!O:O,'caseload data'!$C:$C,'custody %'!$T$43,'caseload data'!$D:$D,"SPO",'caseload data'!$B:$B,"custody")/SUMIFS('caseload data'!O:O,'caseload data'!$B:$B,"custody",'caseload data'!$C:$C,'custody %'!$T$43),"")</f>
        <v/>
      </c>
      <c r="AF48" s="209" t="str">
        <f>IFERROR(SUMIFS('caseload data'!P:P,'caseload data'!$C:$C,'custody %'!$T$43,'caseload data'!$D:$D,"SPO",'caseload data'!$B:$B,"custody")/SUMIFS('caseload data'!P:P,'caseload data'!$B:$B,"custody",'caseload data'!$C:$C,'custody %'!$T$43),"")</f>
        <v/>
      </c>
      <c r="AG48" s="209" t="str">
        <f>IFERROR(SUMIFS('caseload data'!Q:Q,'caseload data'!$C:$C,'custody %'!$T$43,'caseload data'!$D:$D,"SPO",'caseload data'!$B:$B,"custody")/SUMIFS('caseload data'!Q:Q,'caseload data'!$B:$B,"custody",'caseload data'!$C:$C,'custody %'!$T$43),"")</f>
        <v/>
      </c>
      <c r="AH48" s="209" t="str">
        <f>IFERROR(SUMIFS('caseload data'!R:R,'caseload data'!$C:$C,'custody %'!$T$43,'caseload data'!$D:$D,"SPO",'caseload data'!$B:$B,"custody")/SUMIFS('caseload data'!R:R,'caseload data'!$B:$B,"custody",'caseload data'!$C:$C,'custody %'!$T$43),"")</f>
        <v/>
      </c>
      <c r="AI48" s="209"/>
      <c r="AJ48" s="209"/>
    </row>
    <row r="49" spans="2:36" x14ac:dyDescent="0.15">
      <c r="B49" s="183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183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</row>
    <row r="50" spans="2:36" ht="30" customHeight="1" x14ac:dyDescent="0.15">
      <c r="B50" s="182" t="str">
        <f>HLOOKUP($B$5,Region_Table,14,0)</f>
        <v>Hammersmith, Fulham, Kensington, Chelsea and Westminster</v>
      </c>
      <c r="C50" s="359" t="s">
        <v>366</v>
      </c>
      <c r="D50" s="365"/>
      <c r="E50" s="365"/>
      <c r="F50" s="365"/>
      <c r="G50" s="365"/>
      <c r="H50" s="365"/>
      <c r="I50" s="365"/>
      <c r="J50" s="365"/>
      <c r="K50" s="365"/>
      <c r="L50" s="365"/>
      <c r="M50" s="368"/>
      <c r="N50" s="368"/>
      <c r="O50" s="369"/>
      <c r="P50" s="362">
        <f>SUMIF('caseload data'!$C:$C,'custody %'!B50,'caseload data'!V:V)</f>
        <v>0</v>
      </c>
      <c r="Q50" s="370"/>
      <c r="R50" s="371"/>
      <c r="S50" s="95"/>
      <c r="T50" s="182" t="str">
        <f>HLOOKUP($B$5,Region_Table,15,0)</f>
        <v>Harrow and Barnet</v>
      </c>
      <c r="U50" s="359" t="s">
        <v>366</v>
      </c>
      <c r="V50" s="365"/>
      <c r="W50" s="365"/>
      <c r="X50" s="365"/>
      <c r="Y50" s="365"/>
      <c r="Z50" s="365"/>
      <c r="AA50" s="365"/>
      <c r="AB50" s="365"/>
      <c r="AC50" s="368"/>
      <c r="AD50" s="368"/>
      <c r="AE50" s="369"/>
      <c r="AF50" s="362">
        <f>SUMIF('caseload data'!$C:$C,'custody %'!T50,'caseload data'!V:V)</f>
        <v>0</v>
      </c>
      <c r="AG50" s="370"/>
      <c r="AH50" s="371"/>
    </row>
    <row r="51" spans="2:36" x14ac:dyDescent="0.15">
      <c r="B51" s="127" t="s">
        <v>324</v>
      </c>
      <c r="C51" s="58" t="s">
        <v>504</v>
      </c>
      <c r="D51" s="58" t="s">
        <v>503</v>
      </c>
      <c r="E51" s="58" t="s">
        <v>502</v>
      </c>
      <c r="F51" s="58" t="s">
        <v>501</v>
      </c>
      <c r="G51" s="58" t="s">
        <v>510</v>
      </c>
      <c r="H51" s="58" t="s">
        <v>176</v>
      </c>
      <c r="I51" s="58" t="s">
        <v>177</v>
      </c>
      <c r="J51" s="58" t="s">
        <v>505</v>
      </c>
      <c r="K51" s="58" t="s">
        <v>507</v>
      </c>
      <c r="L51" s="58" t="s">
        <v>178</v>
      </c>
      <c r="M51" s="58" t="s">
        <v>179</v>
      </c>
      <c r="N51" s="58" t="s">
        <v>506</v>
      </c>
      <c r="O51" s="58" t="s">
        <v>508</v>
      </c>
      <c r="P51" s="58" t="s">
        <v>180</v>
      </c>
      <c r="Q51" s="58" t="s">
        <v>181</v>
      </c>
      <c r="R51" s="58" t="s">
        <v>509</v>
      </c>
      <c r="S51" s="95"/>
      <c r="T51" s="127" t="s">
        <v>324</v>
      </c>
      <c r="U51" s="58" t="s">
        <v>504</v>
      </c>
      <c r="V51" s="58" t="s">
        <v>503</v>
      </c>
      <c r="W51" s="58" t="s">
        <v>502</v>
      </c>
      <c r="X51" s="58" t="s">
        <v>501</v>
      </c>
      <c r="Y51" s="58" t="s">
        <v>510</v>
      </c>
      <c r="Z51" s="58" t="s">
        <v>176</v>
      </c>
      <c r="AA51" s="58" t="s">
        <v>177</v>
      </c>
      <c r="AB51" s="58" t="s">
        <v>505</v>
      </c>
      <c r="AC51" s="58" t="s">
        <v>507</v>
      </c>
      <c r="AD51" s="58" t="s">
        <v>178</v>
      </c>
      <c r="AE51" s="58" t="s">
        <v>179</v>
      </c>
      <c r="AF51" s="58" t="s">
        <v>506</v>
      </c>
      <c r="AG51" s="58" t="s">
        <v>508</v>
      </c>
      <c r="AH51" s="58" t="s">
        <v>180</v>
      </c>
      <c r="AI51" s="58" t="s">
        <v>181</v>
      </c>
      <c r="AJ51" s="58" t="s">
        <v>509</v>
      </c>
    </row>
    <row r="52" spans="2:36" x14ac:dyDescent="0.15">
      <c r="B52" s="129" t="s">
        <v>184</v>
      </c>
      <c r="C52" s="209" t="str">
        <f>IFERROR(SUMIFS('caseload data'!E:E,'caseload data'!$C:$C,'custody %'!$B$50,'caseload data'!$D:$D,"PO",'caseload data'!$B:$B,"custody")/SUMIFS('caseload data'!E:E,'caseload data'!$B:$B,"custody",'caseload data'!$C:$C,'custody %'!$B$50),"")</f>
        <v/>
      </c>
      <c r="D52" s="209" t="str">
        <f>IFERROR(SUMIFS('caseload data'!F:F,'caseload data'!$C:$C,'custody %'!$B$50,'caseload data'!$D:$D,"PO",'caseload data'!$B:$B,"custody")/SUMIFS('caseload data'!F:F,'caseload data'!$B:$B,"custody",'caseload data'!$C:$C,'custody %'!$B$50),"")</f>
        <v/>
      </c>
      <c r="E52" s="209" t="str">
        <f>IFERROR(SUMIFS('caseload data'!G:G,'caseload data'!$C:$C,'custody %'!$B$50,'caseload data'!$D:$D,"PO",'caseload data'!$B:$B,"custody")/SUMIFS('caseload data'!G:G,'caseload data'!$B:$B,"custody",'caseload data'!$C:$C,'custody %'!$B$50),"")</f>
        <v/>
      </c>
      <c r="F52" s="209" t="str">
        <f>IFERROR(SUMIFS('caseload data'!H:H,'caseload data'!$C:$C,'custody %'!$B$50,'caseload data'!$D:$D,"PO",'caseload data'!$B:$B,"custody")/SUMIFS('caseload data'!H:H,'caseload data'!$B:$B,"custody",'caseload data'!$C:$C,'custody %'!$B$50),"")</f>
        <v/>
      </c>
      <c r="G52" s="209" t="str">
        <f>IFERROR(SUMIFS('caseload data'!I:I,'caseload data'!$C:$C,'custody %'!$B$50,'caseload data'!$D:$D,"PO",'caseload data'!$B:$B,"custody")/SUMIFS('caseload data'!I:I,'caseload data'!$B:$B,"custody",'caseload data'!$C:$C,'custody %'!$B$50),"")</f>
        <v/>
      </c>
      <c r="H52" s="209" t="str">
        <f>IFERROR(SUMIFS('caseload data'!J:J,'caseload data'!$C:$C,'custody %'!$B$50,'caseload data'!$D:$D,"PO",'caseload data'!$B:$B,"custody")/SUMIFS('caseload data'!J:J,'caseload data'!$B:$B,"custody",'caseload data'!$C:$C,'custody %'!$B$50),"")</f>
        <v/>
      </c>
      <c r="I52" s="209" t="str">
        <f>IFERROR(SUMIFS('caseload data'!K:K,'caseload data'!$C:$C,'custody %'!$B$50,'caseload data'!$D:$D,"PO",'caseload data'!$B:$B,"custody")/SUMIFS('caseload data'!K:K,'caseload data'!$B:$B,"custody",'caseload data'!$C:$C,'custody %'!$B$50),"")</f>
        <v/>
      </c>
      <c r="J52" s="209" t="str">
        <f>IFERROR(SUMIFS('caseload data'!L:L,'caseload data'!$C:$C,'custody %'!$B$50,'caseload data'!$D:$D,"PO",'caseload data'!$B:$B,"custody")/SUMIFS('caseload data'!L:L,'caseload data'!$B:$B,"custody",'caseload data'!$C:$C,'custody %'!$B$50),"")</f>
        <v/>
      </c>
      <c r="K52" s="209" t="str">
        <f>IFERROR(SUMIFS('caseload data'!M:M,'caseload data'!$C:$C,'custody %'!$B$50,'caseload data'!$D:$D,"PO",'caseload data'!$B:$B,"custody")/SUMIFS('caseload data'!M:M,'caseload data'!$B:$B,"custody",'caseload data'!$C:$C,'custody %'!$B$50),"")</f>
        <v/>
      </c>
      <c r="L52" s="209" t="str">
        <f>IFERROR(SUMIFS('caseload data'!N:N,'caseload data'!$C:$C,'custody %'!$B$50,'caseload data'!$D:$D,"PO",'caseload data'!$B:$B,"custody")/SUMIFS('caseload data'!N:N,'caseload data'!$B:$B,"custody",'caseload data'!$C:$C,'custody %'!$B$50),"")</f>
        <v/>
      </c>
      <c r="M52" s="209" t="str">
        <f>IFERROR(SUMIFS('caseload data'!O:O,'caseload data'!$C:$C,'custody %'!$B$50,'caseload data'!$D:$D,"PO",'caseload data'!$B:$B,"custody")/SUMIFS('caseload data'!O:O,'caseload data'!$B:$B,"custody",'caseload data'!$C:$C,'custody %'!$B$50),"")</f>
        <v/>
      </c>
      <c r="N52" s="209" t="str">
        <f>IFERROR(SUMIFS('caseload data'!P:P,'caseload data'!$C:$C,'custody %'!$B$50,'caseload data'!$D:$D,"PO",'caseload data'!$B:$B,"custody")/SUMIFS('caseload data'!P:P,'caseload data'!$B:$B,"custody",'caseload data'!$C:$C,'custody %'!$B$50),"")</f>
        <v/>
      </c>
      <c r="O52" s="209" t="str">
        <f>IFERROR(SUMIFS('caseload data'!Q:Q,'caseload data'!$C:$C,'custody %'!$B$50,'caseload data'!$D:$D,"PO",'caseload data'!$B:$B,"custody")/SUMIFS('caseload data'!Q:Q,'caseload data'!$B:$B,"custody",'caseload data'!$C:$C,'custody %'!$B$50),"")</f>
        <v/>
      </c>
      <c r="P52" s="209" t="str">
        <f>IFERROR(SUMIFS('caseload data'!R:R,'caseload data'!$C:$C,'custody %'!$B$50,'caseload data'!$D:$D,"PO",'caseload data'!$B:$B,"custody")/SUMIFS('caseload data'!R:R,'caseload data'!$B:$B,"custody",'caseload data'!$C:$C,'custody %'!$B$50),"")</f>
        <v/>
      </c>
      <c r="Q52" s="209" t="str">
        <f>IFERROR(SUMIFS('caseload data'!S:S,'caseload data'!$C:$C,'custody %'!$B$50,'caseload data'!$D:$D,"PO",'caseload data'!$B:$B,"custody")/SUMIFS('caseload data'!S:S,'caseload data'!$B:$B,"custody",'caseload data'!$C:$C,'custody %'!$B$50),"")</f>
        <v/>
      </c>
      <c r="R52" s="209" t="str">
        <f>IFERROR(SUMIFS('caseload data'!T:T,'caseload data'!$C:$C,'custody %'!$B$50,'caseload data'!$D:$D,"PO",'caseload data'!$B:$B,"custody")/SUMIFS('caseload data'!T:T,'caseload data'!$B:$B,"custody",'caseload data'!$C:$C,'custody %'!$B$50),"")</f>
        <v/>
      </c>
      <c r="S52" s="95"/>
      <c r="T52" s="129" t="s">
        <v>184</v>
      </c>
      <c r="U52" s="209" t="str">
        <f>IFERROR(SUMIFS('caseload data'!E:E,'caseload data'!$C:$C,'custody %'!$T$50,'caseload data'!$D:$D,"PO",'caseload data'!$B:$B,"custody")/SUMIFS('caseload data'!E:E,'caseload data'!$B:$B,"custody",'caseload data'!$C:$C,'custody %'!$T$50),"")</f>
        <v/>
      </c>
      <c r="V52" s="209" t="str">
        <f>IFERROR(SUMIFS('caseload data'!F:F,'caseload data'!$C:$C,'custody %'!$T$50,'caseload data'!$D:$D,"PO",'caseload data'!$B:$B,"custody")/SUMIFS('caseload data'!F:F,'caseload data'!$B:$B,"custody",'caseload data'!$C:$C,'custody %'!$T$50),"")</f>
        <v/>
      </c>
      <c r="W52" s="209" t="str">
        <f>IFERROR(SUMIFS('caseload data'!G:G,'caseload data'!$C:$C,'custody %'!$T$50,'caseload data'!$D:$D,"PO",'caseload data'!$B:$B,"custody")/SUMIFS('caseload data'!G:G,'caseload data'!$B:$B,"custody",'caseload data'!$C:$C,'custody %'!$T$50),"")</f>
        <v/>
      </c>
      <c r="X52" s="209" t="str">
        <f>IFERROR(SUMIFS('caseload data'!H:H,'caseload data'!$C:$C,'custody %'!$T$50,'caseload data'!$D:$D,"PO",'caseload data'!$B:$B,"custody")/SUMIFS('caseload data'!H:H,'caseload data'!$B:$B,"custody",'caseload data'!$C:$C,'custody %'!$T$50),"")</f>
        <v/>
      </c>
      <c r="Y52" s="209" t="str">
        <f>IFERROR(SUMIFS('caseload data'!I:I,'caseload data'!$C:$C,'custody %'!$T$50,'caseload data'!$D:$D,"PO",'caseload data'!$B:$B,"custody")/SUMIFS('caseload data'!I:I,'caseload data'!$B:$B,"custody",'caseload data'!$C:$C,'custody %'!$T$50),"")</f>
        <v/>
      </c>
      <c r="Z52" s="209" t="str">
        <f>IFERROR(SUMIFS('caseload data'!J:J,'caseload data'!$C:$C,'custody %'!$T$50,'caseload data'!$D:$D,"PO",'caseload data'!$B:$B,"custody")/SUMIFS('caseload data'!J:J,'caseload data'!$B:$B,"custody",'caseload data'!$C:$C,'custody %'!$T$50),"")</f>
        <v/>
      </c>
      <c r="AA52" s="209" t="str">
        <f>IFERROR(SUMIFS('caseload data'!K:K,'caseload data'!$C:$C,'custody %'!$T$50,'caseload data'!$D:$D,"PO",'caseload data'!$B:$B,"custody")/SUMIFS('caseload data'!K:K,'caseload data'!$B:$B,"custody",'caseload data'!$C:$C,'custody %'!$T$50),"")</f>
        <v/>
      </c>
      <c r="AB52" s="209" t="str">
        <f>IFERROR(SUMIFS('caseload data'!L:L,'caseload data'!$C:$C,'custody %'!$T$50,'caseload data'!$D:$D,"PO",'caseload data'!$B:$B,"custody")/SUMIFS('caseload data'!L:L,'caseload data'!$B:$B,"custody",'caseload data'!$C:$C,'custody %'!$T$50),"")</f>
        <v/>
      </c>
      <c r="AC52" s="209" t="str">
        <f>IFERROR(SUMIFS('caseload data'!M:M,'caseload data'!$C:$C,'custody %'!$T$50,'caseload data'!$D:$D,"PO",'caseload data'!$B:$B,"custody")/SUMIFS('caseload data'!M:M,'caseload data'!$B:$B,"custody",'caseload data'!$C:$C,'custody %'!$T$50),"")</f>
        <v/>
      </c>
      <c r="AD52" s="209" t="str">
        <f>IFERROR(SUMIFS('caseload data'!N:N,'caseload data'!$C:$C,'custody %'!$T$50,'caseload data'!$D:$D,"PO",'caseload data'!$B:$B,"custody")/SUMIFS('caseload data'!N:N,'caseload data'!$B:$B,"custody",'caseload data'!$C:$C,'custody %'!$T$50),"")</f>
        <v/>
      </c>
      <c r="AE52" s="209" t="str">
        <f>IFERROR(SUMIFS('caseload data'!O:O,'caseload data'!$C:$C,'custody %'!$T$50,'caseload data'!$D:$D,"PO",'caseload data'!$B:$B,"custody")/SUMIFS('caseload data'!O:O,'caseload data'!$B:$B,"custody",'caseload data'!$C:$C,'custody %'!$T$50),"")</f>
        <v/>
      </c>
      <c r="AF52" s="209" t="str">
        <f>IFERROR(SUMIFS('caseload data'!P:P,'caseload data'!$C:$C,'custody %'!$T$50,'caseload data'!$D:$D,"PO",'caseload data'!$B:$B,"custody")/SUMIFS('caseload data'!P:P,'caseload data'!$B:$B,"custody",'caseload data'!$C:$C,'custody %'!$T$50),"")</f>
        <v/>
      </c>
      <c r="AG52" s="209" t="str">
        <f>IFERROR(SUMIFS('caseload data'!Q:Q,'caseload data'!$C:$C,'custody %'!$T$50,'caseload data'!$D:$D,"PO",'caseload data'!$B:$B,"custody")/SUMIFS('caseload data'!Q:Q,'caseload data'!$B:$B,"custody",'caseload data'!$C:$C,'custody %'!$T$50),"")</f>
        <v/>
      </c>
      <c r="AH52" s="209" t="str">
        <f>IFERROR(SUMIFS('caseload data'!R:R,'caseload data'!$C:$C,'custody %'!$T$50,'caseload data'!$D:$D,"PO",'caseload data'!$B:$B,"custody")/SUMIFS('caseload data'!R:R,'caseload data'!$B:$B,"custody",'caseload data'!$C:$C,'custody %'!$T$50),"")</f>
        <v/>
      </c>
      <c r="AI52" s="209"/>
      <c r="AJ52" s="209"/>
    </row>
    <row r="53" spans="2:36" x14ac:dyDescent="0.15">
      <c r="B53" s="130" t="s">
        <v>185</v>
      </c>
      <c r="C53" s="209" t="str">
        <f>IFERROR(SUMIFS('caseload data'!E:E,'caseload data'!$C:$C,'custody %'!$B$50,'caseload data'!$D:$D,"PSO",'caseload data'!$B:$B,"custody")/SUMIFS('caseload data'!E:E,'caseload data'!$B:$B,"custody",'caseload data'!$C:$C,'custody %'!$B$50),"")</f>
        <v/>
      </c>
      <c r="D53" s="209" t="str">
        <f>IFERROR(SUMIFS('caseload data'!F:F,'caseload data'!$C:$C,'custody %'!$B$50,'caseload data'!$D:$D,"PSO",'caseload data'!$B:$B,"custody")/SUMIFS('caseload data'!F:F,'caseload data'!$B:$B,"custody",'caseload data'!$C:$C,'custody %'!$B$50),"")</f>
        <v/>
      </c>
      <c r="E53" s="209" t="str">
        <f>IFERROR(SUMIFS('caseload data'!G:G,'caseload data'!$C:$C,'custody %'!$B$50,'caseload data'!$D:$D,"PSO",'caseload data'!$B:$B,"custody")/SUMIFS('caseload data'!G:G,'caseload data'!$B:$B,"custody",'caseload data'!$C:$C,'custody %'!$B$50),"")</f>
        <v/>
      </c>
      <c r="F53" s="209" t="str">
        <f>IFERROR(SUMIFS('caseload data'!H:H,'caseload data'!$C:$C,'custody %'!$B$50,'caseload data'!$D:$D,"PSO",'caseload data'!$B:$B,"custody")/SUMIFS('caseload data'!H:H,'caseload data'!$B:$B,"custody",'caseload data'!$C:$C,'custody %'!$B$50),"")</f>
        <v/>
      </c>
      <c r="G53" s="209" t="str">
        <f>IFERROR(SUMIFS('caseload data'!I:I,'caseload data'!$C:$C,'custody %'!$B$50,'caseload data'!$D:$D,"PSO",'caseload data'!$B:$B,"custody")/SUMIFS('caseload data'!I:I,'caseload data'!$B:$B,"custody",'caseload data'!$C:$C,'custody %'!$B$50),"")</f>
        <v/>
      </c>
      <c r="H53" s="209" t="str">
        <f>IFERROR(SUMIFS('caseload data'!J:J,'caseload data'!$C:$C,'custody %'!$B$50,'caseload data'!$D:$D,"PSO",'caseload data'!$B:$B,"custody")/SUMIFS('caseload data'!J:J,'caseload data'!$B:$B,"custody",'caseload data'!$C:$C,'custody %'!$B$50),"")</f>
        <v/>
      </c>
      <c r="I53" s="209" t="str">
        <f>IFERROR(SUMIFS('caseload data'!K:K,'caseload data'!$C:$C,'custody %'!$B$50,'caseload data'!$D:$D,"PSO",'caseload data'!$B:$B,"custody")/SUMIFS('caseload data'!K:K,'caseload data'!$B:$B,"custody",'caseload data'!$C:$C,'custody %'!$B$50),"")</f>
        <v/>
      </c>
      <c r="J53" s="209" t="str">
        <f>IFERROR(SUMIFS('caseload data'!L:L,'caseload data'!$C:$C,'custody %'!$B$50,'caseload data'!$D:$D,"PSO",'caseload data'!$B:$B,"custody")/SUMIFS('caseload data'!L:L,'caseload data'!$B:$B,"custody",'caseload data'!$C:$C,'custody %'!$B$50),"")</f>
        <v/>
      </c>
      <c r="K53" s="209" t="str">
        <f>IFERROR(SUMIFS('caseload data'!M:M,'caseload data'!$C:$C,'custody %'!$B$50,'caseload data'!$D:$D,"PSO",'caseload data'!$B:$B,"custody")/SUMIFS('caseload data'!M:M,'caseload data'!$B:$B,"custody",'caseload data'!$C:$C,'custody %'!$B$50),"")</f>
        <v/>
      </c>
      <c r="L53" s="209" t="str">
        <f>IFERROR(SUMIFS('caseload data'!N:N,'caseload data'!$C:$C,'custody %'!$B$50,'caseload data'!$D:$D,"PSO",'caseload data'!$B:$B,"custody")/SUMIFS('caseload data'!N:N,'caseload data'!$B:$B,"custody",'caseload data'!$C:$C,'custody %'!$B$50),"")</f>
        <v/>
      </c>
      <c r="M53" s="209" t="str">
        <f>IFERROR(SUMIFS('caseload data'!O:O,'caseload data'!$C:$C,'custody %'!$B$50,'caseload data'!$D:$D,"PSO",'caseload data'!$B:$B,"custody")/SUMIFS('caseload data'!O:O,'caseload data'!$B:$B,"custody",'caseload data'!$C:$C,'custody %'!$B$50),"")</f>
        <v/>
      </c>
      <c r="N53" s="209" t="str">
        <f>IFERROR(SUMIFS('caseload data'!P:P,'caseload data'!$C:$C,'custody %'!$B$50,'caseload data'!$D:$D,"PSO",'caseload data'!$B:$B,"custody")/SUMIFS('caseload data'!P:P,'caseload data'!$B:$B,"custody",'caseload data'!$C:$C,'custody %'!$B$50),"")</f>
        <v/>
      </c>
      <c r="O53" s="209" t="str">
        <f>IFERROR(SUMIFS('caseload data'!Q:Q,'caseload data'!$C:$C,'custody %'!$B$50,'caseload data'!$D:$D,"PSO",'caseload data'!$B:$B,"custody")/SUMIFS('caseload data'!Q:Q,'caseload data'!$B:$B,"custody",'caseload data'!$C:$C,'custody %'!$B$50),"")</f>
        <v/>
      </c>
      <c r="P53" s="209" t="str">
        <f>IFERROR(SUMIFS('caseload data'!R:R,'caseload data'!$C:$C,'custody %'!$B$50,'caseload data'!$D:$D,"PSO",'caseload data'!$B:$B,"custody")/SUMIFS('caseload data'!R:R,'caseload data'!$B:$B,"custody",'caseload data'!$C:$C,'custody %'!$B$50),"")</f>
        <v/>
      </c>
      <c r="Q53" s="209" t="str">
        <f>IFERROR(SUMIFS('caseload data'!S:S,'caseload data'!$C:$C,'custody %'!$B$50,'caseload data'!$D:$D,"PSO",'caseload data'!$B:$B,"custody")/SUMIFS('caseload data'!S:S,'caseload data'!$B:$B,"custody",'caseload data'!$C:$C,'custody %'!$B$50),"")</f>
        <v/>
      </c>
      <c r="R53" s="209" t="str">
        <f>IFERROR(SUMIFS('caseload data'!T:T,'caseload data'!$C:$C,'custody %'!$B$50,'caseload data'!$D:$D,"PSO",'caseload data'!$B:$B,"custody")/SUMIFS('caseload data'!T:T,'caseload data'!$B:$B,"custody",'caseload data'!$C:$C,'custody %'!$B$50),"")</f>
        <v/>
      </c>
      <c r="S53" s="95"/>
      <c r="T53" s="130" t="s">
        <v>185</v>
      </c>
      <c r="U53" s="209" t="str">
        <f>IFERROR(SUMIFS('caseload data'!E:E,'caseload data'!$C:$C,'custody %'!$T$50,'caseload data'!$D:$D,"PSO",'caseload data'!$B:$B,"custody")/SUMIFS('caseload data'!E:E,'caseload data'!$B:$B,"custody",'caseload data'!$C:$C,'custody %'!$T$50),"")</f>
        <v/>
      </c>
      <c r="V53" s="209" t="str">
        <f>IFERROR(SUMIFS('caseload data'!F:F,'caseload data'!$C:$C,'custody %'!$T$50,'caseload data'!$D:$D,"PSO",'caseload data'!$B:$B,"custody")/SUMIFS('caseload data'!F:F,'caseload data'!$B:$B,"custody",'caseload data'!$C:$C,'custody %'!$T$50),"")</f>
        <v/>
      </c>
      <c r="W53" s="209" t="str">
        <f>IFERROR(SUMIFS('caseload data'!G:G,'caseload data'!$C:$C,'custody %'!$T$50,'caseload data'!$D:$D,"PSO",'caseload data'!$B:$B,"custody")/SUMIFS('caseload data'!G:G,'caseload data'!$B:$B,"custody",'caseload data'!$C:$C,'custody %'!$T$50),"")</f>
        <v/>
      </c>
      <c r="X53" s="209" t="str">
        <f>IFERROR(SUMIFS('caseload data'!H:H,'caseload data'!$C:$C,'custody %'!$T$50,'caseload data'!$D:$D,"PSO",'caseload data'!$B:$B,"custody")/SUMIFS('caseload data'!H:H,'caseload data'!$B:$B,"custody",'caseload data'!$C:$C,'custody %'!$T$50),"")</f>
        <v/>
      </c>
      <c r="Y53" s="209" t="str">
        <f>IFERROR(SUMIFS('caseload data'!I:I,'caseload data'!$C:$C,'custody %'!$T$50,'caseload data'!$D:$D,"PSO",'caseload data'!$B:$B,"custody")/SUMIFS('caseload data'!I:I,'caseload data'!$B:$B,"custody",'caseload data'!$C:$C,'custody %'!$T$50),"")</f>
        <v/>
      </c>
      <c r="Z53" s="209" t="str">
        <f>IFERROR(SUMIFS('caseload data'!J:J,'caseload data'!$C:$C,'custody %'!$T$50,'caseload data'!$D:$D,"PSO",'caseload data'!$B:$B,"custody")/SUMIFS('caseload data'!J:J,'caseload data'!$B:$B,"custody",'caseload data'!$C:$C,'custody %'!$T$50),"")</f>
        <v/>
      </c>
      <c r="AA53" s="209" t="str">
        <f>IFERROR(SUMIFS('caseload data'!K:K,'caseload data'!$C:$C,'custody %'!$T$50,'caseload data'!$D:$D,"PSO",'caseload data'!$B:$B,"custody")/SUMIFS('caseload data'!K:K,'caseload data'!$B:$B,"custody",'caseload data'!$C:$C,'custody %'!$T$50),"")</f>
        <v/>
      </c>
      <c r="AB53" s="209" t="str">
        <f>IFERROR(SUMIFS('caseload data'!L:L,'caseload data'!$C:$C,'custody %'!$T$50,'caseload data'!$D:$D,"PSO",'caseload data'!$B:$B,"custody")/SUMIFS('caseload data'!L:L,'caseload data'!$B:$B,"custody",'caseload data'!$C:$C,'custody %'!$T$50),"")</f>
        <v/>
      </c>
      <c r="AC53" s="209" t="str">
        <f>IFERROR(SUMIFS('caseload data'!M:M,'caseload data'!$C:$C,'custody %'!$T$50,'caseload data'!$D:$D,"PSO",'caseload data'!$B:$B,"custody")/SUMIFS('caseload data'!M:M,'caseload data'!$B:$B,"custody",'caseload data'!$C:$C,'custody %'!$T$50),"")</f>
        <v/>
      </c>
      <c r="AD53" s="209" t="str">
        <f>IFERROR(SUMIFS('caseload data'!N:N,'caseload data'!$C:$C,'custody %'!$T$50,'caseload data'!$D:$D,"PSO",'caseload data'!$B:$B,"custody")/SUMIFS('caseload data'!N:N,'caseload data'!$B:$B,"custody",'caseload data'!$C:$C,'custody %'!$T$50),"")</f>
        <v/>
      </c>
      <c r="AE53" s="209" t="str">
        <f>IFERROR(SUMIFS('caseload data'!O:O,'caseload data'!$C:$C,'custody %'!$T$50,'caseload data'!$D:$D,"PSO",'caseload data'!$B:$B,"custody")/SUMIFS('caseload data'!O:O,'caseload data'!$B:$B,"custody",'caseload data'!$C:$C,'custody %'!$T$50),"")</f>
        <v/>
      </c>
      <c r="AF53" s="209" t="str">
        <f>IFERROR(SUMIFS('caseload data'!P:P,'caseload data'!$C:$C,'custody %'!$T$50,'caseload data'!$D:$D,"PSO",'caseload data'!$B:$B,"custody")/SUMIFS('caseload data'!P:P,'caseload data'!$B:$B,"custody",'caseload data'!$C:$C,'custody %'!$T$50),"")</f>
        <v/>
      </c>
      <c r="AG53" s="209" t="str">
        <f>IFERROR(SUMIFS('caseload data'!Q:Q,'caseload data'!$C:$C,'custody %'!$T$50,'caseload data'!$D:$D,"PSO",'caseload data'!$B:$B,"custody")/SUMIFS('caseload data'!Q:Q,'caseload data'!$B:$B,"custody",'caseload data'!$C:$C,'custody %'!$T$50),"")</f>
        <v/>
      </c>
      <c r="AH53" s="209" t="str">
        <f>IFERROR(SUMIFS('caseload data'!R:R,'caseload data'!$C:$C,'custody %'!$T$50,'caseload data'!$D:$D,"PSO",'caseload data'!$B:$B,"custody")/SUMIFS('caseload data'!R:R,'caseload data'!$B:$B,"custody",'caseload data'!$C:$C,'custody %'!$T$50),"")</f>
        <v/>
      </c>
      <c r="AI53" s="209"/>
      <c r="AJ53" s="209"/>
    </row>
    <row r="54" spans="2:36" x14ac:dyDescent="0.15">
      <c r="B54" s="130" t="s">
        <v>186</v>
      </c>
      <c r="C54" s="209" t="str">
        <f>IFERROR(SUMIFS('caseload data'!E:E,'caseload data'!$C:$C,'custody %'!$B$50,'caseload data'!$D:$D,"TPO",'caseload data'!$B:$B,"custody")/SUMIFS('caseload data'!E:E,'caseload data'!$B:$B,"custody",'caseload data'!$C:$C,'custody %'!$B$50),"")</f>
        <v/>
      </c>
      <c r="D54" s="209" t="str">
        <f>IFERROR(SUMIFS('caseload data'!F:F,'caseload data'!$C:$C,'custody %'!$B$50,'caseload data'!$D:$D,"TPO",'caseload data'!$B:$B,"custody")/SUMIFS('caseload data'!F:F,'caseload data'!$B:$B,"custody",'caseload data'!$C:$C,'custody %'!$B$50),"")</f>
        <v/>
      </c>
      <c r="E54" s="209" t="str">
        <f>IFERROR(SUMIFS('caseload data'!G:G,'caseload data'!$C:$C,'custody %'!$B$50,'caseload data'!$D:$D,"TPO",'caseload data'!$B:$B,"custody")/SUMIFS('caseload data'!G:G,'caseload data'!$B:$B,"custody",'caseload data'!$C:$C,'custody %'!$B$50),"")</f>
        <v/>
      </c>
      <c r="F54" s="209" t="str">
        <f>IFERROR(SUMIFS('caseload data'!H:H,'caseload data'!$C:$C,'custody %'!$B$50,'caseload data'!$D:$D,"TPO",'caseload data'!$B:$B,"custody")/SUMIFS('caseload data'!H:H,'caseload data'!$B:$B,"custody",'caseload data'!$C:$C,'custody %'!$B$50),"")</f>
        <v/>
      </c>
      <c r="G54" s="209" t="str">
        <f>IFERROR(SUMIFS('caseload data'!I:I,'caseload data'!$C:$C,'custody %'!$B$50,'caseload data'!$D:$D,"TPO",'caseload data'!$B:$B,"custody")/SUMIFS('caseload data'!I:I,'caseload data'!$B:$B,"custody",'caseload data'!$C:$C,'custody %'!$B$50),"")</f>
        <v/>
      </c>
      <c r="H54" s="209" t="str">
        <f>IFERROR(SUMIFS('caseload data'!J:J,'caseload data'!$C:$C,'custody %'!$B$50,'caseload data'!$D:$D,"TPO",'caseload data'!$B:$B,"custody")/SUMIFS('caseload data'!J:J,'caseload data'!$B:$B,"custody",'caseload data'!$C:$C,'custody %'!$B$50),"")</f>
        <v/>
      </c>
      <c r="I54" s="209" t="str">
        <f>IFERROR(SUMIFS('caseload data'!K:K,'caseload data'!$C:$C,'custody %'!$B$50,'caseload data'!$D:$D,"TPO",'caseload data'!$B:$B,"custody")/SUMIFS('caseload data'!K:K,'caseload data'!$B:$B,"custody",'caseload data'!$C:$C,'custody %'!$B$50),"")</f>
        <v/>
      </c>
      <c r="J54" s="209" t="str">
        <f>IFERROR(SUMIFS('caseload data'!L:L,'caseload data'!$C:$C,'custody %'!$B$50,'caseload data'!$D:$D,"TPO",'caseload data'!$B:$B,"custody")/SUMIFS('caseload data'!L:L,'caseload data'!$B:$B,"custody",'caseload data'!$C:$C,'custody %'!$B$50),"")</f>
        <v/>
      </c>
      <c r="K54" s="209" t="str">
        <f>IFERROR(SUMIFS('caseload data'!M:M,'caseload data'!$C:$C,'custody %'!$B$50,'caseload data'!$D:$D,"TPO",'caseload data'!$B:$B,"custody")/SUMIFS('caseload data'!M:M,'caseload data'!$B:$B,"custody",'caseload data'!$C:$C,'custody %'!$B$50),"")</f>
        <v/>
      </c>
      <c r="L54" s="209" t="str">
        <f>IFERROR(SUMIFS('caseload data'!N:N,'caseload data'!$C:$C,'custody %'!$B$50,'caseload data'!$D:$D,"TPO",'caseload data'!$B:$B,"custody")/SUMIFS('caseload data'!N:N,'caseload data'!$B:$B,"custody",'caseload data'!$C:$C,'custody %'!$B$50),"")</f>
        <v/>
      </c>
      <c r="M54" s="209" t="str">
        <f>IFERROR(SUMIFS('caseload data'!O:O,'caseload data'!$C:$C,'custody %'!$B$50,'caseload data'!$D:$D,"TPO",'caseload data'!$B:$B,"custody")/SUMIFS('caseload data'!O:O,'caseload data'!$B:$B,"custody",'caseload data'!$C:$C,'custody %'!$B$50),"")</f>
        <v/>
      </c>
      <c r="N54" s="209" t="str">
        <f>IFERROR(SUMIFS('caseload data'!P:P,'caseload data'!$C:$C,'custody %'!$B$50,'caseload data'!$D:$D,"TPO",'caseload data'!$B:$B,"custody")/SUMIFS('caseload data'!P:P,'caseload data'!$B:$B,"custody",'caseload data'!$C:$C,'custody %'!$B$50),"")</f>
        <v/>
      </c>
      <c r="O54" s="209" t="str">
        <f>IFERROR(SUMIFS('caseload data'!Q:Q,'caseload data'!$C:$C,'custody %'!$B$50,'caseload data'!$D:$D,"TPO",'caseload data'!$B:$B,"custody")/SUMIFS('caseload data'!Q:Q,'caseload data'!$B:$B,"custody",'caseload data'!$C:$C,'custody %'!$B$50),"")</f>
        <v/>
      </c>
      <c r="P54" s="209" t="str">
        <f>IFERROR(SUMIFS('caseload data'!R:R,'caseload data'!$C:$C,'custody %'!$B$50,'caseload data'!$D:$D,"TPO",'caseload data'!$B:$B,"custody")/SUMIFS('caseload data'!R:R,'caseload data'!$B:$B,"custody",'caseload data'!$C:$C,'custody %'!$B$50),"")</f>
        <v/>
      </c>
      <c r="Q54" s="209" t="str">
        <f>IFERROR(SUMIFS('caseload data'!S:S,'caseload data'!$C:$C,'custody %'!$B$50,'caseload data'!$D:$D,"TPO",'caseload data'!$B:$B,"custody")/SUMIFS('caseload data'!S:S,'caseload data'!$B:$B,"custody",'caseload data'!$C:$C,'custody %'!$B$50),"")</f>
        <v/>
      </c>
      <c r="R54" s="209" t="str">
        <f>IFERROR(SUMIFS('caseload data'!T:T,'caseload data'!$C:$C,'custody %'!$B$50,'caseload data'!$D:$D,"TPO",'caseload data'!$B:$B,"custody")/SUMIFS('caseload data'!T:T,'caseload data'!$B:$B,"custody",'caseload data'!$C:$C,'custody %'!$B$50),"")</f>
        <v/>
      </c>
      <c r="S54" s="95"/>
      <c r="T54" s="130" t="s">
        <v>186</v>
      </c>
      <c r="U54" s="209" t="str">
        <f>IFERROR(SUMIFS('caseload data'!E:E,'caseload data'!$C:$C,'custody %'!$T$50,'caseload data'!$D:$D,"TPO",'caseload data'!$B:$B,"custody")/SUMIFS('caseload data'!E:E,'caseload data'!$B:$B,"custody",'caseload data'!$C:$C,'custody %'!$T$50),"")</f>
        <v/>
      </c>
      <c r="V54" s="209" t="str">
        <f>IFERROR(SUMIFS('caseload data'!F:F,'caseload data'!$C:$C,'custody %'!$T$50,'caseload data'!$D:$D,"TPO",'caseload data'!$B:$B,"custody")/SUMIFS('caseload data'!F:F,'caseload data'!$B:$B,"custody",'caseload data'!$C:$C,'custody %'!$T$50),"")</f>
        <v/>
      </c>
      <c r="W54" s="209" t="str">
        <f>IFERROR(SUMIFS('caseload data'!G:G,'caseload data'!$C:$C,'custody %'!$T$50,'caseload data'!$D:$D,"TPO",'caseload data'!$B:$B,"custody")/SUMIFS('caseload data'!G:G,'caseload data'!$B:$B,"custody",'caseload data'!$C:$C,'custody %'!$T$50),"")</f>
        <v/>
      </c>
      <c r="X54" s="209" t="str">
        <f>IFERROR(SUMIFS('caseload data'!H:H,'caseload data'!$C:$C,'custody %'!$T$50,'caseload data'!$D:$D,"TPO",'caseload data'!$B:$B,"custody")/SUMIFS('caseload data'!H:H,'caseload data'!$B:$B,"custody",'caseload data'!$C:$C,'custody %'!$T$50),"")</f>
        <v/>
      </c>
      <c r="Y54" s="209" t="str">
        <f>IFERROR(SUMIFS('caseload data'!I:I,'caseload data'!$C:$C,'custody %'!$T$50,'caseload data'!$D:$D,"TPO",'caseload data'!$B:$B,"custody")/SUMIFS('caseload data'!I:I,'caseload data'!$B:$B,"custody",'caseload data'!$C:$C,'custody %'!$T$50),"")</f>
        <v/>
      </c>
      <c r="Z54" s="209" t="str">
        <f>IFERROR(SUMIFS('caseload data'!J:J,'caseload data'!$C:$C,'custody %'!$T$50,'caseload data'!$D:$D,"TPO",'caseload data'!$B:$B,"custody")/SUMIFS('caseload data'!J:J,'caseload data'!$B:$B,"custody",'caseload data'!$C:$C,'custody %'!$T$50),"")</f>
        <v/>
      </c>
      <c r="AA54" s="209" t="str">
        <f>IFERROR(SUMIFS('caseload data'!K:K,'caseload data'!$C:$C,'custody %'!$T$50,'caseload data'!$D:$D,"TPO",'caseload data'!$B:$B,"custody")/SUMIFS('caseload data'!K:K,'caseload data'!$B:$B,"custody",'caseload data'!$C:$C,'custody %'!$T$50),"")</f>
        <v/>
      </c>
      <c r="AB54" s="209" t="str">
        <f>IFERROR(SUMIFS('caseload data'!L:L,'caseload data'!$C:$C,'custody %'!$T$50,'caseload data'!$D:$D,"TPO",'caseload data'!$B:$B,"custody")/SUMIFS('caseload data'!L:L,'caseload data'!$B:$B,"custody",'caseload data'!$C:$C,'custody %'!$T$50),"")</f>
        <v/>
      </c>
      <c r="AC54" s="209" t="str">
        <f>IFERROR(SUMIFS('caseload data'!M:M,'caseload data'!$C:$C,'custody %'!$T$50,'caseload data'!$D:$D,"TPO",'caseload data'!$B:$B,"custody")/SUMIFS('caseload data'!M:M,'caseload data'!$B:$B,"custody",'caseload data'!$C:$C,'custody %'!$T$50),"")</f>
        <v/>
      </c>
      <c r="AD54" s="209" t="str">
        <f>IFERROR(SUMIFS('caseload data'!N:N,'caseload data'!$C:$C,'custody %'!$T$50,'caseload data'!$D:$D,"TPO",'caseload data'!$B:$B,"custody")/SUMIFS('caseload data'!N:N,'caseload data'!$B:$B,"custody",'caseload data'!$C:$C,'custody %'!$T$50),"")</f>
        <v/>
      </c>
      <c r="AE54" s="209" t="str">
        <f>IFERROR(SUMIFS('caseload data'!O:O,'caseload data'!$C:$C,'custody %'!$T$50,'caseload data'!$D:$D,"TPO",'caseload data'!$B:$B,"custody")/SUMIFS('caseload data'!O:O,'caseload data'!$B:$B,"custody",'caseload data'!$C:$C,'custody %'!$T$50),"")</f>
        <v/>
      </c>
      <c r="AF54" s="209" t="str">
        <f>IFERROR(SUMIFS('caseload data'!P:P,'caseload data'!$C:$C,'custody %'!$T$50,'caseload data'!$D:$D,"TPO",'caseload data'!$B:$B,"custody")/SUMIFS('caseload data'!P:P,'caseload data'!$B:$B,"custody",'caseload data'!$C:$C,'custody %'!$T$50),"")</f>
        <v/>
      </c>
      <c r="AG54" s="209" t="str">
        <f>IFERROR(SUMIFS('caseload data'!Q:Q,'caseload data'!$C:$C,'custody %'!$T$50,'caseload data'!$D:$D,"TPO",'caseload data'!$B:$B,"custody")/SUMIFS('caseload data'!Q:Q,'caseload data'!$B:$B,"custody",'caseload data'!$C:$C,'custody %'!$T$50),"")</f>
        <v/>
      </c>
      <c r="AH54" s="209" t="str">
        <f>IFERROR(SUMIFS('caseload data'!R:R,'caseload data'!$C:$C,'custody %'!$T$50,'caseload data'!$D:$D,"TPO",'caseload data'!$B:$B,"custody")/SUMIFS('caseload data'!R:R,'caseload data'!$B:$B,"custody",'caseload data'!$C:$C,'custody %'!$T$50),"")</f>
        <v/>
      </c>
      <c r="AI54" s="209"/>
      <c r="AJ54" s="209"/>
    </row>
    <row r="55" spans="2:36" x14ac:dyDescent="0.15">
      <c r="B55" s="131" t="s">
        <v>187</v>
      </c>
      <c r="C55" s="209" t="str">
        <f>IFERROR(SUMIFS('caseload data'!E:E,'caseload data'!$C:$C,'custody %'!$B$50,'caseload data'!$D:$D,"SPO",'caseload data'!$B:$B,"custody")/SUMIFS('caseload data'!E:E,'caseload data'!$B:$B,"custody",'caseload data'!$C:$C,'custody %'!$B$50),"")</f>
        <v/>
      </c>
      <c r="D55" s="209" t="str">
        <f>IFERROR(SUMIFS('caseload data'!F:F,'caseload data'!$C:$C,'custody %'!$B$50,'caseload data'!$D:$D,"SPO",'caseload data'!$B:$B,"custody")/SUMIFS('caseload data'!F:F,'caseload data'!$B:$B,"custody",'caseload data'!$C:$C,'custody %'!$B$50),"")</f>
        <v/>
      </c>
      <c r="E55" s="209" t="str">
        <f>IFERROR(SUMIFS('caseload data'!G:G,'caseload data'!$C:$C,'custody %'!$B$50,'caseload data'!$D:$D,"SPO",'caseload data'!$B:$B,"custody")/SUMIFS('caseload data'!G:G,'caseload data'!$B:$B,"custody",'caseload data'!$C:$C,'custody %'!$B$50),"")</f>
        <v/>
      </c>
      <c r="F55" s="209" t="str">
        <f>IFERROR(SUMIFS('caseload data'!H:H,'caseload data'!$C:$C,'custody %'!$B$50,'caseload data'!$D:$D,"SPO",'caseload data'!$B:$B,"custody")/SUMIFS('caseload data'!H:H,'caseload data'!$B:$B,"custody",'caseload data'!$C:$C,'custody %'!$B$50),"")</f>
        <v/>
      </c>
      <c r="G55" s="209" t="str">
        <f>IFERROR(SUMIFS('caseload data'!I:I,'caseload data'!$C:$C,'custody %'!$B$50,'caseload data'!$D:$D,"SPO",'caseload data'!$B:$B,"custody")/SUMIFS('caseload data'!I:I,'caseload data'!$B:$B,"custody",'caseload data'!$C:$C,'custody %'!$B$50),"")</f>
        <v/>
      </c>
      <c r="H55" s="209" t="str">
        <f>IFERROR(SUMIFS('caseload data'!J:J,'caseload data'!$C:$C,'custody %'!$B$50,'caseload data'!$D:$D,"SPO",'caseload data'!$B:$B,"custody")/SUMIFS('caseload data'!J:J,'caseload data'!$B:$B,"custody",'caseload data'!$C:$C,'custody %'!$B$50),"")</f>
        <v/>
      </c>
      <c r="I55" s="209" t="str">
        <f>IFERROR(SUMIFS('caseload data'!K:K,'caseload data'!$C:$C,'custody %'!$B$50,'caseload data'!$D:$D,"SPO",'caseload data'!$B:$B,"custody")/SUMIFS('caseload data'!K:K,'caseload data'!$B:$B,"custody",'caseload data'!$C:$C,'custody %'!$B$50),"")</f>
        <v/>
      </c>
      <c r="J55" s="209" t="str">
        <f>IFERROR(SUMIFS('caseload data'!L:L,'caseload data'!$C:$C,'custody %'!$B$50,'caseload data'!$D:$D,"SPO",'caseload data'!$B:$B,"custody")/SUMIFS('caseload data'!L:L,'caseload data'!$B:$B,"custody",'caseload data'!$C:$C,'custody %'!$B$50),"")</f>
        <v/>
      </c>
      <c r="K55" s="209" t="str">
        <f>IFERROR(SUMIFS('caseload data'!M:M,'caseload data'!$C:$C,'custody %'!$B$50,'caseload data'!$D:$D,"SPO",'caseload data'!$B:$B,"custody")/SUMIFS('caseload data'!M:M,'caseload data'!$B:$B,"custody",'caseload data'!$C:$C,'custody %'!$B$50),"")</f>
        <v/>
      </c>
      <c r="L55" s="209" t="str">
        <f>IFERROR(SUMIFS('caseload data'!N:N,'caseload data'!$C:$C,'custody %'!$B$50,'caseload data'!$D:$D,"SPO",'caseload data'!$B:$B,"custody")/SUMIFS('caseload data'!N:N,'caseload data'!$B:$B,"custody",'caseload data'!$C:$C,'custody %'!$B$50),"")</f>
        <v/>
      </c>
      <c r="M55" s="209" t="str">
        <f>IFERROR(SUMIFS('caseload data'!O:O,'caseload data'!$C:$C,'custody %'!$B$50,'caseload data'!$D:$D,"SPO",'caseload data'!$B:$B,"custody")/SUMIFS('caseload data'!O:O,'caseload data'!$B:$B,"custody",'caseload data'!$C:$C,'custody %'!$B$50),"")</f>
        <v/>
      </c>
      <c r="N55" s="209" t="str">
        <f>IFERROR(SUMIFS('caseload data'!P:P,'caseload data'!$C:$C,'custody %'!$B$50,'caseload data'!$D:$D,"SPO",'caseload data'!$B:$B,"custody")/SUMIFS('caseload data'!P:P,'caseload data'!$B:$B,"custody",'caseload data'!$C:$C,'custody %'!$B$50),"")</f>
        <v/>
      </c>
      <c r="O55" s="209" t="str">
        <f>IFERROR(SUMIFS('caseload data'!Q:Q,'caseload data'!$C:$C,'custody %'!$B$50,'caseload data'!$D:$D,"SPO",'caseload data'!$B:$B,"custody")/SUMIFS('caseload data'!Q:Q,'caseload data'!$B:$B,"custody",'caseload data'!$C:$C,'custody %'!$B$50),"")</f>
        <v/>
      </c>
      <c r="P55" s="209" t="str">
        <f>IFERROR(SUMIFS('caseload data'!R:R,'caseload data'!$C:$C,'custody %'!$B$50,'caseload data'!$D:$D,"SPO",'caseload data'!$B:$B,"custody")/SUMIFS('caseload data'!R:R,'caseload data'!$B:$B,"custody",'caseload data'!$C:$C,'custody %'!$B$50),"")</f>
        <v/>
      </c>
      <c r="Q55" s="209" t="str">
        <f>IFERROR(SUMIFS('caseload data'!S:S,'caseload data'!$C:$C,'custody %'!$B$50,'caseload data'!$D:$D,"SPO",'caseload data'!$B:$B,"custody")/SUMIFS('caseload data'!S:S,'caseload data'!$B:$B,"custody",'caseload data'!$C:$C,'custody %'!$B$50),"")</f>
        <v/>
      </c>
      <c r="R55" s="209" t="str">
        <f>IFERROR(SUMIFS('caseload data'!T:T,'caseload data'!$C:$C,'custody %'!$B$50,'caseload data'!$D:$D,"SPO",'caseload data'!$B:$B,"custody")/SUMIFS('caseload data'!T:T,'caseload data'!$B:$B,"custody",'caseload data'!$C:$C,'custody %'!$B$50),"")</f>
        <v/>
      </c>
      <c r="S55" s="95"/>
      <c r="T55" s="131" t="s">
        <v>187</v>
      </c>
      <c r="U55" s="209" t="str">
        <f>IFERROR(SUMIFS('caseload data'!E:E,'caseload data'!$C:$C,'custody %'!$T$50,'caseload data'!$D:$D,"SPO",'caseload data'!$B:$B,"custody")/SUMIFS('caseload data'!E:E,'caseload data'!$B:$B,"custody",'caseload data'!$C:$C,'custody %'!$T$50),"")</f>
        <v/>
      </c>
      <c r="V55" s="209" t="str">
        <f>IFERROR(SUMIFS('caseload data'!F:F,'caseload data'!$C:$C,'custody %'!$T$50,'caseload data'!$D:$D,"SPO",'caseload data'!$B:$B,"custody")/SUMIFS('caseload data'!F:F,'caseload data'!$B:$B,"custody",'caseload data'!$C:$C,'custody %'!$T$50),"")</f>
        <v/>
      </c>
      <c r="W55" s="209" t="str">
        <f>IFERROR(SUMIFS('caseload data'!G:G,'caseload data'!$C:$C,'custody %'!$T$50,'caseload data'!$D:$D,"SPO",'caseload data'!$B:$B,"custody")/SUMIFS('caseload data'!G:G,'caseload data'!$B:$B,"custody",'caseload data'!$C:$C,'custody %'!$T$50),"")</f>
        <v/>
      </c>
      <c r="X55" s="209" t="str">
        <f>IFERROR(SUMIFS('caseload data'!H:H,'caseload data'!$C:$C,'custody %'!$T$50,'caseload data'!$D:$D,"SPO",'caseload data'!$B:$B,"custody")/SUMIFS('caseload data'!H:H,'caseload data'!$B:$B,"custody",'caseload data'!$C:$C,'custody %'!$T$50),"")</f>
        <v/>
      </c>
      <c r="Y55" s="209" t="str">
        <f>IFERROR(SUMIFS('caseload data'!I:I,'caseload data'!$C:$C,'custody %'!$T$50,'caseload data'!$D:$D,"SPO",'caseload data'!$B:$B,"custody")/SUMIFS('caseload data'!I:I,'caseload data'!$B:$B,"custody",'caseload data'!$C:$C,'custody %'!$T$50),"")</f>
        <v/>
      </c>
      <c r="Z55" s="209" t="str">
        <f>IFERROR(SUMIFS('caseload data'!J:J,'caseload data'!$C:$C,'custody %'!$T$50,'caseload data'!$D:$D,"SPO",'caseload data'!$B:$B,"custody")/SUMIFS('caseload data'!J:J,'caseload data'!$B:$B,"custody",'caseload data'!$C:$C,'custody %'!$T$50),"")</f>
        <v/>
      </c>
      <c r="AA55" s="209" t="str">
        <f>IFERROR(SUMIFS('caseload data'!K:K,'caseload data'!$C:$C,'custody %'!$T$50,'caseload data'!$D:$D,"SPO",'caseload data'!$B:$B,"custody")/SUMIFS('caseload data'!K:K,'caseload data'!$B:$B,"custody",'caseload data'!$C:$C,'custody %'!$T$50),"")</f>
        <v/>
      </c>
      <c r="AB55" s="209" t="str">
        <f>IFERROR(SUMIFS('caseload data'!L:L,'caseload data'!$C:$C,'custody %'!$T$50,'caseload data'!$D:$D,"SPO",'caseload data'!$B:$B,"custody")/SUMIFS('caseload data'!L:L,'caseload data'!$B:$B,"custody",'caseload data'!$C:$C,'custody %'!$T$50),"")</f>
        <v/>
      </c>
      <c r="AC55" s="209" t="str">
        <f>IFERROR(SUMIFS('caseload data'!M:M,'caseload data'!$C:$C,'custody %'!$T$50,'caseload data'!$D:$D,"SPO",'caseload data'!$B:$B,"custody")/SUMIFS('caseload data'!M:M,'caseload data'!$B:$B,"custody",'caseload data'!$C:$C,'custody %'!$T$50),"")</f>
        <v/>
      </c>
      <c r="AD55" s="209" t="str">
        <f>IFERROR(SUMIFS('caseload data'!N:N,'caseload data'!$C:$C,'custody %'!$T$50,'caseload data'!$D:$D,"SPO",'caseload data'!$B:$B,"custody")/SUMIFS('caseload data'!N:N,'caseload data'!$B:$B,"custody",'caseload data'!$C:$C,'custody %'!$T$50),"")</f>
        <v/>
      </c>
      <c r="AE55" s="209" t="str">
        <f>IFERROR(SUMIFS('caseload data'!O:O,'caseload data'!$C:$C,'custody %'!$T$50,'caseload data'!$D:$D,"SPO",'caseload data'!$B:$B,"custody")/SUMIFS('caseload data'!O:O,'caseload data'!$B:$B,"custody",'caseload data'!$C:$C,'custody %'!$T$50),"")</f>
        <v/>
      </c>
      <c r="AF55" s="209" t="str">
        <f>IFERROR(SUMIFS('caseload data'!P:P,'caseload data'!$C:$C,'custody %'!$T$50,'caseload data'!$D:$D,"SPO",'caseload data'!$B:$B,"custody")/SUMIFS('caseload data'!P:P,'caseload data'!$B:$B,"custody",'caseload data'!$C:$C,'custody %'!$T$50),"")</f>
        <v/>
      </c>
      <c r="AG55" s="209" t="str">
        <f>IFERROR(SUMIFS('caseload data'!Q:Q,'caseload data'!$C:$C,'custody %'!$T$50,'caseload data'!$D:$D,"SPO",'caseload data'!$B:$B,"custody")/SUMIFS('caseload data'!Q:Q,'caseload data'!$B:$B,"custody",'caseload data'!$C:$C,'custody %'!$T$50),"")</f>
        <v/>
      </c>
      <c r="AH55" s="209" t="str">
        <f>IFERROR(SUMIFS('caseload data'!R:R,'caseload data'!$C:$C,'custody %'!$T$50,'caseload data'!$D:$D,"SPO",'caseload data'!$B:$B,"custody")/SUMIFS('caseload data'!R:R,'caseload data'!$B:$B,"custody",'caseload data'!$C:$C,'custody %'!$T$50),"")</f>
        <v/>
      </c>
      <c r="AI55" s="209"/>
      <c r="AJ55" s="209"/>
    </row>
    <row r="56" spans="2:36" x14ac:dyDescent="0.15">
      <c r="B56" s="183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183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</row>
    <row r="57" spans="2:36" ht="28.5" customHeight="1" x14ac:dyDescent="0.15">
      <c r="B57" s="182" t="str">
        <f>HLOOKUP($B$5,Region_Table,16,0)</f>
        <v>Headquarters - N07</v>
      </c>
      <c r="C57" s="359" t="s">
        <v>366</v>
      </c>
      <c r="D57" s="365"/>
      <c r="E57" s="365"/>
      <c r="F57" s="365"/>
      <c r="G57" s="365"/>
      <c r="H57" s="365"/>
      <c r="I57" s="365"/>
      <c r="J57" s="365"/>
      <c r="K57" s="365"/>
      <c r="L57" s="365"/>
      <c r="M57" s="368"/>
      <c r="N57" s="368"/>
      <c r="O57" s="369"/>
      <c r="P57" s="362">
        <f>SUMIF('caseload data'!$C:$C,'custody %'!B57,'caseload data'!V:V)</f>
        <v>0</v>
      </c>
      <c r="Q57" s="370"/>
      <c r="R57" s="371"/>
      <c r="S57" s="95"/>
      <c r="T57" s="182" t="str">
        <f>HLOOKUP($B$5,Region_Table,17,0)</f>
        <v>Inactive Level 2(N07)</v>
      </c>
      <c r="U57" s="359" t="s">
        <v>366</v>
      </c>
      <c r="V57" s="365"/>
      <c r="W57" s="365"/>
      <c r="X57" s="365"/>
      <c r="Y57" s="365"/>
      <c r="Z57" s="365"/>
      <c r="AA57" s="365"/>
      <c r="AB57" s="365"/>
      <c r="AC57" s="368"/>
      <c r="AD57" s="368"/>
      <c r="AE57" s="369"/>
      <c r="AF57" s="362">
        <f>SUMIF('caseload data'!$C:$C,'custody %'!T57,'caseload data'!V:V)</f>
        <v>0</v>
      </c>
      <c r="AG57" s="370"/>
      <c r="AH57" s="371"/>
    </row>
    <row r="58" spans="2:36" x14ac:dyDescent="0.15">
      <c r="B58" s="127" t="s">
        <v>324</v>
      </c>
      <c r="C58" s="58" t="s">
        <v>504</v>
      </c>
      <c r="D58" s="58" t="s">
        <v>503</v>
      </c>
      <c r="E58" s="58" t="s">
        <v>502</v>
      </c>
      <c r="F58" s="58" t="s">
        <v>501</v>
      </c>
      <c r="G58" s="58" t="s">
        <v>510</v>
      </c>
      <c r="H58" s="58" t="s">
        <v>176</v>
      </c>
      <c r="I58" s="58" t="s">
        <v>177</v>
      </c>
      <c r="J58" s="58" t="s">
        <v>505</v>
      </c>
      <c r="K58" s="58" t="s">
        <v>507</v>
      </c>
      <c r="L58" s="58" t="s">
        <v>178</v>
      </c>
      <c r="M58" s="58" t="s">
        <v>179</v>
      </c>
      <c r="N58" s="58" t="s">
        <v>506</v>
      </c>
      <c r="O58" s="58" t="s">
        <v>508</v>
      </c>
      <c r="P58" s="58" t="s">
        <v>180</v>
      </c>
      <c r="Q58" s="58" t="s">
        <v>181</v>
      </c>
      <c r="R58" s="58" t="s">
        <v>509</v>
      </c>
      <c r="S58" s="95"/>
      <c r="T58" s="127" t="s">
        <v>324</v>
      </c>
      <c r="U58" s="58" t="s">
        <v>504</v>
      </c>
      <c r="V58" s="58" t="s">
        <v>503</v>
      </c>
      <c r="W58" s="58" t="s">
        <v>502</v>
      </c>
      <c r="X58" s="58" t="s">
        <v>501</v>
      </c>
      <c r="Y58" s="58" t="s">
        <v>510</v>
      </c>
      <c r="Z58" s="58" t="s">
        <v>176</v>
      </c>
      <c r="AA58" s="58" t="s">
        <v>177</v>
      </c>
      <c r="AB58" s="58" t="s">
        <v>505</v>
      </c>
      <c r="AC58" s="58" t="s">
        <v>507</v>
      </c>
      <c r="AD58" s="58" t="s">
        <v>178</v>
      </c>
      <c r="AE58" s="58" t="s">
        <v>179</v>
      </c>
      <c r="AF58" s="58" t="s">
        <v>506</v>
      </c>
      <c r="AG58" s="58" t="s">
        <v>508</v>
      </c>
      <c r="AH58" s="58" t="s">
        <v>180</v>
      </c>
      <c r="AI58" s="58" t="s">
        <v>181</v>
      </c>
      <c r="AJ58" s="58" t="s">
        <v>509</v>
      </c>
    </row>
    <row r="59" spans="2:36" x14ac:dyDescent="0.15">
      <c r="B59" s="129" t="s">
        <v>184</v>
      </c>
      <c r="C59" s="209" t="str">
        <f>IFERROR(SUMIFS('caseload data'!E:E,'caseload data'!$C:$C,'custody %'!$B$57,'caseload data'!$D:$D,"PO",'caseload data'!$B:$B,"custody")/SUMIFS('caseload data'!E:E,'caseload data'!$B:$B,"custody",'caseload data'!$C:$C,'custody %'!$B$57),"")</f>
        <v/>
      </c>
      <c r="D59" s="209" t="str">
        <f>IFERROR(SUMIFS('caseload data'!F:F,'caseload data'!$C:$C,'custody %'!$B$57,'caseload data'!$D:$D,"PO",'caseload data'!$B:$B,"custody")/SUMIFS('caseload data'!F:F,'caseload data'!$B:$B,"custody",'caseload data'!$C:$C,'custody %'!$B$57),"")</f>
        <v/>
      </c>
      <c r="E59" s="209" t="str">
        <f>IFERROR(SUMIFS('caseload data'!G:G,'caseload data'!$C:$C,'custody %'!$B$57,'caseload data'!$D:$D,"PO",'caseload data'!$B:$B,"custody")/SUMIFS('caseload data'!G:G,'caseload data'!$B:$B,"custody",'caseload data'!$C:$C,'custody %'!$B$57),"")</f>
        <v/>
      </c>
      <c r="F59" s="209" t="str">
        <f>IFERROR(SUMIFS('caseload data'!H:H,'caseload data'!$C:$C,'custody %'!$B$57,'caseload data'!$D:$D,"PO",'caseload data'!$B:$B,"custody")/SUMIFS('caseload data'!H:H,'caseload data'!$B:$B,"custody",'caseload data'!$C:$C,'custody %'!$B$57),"")</f>
        <v/>
      </c>
      <c r="G59" s="209" t="str">
        <f>IFERROR(SUMIFS('caseload data'!I:I,'caseload data'!$C:$C,'custody %'!$B$57,'caseload data'!$D:$D,"PO",'caseload data'!$B:$B,"custody")/SUMIFS('caseload data'!I:I,'caseload data'!$B:$B,"custody",'caseload data'!$C:$C,'custody %'!$B$57),"")</f>
        <v/>
      </c>
      <c r="H59" s="209" t="str">
        <f>IFERROR(SUMIFS('caseload data'!J:J,'caseload data'!$C:$C,'custody %'!$B$57,'caseload data'!$D:$D,"PO",'caseload data'!$B:$B,"custody")/SUMIFS('caseload data'!J:J,'caseload data'!$B:$B,"custody",'caseload data'!$C:$C,'custody %'!$B$57),"")</f>
        <v/>
      </c>
      <c r="I59" s="209" t="str">
        <f>IFERROR(SUMIFS('caseload data'!K:K,'caseload data'!$C:$C,'custody %'!$B$57,'caseload data'!$D:$D,"PO",'caseload data'!$B:$B,"custody")/SUMIFS('caseload data'!K:K,'caseload data'!$B:$B,"custody",'caseload data'!$C:$C,'custody %'!$B$57),"")</f>
        <v/>
      </c>
      <c r="J59" s="209" t="str">
        <f>IFERROR(SUMIFS('caseload data'!L:L,'caseload data'!$C:$C,'custody %'!$B$57,'caseload data'!$D:$D,"PO",'caseload data'!$B:$B,"custody")/SUMIFS('caseload data'!L:L,'caseload data'!$B:$B,"custody",'caseload data'!$C:$C,'custody %'!$B$57),"")</f>
        <v/>
      </c>
      <c r="K59" s="209" t="str">
        <f>IFERROR(SUMIFS('caseload data'!M:M,'caseload data'!$C:$C,'custody %'!$B$57,'caseload data'!$D:$D,"PO",'caseload data'!$B:$B,"custody")/SUMIFS('caseload data'!M:M,'caseload data'!$B:$B,"custody",'caseload data'!$C:$C,'custody %'!$B$57),"")</f>
        <v/>
      </c>
      <c r="L59" s="209" t="str">
        <f>IFERROR(SUMIFS('caseload data'!N:N,'caseload data'!$C:$C,'custody %'!$B$57,'caseload data'!$D:$D,"PO",'caseload data'!$B:$B,"custody")/SUMIFS('caseload data'!N:N,'caseload data'!$B:$B,"custody",'caseload data'!$C:$C,'custody %'!$B$57),"")</f>
        <v/>
      </c>
      <c r="M59" s="209" t="str">
        <f>IFERROR(SUMIFS('caseload data'!O:O,'caseload data'!$C:$C,'custody %'!$B$57,'caseload data'!$D:$D,"PO",'caseload data'!$B:$B,"custody")/SUMIFS('caseload data'!O:O,'caseload data'!$B:$B,"custody",'caseload data'!$C:$C,'custody %'!$B$57),"")</f>
        <v/>
      </c>
      <c r="N59" s="209" t="str">
        <f>IFERROR(SUMIFS('caseload data'!P:P,'caseload data'!$C:$C,'custody %'!$B$57,'caseload data'!$D:$D,"PO",'caseload data'!$B:$B,"custody")/SUMIFS('caseload data'!P:P,'caseload data'!$B:$B,"custody",'caseload data'!$C:$C,'custody %'!$B$57),"")</f>
        <v/>
      </c>
      <c r="O59" s="209" t="str">
        <f>IFERROR(SUMIFS('caseload data'!Q:Q,'caseload data'!$C:$C,'custody %'!$B$57,'caseload data'!$D:$D,"PO",'caseload data'!$B:$B,"custody")/SUMIFS('caseload data'!Q:Q,'caseload data'!$B:$B,"custody",'caseload data'!$C:$C,'custody %'!$B$57),"")</f>
        <v/>
      </c>
      <c r="P59" s="209" t="str">
        <f>IFERROR(SUMIFS('caseload data'!R:R,'caseload data'!$C:$C,'custody %'!$B$57,'caseload data'!$D:$D,"PO",'caseload data'!$B:$B,"custody")/SUMIFS('caseload data'!R:R,'caseload data'!$B:$B,"custody",'caseload data'!$C:$C,'custody %'!$B$57),"")</f>
        <v/>
      </c>
      <c r="Q59" s="209" t="str">
        <f>IFERROR(SUMIFS('caseload data'!S:S,'caseload data'!$C:$C,'custody %'!$B$57,'caseload data'!$D:$D,"PO",'caseload data'!$B:$B,"custody")/SUMIFS('caseload data'!S:S,'caseload data'!$B:$B,"custody",'caseload data'!$C:$C,'custody %'!$B$57),"")</f>
        <v/>
      </c>
      <c r="R59" s="209" t="str">
        <f>IFERROR(SUMIFS('caseload data'!T:T,'caseload data'!$C:$C,'custody %'!$B$57,'caseload data'!$D:$D,"PO",'caseload data'!$B:$B,"custody")/SUMIFS('caseload data'!T:T,'caseload data'!$B:$B,"custody",'caseload data'!$C:$C,'custody %'!$B$57),"")</f>
        <v/>
      </c>
      <c r="S59" s="95"/>
      <c r="T59" s="129" t="s">
        <v>184</v>
      </c>
      <c r="U59" s="209" t="str">
        <f>IFERROR(SUMIFS('caseload data'!E:E,'caseload data'!$C:$C,'custody %'!$T$57,'caseload data'!$D:$D,"PO",'caseload data'!$B:$B,"custody")/SUMIFS('caseload data'!E:E,'caseload data'!$B:$B,"custody",'caseload data'!$C:$C,'custody %'!$T$57),"")</f>
        <v/>
      </c>
      <c r="V59" s="209" t="str">
        <f>IFERROR(SUMIFS('caseload data'!F:F,'caseload data'!$C:$C,'custody %'!$T$57,'caseload data'!$D:$D,"PO",'caseload data'!$B:$B,"custody")/SUMIFS('caseload data'!F:F,'caseload data'!$B:$B,"custody",'caseload data'!$C:$C,'custody %'!$T$57),"")</f>
        <v/>
      </c>
      <c r="W59" s="209" t="str">
        <f>IFERROR(SUMIFS('caseload data'!G:G,'caseload data'!$C:$C,'custody %'!$T$57,'caseload data'!$D:$D,"PO",'caseload data'!$B:$B,"custody")/SUMIFS('caseload data'!G:G,'caseload data'!$B:$B,"custody",'caseload data'!$C:$C,'custody %'!$T$57),"")</f>
        <v/>
      </c>
      <c r="X59" s="209" t="str">
        <f>IFERROR(SUMIFS('caseload data'!H:H,'caseload data'!$C:$C,'custody %'!$T$57,'caseload data'!$D:$D,"PO",'caseload data'!$B:$B,"custody")/SUMIFS('caseload data'!H:H,'caseload data'!$B:$B,"custody",'caseload data'!$C:$C,'custody %'!$T$57),"")</f>
        <v/>
      </c>
      <c r="Y59" s="209" t="str">
        <f>IFERROR(SUMIFS('caseload data'!I:I,'caseload data'!$C:$C,'custody %'!$T$57,'caseload data'!$D:$D,"PO",'caseload data'!$B:$B,"custody")/SUMIFS('caseload data'!I:I,'caseload data'!$B:$B,"custody",'caseload data'!$C:$C,'custody %'!$T$57),"")</f>
        <v/>
      </c>
      <c r="Z59" s="209" t="str">
        <f>IFERROR(SUMIFS('caseload data'!J:J,'caseload data'!$C:$C,'custody %'!$T$57,'caseload data'!$D:$D,"PO",'caseload data'!$B:$B,"custody")/SUMIFS('caseload data'!J:J,'caseload data'!$B:$B,"custody",'caseload data'!$C:$C,'custody %'!$T$57),"")</f>
        <v/>
      </c>
      <c r="AA59" s="209" t="str">
        <f>IFERROR(SUMIFS('caseload data'!K:K,'caseload data'!$C:$C,'custody %'!$T$57,'caseload data'!$D:$D,"PO",'caseload data'!$B:$B,"custody")/SUMIFS('caseload data'!K:K,'caseload data'!$B:$B,"custody",'caseload data'!$C:$C,'custody %'!$T$57),"")</f>
        <v/>
      </c>
      <c r="AB59" s="209" t="str">
        <f>IFERROR(SUMIFS('caseload data'!L:L,'caseload data'!$C:$C,'custody %'!$T$57,'caseload data'!$D:$D,"PO",'caseload data'!$B:$B,"custody")/SUMIFS('caseload data'!L:L,'caseload data'!$B:$B,"custody",'caseload data'!$C:$C,'custody %'!$T$57),"")</f>
        <v/>
      </c>
      <c r="AC59" s="209" t="str">
        <f>IFERROR(SUMIFS('caseload data'!M:M,'caseload data'!$C:$C,'custody %'!$T$57,'caseload data'!$D:$D,"PO",'caseload data'!$B:$B,"custody")/SUMIFS('caseload data'!M:M,'caseload data'!$B:$B,"custody",'caseload data'!$C:$C,'custody %'!$T$57),"")</f>
        <v/>
      </c>
      <c r="AD59" s="209" t="str">
        <f>IFERROR(SUMIFS('caseload data'!N:N,'caseload data'!$C:$C,'custody %'!$T$57,'caseload data'!$D:$D,"PO",'caseload data'!$B:$B,"custody")/SUMIFS('caseload data'!N:N,'caseload data'!$B:$B,"custody",'caseload data'!$C:$C,'custody %'!$T$57),"")</f>
        <v/>
      </c>
      <c r="AE59" s="209" t="str">
        <f>IFERROR(SUMIFS('caseload data'!O:O,'caseload data'!$C:$C,'custody %'!$T$57,'caseload data'!$D:$D,"PO",'caseload data'!$B:$B,"custody")/SUMIFS('caseload data'!O:O,'caseload data'!$B:$B,"custody",'caseload data'!$C:$C,'custody %'!$T$57),"")</f>
        <v/>
      </c>
      <c r="AF59" s="209" t="str">
        <f>IFERROR(SUMIFS('caseload data'!P:P,'caseload data'!$C:$C,'custody %'!$T$57,'caseload data'!$D:$D,"PO",'caseload data'!$B:$B,"custody")/SUMIFS('caseload data'!P:P,'caseload data'!$B:$B,"custody",'caseload data'!$C:$C,'custody %'!$T$57),"")</f>
        <v/>
      </c>
      <c r="AG59" s="209" t="str">
        <f>IFERROR(SUMIFS('caseload data'!Q:Q,'caseload data'!$C:$C,'custody %'!$T$57,'caseload data'!$D:$D,"PO",'caseload data'!$B:$B,"custody")/SUMIFS('caseload data'!Q:Q,'caseload data'!$B:$B,"custody",'caseload data'!$C:$C,'custody %'!$T$57),"")</f>
        <v/>
      </c>
      <c r="AH59" s="209" t="str">
        <f>IFERROR(SUMIFS('caseload data'!R:R,'caseload data'!$C:$C,'custody %'!$T$57,'caseload data'!$D:$D,"PO",'caseload data'!$B:$B,"custody")/SUMIFS('caseload data'!R:R,'caseload data'!$B:$B,"custody",'caseload data'!$C:$C,'custody %'!$T$57),"")</f>
        <v/>
      </c>
      <c r="AI59" s="209"/>
      <c r="AJ59" s="209"/>
    </row>
    <row r="60" spans="2:36" x14ac:dyDescent="0.15">
      <c r="B60" s="130" t="s">
        <v>185</v>
      </c>
      <c r="C60" s="209" t="str">
        <f>IFERROR(SUMIFS('caseload data'!E:E,'caseload data'!$C:$C,'custody %'!$B$57,'caseload data'!$D:$D,"PSO",'caseload data'!$B:$B,"custody")/SUMIFS('caseload data'!E:E,'caseload data'!$B:$B,"custody",'caseload data'!$C:$C,'custody %'!$B$57),"")</f>
        <v/>
      </c>
      <c r="D60" s="209" t="str">
        <f>IFERROR(SUMIFS('caseload data'!F:F,'caseload data'!$C:$C,'custody %'!$B$57,'caseload data'!$D:$D,"PSO",'caseload data'!$B:$B,"custody")/SUMIFS('caseload data'!F:F,'caseload data'!$B:$B,"custody",'caseload data'!$C:$C,'custody %'!$B$57),"")</f>
        <v/>
      </c>
      <c r="E60" s="209" t="str">
        <f>IFERROR(SUMIFS('caseload data'!G:G,'caseload data'!$C:$C,'custody %'!$B$57,'caseload data'!$D:$D,"PSO",'caseload data'!$B:$B,"custody")/SUMIFS('caseload data'!G:G,'caseload data'!$B:$B,"custody",'caseload data'!$C:$C,'custody %'!$B$57),"")</f>
        <v/>
      </c>
      <c r="F60" s="209" t="str">
        <f>IFERROR(SUMIFS('caseload data'!H:H,'caseload data'!$C:$C,'custody %'!$B$57,'caseload data'!$D:$D,"PSO",'caseload data'!$B:$B,"custody")/SUMIFS('caseload data'!H:H,'caseload data'!$B:$B,"custody",'caseload data'!$C:$C,'custody %'!$B$57),"")</f>
        <v/>
      </c>
      <c r="G60" s="209" t="str">
        <f>IFERROR(SUMIFS('caseload data'!I:I,'caseload data'!$C:$C,'custody %'!$B$57,'caseload data'!$D:$D,"PSO",'caseload data'!$B:$B,"custody")/SUMIFS('caseload data'!I:I,'caseload data'!$B:$B,"custody",'caseload data'!$C:$C,'custody %'!$B$57),"")</f>
        <v/>
      </c>
      <c r="H60" s="209" t="str">
        <f>IFERROR(SUMIFS('caseload data'!J:J,'caseload data'!$C:$C,'custody %'!$B$57,'caseload data'!$D:$D,"PSO",'caseload data'!$B:$B,"custody")/SUMIFS('caseload data'!J:J,'caseload data'!$B:$B,"custody",'caseload data'!$C:$C,'custody %'!$B$57),"")</f>
        <v/>
      </c>
      <c r="I60" s="209" t="str">
        <f>IFERROR(SUMIFS('caseload data'!K:K,'caseload data'!$C:$C,'custody %'!$B$57,'caseload data'!$D:$D,"PSO",'caseload data'!$B:$B,"custody")/SUMIFS('caseload data'!K:K,'caseload data'!$B:$B,"custody",'caseload data'!$C:$C,'custody %'!$B$57),"")</f>
        <v/>
      </c>
      <c r="J60" s="209" t="str">
        <f>IFERROR(SUMIFS('caseload data'!L:L,'caseload data'!$C:$C,'custody %'!$B$57,'caseload data'!$D:$D,"PSO",'caseload data'!$B:$B,"custody")/SUMIFS('caseload data'!L:L,'caseload data'!$B:$B,"custody",'caseload data'!$C:$C,'custody %'!$B$57),"")</f>
        <v/>
      </c>
      <c r="K60" s="209" t="str">
        <f>IFERROR(SUMIFS('caseload data'!M:M,'caseload data'!$C:$C,'custody %'!$B$57,'caseload data'!$D:$D,"PSO",'caseload data'!$B:$B,"custody")/SUMIFS('caseload data'!M:M,'caseload data'!$B:$B,"custody",'caseload data'!$C:$C,'custody %'!$B$57),"")</f>
        <v/>
      </c>
      <c r="L60" s="209" t="str">
        <f>IFERROR(SUMIFS('caseload data'!N:N,'caseload data'!$C:$C,'custody %'!$B$57,'caseload data'!$D:$D,"PSO",'caseload data'!$B:$B,"custody")/SUMIFS('caseload data'!N:N,'caseload data'!$B:$B,"custody",'caseload data'!$C:$C,'custody %'!$B$57),"")</f>
        <v/>
      </c>
      <c r="M60" s="209" t="str">
        <f>IFERROR(SUMIFS('caseload data'!O:O,'caseload data'!$C:$C,'custody %'!$B$57,'caseload data'!$D:$D,"PSO",'caseload data'!$B:$B,"custody")/SUMIFS('caseload data'!O:O,'caseload data'!$B:$B,"custody",'caseload data'!$C:$C,'custody %'!$B$57),"")</f>
        <v/>
      </c>
      <c r="N60" s="209" t="str">
        <f>IFERROR(SUMIFS('caseload data'!P:P,'caseload data'!$C:$C,'custody %'!$B$57,'caseload data'!$D:$D,"PSO",'caseload data'!$B:$B,"custody")/SUMIFS('caseload data'!P:P,'caseload data'!$B:$B,"custody",'caseload data'!$C:$C,'custody %'!$B$57),"")</f>
        <v/>
      </c>
      <c r="O60" s="209" t="str">
        <f>IFERROR(SUMIFS('caseload data'!Q:Q,'caseload data'!$C:$C,'custody %'!$B$57,'caseload data'!$D:$D,"PSO",'caseload data'!$B:$B,"custody")/SUMIFS('caseload data'!Q:Q,'caseload data'!$B:$B,"custody",'caseload data'!$C:$C,'custody %'!$B$57),"")</f>
        <v/>
      </c>
      <c r="P60" s="209" t="str">
        <f>IFERROR(SUMIFS('caseload data'!R:R,'caseload data'!$C:$C,'custody %'!$B$57,'caseload data'!$D:$D,"PSO",'caseload data'!$B:$B,"custody")/SUMIFS('caseload data'!R:R,'caseload data'!$B:$B,"custody",'caseload data'!$C:$C,'custody %'!$B$57),"")</f>
        <v/>
      </c>
      <c r="Q60" s="209" t="str">
        <f>IFERROR(SUMIFS('caseload data'!S:S,'caseload data'!$C:$C,'custody %'!$B$57,'caseload data'!$D:$D,"PSO",'caseload data'!$B:$B,"custody")/SUMIFS('caseload data'!S:S,'caseload data'!$B:$B,"custody",'caseload data'!$C:$C,'custody %'!$B$57),"")</f>
        <v/>
      </c>
      <c r="R60" s="209" t="str">
        <f>IFERROR(SUMIFS('caseload data'!T:T,'caseload data'!$C:$C,'custody %'!$B$57,'caseload data'!$D:$D,"PSO",'caseload data'!$B:$B,"custody")/SUMIFS('caseload data'!T:T,'caseload data'!$B:$B,"custody",'caseload data'!$C:$C,'custody %'!$B$57),"")</f>
        <v/>
      </c>
      <c r="S60" s="95"/>
      <c r="T60" s="130" t="s">
        <v>185</v>
      </c>
      <c r="U60" s="209" t="str">
        <f>IFERROR(SUMIFS('caseload data'!E:E,'caseload data'!$C:$C,'custody %'!$T$57,'caseload data'!$D:$D,"PSO",'caseload data'!$B:$B,"custody")/SUMIFS('caseload data'!E:E,'caseload data'!$B:$B,"custody",'caseload data'!$C:$C,'custody %'!$T$57),"")</f>
        <v/>
      </c>
      <c r="V60" s="209" t="str">
        <f>IFERROR(SUMIFS('caseload data'!F:F,'caseload data'!$C:$C,'custody %'!$T$57,'caseload data'!$D:$D,"PSO",'caseload data'!$B:$B,"custody")/SUMIFS('caseload data'!F:F,'caseload data'!$B:$B,"custody",'caseload data'!$C:$C,'custody %'!$T$57),"")</f>
        <v/>
      </c>
      <c r="W60" s="209" t="str">
        <f>IFERROR(SUMIFS('caseload data'!G:G,'caseload data'!$C:$C,'custody %'!$T$57,'caseload data'!$D:$D,"PSO",'caseload data'!$B:$B,"custody")/SUMIFS('caseload data'!G:G,'caseload data'!$B:$B,"custody",'caseload data'!$C:$C,'custody %'!$T$57),"")</f>
        <v/>
      </c>
      <c r="X60" s="209" t="str">
        <f>IFERROR(SUMIFS('caseload data'!H:H,'caseload data'!$C:$C,'custody %'!$T$57,'caseload data'!$D:$D,"PSO",'caseload data'!$B:$B,"custody")/SUMIFS('caseload data'!H:H,'caseload data'!$B:$B,"custody",'caseload data'!$C:$C,'custody %'!$T$57),"")</f>
        <v/>
      </c>
      <c r="Y60" s="209" t="str">
        <f>IFERROR(SUMIFS('caseload data'!I:I,'caseload data'!$C:$C,'custody %'!$T$57,'caseload data'!$D:$D,"PSO",'caseload data'!$B:$B,"custody")/SUMIFS('caseload data'!I:I,'caseload data'!$B:$B,"custody",'caseload data'!$C:$C,'custody %'!$T$57),"")</f>
        <v/>
      </c>
      <c r="Z60" s="209" t="str">
        <f>IFERROR(SUMIFS('caseload data'!J:J,'caseload data'!$C:$C,'custody %'!$T$57,'caseload data'!$D:$D,"PSO",'caseload data'!$B:$B,"custody")/SUMIFS('caseload data'!J:J,'caseload data'!$B:$B,"custody",'caseload data'!$C:$C,'custody %'!$T$57),"")</f>
        <v/>
      </c>
      <c r="AA60" s="209" t="str">
        <f>IFERROR(SUMIFS('caseload data'!K:K,'caseload data'!$C:$C,'custody %'!$T$57,'caseload data'!$D:$D,"PSO",'caseload data'!$B:$B,"custody")/SUMIFS('caseload data'!K:K,'caseload data'!$B:$B,"custody",'caseload data'!$C:$C,'custody %'!$T$57),"")</f>
        <v/>
      </c>
      <c r="AB60" s="209" t="str">
        <f>IFERROR(SUMIFS('caseload data'!L:L,'caseload data'!$C:$C,'custody %'!$T$57,'caseload data'!$D:$D,"PSO",'caseload data'!$B:$B,"custody")/SUMIFS('caseload data'!L:L,'caseload data'!$B:$B,"custody",'caseload data'!$C:$C,'custody %'!$T$57),"")</f>
        <v/>
      </c>
      <c r="AC60" s="209" t="str">
        <f>IFERROR(SUMIFS('caseload data'!M:M,'caseload data'!$C:$C,'custody %'!$T$57,'caseload data'!$D:$D,"PSO",'caseload data'!$B:$B,"custody")/SUMIFS('caseload data'!M:M,'caseload data'!$B:$B,"custody",'caseload data'!$C:$C,'custody %'!$T$57),"")</f>
        <v/>
      </c>
      <c r="AD60" s="209" t="str">
        <f>IFERROR(SUMIFS('caseload data'!N:N,'caseload data'!$C:$C,'custody %'!$T$57,'caseload data'!$D:$D,"PSO",'caseload data'!$B:$B,"custody")/SUMIFS('caseload data'!N:N,'caseload data'!$B:$B,"custody",'caseload data'!$C:$C,'custody %'!$T$57),"")</f>
        <v/>
      </c>
      <c r="AE60" s="209" t="str">
        <f>IFERROR(SUMIFS('caseload data'!O:O,'caseload data'!$C:$C,'custody %'!$T$57,'caseload data'!$D:$D,"PSO",'caseload data'!$B:$B,"custody")/SUMIFS('caseload data'!O:O,'caseload data'!$B:$B,"custody",'caseload data'!$C:$C,'custody %'!$T$57),"")</f>
        <v/>
      </c>
      <c r="AF60" s="209" t="str">
        <f>IFERROR(SUMIFS('caseload data'!P:P,'caseload data'!$C:$C,'custody %'!$T$57,'caseload data'!$D:$D,"PSO",'caseload data'!$B:$B,"custody")/SUMIFS('caseload data'!P:P,'caseload data'!$B:$B,"custody",'caseload data'!$C:$C,'custody %'!$T$57),"")</f>
        <v/>
      </c>
      <c r="AG60" s="209" t="str">
        <f>IFERROR(SUMIFS('caseload data'!Q:Q,'caseload data'!$C:$C,'custody %'!$T$57,'caseload data'!$D:$D,"PSO",'caseload data'!$B:$B,"custody")/SUMIFS('caseload data'!Q:Q,'caseload data'!$B:$B,"custody",'caseload data'!$C:$C,'custody %'!$T$57),"")</f>
        <v/>
      </c>
      <c r="AH60" s="209" t="str">
        <f>IFERROR(SUMIFS('caseload data'!R:R,'caseload data'!$C:$C,'custody %'!$T$57,'caseload data'!$D:$D,"PSO",'caseload data'!$B:$B,"custody")/SUMIFS('caseload data'!R:R,'caseload data'!$B:$B,"custody",'caseload data'!$C:$C,'custody %'!$T$57),"")</f>
        <v/>
      </c>
      <c r="AI60" s="209"/>
      <c r="AJ60" s="209"/>
    </row>
    <row r="61" spans="2:36" x14ac:dyDescent="0.15">
      <c r="B61" s="130" t="s">
        <v>186</v>
      </c>
      <c r="C61" s="209" t="str">
        <f>IFERROR(SUMIFS('caseload data'!E:E,'caseload data'!$C:$C,'custody %'!$B$57,'caseload data'!$D:$D,"TPO",'caseload data'!$B:$B,"custody")/SUMIFS('caseload data'!E:E,'caseload data'!$B:$B,"custody",'caseload data'!$C:$C,'custody %'!$B$57),"")</f>
        <v/>
      </c>
      <c r="D61" s="209" t="str">
        <f>IFERROR(SUMIFS('caseload data'!F:F,'caseload data'!$C:$C,'custody %'!$B$57,'caseload data'!$D:$D,"TPO",'caseload data'!$B:$B,"custody")/SUMIFS('caseload data'!F:F,'caseload data'!$B:$B,"custody",'caseload data'!$C:$C,'custody %'!$B$57),"")</f>
        <v/>
      </c>
      <c r="E61" s="209" t="str">
        <f>IFERROR(SUMIFS('caseload data'!G:G,'caseload data'!$C:$C,'custody %'!$B$57,'caseload data'!$D:$D,"TPO",'caseload data'!$B:$B,"custody")/SUMIFS('caseload data'!G:G,'caseload data'!$B:$B,"custody",'caseload data'!$C:$C,'custody %'!$B$57),"")</f>
        <v/>
      </c>
      <c r="F61" s="209" t="str">
        <f>IFERROR(SUMIFS('caseload data'!H:H,'caseload data'!$C:$C,'custody %'!$B$57,'caseload data'!$D:$D,"TPO",'caseload data'!$B:$B,"custody")/SUMIFS('caseload data'!H:H,'caseload data'!$B:$B,"custody",'caseload data'!$C:$C,'custody %'!$B$57),"")</f>
        <v/>
      </c>
      <c r="G61" s="209" t="str">
        <f>IFERROR(SUMIFS('caseload data'!I:I,'caseload data'!$C:$C,'custody %'!$B$57,'caseload data'!$D:$D,"TPO",'caseload data'!$B:$B,"custody")/SUMIFS('caseload data'!I:I,'caseload data'!$B:$B,"custody",'caseload data'!$C:$C,'custody %'!$B$57),"")</f>
        <v/>
      </c>
      <c r="H61" s="209" t="str">
        <f>IFERROR(SUMIFS('caseload data'!J:J,'caseload data'!$C:$C,'custody %'!$B$57,'caseload data'!$D:$D,"TPO",'caseload data'!$B:$B,"custody")/SUMIFS('caseload data'!J:J,'caseload data'!$B:$B,"custody",'caseload data'!$C:$C,'custody %'!$B$57),"")</f>
        <v/>
      </c>
      <c r="I61" s="209" t="str">
        <f>IFERROR(SUMIFS('caseload data'!K:K,'caseload data'!$C:$C,'custody %'!$B$57,'caseload data'!$D:$D,"TPO",'caseload data'!$B:$B,"custody")/SUMIFS('caseload data'!K:K,'caseload data'!$B:$B,"custody",'caseload data'!$C:$C,'custody %'!$B$57),"")</f>
        <v/>
      </c>
      <c r="J61" s="209" t="str">
        <f>IFERROR(SUMIFS('caseload data'!L:L,'caseload data'!$C:$C,'custody %'!$B$57,'caseload data'!$D:$D,"TPO",'caseload data'!$B:$B,"custody")/SUMIFS('caseload data'!L:L,'caseload data'!$B:$B,"custody",'caseload data'!$C:$C,'custody %'!$B$57),"")</f>
        <v/>
      </c>
      <c r="K61" s="209" t="str">
        <f>IFERROR(SUMIFS('caseload data'!M:M,'caseload data'!$C:$C,'custody %'!$B$57,'caseload data'!$D:$D,"TPO",'caseload data'!$B:$B,"custody")/SUMIFS('caseload data'!M:M,'caseload data'!$B:$B,"custody",'caseload data'!$C:$C,'custody %'!$B$57),"")</f>
        <v/>
      </c>
      <c r="L61" s="209" t="str">
        <f>IFERROR(SUMIFS('caseload data'!N:N,'caseload data'!$C:$C,'custody %'!$B$57,'caseload data'!$D:$D,"TPO",'caseload data'!$B:$B,"custody")/SUMIFS('caseload data'!N:N,'caseload data'!$B:$B,"custody",'caseload data'!$C:$C,'custody %'!$B$57),"")</f>
        <v/>
      </c>
      <c r="M61" s="209" t="str">
        <f>IFERROR(SUMIFS('caseload data'!O:O,'caseload data'!$C:$C,'custody %'!$B$57,'caseload data'!$D:$D,"TPO",'caseload data'!$B:$B,"custody")/SUMIFS('caseload data'!O:O,'caseload data'!$B:$B,"custody",'caseload data'!$C:$C,'custody %'!$B$57),"")</f>
        <v/>
      </c>
      <c r="N61" s="209" t="str">
        <f>IFERROR(SUMIFS('caseload data'!P:P,'caseload data'!$C:$C,'custody %'!$B$57,'caseload data'!$D:$D,"TPO",'caseload data'!$B:$B,"custody")/SUMIFS('caseload data'!P:P,'caseload data'!$B:$B,"custody",'caseload data'!$C:$C,'custody %'!$B$57),"")</f>
        <v/>
      </c>
      <c r="O61" s="209" t="str">
        <f>IFERROR(SUMIFS('caseload data'!Q:Q,'caseload data'!$C:$C,'custody %'!$B$57,'caseload data'!$D:$D,"TPO",'caseload data'!$B:$B,"custody")/SUMIFS('caseload data'!Q:Q,'caseload data'!$B:$B,"custody",'caseload data'!$C:$C,'custody %'!$B$57),"")</f>
        <v/>
      </c>
      <c r="P61" s="209" t="str">
        <f>IFERROR(SUMIFS('caseload data'!R:R,'caseload data'!$C:$C,'custody %'!$B$57,'caseload data'!$D:$D,"TPO",'caseload data'!$B:$B,"custody")/SUMIFS('caseload data'!R:R,'caseload data'!$B:$B,"custody",'caseload data'!$C:$C,'custody %'!$B$57),"")</f>
        <v/>
      </c>
      <c r="Q61" s="209" t="str">
        <f>IFERROR(SUMIFS('caseload data'!S:S,'caseload data'!$C:$C,'custody %'!$B$57,'caseload data'!$D:$D,"TPO",'caseload data'!$B:$B,"custody")/SUMIFS('caseload data'!S:S,'caseload data'!$B:$B,"custody",'caseload data'!$C:$C,'custody %'!$B$57),"")</f>
        <v/>
      </c>
      <c r="R61" s="209" t="str">
        <f>IFERROR(SUMIFS('caseload data'!T:T,'caseload data'!$C:$C,'custody %'!$B$57,'caseload data'!$D:$D,"TPO",'caseload data'!$B:$B,"custody")/SUMIFS('caseload data'!T:T,'caseload data'!$B:$B,"custody",'caseload data'!$C:$C,'custody %'!$B$57),"")</f>
        <v/>
      </c>
      <c r="S61" s="95"/>
      <c r="T61" s="130" t="s">
        <v>186</v>
      </c>
      <c r="U61" s="209" t="str">
        <f>IFERROR(SUMIFS('caseload data'!E:E,'caseload data'!$C:$C,'custody %'!$T$57,'caseload data'!$D:$D,"TPO",'caseload data'!$B:$B,"custody")/SUMIFS('caseload data'!E:E,'caseload data'!$B:$B,"custody",'caseload data'!$C:$C,'custody %'!$T$57),"")</f>
        <v/>
      </c>
      <c r="V61" s="209" t="str">
        <f>IFERROR(SUMIFS('caseload data'!F:F,'caseload data'!$C:$C,'custody %'!$T$57,'caseload data'!$D:$D,"TPO",'caseload data'!$B:$B,"custody")/SUMIFS('caseload data'!F:F,'caseload data'!$B:$B,"custody",'caseload data'!$C:$C,'custody %'!$T$57),"")</f>
        <v/>
      </c>
      <c r="W61" s="209" t="str">
        <f>IFERROR(SUMIFS('caseload data'!G:G,'caseload data'!$C:$C,'custody %'!$T$57,'caseload data'!$D:$D,"TPO",'caseload data'!$B:$B,"custody")/SUMIFS('caseload data'!G:G,'caseload data'!$B:$B,"custody",'caseload data'!$C:$C,'custody %'!$T$57),"")</f>
        <v/>
      </c>
      <c r="X61" s="209" t="str">
        <f>IFERROR(SUMIFS('caseload data'!H:H,'caseload data'!$C:$C,'custody %'!$T$57,'caseload data'!$D:$D,"TPO",'caseload data'!$B:$B,"custody")/SUMIFS('caseload data'!H:H,'caseload data'!$B:$B,"custody",'caseload data'!$C:$C,'custody %'!$T$57),"")</f>
        <v/>
      </c>
      <c r="Y61" s="209" t="str">
        <f>IFERROR(SUMIFS('caseload data'!I:I,'caseload data'!$C:$C,'custody %'!$T$57,'caseload data'!$D:$D,"TPO",'caseload data'!$B:$B,"custody")/SUMIFS('caseload data'!I:I,'caseload data'!$B:$B,"custody",'caseload data'!$C:$C,'custody %'!$T$57),"")</f>
        <v/>
      </c>
      <c r="Z61" s="209" t="str">
        <f>IFERROR(SUMIFS('caseload data'!J:J,'caseload data'!$C:$C,'custody %'!$T$57,'caseload data'!$D:$D,"TPO",'caseload data'!$B:$B,"custody")/SUMIFS('caseload data'!J:J,'caseload data'!$B:$B,"custody",'caseload data'!$C:$C,'custody %'!$T$57),"")</f>
        <v/>
      </c>
      <c r="AA61" s="209" t="str">
        <f>IFERROR(SUMIFS('caseload data'!K:K,'caseload data'!$C:$C,'custody %'!$T$57,'caseload data'!$D:$D,"TPO",'caseload data'!$B:$B,"custody")/SUMIFS('caseload data'!K:K,'caseload data'!$B:$B,"custody",'caseload data'!$C:$C,'custody %'!$T$57),"")</f>
        <v/>
      </c>
      <c r="AB61" s="209" t="str">
        <f>IFERROR(SUMIFS('caseload data'!L:L,'caseload data'!$C:$C,'custody %'!$T$57,'caseload data'!$D:$D,"TPO",'caseload data'!$B:$B,"custody")/SUMIFS('caseload data'!L:L,'caseload data'!$B:$B,"custody",'caseload data'!$C:$C,'custody %'!$T$57),"")</f>
        <v/>
      </c>
      <c r="AC61" s="209" t="str">
        <f>IFERROR(SUMIFS('caseload data'!M:M,'caseload data'!$C:$C,'custody %'!$T$57,'caseload data'!$D:$D,"TPO",'caseload data'!$B:$B,"custody")/SUMIFS('caseload data'!M:M,'caseload data'!$B:$B,"custody",'caseload data'!$C:$C,'custody %'!$T$57),"")</f>
        <v/>
      </c>
      <c r="AD61" s="209" t="str">
        <f>IFERROR(SUMIFS('caseload data'!N:N,'caseload data'!$C:$C,'custody %'!$T$57,'caseload data'!$D:$D,"TPO",'caseload data'!$B:$B,"custody")/SUMIFS('caseload data'!N:N,'caseload data'!$B:$B,"custody",'caseload data'!$C:$C,'custody %'!$T$57),"")</f>
        <v/>
      </c>
      <c r="AE61" s="209" t="str">
        <f>IFERROR(SUMIFS('caseload data'!O:O,'caseload data'!$C:$C,'custody %'!$T$57,'caseload data'!$D:$D,"TPO",'caseload data'!$B:$B,"custody")/SUMIFS('caseload data'!O:O,'caseload data'!$B:$B,"custody",'caseload data'!$C:$C,'custody %'!$T$57),"")</f>
        <v/>
      </c>
      <c r="AF61" s="209" t="str">
        <f>IFERROR(SUMIFS('caseload data'!P:P,'caseload data'!$C:$C,'custody %'!$T$57,'caseload data'!$D:$D,"TPO",'caseload data'!$B:$B,"custody")/SUMIFS('caseload data'!P:P,'caseload data'!$B:$B,"custody",'caseload data'!$C:$C,'custody %'!$T$57),"")</f>
        <v/>
      </c>
      <c r="AG61" s="209" t="str">
        <f>IFERROR(SUMIFS('caseload data'!Q:Q,'caseload data'!$C:$C,'custody %'!$T$57,'caseload data'!$D:$D,"TPO",'caseload data'!$B:$B,"custody")/SUMIFS('caseload data'!Q:Q,'caseload data'!$B:$B,"custody",'caseload data'!$C:$C,'custody %'!$T$57),"")</f>
        <v/>
      </c>
      <c r="AH61" s="209" t="str">
        <f>IFERROR(SUMIFS('caseload data'!R:R,'caseload data'!$C:$C,'custody %'!$T$57,'caseload data'!$D:$D,"TPO",'caseload data'!$B:$B,"custody")/SUMIFS('caseload data'!R:R,'caseload data'!$B:$B,"custody",'caseload data'!$C:$C,'custody %'!$T$57),"")</f>
        <v/>
      </c>
      <c r="AI61" s="209"/>
      <c r="AJ61" s="209"/>
    </row>
    <row r="62" spans="2:36" x14ac:dyDescent="0.15">
      <c r="B62" s="131" t="s">
        <v>187</v>
      </c>
      <c r="C62" s="209" t="str">
        <f>IFERROR(SUMIFS('caseload data'!E:E,'caseload data'!$C:$C,'custody %'!$B$57,'caseload data'!$D:$D,"SPO",'caseload data'!$B:$B,"custody")/SUMIFS('caseload data'!E:E,'caseload data'!$B:$B,"custody",'caseload data'!$C:$C,'custody %'!$B$57),"")</f>
        <v/>
      </c>
      <c r="D62" s="209" t="str">
        <f>IFERROR(SUMIFS('caseload data'!F:F,'caseload data'!$C:$C,'custody %'!$B$57,'caseload data'!$D:$D,"SPO",'caseload data'!$B:$B,"custody")/SUMIFS('caseload data'!F:F,'caseload data'!$B:$B,"custody",'caseload data'!$C:$C,'custody %'!$B$57),"")</f>
        <v/>
      </c>
      <c r="E62" s="209" t="str">
        <f>IFERROR(SUMIFS('caseload data'!G:G,'caseload data'!$C:$C,'custody %'!$B$57,'caseload data'!$D:$D,"SPO",'caseload data'!$B:$B,"custody")/SUMIFS('caseload data'!G:G,'caseload data'!$B:$B,"custody",'caseload data'!$C:$C,'custody %'!$B$57),"")</f>
        <v/>
      </c>
      <c r="F62" s="209" t="str">
        <f>IFERROR(SUMIFS('caseload data'!H:H,'caseload data'!$C:$C,'custody %'!$B$57,'caseload data'!$D:$D,"SPO",'caseload data'!$B:$B,"custody")/SUMIFS('caseload data'!H:H,'caseload data'!$B:$B,"custody",'caseload data'!$C:$C,'custody %'!$B$57),"")</f>
        <v/>
      </c>
      <c r="G62" s="209" t="str">
        <f>IFERROR(SUMIFS('caseload data'!I:I,'caseload data'!$C:$C,'custody %'!$B$57,'caseload data'!$D:$D,"SPO",'caseload data'!$B:$B,"custody")/SUMIFS('caseload data'!I:I,'caseload data'!$B:$B,"custody",'caseload data'!$C:$C,'custody %'!$B$57),"")</f>
        <v/>
      </c>
      <c r="H62" s="209" t="str">
        <f>IFERROR(SUMIFS('caseload data'!J:J,'caseload data'!$C:$C,'custody %'!$B$57,'caseload data'!$D:$D,"SPO",'caseload data'!$B:$B,"custody")/SUMIFS('caseload data'!J:J,'caseload data'!$B:$B,"custody",'caseload data'!$C:$C,'custody %'!$B$57),"")</f>
        <v/>
      </c>
      <c r="I62" s="209" t="str">
        <f>IFERROR(SUMIFS('caseload data'!K:K,'caseload data'!$C:$C,'custody %'!$B$57,'caseload data'!$D:$D,"SPO",'caseload data'!$B:$B,"custody")/SUMIFS('caseload data'!K:K,'caseload data'!$B:$B,"custody",'caseload data'!$C:$C,'custody %'!$B$57),"")</f>
        <v/>
      </c>
      <c r="J62" s="209" t="str">
        <f>IFERROR(SUMIFS('caseload data'!L:L,'caseload data'!$C:$C,'custody %'!$B$57,'caseload data'!$D:$D,"SPO",'caseload data'!$B:$B,"custody")/SUMIFS('caseload data'!L:L,'caseload data'!$B:$B,"custody",'caseload data'!$C:$C,'custody %'!$B$57),"")</f>
        <v/>
      </c>
      <c r="K62" s="209" t="str">
        <f>IFERROR(SUMIFS('caseload data'!M:M,'caseload data'!$C:$C,'custody %'!$B$57,'caseload data'!$D:$D,"SPO",'caseload data'!$B:$B,"custody")/SUMIFS('caseload data'!M:M,'caseload data'!$B:$B,"custody",'caseload data'!$C:$C,'custody %'!$B$57),"")</f>
        <v/>
      </c>
      <c r="L62" s="209" t="str">
        <f>IFERROR(SUMIFS('caseload data'!N:N,'caseload data'!$C:$C,'custody %'!$B$57,'caseload data'!$D:$D,"SPO",'caseload data'!$B:$B,"custody")/SUMIFS('caseload data'!N:N,'caseload data'!$B:$B,"custody",'caseload data'!$C:$C,'custody %'!$B$57),"")</f>
        <v/>
      </c>
      <c r="M62" s="209" t="str">
        <f>IFERROR(SUMIFS('caseload data'!O:O,'caseload data'!$C:$C,'custody %'!$B$57,'caseload data'!$D:$D,"SPO",'caseload data'!$B:$B,"custody")/SUMIFS('caseload data'!O:O,'caseload data'!$B:$B,"custody",'caseload data'!$C:$C,'custody %'!$B$57),"")</f>
        <v/>
      </c>
      <c r="N62" s="209" t="str">
        <f>IFERROR(SUMIFS('caseload data'!P:P,'caseload data'!$C:$C,'custody %'!$B$57,'caseload data'!$D:$D,"SPO",'caseload data'!$B:$B,"custody")/SUMIFS('caseload data'!P:P,'caseload data'!$B:$B,"custody",'caseload data'!$C:$C,'custody %'!$B$57),"")</f>
        <v/>
      </c>
      <c r="O62" s="209" t="str">
        <f>IFERROR(SUMIFS('caseload data'!Q:Q,'caseload data'!$C:$C,'custody %'!$B$57,'caseload data'!$D:$D,"SPO",'caseload data'!$B:$B,"custody")/SUMIFS('caseload data'!Q:Q,'caseload data'!$B:$B,"custody",'caseload data'!$C:$C,'custody %'!$B$57),"")</f>
        <v/>
      </c>
      <c r="P62" s="209" t="str">
        <f>IFERROR(SUMIFS('caseload data'!R:R,'caseload data'!$C:$C,'custody %'!$B$57,'caseload data'!$D:$D,"SPO",'caseload data'!$B:$B,"custody")/SUMIFS('caseload data'!R:R,'caseload data'!$B:$B,"custody",'caseload data'!$C:$C,'custody %'!$B$57),"")</f>
        <v/>
      </c>
      <c r="Q62" s="209" t="str">
        <f>IFERROR(SUMIFS('caseload data'!S:S,'caseload data'!$C:$C,'custody %'!$B$57,'caseload data'!$D:$D,"SPO",'caseload data'!$B:$B,"custody")/SUMIFS('caseload data'!S:S,'caseload data'!$B:$B,"custody",'caseload data'!$C:$C,'custody %'!$B$57),"")</f>
        <v/>
      </c>
      <c r="R62" s="209" t="str">
        <f>IFERROR(SUMIFS('caseload data'!T:T,'caseload data'!$C:$C,'custody %'!$B$57,'caseload data'!$D:$D,"SPO",'caseload data'!$B:$B,"custody")/SUMIFS('caseload data'!T:T,'caseload data'!$B:$B,"custody",'caseload data'!$C:$C,'custody %'!$B$57),"")</f>
        <v/>
      </c>
      <c r="S62" s="95"/>
      <c r="T62" s="131" t="s">
        <v>187</v>
      </c>
      <c r="U62" s="209" t="str">
        <f>IFERROR(SUMIFS('caseload data'!E:E,'caseload data'!$C:$C,'custody %'!$T$57,'caseload data'!$D:$D,"SPO",'caseload data'!$B:$B,"custody")/SUMIFS('caseload data'!E:E,'caseload data'!$B:$B,"custody",'caseload data'!$C:$C,'custody %'!$T$57),"")</f>
        <v/>
      </c>
      <c r="V62" s="209" t="str">
        <f>IFERROR(SUMIFS('caseload data'!F:F,'caseload data'!$C:$C,'custody %'!$T$57,'caseload data'!$D:$D,"SPO",'caseload data'!$B:$B,"custody")/SUMIFS('caseload data'!F:F,'caseload data'!$B:$B,"custody",'caseload data'!$C:$C,'custody %'!$T$57),"")</f>
        <v/>
      </c>
      <c r="W62" s="209" t="str">
        <f>IFERROR(SUMIFS('caseload data'!G:G,'caseload data'!$C:$C,'custody %'!$T$57,'caseload data'!$D:$D,"SPO",'caseload data'!$B:$B,"custody")/SUMIFS('caseload data'!G:G,'caseload data'!$B:$B,"custody",'caseload data'!$C:$C,'custody %'!$T$57),"")</f>
        <v/>
      </c>
      <c r="X62" s="209" t="str">
        <f>IFERROR(SUMIFS('caseload data'!H:H,'caseload data'!$C:$C,'custody %'!$T$57,'caseload data'!$D:$D,"SPO",'caseload data'!$B:$B,"custody")/SUMIFS('caseload data'!H:H,'caseload data'!$B:$B,"custody",'caseload data'!$C:$C,'custody %'!$T$57),"")</f>
        <v/>
      </c>
      <c r="Y62" s="209" t="str">
        <f>IFERROR(SUMIFS('caseload data'!I:I,'caseload data'!$C:$C,'custody %'!$T$57,'caseload data'!$D:$D,"SPO",'caseload data'!$B:$B,"custody")/SUMIFS('caseload data'!I:I,'caseload data'!$B:$B,"custody",'caseload data'!$C:$C,'custody %'!$T$57),"")</f>
        <v/>
      </c>
      <c r="Z62" s="209" t="str">
        <f>IFERROR(SUMIFS('caseload data'!J:J,'caseload data'!$C:$C,'custody %'!$T$57,'caseload data'!$D:$D,"SPO",'caseload data'!$B:$B,"custody")/SUMIFS('caseload data'!J:J,'caseload data'!$B:$B,"custody",'caseload data'!$C:$C,'custody %'!$T$57),"")</f>
        <v/>
      </c>
      <c r="AA62" s="209" t="str">
        <f>IFERROR(SUMIFS('caseload data'!K:K,'caseload data'!$C:$C,'custody %'!$T$57,'caseload data'!$D:$D,"SPO",'caseload data'!$B:$B,"custody")/SUMIFS('caseload data'!K:K,'caseload data'!$B:$B,"custody",'caseload data'!$C:$C,'custody %'!$T$57),"")</f>
        <v/>
      </c>
      <c r="AB62" s="209" t="str">
        <f>IFERROR(SUMIFS('caseload data'!L:L,'caseload data'!$C:$C,'custody %'!$T$57,'caseload data'!$D:$D,"SPO",'caseload data'!$B:$B,"custody")/SUMIFS('caseload data'!L:L,'caseload data'!$B:$B,"custody",'caseload data'!$C:$C,'custody %'!$T$57),"")</f>
        <v/>
      </c>
      <c r="AC62" s="209" t="str">
        <f>IFERROR(SUMIFS('caseload data'!M:M,'caseload data'!$C:$C,'custody %'!$T$57,'caseload data'!$D:$D,"SPO",'caseload data'!$B:$B,"custody")/SUMIFS('caseload data'!M:M,'caseload data'!$B:$B,"custody",'caseload data'!$C:$C,'custody %'!$T$57),"")</f>
        <v/>
      </c>
      <c r="AD62" s="209" t="str">
        <f>IFERROR(SUMIFS('caseload data'!N:N,'caseload data'!$C:$C,'custody %'!$T$57,'caseload data'!$D:$D,"SPO",'caseload data'!$B:$B,"custody")/SUMIFS('caseload data'!N:N,'caseload data'!$B:$B,"custody",'caseload data'!$C:$C,'custody %'!$T$57),"")</f>
        <v/>
      </c>
      <c r="AE62" s="209" t="str">
        <f>IFERROR(SUMIFS('caseload data'!O:O,'caseload data'!$C:$C,'custody %'!$T$57,'caseload data'!$D:$D,"SPO",'caseload data'!$B:$B,"custody")/SUMIFS('caseload data'!O:O,'caseload data'!$B:$B,"custody",'caseload data'!$C:$C,'custody %'!$T$57),"")</f>
        <v/>
      </c>
      <c r="AF62" s="209" t="str">
        <f>IFERROR(SUMIFS('caseload data'!P:P,'caseload data'!$C:$C,'custody %'!$T$57,'caseload data'!$D:$D,"SPO",'caseload data'!$B:$B,"custody")/SUMIFS('caseload data'!P:P,'caseload data'!$B:$B,"custody",'caseload data'!$C:$C,'custody %'!$T$57),"")</f>
        <v/>
      </c>
      <c r="AG62" s="209" t="str">
        <f>IFERROR(SUMIFS('caseload data'!Q:Q,'caseload data'!$C:$C,'custody %'!$T$57,'caseload data'!$D:$D,"SPO",'caseload data'!$B:$B,"custody")/SUMIFS('caseload data'!Q:Q,'caseload data'!$B:$B,"custody",'caseload data'!$C:$C,'custody %'!$T$57),"")</f>
        <v/>
      </c>
      <c r="AH62" s="209" t="str">
        <f>IFERROR(SUMIFS('caseload data'!R:R,'caseload data'!$C:$C,'custody %'!$T$57,'caseload data'!$D:$D,"SPO",'caseload data'!$B:$B,"custody")/SUMIFS('caseload data'!R:R,'caseload data'!$B:$B,"custody",'caseload data'!$C:$C,'custody %'!$T$57),"")</f>
        <v/>
      </c>
      <c r="AI62" s="209"/>
      <c r="AJ62" s="209"/>
    </row>
    <row r="64" spans="2:36" x14ac:dyDescent="0.15">
      <c r="B64" s="182" t="str">
        <f>HLOOKUP($B$5,Region_Table,18,0)</f>
        <v>Kingston, Richmond and Hounslow</v>
      </c>
      <c r="C64" s="359" t="s">
        <v>366</v>
      </c>
      <c r="D64" s="365"/>
      <c r="E64" s="365"/>
      <c r="F64" s="365"/>
      <c r="G64" s="365"/>
      <c r="H64" s="365"/>
      <c r="I64" s="365"/>
      <c r="J64" s="365"/>
      <c r="K64" s="365"/>
      <c r="L64" s="365"/>
      <c r="M64" s="368"/>
      <c r="N64" s="368"/>
      <c r="O64" s="369"/>
      <c r="P64" s="362">
        <f>SUMIF('caseload data'!$C:$C,'custody %'!B64,'caseload data'!V:V)</f>
        <v>0</v>
      </c>
      <c r="Q64" s="370"/>
      <c r="R64" s="371"/>
      <c r="S64" s="95"/>
      <c r="T64" s="182" t="str">
        <f>HLOOKUP($B$5,Region_Table,19,0)</f>
        <v>Lambeth - N07</v>
      </c>
      <c r="U64" s="359" t="s">
        <v>366</v>
      </c>
      <c r="V64" s="365"/>
      <c r="W64" s="365"/>
      <c r="X64" s="365"/>
      <c r="Y64" s="365"/>
      <c r="Z64" s="365"/>
      <c r="AA64" s="365"/>
      <c r="AB64" s="365"/>
      <c r="AC64" s="368"/>
      <c r="AD64" s="368"/>
      <c r="AE64" s="369"/>
      <c r="AF64" s="362">
        <f>SUMIF('caseload data'!$C:$C,'custody %'!T64,'caseload data'!V:V)</f>
        <v>0</v>
      </c>
      <c r="AG64" s="370"/>
      <c r="AH64" s="371"/>
    </row>
    <row r="65" spans="2:36" x14ac:dyDescent="0.15">
      <c r="B65" s="127" t="s">
        <v>324</v>
      </c>
      <c r="C65" s="58" t="s">
        <v>504</v>
      </c>
      <c r="D65" s="58" t="s">
        <v>503</v>
      </c>
      <c r="E65" s="58" t="s">
        <v>502</v>
      </c>
      <c r="F65" s="58" t="s">
        <v>501</v>
      </c>
      <c r="G65" s="58" t="s">
        <v>510</v>
      </c>
      <c r="H65" s="58" t="s">
        <v>176</v>
      </c>
      <c r="I65" s="58" t="s">
        <v>177</v>
      </c>
      <c r="J65" s="58" t="s">
        <v>505</v>
      </c>
      <c r="K65" s="58" t="s">
        <v>507</v>
      </c>
      <c r="L65" s="58" t="s">
        <v>178</v>
      </c>
      <c r="M65" s="58" t="s">
        <v>179</v>
      </c>
      <c r="N65" s="58" t="s">
        <v>506</v>
      </c>
      <c r="O65" s="58" t="s">
        <v>508</v>
      </c>
      <c r="P65" s="58" t="s">
        <v>180</v>
      </c>
      <c r="Q65" s="58" t="s">
        <v>181</v>
      </c>
      <c r="R65" s="58" t="s">
        <v>509</v>
      </c>
      <c r="S65" s="95"/>
      <c r="T65" s="127" t="s">
        <v>324</v>
      </c>
      <c r="U65" s="58" t="s">
        <v>504</v>
      </c>
      <c r="V65" s="58" t="s">
        <v>503</v>
      </c>
      <c r="W65" s="58" t="s">
        <v>502</v>
      </c>
      <c r="X65" s="58" t="s">
        <v>501</v>
      </c>
      <c r="Y65" s="58" t="s">
        <v>510</v>
      </c>
      <c r="Z65" s="58" t="s">
        <v>176</v>
      </c>
      <c r="AA65" s="58" t="s">
        <v>177</v>
      </c>
      <c r="AB65" s="58" t="s">
        <v>505</v>
      </c>
      <c r="AC65" s="58" t="s">
        <v>507</v>
      </c>
      <c r="AD65" s="58" t="s">
        <v>178</v>
      </c>
      <c r="AE65" s="58" t="s">
        <v>179</v>
      </c>
      <c r="AF65" s="58" t="s">
        <v>506</v>
      </c>
      <c r="AG65" s="58" t="s">
        <v>508</v>
      </c>
      <c r="AH65" s="58" t="s">
        <v>180</v>
      </c>
      <c r="AI65" s="58" t="s">
        <v>181</v>
      </c>
      <c r="AJ65" s="58" t="s">
        <v>509</v>
      </c>
    </row>
    <row r="66" spans="2:36" x14ac:dyDescent="0.15">
      <c r="B66" s="129" t="s">
        <v>184</v>
      </c>
      <c r="C66" s="209" t="str">
        <f>IFERROR(SUMIFS('caseload data'!E:E,'caseload data'!$C:$C,'custody %'!$B$64,'caseload data'!$D:$D,"PO",'caseload data'!$B:$B,"custody")/SUMIFS('caseload data'!E:E,'caseload data'!$B:$B,"custody",'caseload data'!$C:$C,'custody %'!$B$64),"")</f>
        <v/>
      </c>
      <c r="D66" s="209" t="str">
        <f>IFERROR(SUMIFS('caseload data'!F:F,'caseload data'!$C:$C,'custody %'!$B$64,'caseload data'!$D:$D,"PO",'caseload data'!$B:$B,"custody")/SUMIFS('caseload data'!F:F,'caseload data'!$B:$B,"custody",'caseload data'!$C:$C,'custody %'!$B$64),"")</f>
        <v/>
      </c>
      <c r="E66" s="209" t="str">
        <f>IFERROR(SUMIFS('caseload data'!G:G,'caseload data'!$C:$C,'custody %'!$B$64,'caseload data'!$D:$D,"PO",'caseload data'!$B:$B,"custody")/SUMIFS('caseload data'!G:G,'caseload data'!$B:$B,"custody",'caseload data'!$C:$C,'custody %'!$B$64),"")</f>
        <v/>
      </c>
      <c r="F66" s="209" t="str">
        <f>IFERROR(SUMIFS('caseload data'!H:H,'caseload data'!$C:$C,'custody %'!$B$64,'caseload data'!$D:$D,"PO",'caseload data'!$B:$B,"custody")/SUMIFS('caseload data'!H:H,'caseload data'!$B:$B,"custody",'caseload data'!$C:$C,'custody %'!$B$64),"")</f>
        <v/>
      </c>
      <c r="G66" s="209" t="str">
        <f>IFERROR(SUMIFS('caseload data'!I:I,'caseload data'!$C:$C,'custody %'!$B$64,'caseload data'!$D:$D,"PO",'caseload data'!$B:$B,"custody")/SUMIFS('caseload data'!I:I,'caseload data'!$B:$B,"custody",'caseload data'!$C:$C,'custody %'!$B$64),"")</f>
        <v/>
      </c>
      <c r="H66" s="209" t="str">
        <f>IFERROR(SUMIFS('caseload data'!J:J,'caseload data'!$C:$C,'custody %'!$B$64,'caseload data'!$D:$D,"PO",'caseload data'!$B:$B,"custody")/SUMIFS('caseload data'!J:J,'caseload data'!$B:$B,"custody",'caseload data'!$C:$C,'custody %'!$B$64),"")</f>
        <v/>
      </c>
      <c r="I66" s="209" t="str">
        <f>IFERROR(SUMIFS('caseload data'!K:K,'caseload data'!$C:$C,'custody %'!$B$64,'caseload data'!$D:$D,"PO",'caseload data'!$B:$B,"custody")/SUMIFS('caseload data'!K:K,'caseload data'!$B:$B,"custody",'caseload data'!$C:$C,'custody %'!$B$64),"")</f>
        <v/>
      </c>
      <c r="J66" s="209" t="str">
        <f>IFERROR(SUMIFS('caseload data'!L:L,'caseload data'!$C:$C,'custody %'!$B$64,'caseload data'!$D:$D,"PO",'caseload data'!$B:$B,"custody")/SUMIFS('caseload data'!L:L,'caseload data'!$B:$B,"custody",'caseload data'!$C:$C,'custody %'!$B$64),"")</f>
        <v/>
      </c>
      <c r="K66" s="209" t="str">
        <f>IFERROR(SUMIFS('caseload data'!M:M,'caseload data'!$C:$C,'custody %'!$B$64,'caseload data'!$D:$D,"PO",'caseload data'!$B:$B,"custody")/SUMIFS('caseload data'!M:M,'caseload data'!$B:$B,"custody",'caseload data'!$C:$C,'custody %'!$B$64),"")</f>
        <v/>
      </c>
      <c r="L66" s="209" t="str">
        <f>IFERROR(SUMIFS('caseload data'!N:N,'caseload data'!$C:$C,'custody %'!$B$64,'caseload data'!$D:$D,"PO",'caseload data'!$B:$B,"custody")/SUMIFS('caseload data'!N:N,'caseload data'!$B:$B,"custody",'caseload data'!$C:$C,'custody %'!$B$64),"")</f>
        <v/>
      </c>
      <c r="M66" s="209" t="str">
        <f>IFERROR(SUMIFS('caseload data'!O:O,'caseload data'!$C:$C,'custody %'!$B$64,'caseload data'!$D:$D,"PO",'caseload data'!$B:$B,"custody")/SUMIFS('caseload data'!O:O,'caseload data'!$B:$B,"custody",'caseload data'!$C:$C,'custody %'!$B$64),"")</f>
        <v/>
      </c>
      <c r="N66" s="209" t="str">
        <f>IFERROR(SUMIFS('caseload data'!P:P,'caseload data'!$C:$C,'custody %'!$B$64,'caseload data'!$D:$D,"PO",'caseload data'!$B:$B,"custody")/SUMIFS('caseload data'!P:P,'caseload data'!$B:$B,"custody",'caseload data'!$C:$C,'custody %'!$B$64),"")</f>
        <v/>
      </c>
      <c r="O66" s="209" t="str">
        <f>IFERROR(SUMIFS('caseload data'!Q:Q,'caseload data'!$C:$C,'custody %'!$B$64,'caseload data'!$D:$D,"PO",'caseload data'!$B:$B,"custody")/SUMIFS('caseload data'!Q:Q,'caseload data'!$B:$B,"custody",'caseload data'!$C:$C,'custody %'!$B$64),"")</f>
        <v/>
      </c>
      <c r="P66" s="209" t="str">
        <f>IFERROR(SUMIFS('caseload data'!R:R,'caseload data'!$C:$C,'custody %'!$B$64,'caseload data'!$D:$D,"PO",'caseload data'!$B:$B,"custody")/SUMIFS('caseload data'!R:R,'caseload data'!$B:$B,"custody",'caseload data'!$C:$C,'custody %'!$B$64),"")</f>
        <v/>
      </c>
      <c r="Q66" s="209" t="str">
        <f>IFERROR(SUMIFS('caseload data'!S:S,'caseload data'!$C:$C,'custody %'!$B$64,'caseload data'!$D:$D,"PO",'caseload data'!$B:$B,"custody")/SUMIFS('caseload data'!S:S,'caseload data'!$B:$B,"custody",'caseload data'!$C:$C,'custody %'!$B$64),"")</f>
        <v/>
      </c>
      <c r="R66" s="209" t="str">
        <f>IFERROR(SUMIFS('caseload data'!T:T,'caseload data'!$C:$C,'custody %'!$B$64,'caseload data'!$D:$D,"PO",'caseload data'!$B:$B,"custody")/SUMIFS('caseload data'!T:T,'caseload data'!$B:$B,"custody",'caseload data'!$C:$C,'custody %'!$B$64),"")</f>
        <v/>
      </c>
      <c r="S66" s="95"/>
      <c r="T66" s="129" t="s">
        <v>184</v>
      </c>
      <c r="U66" s="209" t="str">
        <f>IFERROR(SUMIFS('caseload data'!E:E,'caseload data'!$C:$C,'custody %'!$T$64,'caseload data'!$D:$D,"PO",'caseload data'!$B:$B,"custody")/SUMIFS('caseload data'!E:E,'caseload data'!$B:$B,"custody",'caseload data'!$C:$C,'custody %'!$T$64),"")</f>
        <v/>
      </c>
      <c r="V66" s="209" t="str">
        <f>IFERROR(SUMIFS('caseload data'!F:F,'caseload data'!$C:$C,'custody %'!$T$64,'caseload data'!$D:$D,"PO",'caseload data'!$B:$B,"custody")/SUMIFS('caseload data'!F:F,'caseload data'!$B:$B,"custody",'caseload data'!$C:$C,'custody %'!$T$64),"")</f>
        <v/>
      </c>
      <c r="W66" s="209" t="str">
        <f>IFERROR(SUMIFS('caseload data'!G:G,'caseload data'!$C:$C,'custody %'!$T$64,'caseload data'!$D:$D,"PO",'caseload data'!$B:$B,"custody")/SUMIFS('caseload data'!G:G,'caseload data'!$B:$B,"custody",'caseload data'!$C:$C,'custody %'!$T$64),"")</f>
        <v/>
      </c>
      <c r="X66" s="209" t="str">
        <f>IFERROR(SUMIFS('caseload data'!H:H,'caseload data'!$C:$C,'custody %'!$T$64,'caseload data'!$D:$D,"PO",'caseload data'!$B:$B,"custody")/SUMIFS('caseload data'!H:H,'caseload data'!$B:$B,"custody",'caseload data'!$C:$C,'custody %'!$T$64),"")</f>
        <v/>
      </c>
      <c r="Y66" s="209" t="str">
        <f>IFERROR(SUMIFS('caseload data'!I:I,'caseload data'!$C:$C,'custody %'!$T$64,'caseload data'!$D:$D,"PO",'caseload data'!$B:$B,"custody")/SUMIFS('caseload data'!I:I,'caseload data'!$B:$B,"custody",'caseload data'!$C:$C,'custody %'!$T$64),"")</f>
        <v/>
      </c>
      <c r="Z66" s="209" t="str">
        <f>IFERROR(SUMIFS('caseload data'!J:J,'caseload data'!$C:$C,'custody %'!$T$64,'caseload data'!$D:$D,"PO",'caseload data'!$B:$B,"custody")/SUMIFS('caseload data'!J:J,'caseload data'!$B:$B,"custody",'caseload data'!$C:$C,'custody %'!$T$64),"")</f>
        <v/>
      </c>
      <c r="AA66" s="209" t="str">
        <f>IFERROR(SUMIFS('caseload data'!K:K,'caseload data'!$C:$C,'custody %'!$T$64,'caseload data'!$D:$D,"PO",'caseload data'!$B:$B,"custody")/SUMIFS('caseload data'!K:K,'caseload data'!$B:$B,"custody",'caseload data'!$C:$C,'custody %'!$T$64),"")</f>
        <v/>
      </c>
      <c r="AB66" s="209" t="str">
        <f>IFERROR(SUMIFS('caseload data'!L:L,'caseload data'!$C:$C,'custody %'!$T$64,'caseload data'!$D:$D,"PO",'caseload data'!$B:$B,"custody")/SUMIFS('caseload data'!L:L,'caseload data'!$B:$B,"custody",'caseload data'!$C:$C,'custody %'!$T$64),"")</f>
        <v/>
      </c>
      <c r="AC66" s="209" t="str">
        <f>IFERROR(SUMIFS('caseload data'!M:M,'caseload data'!$C:$C,'custody %'!$T$64,'caseload data'!$D:$D,"PO",'caseload data'!$B:$B,"custody")/SUMIFS('caseload data'!M:M,'caseload data'!$B:$B,"custody",'caseload data'!$C:$C,'custody %'!$T$64),"")</f>
        <v/>
      </c>
      <c r="AD66" s="209" t="str">
        <f>IFERROR(SUMIFS('caseload data'!N:N,'caseload data'!$C:$C,'custody %'!$T$64,'caseload data'!$D:$D,"PO",'caseload data'!$B:$B,"custody")/SUMIFS('caseload data'!N:N,'caseload data'!$B:$B,"custody",'caseload data'!$C:$C,'custody %'!$T$64),"")</f>
        <v/>
      </c>
      <c r="AE66" s="209" t="str">
        <f>IFERROR(SUMIFS('caseload data'!O:O,'caseload data'!$C:$C,'custody %'!$T$64,'caseload data'!$D:$D,"PO",'caseload data'!$B:$B,"custody")/SUMIFS('caseload data'!O:O,'caseload data'!$B:$B,"custody",'caseload data'!$C:$C,'custody %'!$T$64),"")</f>
        <v/>
      </c>
      <c r="AF66" s="209" t="str">
        <f>IFERROR(SUMIFS('caseload data'!P:P,'caseload data'!$C:$C,'custody %'!$T$64,'caseload data'!$D:$D,"PO",'caseload data'!$B:$B,"custody")/SUMIFS('caseload data'!P:P,'caseload data'!$B:$B,"custody",'caseload data'!$C:$C,'custody %'!$T$64),"")</f>
        <v/>
      </c>
      <c r="AG66" s="209" t="str">
        <f>IFERROR(SUMIFS('caseload data'!Q:Q,'caseload data'!$C:$C,'custody %'!$T$64,'caseload data'!$D:$D,"PO",'caseload data'!$B:$B,"custody")/SUMIFS('caseload data'!Q:Q,'caseload data'!$B:$B,"custody",'caseload data'!$C:$C,'custody %'!$T$64),"")</f>
        <v/>
      </c>
      <c r="AH66" s="209" t="str">
        <f>IFERROR(SUMIFS('caseload data'!R:R,'caseload data'!$C:$C,'custody %'!$T$64,'caseload data'!$D:$D,"PO",'caseload data'!$B:$B,"custody")/SUMIFS('caseload data'!R:R,'caseload data'!$B:$B,"custody",'caseload data'!$C:$C,'custody %'!$T$64),"")</f>
        <v/>
      </c>
      <c r="AI66" s="209"/>
      <c r="AJ66" s="209"/>
    </row>
    <row r="67" spans="2:36" x14ac:dyDescent="0.15">
      <c r="B67" s="130" t="s">
        <v>185</v>
      </c>
      <c r="C67" s="209" t="str">
        <f>IFERROR(SUMIFS('caseload data'!E:E,'caseload data'!$C:$C,'custody %'!$B$64,'caseload data'!$D:$D,"PSO",'caseload data'!$B:$B,"custody")/SUMIFS('caseload data'!E:E,'caseload data'!$B:$B,"custody",'caseload data'!$C:$C,'custody %'!$B$64),"")</f>
        <v/>
      </c>
      <c r="D67" s="209" t="str">
        <f>IFERROR(SUMIFS('caseload data'!F:F,'caseload data'!$C:$C,'custody %'!$B$64,'caseload data'!$D:$D,"PSO",'caseload data'!$B:$B,"custody")/SUMIFS('caseload data'!F:F,'caseload data'!$B:$B,"custody",'caseload data'!$C:$C,'custody %'!$B$64),"")</f>
        <v/>
      </c>
      <c r="E67" s="209" t="str">
        <f>IFERROR(SUMIFS('caseload data'!G:G,'caseload data'!$C:$C,'custody %'!$B$64,'caseload data'!$D:$D,"PSO",'caseload data'!$B:$B,"custody")/SUMIFS('caseload data'!G:G,'caseload data'!$B:$B,"custody",'caseload data'!$C:$C,'custody %'!$B$64),"")</f>
        <v/>
      </c>
      <c r="F67" s="209" t="str">
        <f>IFERROR(SUMIFS('caseload data'!H:H,'caseload data'!$C:$C,'custody %'!$B$64,'caseload data'!$D:$D,"PSO",'caseload data'!$B:$B,"custody")/SUMIFS('caseload data'!H:H,'caseload data'!$B:$B,"custody",'caseload data'!$C:$C,'custody %'!$B$64),"")</f>
        <v/>
      </c>
      <c r="G67" s="209" t="str">
        <f>IFERROR(SUMIFS('caseload data'!I:I,'caseload data'!$C:$C,'custody %'!$B$64,'caseload data'!$D:$D,"PSO",'caseload data'!$B:$B,"custody")/SUMIFS('caseload data'!I:I,'caseload data'!$B:$B,"custody",'caseload data'!$C:$C,'custody %'!$B$64),"")</f>
        <v/>
      </c>
      <c r="H67" s="209" t="str">
        <f>IFERROR(SUMIFS('caseload data'!J:J,'caseload data'!$C:$C,'custody %'!$B$64,'caseload data'!$D:$D,"PSO",'caseload data'!$B:$B,"custody")/SUMIFS('caseload data'!J:J,'caseload data'!$B:$B,"custody",'caseload data'!$C:$C,'custody %'!$B$64),"")</f>
        <v/>
      </c>
      <c r="I67" s="209" t="str">
        <f>IFERROR(SUMIFS('caseload data'!K:K,'caseload data'!$C:$C,'custody %'!$B$64,'caseload data'!$D:$D,"PSO",'caseload data'!$B:$B,"custody")/SUMIFS('caseload data'!K:K,'caseload data'!$B:$B,"custody",'caseload data'!$C:$C,'custody %'!$B$64),"")</f>
        <v/>
      </c>
      <c r="J67" s="209" t="str">
        <f>IFERROR(SUMIFS('caseload data'!L:L,'caseload data'!$C:$C,'custody %'!$B$64,'caseload data'!$D:$D,"PSO",'caseload data'!$B:$B,"custody")/SUMIFS('caseload data'!L:L,'caseload data'!$B:$B,"custody",'caseload data'!$C:$C,'custody %'!$B$64),"")</f>
        <v/>
      </c>
      <c r="K67" s="209" t="str">
        <f>IFERROR(SUMIFS('caseload data'!M:M,'caseload data'!$C:$C,'custody %'!$B$64,'caseload data'!$D:$D,"PSO",'caseload data'!$B:$B,"custody")/SUMIFS('caseload data'!M:M,'caseload data'!$B:$B,"custody",'caseload data'!$C:$C,'custody %'!$B$64),"")</f>
        <v/>
      </c>
      <c r="L67" s="209" t="str">
        <f>IFERROR(SUMIFS('caseload data'!N:N,'caseload data'!$C:$C,'custody %'!$B$64,'caseload data'!$D:$D,"PSO",'caseload data'!$B:$B,"custody")/SUMIFS('caseload data'!N:N,'caseload data'!$B:$B,"custody",'caseload data'!$C:$C,'custody %'!$B$64),"")</f>
        <v/>
      </c>
      <c r="M67" s="209" t="str">
        <f>IFERROR(SUMIFS('caseload data'!O:O,'caseload data'!$C:$C,'custody %'!$B$64,'caseload data'!$D:$D,"PSO",'caseload data'!$B:$B,"custody")/SUMIFS('caseload data'!O:O,'caseload data'!$B:$B,"custody",'caseload data'!$C:$C,'custody %'!$B$64),"")</f>
        <v/>
      </c>
      <c r="N67" s="209" t="str">
        <f>IFERROR(SUMIFS('caseload data'!P:P,'caseload data'!$C:$C,'custody %'!$B$64,'caseload data'!$D:$D,"PSO",'caseload data'!$B:$B,"custody")/SUMIFS('caseload data'!P:P,'caseload data'!$B:$B,"custody",'caseload data'!$C:$C,'custody %'!$B$64),"")</f>
        <v/>
      </c>
      <c r="O67" s="209" t="str">
        <f>IFERROR(SUMIFS('caseload data'!Q:Q,'caseload data'!$C:$C,'custody %'!$B$64,'caseload data'!$D:$D,"PSO",'caseload data'!$B:$B,"custody")/SUMIFS('caseload data'!Q:Q,'caseload data'!$B:$B,"custody",'caseload data'!$C:$C,'custody %'!$B$64),"")</f>
        <v/>
      </c>
      <c r="P67" s="209" t="str">
        <f>IFERROR(SUMIFS('caseload data'!R:R,'caseload data'!$C:$C,'custody %'!$B$64,'caseload data'!$D:$D,"PSO",'caseload data'!$B:$B,"custody")/SUMIFS('caseload data'!R:R,'caseload data'!$B:$B,"custody",'caseload data'!$C:$C,'custody %'!$B$64),"")</f>
        <v/>
      </c>
      <c r="Q67" s="209" t="str">
        <f>IFERROR(SUMIFS('caseload data'!S:S,'caseload data'!$C:$C,'custody %'!$B$64,'caseload data'!$D:$D,"PSO",'caseload data'!$B:$B,"custody")/SUMIFS('caseload data'!S:S,'caseload data'!$B:$B,"custody",'caseload data'!$C:$C,'custody %'!$B$64),"")</f>
        <v/>
      </c>
      <c r="R67" s="209" t="str">
        <f>IFERROR(SUMIFS('caseload data'!T:T,'caseload data'!$C:$C,'custody %'!$B$64,'caseload data'!$D:$D,"PSO",'caseload data'!$B:$B,"custody")/SUMIFS('caseload data'!T:T,'caseload data'!$B:$B,"custody",'caseload data'!$C:$C,'custody %'!$B$64),"")</f>
        <v/>
      </c>
      <c r="S67" s="95"/>
      <c r="T67" s="130" t="s">
        <v>185</v>
      </c>
      <c r="U67" s="209" t="str">
        <f>IFERROR(SUMIFS('caseload data'!E:E,'caseload data'!$C:$C,'custody %'!$T$64,'caseload data'!$D:$D,"PSO",'caseload data'!$B:$B,"custody")/SUMIFS('caseload data'!E:E,'caseload data'!$B:$B,"custody",'caseload data'!$C:$C,'custody %'!$T$64),"")</f>
        <v/>
      </c>
      <c r="V67" s="209" t="str">
        <f>IFERROR(SUMIFS('caseload data'!F:F,'caseload data'!$C:$C,'custody %'!$T$64,'caseload data'!$D:$D,"PSO",'caseload data'!$B:$B,"custody")/SUMIFS('caseload data'!F:F,'caseload data'!$B:$B,"custody",'caseload data'!$C:$C,'custody %'!$T$64),"")</f>
        <v/>
      </c>
      <c r="W67" s="209" t="str">
        <f>IFERROR(SUMIFS('caseload data'!G:G,'caseload data'!$C:$C,'custody %'!$T$64,'caseload data'!$D:$D,"PSO",'caseload data'!$B:$B,"custody")/SUMIFS('caseload data'!G:G,'caseload data'!$B:$B,"custody",'caseload data'!$C:$C,'custody %'!$T$64),"")</f>
        <v/>
      </c>
      <c r="X67" s="209" t="str">
        <f>IFERROR(SUMIFS('caseload data'!H:H,'caseload data'!$C:$C,'custody %'!$T$64,'caseload data'!$D:$D,"PSO",'caseload data'!$B:$B,"custody")/SUMIFS('caseload data'!H:H,'caseload data'!$B:$B,"custody",'caseload data'!$C:$C,'custody %'!$T$64),"")</f>
        <v/>
      </c>
      <c r="Y67" s="209" t="str">
        <f>IFERROR(SUMIFS('caseload data'!I:I,'caseload data'!$C:$C,'custody %'!$T$64,'caseload data'!$D:$D,"PSO",'caseload data'!$B:$B,"custody")/SUMIFS('caseload data'!I:I,'caseload data'!$B:$B,"custody",'caseload data'!$C:$C,'custody %'!$T$64),"")</f>
        <v/>
      </c>
      <c r="Z67" s="209" t="str">
        <f>IFERROR(SUMIFS('caseload data'!J:J,'caseload data'!$C:$C,'custody %'!$T$64,'caseload data'!$D:$D,"PSO",'caseload data'!$B:$B,"custody")/SUMIFS('caseload data'!J:J,'caseload data'!$B:$B,"custody",'caseload data'!$C:$C,'custody %'!$T$64),"")</f>
        <v/>
      </c>
      <c r="AA67" s="209" t="str">
        <f>IFERROR(SUMIFS('caseload data'!K:K,'caseload data'!$C:$C,'custody %'!$T$64,'caseload data'!$D:$D,"PSO",'caseload data'!$B:$B,"custody")/SUMIFS('caseload data'!K:K,'caseload data'!$B:$B,"custody",'caseload data'!$C:$C,'custody %'!$T$64),"")</f>
        <v/>
      </c>
      <c r="AB67" s="209" t="str">
        <f>IFERROR(SUMIFS('caseload data'!L:L,'caseload data'!$C:$C,'custody %'!$T$64,'caseload data'!$D:$D,"PSO",'caseload data'!$B:$B,"custody")/SUMIFS('caseload data'!L:L,'caseload data'!$B:$B,"custody",'caseload data'!$C:$C,'custody %'!$T$64),"")</f>
        <v/>
      </c>
      <c r="AC67" s="209" t="str">
        <f>IFERROR(SUMIFS('caseload data'!M:M,'caseload data'!$C:$C,'custody %'!$T$64,'caseload data'!$D:$D,"PSO",'caseload data'!$B:$B,"custody")/SUMIFS('caseload data'!M:M,'caseload data'!$B:$B,"custody",'caseload data'!$C:$C,'custody %'!$T$64),"")</f>
        <v/>
      </c>
      <c r="AD67" s="209" t="str">
        <f>IFERROR(SUMIFS('caseload data'!N:N,'caseload data'!$C:$C,'custody %'!$T$64,'caseload data'!$D:$D,"PSO",'caseload data'!$B:$B,"custody")/SUMIFS('caseload data'!N:N,'caseload data'!$B:$B,"custody",'caseload data'!$C:$C,'custody %'!$T$64),"")</f>
        <v/>
      </c>
      <c r="AE67" s="209" t="str">
        <f>IFERROR(SUMIFS('caseload data'!O:O,'caseload data'!$C:$C,'custody %'!$T$64,'caseload data'!$D:$D,"PSO",'caseload data'!$B:$B,"custody")/SUMIFS('caseload data'!O:O,'caseload data'!$B:$B,"custody",'caseload data'!$C:$C,'custody %'!$T$64),"")</f>
        <v/>
      </c>
      <c r="AF67" s="209" t="str">
        <f>IFERROR(SUMIFS('caseload data'!P:P,'caseload data'!$C:$C,'custody %'!$T$64,'caseload data'!$D:$D,"PSO",'caseload data'!$B:$B,"custody")/SUMIFS('caseload data'!P:P,'caseload data'!$B:$B,"custody",'caseload data'!$C:$C,'custody %'!$T$64),"")</f>
        <v/>
      </c>
      <c r="AG67" s="209" t="str">
        <f>IFERROR(SUMIFS('caseload data'!Q:Q,'caseload data'!$C:$C,'custody %'!$T$64,'caseload data'!$D:$D,"PSO",'caseload data'!$B:$B,"custody")/SUMIFS('caseload data'!Q:Q,'caseload data'!$B:$B,"custody",'caseload data'!$C:$C,'custody %'!$T$64),"")</f>
        <v/>
      </c>
      <c r="AH67" s="209" t="str">
        <f>IFERROR(SUMIFS('caseload data'!R:R,'caseload data'!$C:$C,'custody %'!$T$64,'caseload data'!$D:$D,"PSO",'caseload data'!$B:$B,"custody")/SUMIFS('caseload data'!R:R,'caseload data'!$B:$B,"custody",'caseload data'!$C:$C,'custody %'!$T$64),"")</f>
        <v/>
      </c>
      <c r="AI67" s="209"/>
      <c r="AJ67" s="209"/>
    </row>
    <row r="68" spans="2:36" x14ac:dyDescent="0.15">
      <c r="B68" s="130" t="s">
        <v>186</v>
      </c>
      <c r="C68" s="209" t="str">
        <f>IFERROR(SUMIFS('caseload data'!E:E,'caseload data'!$C:$C,'custody %'!$B$64,'caseload data'!$D:$D,"TPO",'caseload data'!$B:$B,"custody")/SUMIFS('caseload data'!E:E,'caseload data'!$B:$B,"custody",'caseload data'!$C:$C,'custody %'!$B$64),"")</f>
        <v/>
      </c>
      <c r="D68" s="209" t="str">
        <f>IFERROR(SUMIFS('caseload data'!F:F,'caseload data'!$C:$C,'custody %'!$B$64,'caseload data'!$D:$D,"TPO",'caseload data'!$B:$B,"custody")/SUMIFS('caseload data'!F:F,'caseload data'!$B:$B,"custody",'caseload data'!$C:$C,'custody %'!$B$64),"")</f>
        <v/>
      </c>
      <c r="E68" s="209" t="str">
        <f>IFERROR(SUMIFS('caseload data'!G:G,'caseload data'!$C:$C,'custody %'!$B$64,'caseload data'!$D:$D,"TPO",'caseload data'!$B:$B,"custody")/SUMIFS('caseload data'!G:G,'caseload data'!$B:$B,"custody",'caseload data'!$C:$C,'custody %'!$B$64),"")</f>
        <v/>
      </c>
      <c r="F68" s="209" t="str">
        <f>IFERROR(SUMIFS('caseload data'!H:H,'caseload data'!$C:$C,'custody %'!$B$64,'caseload data'!$D:$D,"TPO",'caseload data'!$B:$B,"custody")/SUMIFS('caseload data'!H:H,'caseload data'!$B:$B,"custody",'caseload data'!$C:$C,'custody %'!$B$64),"")</f>
        <v/>
      </c>
      <c r="G68" s="209" t="str">
        <f>IFERROR(SUMIFS('caseload data'!I:I,'caseload data'!$C:$C,'custody %'!$B$64,'caseload data'!$D:$D,"TPO",'caseload data'!$B:$B,"custody")/SUMIFS('caseload data'!I:I,'caseload data'!$B:$B,"custody",'caseload data'!$C:$C,'custody %'!$B$64),"")</f>
        <v/>
      </c>
      <c r="H68" s="209" t="str">
        <f>IFERROR(SUMIFS('caseload data'!J:J,'caseload data'!$C:$C,'custody %'!$B$64,'caseload data'!$D:$D,"TPO",'caseload data'!$B:$B,"custody")/SUMIFS('caseload data'!J:J,'caseload data'!$B:$B,"custody",'caseload data'!$C:$C,'custody %'!$B$64),"")</f>
        <v/>
      </c>
      <c r="I68" s="209" t="str">
        <f>IFERROR(SUMIFS('caseload data'!K:K,'caseload data'!$C:$C,'custody %'!$B$64,'caseload data'!$D:$D,"TPO",'caseload data'!$B:$B,"custody")/SUMIFS('caseload data'!K:K,'caseload data'!$B:$B,"custody",'caseload data'!$C:$C,'custody %'!$B$64),"")</f>
        <v/>
      </c>
      <c r="J68" s="209" t="str">
        <f>IFERROR(SUMIFS('caseload data'!L:L,'caseload data'!$C:$C,'custody %'!$B$64,'caseload data'!$D:$D,"TPO",'caseload data'!$B:$B,"custody")/SUMIFS('caseload data'!L:L,'caseload data'!$B:$B,"custody",'caseload data'!$C:$C,'custody %'!$B$64),"")</f>
        <v/>
      </c>
      <c r="K68" s="209" t="str">
        <f>IFERROR(SUMIFS('caseload data'!M:M,'caseload data'!$C:$C,'custody %'!$B$64,'caseload data'!$D:$D,"TPO",'caseload data'!$B:$B,"custody")/SUMIFS('caseload data'!M:M,'caseload data'!$B:$B,"custody",'caseload data'!$C:$C,'custody %'!$B$64),"")</f>
        <v/>
      </c>
      <c r="L68" s="209" t="str">
        <f>IFERROR(SUMIFS('caseload data'!N:N,'caseload data'!$C:$C,'custody %'!$B$64,'caseload data'!$D:$D,"TPO",'caseload data'!$B:$B,"custody")/SUMIFS('caseload data'!N:N,'caseload data'!$B:$B,"custody",'caseload data'!$C:$C,'custody %'!$B$64),"")</f>
        <v/>
      </c>
      <c r="M68" s="209" t="str">
        <f>IFERROR(SUMIFS('caseload data'!O:O,'caseload data'!$C:$C,'custody %'!$B$64,'caseload data'!$D:$D,"TPO",'caseload data'!$B:$B,"custody")/SUMIFS('caseload data'!O:O,'caseload data'!$B:$B,"custody",'caseload data'!$C:$C,'custody %'!$B$64),"")</f>
        <v/>
      </c>
      <c r="N68" s="209" t="str">
        <f>IFERROR(SUMIFS('caseload data'!P:P,'caseload data'!$C:$C,'custody %'!$B$64,'caseload data'!$D:$D,"TPO",'caseload data'!$B:$B,"custody")/SUMIFS('caseload data'!P:P,'caseload data'!$B:$B,"custody",'caseload data'!$C:$C,'custody %'!$B$64),"")</f>
        <v/>
      </c>
      <c r="O68" s="209" t="str">
        <f>IFERROR(SUMIFS('caseload data'!Q:Q,'caseload data'!$C:$C,'custody %'!$B$64,'caseload data'!$D:$D,"TPO",'caseload data'!$B:$B,"custody")/SUMIFS('caseload data'!Q:Q,'caseload data'!$B:$B,"custody",'caseload data'!$C:$C,'custody %'!$B$64),"")</f>
        <v/>
      </c>
      <c r="P68" s="209" t="str">
        <f>IFERROR(SUMIFS('caseload data'!R:R,'caseload data'!$C:$C,'custody %'!$B$64,'caseload data'!$D:$D,"TPO",'caseload data'!$B:$B,"custody")/SUMIFS('caseload data'!R:R,'caseload data'!$B:$B,"custody",'caseload data'!$C:$C,'custody %'!$B$64),"")</f>
        <v/>
      </c>
      <c r="Q68" s="209" t="str">
        <f>IFERROR(SUMIFS('caseload data'!S:S,'caseload data'!$C:$C,'custody %'!$B$64,'caseload data'!$D:$D,"TPO",'caseload data'!$B:$B,"custody")/SUMIFS('caseload data'!S:S,'caseload data'!$B:$B,"custody",'caseload data'!$C:$C,'custody %'!$B$64),"")</f>
        <v/>
      </c>
      <c r="R68" s="209" t="str">
        <f>IFERROR(SUMIFS('caseload data'!T:T,'caseload data'!$C:$C,'custody %'!$B$64,'caseload data'!$D:$D,"TPO",'caseload data'!$B:$B,"custody")/SUMIFS('caseload data'!T:T,'caseload data'!$B:$B,"custody",'caseload data'!$C:$C,'custody %'!$B$64),"")</f>
        <v/>
      </c>
      <c r="S68" s="95"/>
      <c r="T68" s="130" t="s">
        <v>186</v>
      </c>
      <c r="U68" s="209" t="str">
        <f>IFERROR(SUMIFS('caseload data'!E:E,'caseload data'!$C:$C,'custody %'!$T$64,'caseload data'!$D:$D,"TPO",'caseload data'!$B:$B,"custody")/SUMIFS('caseload data'!E:E,'caseload data'!$B:$B,"custody",'caseload data'!$C:$C,'custody %'!$T$64),"")</f>
        <v/>
      </c>
      <c r="V68" s="209" t="str">
        <f>IFERROR(SUMIFS('caseload data'!F:F,'caseload data'!$C:$C,'custody %'!$T$64,'caseload data'!$D:$D,"TPO",'caseload data'!$B:$B,"custody")/SUMIFS('caseload data'!F:F,'caseload data'!$B:$B,"custody",'caseload data'!$C:$C,'custody %'!$T$64),"")</f>
        <v/>
      </c>
      <c r="W68" s="209" t="str">
        <f>IFERROR(SUMIFS('caseload data'!G:G,'caseload data'!$C:$C,'custody %'!$T$64,'caseload data'!$D:$D,"TPO",'caseload data'!$B:$B,"custody")/SUMIFS('caseload data'!G:G,'caseload data'!$B:$B,"custody",'caseload data'!$C:$C,'custody %'!$T$64),"")</f>
        <v/>
      </c>
      <c r="X68" s="209" t="str">
        <f>IFERROR(SUMIFS('caseload data'!H:H,'caseload data'!$C:$C,'custody %'!$T$64,'caseload data'!$D:$D,"TPO",'caseload data'!$B:$B,"custody")/SUMIFS('caseload data'!H:H,'caseload data'!$B:$B,"custody",'caseload data'!$C:$C,'custody %'!$T$64),"")</f>
        <v/>
      </c>
      <c r="Y68" s="209" t="str">
        <f>IFERROR(SUMIFS('caseload data'!I:I,'caseload data'!$C:$C,'custody %'!$T$64,'caseload data'!$D:$D,"TPO",'caseload data'!$B:$B,"custody")/SUMIFS('caseload data'!I:I,'caseload data'!$B:$B,"custody",'caseload data'!$C:$C,'custody %'!$T$64),"")</f>
        <v/>
      </c>
      <c r="Z68" s="209" t="str">
        <f>IFERROR(SUMIFS('caseload data'!J:J,'caseload data'!$C:$C,'custody %'!$T$64,'caseload data'!$D:$D,"TPO",'caseload data'!$B:$B,"custody")/SUMIFS('caseload data'!J:J,'caseload data'!$B:$B,"custody",'caseload data'!$C:$C,'custody %'!$T$64),"")</f>
        <v/>
      </c>
      <c r="AA68" s="209" t="str">
        <f>IFERROR(SUMIFS('caseload data'!K:K,'caseload data'!$C:$C,'custody %'!$T$64,'caseload data'!$D:$D,"TPO",'caseload data'!$B:$B,"custody")/SUMIFS('caseload data'!K:K,'caseload data'!$B:$B,"custody",'caseload data'!$C:$C,'custody %'!$T$64),"")</f>
        <v/>
      </c>
      <c r="AB68" s="209" t="str">
        <f>IFERROR(SUMIFS('caseload data'!L:L,'caseload data'!$C:$C,'custody %'!$T$64,'caseload data'!$D:$D,"TPO",'caseload data'!$B:$B,"custody")/SUMIFS('caseload data'!L:L,'caseload data'!$B:$B,"custody",'caseload data'!$C:$C,'custody %'!$T$64),"")</f>
        <v/>
      </c>
      <c r="AC68" s="209" t="str">
        <f>IFERROR(SUMIFS('caseload data'!M:M,'caseload data'!$C:$C,'custody %'!$T$64,'caseload data'!$D:$D,"TPO",'caseload data'!$B:$B,"custody")/SUMIFS('caseload data'!M:M,'caseload data'!$B:$B,"custody",'caseload data'!$C:$C,'custody %'!$T$64),"")</f>
        <v/>
      </c>
      <c r="AD68" s="209" t="str">
        <f>IFERROR(SUMIFS('caseload data'!N:N,'caseload data'!$C:$C,'custody %'!$T$64,'caseload data'!$D:$D,"TPO",'caseload data'!$B:$B,"custody")/SUMIFS('caseload data'!N:N,'caseload data'!$B:$B,"custody",'caseload data'!$C:$C,'custody %'!$T$64),"")</f>
        <v/>
      </c>
      <c r="AE68" s="209" t="str">
        <f>IFERROR(SUMIFS('caseload data'!O:O,'caseload data'!$C:$C,'custody %'!$T$64,'caseload data'!$D:$D,"TPO",'caseload data'!$B:$B,"custody")/SUMIFS('caseload data'!O:O,'caseload data'!$B:$B,"custody",'caseload data'!$C:$C,'custody %'!$T$64),"")</f>
        <v/>
      </c>
      <c r="AF68" s="209" t="str">
        <f>IFERROR(SUMIFS('caseload data'!P:P,'caseload data'!$C:$C,'custody %'!$T$64,'caseload data'!$D:$D,"TPO",'caseload data'!$B:$B,"custody")/SUMIFS('caseload data'!P:P,'caseload data'!$B:$B,"custody",'caseload data'!$C:$C,'custody %'!$T$64),"")</f>
        <v/>
      </c>
      <c r="AG68" s="209" t="str">
        <f>IFERROR(SUMIFS('caseload data'!Q:Q,'caseload data'!$C:$C,'custody %'!$T$64,'caseload data'!$D:$D,"TPO",'caseload data'!$B:$B,"custody")/SUMIFS('caseload data'!Q:Q,'caseload data'!$B:$B,"custody",'caseload data'!$C:$C,'custody %'!$T$64),"")</f>
        <v/>
      </c>
      <c r="AH68" s="209" t="str">
        <f>IFERROR(SUMIFS('caseload data'!R:R,'caseload data'!$C:$C,'custody %'!$T$64,'caseload data'!$D:$D,"TPO",'caseload data'!$B:$B,"custody")/SUMIFS('caseload data'!R:R,'caseload data'!$B:$B,"custody",'caseload data'!$C:$C,'custody %'!$T$64),"")</f>
        <v/>
      </c>
      <c r="AI68" s="209"/>
      <c r="AJ68" s="209"/>
    </row>
    <row r="69" spans="2:36" x14ac:dyDescent="0.15">
      <c r="B69" s="131" t="s">
        <v>187</v>
      </c>
      <c r="C69" s="209" t="str">
        <f>IFERROR(SUMIFS('caseload data'!E:E,'caseload data'!$C:$C,'custody %'!$B$64,'caseload data'!$D:$D,"SPO",'caseload data'!$B:$B,"custody")/SUMIFS('caseload data'!E:E,'caseload data'!$B:$B,"custody",'caseload data'!$C:$C,'custody %'!$B$64),"")</f>
        <v/>
      </c>
      <c r="D69" s="209" t="str">
        <f>IFERROR(SUMIFS('caseload data'!F:F,'caseload data'!$C:$C,'custody %'!$B$64,'caseload data'!$D:$D,"SPO",'caseload data'!$B:$B,"custody")/SUMIFS('caseload data'!F:F,'caseload data'!$B:$B,"custody",'caseload data'!$C:$C,'custody %'!$B$64),"")</f>
        <v/>
      </c>
      <c r="E69" s="209" t="str">
        <f>IFERROR(SUMIFS('caseload data'!G:G,'caseload data'!$C:$C,'custody %'!$B$64,'caseload data'!$D:$D,"SPO",'caseload data'!$B:$B,"custody")/SUMIFS('caseload data'!G:G,'caseload data'!$B:$B,"custody",'caseload data'!$C:$C,'custody %'!$B$64),"")</f>
        <v/>
      </c>
      <c r="F69" s="209" t="str">
        <f>IFERROR(SUMIFS('caseload data'!H:H,'caseload data'!$C:$C,'custody %'!$B$64,'caseload data'!$D:$D,"SPO",'caseload data'!$B:$B,"custody")/SUMIFS('caseload data'!H:H,'caseload data'!$B:$B,"custody",'caseload data'!$C:$C,'custody %'!$B$64),"")</f>
        <v/>
      </c>
      <c r="G69" s="209" t="str">
        <f>IFERROR(SUMIFS('caseload data'!I:I,'caseload data'!$C:$C,'custody %'!$B$64,'caseload data'!$D:$D,"SPO",'caseload data'!$B:$B,"custody")/SUMIFS('caseload data'!I:I,'caseload data'!$B:$B,"custody",'caseload data'!$C:$C,'custody %'!$B$64),"")</f>
        <v/>
      </c>
      <c r="H69" s="209" t="str">
        <f>IFERROR(SUMIFS('caseload data'!J:J,'caseload data'!$C:$C,'custody %'!$B$64,'caseload data'!$D:$D,"SPO",'caseload data'!$B:$B,"custody")/SUMIFS('caseload data'!J:J,'caseload data'!$B:$B,"custody",'caseload data'!$C:$C,'custody %'!$B$64),"")</f>
        <v/>
      </c>
      <c r="I69" s="209" t="str">
        <f>IFERROR(SUMIFS('caseload data'!K:K,'caseload data'!$C:$C,'custody %'!$B$64,'caseload data'!$D:$D,"SPO",'caseload data'!$B:$B,"custody")/SUMIFS('caseload data'!K:K,'caseload data'!$B:$B,"custody",'caseload data'!$C:$C,'custody %'!$B$64),"")</f>
        <v/>
      </c>
      <c r="J69" s="209" t="str">
        <f>IFERROR(SUMIFS('caseload data'!L:L,'caseload data'!$C:$C,'custody %'!$B$64,'caseload data'!$D:$D,"SPO",'caseload data'!$B:$B,"custody")/SUMIFS('caseload data'!L:L,'caseload data'!$B:$B,"custody",'caseload data'!$C:$C,'custody %'!$B$64),"")</f>
        <v/>
      </c>
      <c r="K69" s="209" t="str">
        <f>IFERROR(SUMIFS('caseload data'!M:M,'caseload data'!$C:$C,'custody %'!$B$64,'caseload data'!$D:$D,"SPO",'caseload data'!$B:$B,"custody")/SUMIFS('caseload data'!M:M,'caseload data'!$B:$B,"custody",'caseload data'!$C:$C,'custody %'!$B$64),"")</f>
        <v/>
      </c>
      <c r="L69" s="209" t="str">
        <f>IFERROR(SUMIFS('caseload data'!N:N,'caseload data'!$C:$C,'custody %'!$B$64,'caseload data'!$D:$D,"SPO",'caseload data'!$B:$B,"custody")/SUMIFS('caseload data'!N:N,'caseload data'!$B:$B,"custody",'caseload data'!$C:$C,'custody %'!$B$64),"")</f>
        <v/>
      </c>
      <c r="M69" s="209" t="str">
        <f>IFERROR(SUMIFS('caseload data'!O:O,'caseload data'!$C:$C,'custody %'!$B$64,'caseload data'!$D:$D,"SPO",'caseload data'!$B:$B,"custody")/SUMIFS('caseload data'!O:O,'caseload data'!$B:$B,"custody",'caseload data'!$C:$C,'custody %'!$B$64),"")</f>
        <v/>
      </c>
      <c r="N69" s="209" t="str">
        <f>IFERROR(SUMIFS('caseload data'!P:P,'caseload data'!$C:$C,'custody %'!$B$64,'caseload data'!$D:$D,"SPO",'caseload data'!$B:$B,"custody")/SUMIFS('caseload data'!P:P,'caseload data'!$B:$B,"custody",'caseload data'!$C:$C,'custody %'!$B$64),"")</f>
        <v/>
      </c>
      <c r="O69" s="209" t="str">
        <f>IFERROR(SUMIFS('caseload data'!Q:Q,'caseload data'!$C:$C,'custody %'!$B$64,'caseload data'!$D:$D,"SPO",'caseload data'!$B:$B,"custody")/SUMIFS('caseload data'!Q:Q,'caseload data'!$B:$B,"custody",'caseload data'!$C:$C,'custody %'!$B$64),"")</f>
        <v/>
      </c>
      <c r="P69" s="209" t="str">
        <f>IFERROR(SUMIFS('caseload data'!R:R,'caseload data'!$C:$C,'custody %'!$B$64,'caseload data'!$D:$D,"SPO",'caseload data'!$B:$B,"custody")/SUMIFS('caseload data'!R:R,'caseload data'!$B:$B,"custody",'caseload data'!$C:$C,'custody %'!$B$64),"")</f>
        <v/>
      </c>
      <c r="Q69" s="209" t="str">
        <f>IFERROR(SUMIFS('caseload data'!S:S,'caseload data'!$C:$C,'custody %'!$B$64,'caseload data'!$D:$D,"SPO",'caseload data'!$B:$B,"custody")/SUMIFS('caseload data'!S:S,'caseload data'!$B:$B,"custody",'caseload data'!$C:$C,'custody %'!$B$64),"")</f>
        <v/>
      </c>
      <c r="R69" s="209" t="str">
        <f>IFERROR(SUMIFS('caseload data'!T:T,'caseload data'!$C:$C,'custody %'!$B$64,'caseload data'!$D:$D,"SPO",'caseload data'!$B:$B,"custody")/SUMIFS('caseload data'!T:T,'caseload data'!$B:$B,"custody",'caseload data'!$C:$C,'custody %'!$B$64),"")</f>
        <v/>
      </c>
      <c r="S69" s="95"/>
      <c r="T69" s="131" t="s">
        <v>187</v>
      </c>
      <c r="U69" s="209" t="str">
        <f>IFERROR(SUMIFS('caseload data'!E:E,'caseload data'!$C:$C,'custody %'!$T$64,'caseload data'!$D:$D,"SPO",'caseload data'!$B:$B,"custody")/SUMIFS('caseload data'!E:E,'caseload data'!$B:$B,"custody",'caseload data'!$C:$C,'custody %'!$T$64),"")</f>
        <v/>
      </c>
      <c r="V69" s="209" t="str">
        <f>IFERROR(SUMIFS('caseload data'!F:F,'caseload data'!$C:$C,'custody %'!$T$64,'caseload data'!$D:$D,"SPO",'caseload data'!$B:$B,"custody")/SUMIFS('caseload data'!F:F,'caseload data'!$B:$B,"custody",'caseload data'!$C:$C,'custody %'!$T$64),"")</f>
        <v/>
      </c>
      <c r="W69" s="209" t="str">
        <f>IFERROR(SUMIFS('caseload data'!G:G,'caseload data'!$C:$C,'custody %'!$T$64,'caseload data'!$D:$D,"SPO",'caseload data'!$B:$B,"custody")/SUMIFS('caseload data'!G:G,'caseload data'!$B:$B,"custody",'caseload data'!$C:$C,'custody %'!$T$64),"")</f>
        <v/>
      </c>
      <c r="X69" s="209" t="str">
        <f>IFERROR(SUMIFS('caseload data'!H:H,'caseload data'!$C:$C,'custody %'!$T$64,'caseload data'!$D:$D,"SPO",'caseload data'!$B:$B,"custody")/SUMIFS('caseload data'!H:H,'caseload data'!$B:$B,"custody",'caseload data'!$C:$C,'custody %'!$T$64),"")</f>
        <v/>
      </c>
      <c r="Y69" s="209" t="str">
        <f>IFERROR(SUMIFS('caseload data'!I:I,'caseload data'!$C:$C,'custody %'!$T$64,'caseload data'!$D:$D,"SPO",'caseload data'!$B:$B,"custody")/SUMIFS('caseload data'!I:I,'caseload data'!$B:$B,"custody",'caseload data'!$C:$C,'custody %'!$T$64),"")</f>
        <v/>
      </c>
      <c r="Z69" s="209" t="str">
        <f>IFERROR(SUMIFS('caseload data'!J:J,'caseload data'!$C:$C,'custody %'!$T$64,'caseload data'!$D:$D,"SPO",'caseload data'!$B:$B,"custody")/SUMIFS('caseload data'!J:J,'caseload data'!$B:$B,"custody",'caseload data'!$C:$C,'custody %'!$T$64),"")</f>
        <v/>
      </c>
      <c r="AA69" s="209" t="str">
        <f>IFERROR(SUMIFS('caseload data'!K:K,'caseload data'!$C:$C,'custody %'!$T$64,'caseload data'!$D:$D,"SPO",'caseload data'!$B:$B,"custody")/SUMIFS('caseload data'!K:K,'caseload data'!$B:$B,"custody",'caseload data'!$C:$C,'custody %'!$T$64),"")</f>
        <v/>
      </c>
      <c r="AB69" s="209" t="str">
        <f>IFERROR(SUMIFS('caseload data'!L:L,'caseload data'!$C:$C,'custody %'!$T$64,'caseload data'!$D:$D,"SPO",'caseload data'!$B:$B,"custody")/SUMIFS('caseload data'!L:L,'caseload data'!$B:$B,"custody",'caseload data'!$C:$C,'custody %'!$T$64),"")</f>
        <v/>
      </c>
      <c r="AC69" s="209" t="str">
        <f>IFERROR(SUMIFS('caseload data'!M:M,'caseload data'!$C:$C,'custody %'!$T$64,'caseload data'!$D:$D,"SPO",'caseload data'!$B:$B,"custody")/SUMIFS('caseload data'!M:M,'caseload data'!$B:$B,"custody",'caseload data'!$C:$C,'custody %'!$T$64),"")</f>
        <v/>
      </c>
      <c r="AD69" s="209" t="str">
        <f>IFERROR(SUMIFS('caseload data'!N:N,'caseload data'!$C:$C,'custody %'!$T$64,'caseload data'!$D:$D,"SPO",'caseload data'!$B:$B,"custody")/SUMIFS('caseload data'!N:N,'caseload data'!$B:$B,"custody",'caseload data'!$C:$C,'custody %'!$T$64),"")</f>
        <v/>
      </c>
      <c r="AE69" s="209" t="str">
        <f>IFERROR(SUMIFS('caseload data'!O:O,'caseload data'!$C:$C,'custody %'!$T$64,'caseload data'!$D:$D,"SPO",'caseload data'!$B:$B,"custody")/SUMIFS('caseload data'!O:O,'caseload data'!$B:$B,"custody",'caseload data'!$C:$C,'custody %'!$T$64),"")</f>
        <v/>
      </c>
      <c r="AF69" s="209" t="str">
        <f>IFERROR(SUMIFS('caseload data'!P:P,'caseload data'!$C:$C,'custody %'!$T$64,'caseload data'!$D:$D,"SPO",'caseload data'!$B:$B,"custody")/SUMIFS('caseload data'!P:P,'caseload data'!$B:$B,"custody",'caseload data'!$C:$C,'custody %'!$T$64),"")</f>
        <v/>
      </c>
      <c r="AG69" s="209" t="str">
        <f>IFERROR(SUMIFS('caseload data'!Q:Q,'caseload data'!$C:$C,'custody %'!$T$64,'caseload data'!$D:$D,"SPO",'caseload data'!$B:$B,"custody")/SUMIFS('caseload data'!Q:Q,'caseload data'!$B:$B,"custody",'caseload data'!$C:$C,'custody %'!$T$64),"")</f>
        <v/>
      </c>
      <c r="AH69" s="209" t="str">
        <f>IFERROR(SUMIFS('caseload data'!R:R,'caseload data'!$C:$C,'custody %'!$T$64,'caseload data'!$D:$D,"SPO",'caseload data'!$B:$B,"custody")/SUMIFS('caseload data'!R:R,'caseload data'!$B:$B,"custody",'caseload data'!$C:$C,'custody %'!$T$64),"")</f>
        <v/>
      </c>
      <c r="AI69" s="209"/>
      <c r="AJ69" s="209"/>
    </row>
    <row r="71" spans="2:36" x14ac:dyDescent="0.15">
      <c r="B71" s="182" t="str">
        <f>HLOOKUP($B$5,Region_Table,20,0)</f>
        <v>Lewisham and Bromley</v>
      </c>
      <c r="C71" s="359" t="s">
        <v>366</v>
      </c>
      <c r="D71" s="365"/>
      <c r="E71" s="365"/>
      <c r="F71" s="365"/>
      <c r="G71" s="365"/>
      <c r="H71" s="365"/>
      <c r="I71" s="365"/>
      <c r="J71" s="365"/>
      <c r="K71" s="365"/>
      <c r="L71" s="365"/>
      <c r="M71" s="368"/>
      <c r="N71" s="368"/>
      <c r="O71" s="369"/>
      <c r="P71" s="362">
        <f>SUMIF('caseload data'!$C:$C,'custody %'!B71,'caseload data'!V:V)</f>
        <v>0</v>
      </c>
      <c r="Q71" s="370"/>
      <c r="R71" s="371"/>
    </row>
    <row r="72" spans="2:36" x14ac:dyDescent="0.15">
      <c r="B72" s="127" t="s">
        <v>324</v>
      </c>
      <c r="C72" s="58" t="s">
        <v>504</v>
      </c>
      <c r="D72" s="58" t="s">
        <v>503</v>
      </c>
      <c r="E72" s="58" t="s">
        <v>502</v>
      </c>
      <c r="F72" s="58" t="s">
        <v>501</v>
      </c>
      <c r="G72" s="58" t="s">
        <v>510</v>
      </c>
      <c r="H72" s="58" t="s">
        <v>176</v>
      </c>
      <c r="I72" s="58" t="s">
        <v>177</v>
      </c>
      <c r="J72" s="58" t="s">
        <v>505</v>
      </c>
      <c r="K72" s="58" t="s">
        <v>507</v>
      </c>
      <c r="L72" s="58" t="s">
        <v>178</v>
      </c>
      <c r="M72" s="58" t="s">
        <v>179</v>
      </c>
      <c r="N72" s="58" t="s">
        <v>506</v>
      </c>
      <c r="O72" s="58" t="s">
        <v>508</v>
      </c>
      <c r="P72" s="58" t="s">
        <v>180</v>
      </c>
      <c r="Q72" s="58" t="s">
        <v>181</v>
      </c>
      <c r="R72" s="58" t="s">
        <v>509</v>
      </c>
    </row>
    <row r="73" spans="2:36" x14ac:dyDescent="0.15">
      <c r="B73" s="129" t="s">
        <v>184</v>
      </c>
      <c r="C73" s="209" t="str">
        <f>IFERROR(SUMIFS('caseload data'!E:E,'caseload data'!$C:$C,'custody %'!$B$64,'caseload data'!$D:$D,"PO",'caseload data'!$B:$B,"custody")/SUMIFS('caseload data'!E:E,'caseload data'!$B:$B,"custody",'caseload data'!$C:$C,'custody %'!$B$64),"")</f>
        <v/>
      </c>
      <c r="D73" s="209" t="str">
        <f>IFERROR(SUMIFS('caseload data'!F:F,'caseload data'!$C:$C,'custody %'!$B$64,'caseload data'!$D:$D,"PO",'caseload data'!$B:$B,"custody")/SUMIFS('caseload data'!F:F,'caseload data'!$B:$B,"custody",'caseload data'!$C:$C,'custody %'!$B$64),"")</f>
        <v/>
      </c>
      <c r="E73" s="209" t="str">
        <f>IFERROR(SUMIFS('caseload data'!G:G,'caseload data'!$C:$C,'custody %'!$B$64,'caseload data'!$D:$D,"PO",'caseload data'!$B:$B,"custody")/SUMIFS('caseload data'!G:G,'caseload data'!$B:$B,"custody",'caseload data'!$C:$C,'custody %'!$B$64),"")</f>
        <v/>
      </c>
      <c r="F73" s="209" t="str">
        <f>IFERROR(SUMIFS('caseload data'!H:H,'caseload data'!$C:$C,'custody %'!$B$64,'caseload data'!$D:$D,"PO",'caseload data'!$B:$B,"custody")/SUMIFS('caseload data'!H:H,'caseload data'!$B:$B,"custody",'caseload data'!$C:$C,'custody %'!$B$64),"")</f>
        <v/>
      </c>
      <c r="G73" s="209" t="str">
        <f>IFERROR(SUMIFS('caseload data'!I:I,'caseload data'!$C:$C,'custody %'!$B$64,'caseload data'!$D:$D,"PO",'caseload data'!$B:$B,"custody")/SUMIFS('caseload data'!I:I,'caseload data'!$B:$B,"custody",'caseload data'!$C:$C,'custody %'!$B$64),"")</f>
        <v/>
      </c>
      <c r="H73" s="209" t="str">
        <f>IFERROR(SUMIFS('caseload data'!J:J,'caseload data'!$C:$C,'custody %'!$B$64,'caseload data'!$D:$D,"PO",'caseload data'!$B:$B,"custody")/SUMIFS('caseload data'!J:J,'caseload data'!$B:$B,"custody",'caseload data'!$C:$C,'custody %'!$B$64),"")</f>
        <v/>
      </c>
      <c r="I73" s="209" t="str">
        <f>IFERROR(SUMIFS('caseload data'!K:K,'caseload data'!$C:$C,'custody %'!$B$64,'caseload data'!$D:$D,"PO",'caseload data'!$B:$B,"custody")/SUMIFS('caseload data'!K:K,'caseload data'!$B:$B,"custody",'caseload data'!$C:$C,'custody %'!$B$64),"")</f>
        <v/>
      </c>
      <c r="J73" s="209" t="str">
        <f>IFERROR(SUMIFS('caseload data'!L:L,'caseload data'!$C:$C,'custody %'!$B$64,'caseload data'!$D:$D,"PO",'caseload data'!$B:$B,"custody")/SUMIFS('caseload data'!L:L,'caseload data'!$B:$B,"custody",'caseload data'!$C:$C,'custody %'!$B$64),"")</f>
        <v/>
      </c>
      <c r="K73" s="209" t="str">
        <f>IFERROR(SUMIFS('caseload data'!M:M,'caseload data'!$C:$C,'custody %'!$B$64,'caseload data'!$D:$D,"PO",'caseload data'!$B:$B,"custody")/SUMIFS('caseload data'!M:M,'caseload data'!$B:$B,"custody",'caseload data'!$C:$C,'custody %'!$B$64),"")</f>
        <v/>
      </c>
      <c r="L73" s="209" t="str">
        <f>IFERROR(SUMIFS('caseload data'!N:N,'caseload data'!$C:$C,'custody %'!$B$64,'caseload data'!$D:$D,"PO",'caseload data'!$B:$B,"custody")/SUMIFS('caseload data'!N:N,'caseload data'!$B:$B,"custody",'caseload data'!$C:$C,'custody %'!$B$64),"")</f>
        <v/>
      </c>
      <c r="M73" s="209" t="str">
        <f>IFERROR(SUMIFS('caseload data'!O:O,'caseload data'!$C:$C,'custody %'!$B$64,'caseload data'!$D:$D,"PO",'caseload data'!$B:$B,"custody")/SUMIFS('caseload data'!O:O,'caseload data'!$B:$B,"custody",'caseload data'!$C:$C,'custody %'!$B$64),"")</f>
        <v/>
      </c>
      <c r="N73" s="209" t="str">
        <f>IFERROR(SUMIFS('caseload data'!P:P,'caseload data'!$C:$C,'custody %'!$B$64,'caseload data'!$D:$D,"PO",'caseload data'!$B:$B,"custody")/SUMIFS('caseload data'!P:P,'caseload data'!$B:$B,"custody",'caseload data'!$C:$C,'custody %'!$B$64),"")</f>
        <v/>
      </c>
      <c r="O73" s="209" t="str">
        <f>IFERROR(SUMIFS('caseload data'!Q:Q,'caseload data'!$C:$C,'custody %'!$B$64,'caseload data'!$D:$D,"PO",'caseload data'!$B:$B,"custody")/SUMIFS('caseload data'!Q:Q,'caseload data'!$B:$B,"custody",'caseload data'!$C:$C,'custody %'!$B$64),"")</f>
        <v/>
      </c>
      <c r="P73" s="209" t="str">
        <f>IFERROR(SUMIFS('caseload data'!R:R,'caseload data'!$C:$C,'custody %'!$B$64,'caseload data'!$D:$D,"PO",'caseload data'!$B:$B,"custody")/SUMIFS('caseload data'!R:R,'caseload data'!$B:$B,"custody",'caseload data'!$C:$C,'custody %'!$B$64),"")</f>
        <v/>
      </c>
      <c r="Q73" s="209" t="str">
        <f>IFERROR(SUMIFS('caseload data'!S:S,'caseload data'!$C:$C,'custody %'!$B$64,'caseload data'!$D:$D,"PO",'caseload data'!$B:$B,"custody")/SUMIFS('caseload data'!S:S,'caseload data'!$B:$B,"custody",'caseload data'!$C:$C,'custody %'!$B$64),"")</f>
        <v/>
      </c>
      <c r="R73" s="209" t="str">
        <f>IFERROR(SUMIFS('caseload data'!T:T,'caseload data'!$C:$C,'custody %'!$B$64,'caseload data'!$D:$D,"PO",'caseload data'!$B:$B,"custody")/SUMIFS('caseload data'!T:T,'caseload data'!$B:$B,"custody",'caseload data'!$C:$C,'custody %'!$B$64),"")</f>
        <v/>
      </c>
    </row>
    <row r="74" spans="2:36" x14ac:dyDescent="0.15">
      <c r="B74" s="130" t="s">
        <v>185</v>
      </c>
      <c r="C74" s="209" t="str">
        <f>IFERROR(SUMIFS('caseload data'!E:E,'caseload data'!$C:$C,'custody %'!$B$64,'caseload data'!$D:$D,"PSO",'caseload data'!$B:$B,"custody")/SUMIFS('caseload data'!E:E,'caseload data'!$B:$B,"custody",'caseload data'!$C:$C,'custody %'!$B$64),"")</f>
        <v/>
      </c>
      <c r="D74" s="209" t="str">
        <f>IFERROR(SUMIFS('caseload data'!F:F,'caseload data'!$C:$C,'custody %'!$B$64,'caseload data'!$D:$D,"PSO",'caseload data'!$B:$B,"custody")/SUMIFS('caseload data'!F:F,'caseload data'!$B:$B,"custody",'caseload data'!$C:$C,'custody %'!$B$64),"")</f>
        <v/>
      </c>
      <c r="E74" s="209" t="str">
        <f>IFERROR(SUMIFS('caseload data'!G:G,'caseload data'!$C:$C,'custody %'!$B$64,'caseload data'!$D:$D,"PSO",'caseload data'!$B:$B,"custody")/SUMIFS('caseload data'!G:G,'caseload data'!$B:$B,"custody",'caseload data'!$C:$C,'custody %'!$B$64),"")</f>
        <v/>
      </c>
      <c r="F74" s="209" t="str">
        <f>IFERROR(SUMIFS('caseload data'!H:H,'caseload data'!$C:$C,'custody %'!$B$64,'caseload data'!$D:$D,"PSO",'caseload data'!$B:$B,"custody")/SUMIFS('caseload data'!H:H,'caseload data'!$B:$B,"custody",'caseload data'!$C:$C,'custody %'!$B$64),"")</f>
        <v/>
      </c>
      <c r="G74" s="209" t="str">
        <f>IFERROR(SUMIFS('caseload data'!I:I,'caseload data'!$C:$C,'custody %'!$B$64,'caseload data'!$D:$D,"PSO",'caseload data'!$B:$B,"custody")/SUMIFS('caseload data'!I:I,'caseload data'!$B:$B,"custody",'caseload data'!$C:$C,'custody %'!$B$64),"")</f>
        <v/>
      </c>
      <c r="H74" s="209" t="str">
        <f>IFERROR(SUMIFS('caseload data'!J:J,'caseload data'!$C:$C,'custody %'!$B$64,'caseload data'!$D:$D,"PSO",'caseload data'!$B:$B,"custody")/SUMIFS('caseload data'!J:J,'caseload data'!$B:$B,"custody",'caseload data'!$C:$C,'custody %'!$B$64),"")</f>
        <v/>
      </c>
      <c r="I74" s="209" t="str">
        <f>IFERROR(SUMIFS('caseload data'!K:K,'caseload data'!$C:$C,'custody %'!$B$64,'caseload data'!$D:$D,"PSO",'caseload data'!$B:$B,"custody")/SUMIFS('caseload data'!K:K,'caseload data'!$B:$B,"custody",'caseload data'!$C:$C,'custody %'!$B$64),"")</f>
        <v/>
      </c>
      <c r="J74" s="209" t="str">
        <f>IFERROR(SUMIFS('caseload data'!L:L,'caseload data'!$C:$C,'custody %'!$B$64,'caseload data'!$D:$D,"PSO",'caseload data'!$B:$B,"custody")/SUMIFS('caseload data'!L:L,'caseload data'!$B:$B,"custody",'caseload data'!$C:$C,'custody %'!$B$64),"")</f>
        <v/>
      </c>
      <c r="K74" s="209" t="str">
        <f>IFERROR(SUMIFS('caseload data'!M:M,'caseload data'!$C:$C,'custody %'!$B$64,'caseload data'!$D:$D,"PSO",'caseload data'!$B:$B,"custody")/SUMIFS('caseload data'!M:M,'caseload data'!$B:$B,"custody",'caseload data'!$C:$C,'custody %'!$B$64),"")</f>
        <v/>
      </c>
      <c r="L74" s="209" t="str">
        <f>IFERROR(SUMIFS('caseload data'!N:N,'caseload data'!$C:$C,'custody %'!$B$64,'caseload data'!$D:$D,"PSO",'caseload data'!$B:$B,"custody")/SUMIFS('caseload data'!N:N,'caseload data'!$B:$B,"custody",'caseload data'!$C:$C,'custody %'!$B$64),"")</f>
        <v/>
      </c>
      <c r="M74" s="209" t="str">
        <f>IFERROR(SUMIFS('caseload data'!O:O,'caseload data'!$C:$C,'custody %'!$B$64,'caseload data'!$D:$D,"PSO",'caseload data'!$B:$B,"custody")/SUMIFS('caseload data'!O:O,'caseload data'!$B:$B,"custody",'caseload data'!$C:$C,'custody %'!$B$64),"")</f>
        <v/>
      </c>
      <c r="N74" s="209" t="str">
        <f>IFERROR(SUMIFS('caseload data'!P:P,'caseload data'!$C:$C,'custody %'!$B$64,'caseload data'!$D:$D,"PSO",'caseload data'!$B:$B,"custody")/SUMIFS('caseload data'!P:P,'caseload data'!$B:$B,"custody",'caseload data'!$C:$C,'custody %'!$B$64),"")</f>
        <v/>
      </c>
      <c r="O74" s="209" t="str">
        <f>IFERROR(SUMIFS('caseload data'!Q:Q,'caseload data'!$C:$C,'custody %'!$B$64,'caseload data'!$D:$D,"PSO",'caseload data'!$B:$B,"custody")/SUMIFS('caseload data'!Q:Q,'caseload data'!$B:$B,"custody",'caseload data'!$C:$C,'custody %'!$B$64),"")</f>
        <v/>
      </c>
      <c r="P74" s="209" t="str">
        <f>IFERROR(SUMIFS('caseload data'!R:R,'caseload data'!$C:$C,'custody %'!$B$64,'caseload data'!$D:$D,"PSO",'caseload data'!$B:$B,"custody")/SUMIFS('caseload data'!R:R,'caseload data'!$B:$B,"custody",'caseload data'!$C:$C,'custody %'!$B$64),"")</f>
        <v/>
      </c>
      <c r="Q74" s="209" t="str">
        <f>IFERROR(SUMIFS('caseload data'!S:S,'caseload data'!$C:$C,'custody %'!$B$64,'caseload data'!$D:$D,"PSO",'caseload data'!$B:$B,"custody")/SUMIFS('caseload data'!S:S,'caseload data'!$B:$B,"custody",'caseload data'!$C:$C,'custody %'!$B$64),"")</f>
        <v/>
      </c>
      <c r="R74" s="209" t="str">
        <f>IFERROR(SUMIFS('caseload data'!T:T,'caseload data'!$C:$C,'custody %'!$B$64,'caseload data'!$D:$D,"PSO",'caseload data'!$B:$B,"custody")/SUMIFS('caseload data'!T:T,'caseload data'!$B:$B,"custody",'caseload data'!$C:$C,'custody %'!$B$64),"")</f>
        <v/>
      </c>
    </row>
    <row r="75" spans="2:36" x14ac:dyDescent="0.15">
      <c r="B75" s="130" t="s">
        <v>186</v>
      </c>
      <c r="C75" s="209" t="str">
        <f>IFERROR(SUMIFS('caseload data'!E:E,'caseload data'!$C:$C,'custody %'!$B$64,'caseload data'!$D:$D,"TPO",'caseload data'!$B:$B,"custody")/SUMIFS('caseload data'!E:E,'caseload data'!$B:$B,"custody",'caseload data'!$C:$C,'custody %'!$B$64),"")</f>
        <v/>
      </c>
      <c r="D75" s="209" t="str">
        <f>IFERROR(SUMIFS('caseload data'!F:F,'caseload data'!$C:$C,'custody %'!$B$64,'caseload data'!$D:$D,"TPO",'caseload data'!$B:$B,"custody")/SUMIFS('caseload data'!F:F,'caseload data'!$B:$B,"custody",'caseload data'!$C:$C,'custody %'!$B$64),"")</f>
        <v/>
      </c>
      <c r="E75" s="209" t="str">
        <f>IFERROR(SUMIFS('caseload data'!G:G,'caseload data'!$C:$C,'custody %'!$B$64,'caseload data'!$D:$D,"TPO",'caseload data'!$B:$B,"custody")/SUMIFS('caseload data'!G:G,'caseload data'!$B:$B,"custody",'caseload data'!$C:$C,'custody %'!$B$64),"")</f>
        <v/>
      </c>
      <c r="F75" s="209" t="str">
        <f>IFERROR(SUMIFS('caseload data'!H:H,'caseload data'!$C:$C,'custody %'!$B$64,'caseload data'!$D:$D,"TPO",'caseload data'!$B:$B,"custody")/SUMIFS('caseload data'!H:H,'caseload data'!$B:$B,"custody",'caseload data'!$C:$C,'custody %'!$B$64),"")</f>
        <v/>
      </c>
      <c r="G75" s="209" t="str">
        <f>IFERROR(SUMIFS('caseload data'!I:I,'caseload data'!$C:$C,'custody %'!$B$64,'caseload data'!$D:$D,"TPO",'caseload data'!$B:$B,"custody")/SUMIFS('caseload data'!I:I,'caseload data'!$B:$B,"custody",'caseload data'!$C:$C,'custody %'!$B$64),"")</f>
        <v/>
      </c>
      <c r="H75" s="209" t="str">
        <f>IFERROR(SUMIFS('caseload data'!J:J,'caseload data'!$C:$C,'custody %'!$B$64,'caseload data'!$D:$D,"TPO",'caseload data'!$B:$B,"custody")/SUMIFS('caseload data'!J:J,'caseload data'!$B:$B,"custody",'caseload data'!$C:$C,'custody %'!$B$64),"")</f>
        <v/>
      </c>
      <c r="I75" s="209" t="str">
        <f>IFERROR(SUMIFS('caseload data'!K:K,'caseload data'!$C:$C,'custody %'!$B$64,'caseload data'!$D:$D,"TPO",'caseload data'!$B:$B,"custody")/SUMIFS('caseload data'!K:K,'caseload data'!$B:$B,"custody",'caseload data'!$C:$C,'custody %'!$B$64),"")</f>
        <v/>
      </c>
      <c r="J75" s="209" t="str">
        <f>IFERROR(SUMIFS('caseload data'!L:L,'caseload data'!$C:$C,'custody %'!$B$64,'caseload data'!$D:$D,"TPO",'caseload data'!$B:$B,"custody")/SUMIFS('caseload data'!L:L,'caseload data'!$B:$B,"custody",'caseload data'!$C:$C,'custody %'!$B$64),"")</f>
        <v/>
      </c>
      <c r="K75" s="209" t="str">
        <f>IFERROR(SUMIFS('caseload data'!M:M,'caseload data'!$C:$C,'custody %'!$B$64,'caseload data'!$D:$D,"TPO",'caseload data'!$B:$B,"custody")/SUMIFS('caseload data'!M:M,'caseload data'!$B:$B,"custody",'caseload data'!$C:$C,'custody %'!$B$64),"")</f>
        <v/>
      </c>
      <c r="L75" s="209" t="str">
        <f>IFERROR(SUMIFS('caseload data'!N:N,'caseload data'!$C:$C,'custody %'!$B$64,'caseload data'!$D:$D,"TPO",'caseload data'!$B:$B,"custody")/SUMIFS('caseload data'!N:N,'caseload data'!$B:$B,"custody",'caseload data'!$C:$C,'custody %'!$B$64),"")</f>
        <v/>
      </c>
      <c r="M75" s="209" t="str">
        <f>IFERROR(SUMIFS('caseload data'!O:O,'caseload data'!$C:$C,'custody %'!$B$64,'caseload data'!$D:$D,"TPO",'caseload data'!$B:$B,"custody")/SUMIFS('caseload data'!O:O,'caseload data'!$B:$B,"custody",'caseload data'!$C:$C,'custody %'!$B$64),"")</f>
        <v/>
      </c>
      <c r="N75" s="209" t="str">
        <f>IFERROR(SUMIFS('caseload data'!P:P,'caseload data'!$C:$C,'custody %'!$B$64,'caseload data'!$D:$D,"TPO",'caseload data'!$B:$B,"custody")/SUMIFS('caseload data'!P:P,'caseload data'!$B:$B,"custody",'caseload data'!$C:$C,'custody %'!$B$64),"")</f>
        <v/>
      </c>
      <c r="O75" s="209" t="str">
        <f>IFERROR(SUMIFS('caseload data'!Q:Q,'caseload data'!$C:$C,'custody %'!$B$64,'caseload data'!$D:$D,"TPO",'caseload data'!$B:$B,"custody")/SUMIFS('caseload data'!Q:Q,'caseload data'!$B:$B,"custody",'caseload data'!$C:$C,'custody %'!$B$64),"")</f>
        <v/>
      </c>
      <c r="P75" s="209" t="str">
        <f>IFERROR(SUMIFS('caseload data'!R:R,'caseload data'!$C:$C,'custody %'!$B$64,'caseload data'!$D:$D,"TPO",'caseload data'!$B:$B,"custody")/SUMIFS('caseload data'!R:R,'caseload data'!$B:$B,"custody",'caseload data'!$C:$C,'custody %'!$B$64),"")</f>
        <v/>
      </c>
      <c r="Q75" s="209" t="str">
        <f>IFERROR(SUMIFS('caseload data'!S:S,'caseload data'!$C:$C,'custody %'!$B$64,'caseload data'!$D:$D,"TPO",'caseload data'!$B:$B,"custody")/SUMIFS('caseload data'!S:S,'caseload data'!$B:$B,"custody",'caseload data'!$C:$C,'custody %'!$B$64),"")</f>
        <v/>
      </c>
      <c r="R75" s="209" t="str">
        <f>IFERROR(SUMIFS('caseload data'!T:T,'caseload data'!$C:$C,'custody %'!$B$64,'caseload data'!$D:$D,"TPO",'caseload data'!$B:$B,"custody")/SUMIFS('caseload data'!T:T,'caseload data'!$B:$B,"custody",'caseload data'!$C:$C,'custody %'!$B$64),"")</f>
        <v/>
      </c>
    </row>
    <row r="76" spans="2:36" x14ac:dyDescent="0.15">
      <c r="B76" s="131" t="s">
        <v>187</v>
      </c>
      <c r="C76" s="209" t="str">
        <f>IFERROR(SUMIFS('caseload data'!E:E,'caseload data'!$C:$C,'custody %'!$B$64,'caseload data'!$D:$D,"SPO",'caseload data'!$B:$B,"custody")/SUMIFS('caseload data'!E:E,'caseload data'!$B:$B,"custody",'caseload data'!$C:$C,'custody %'!$B$64),"")</f>
        <v/>
      </c>
      <c r="D76" s="209" t="str">
        <f>IFERROR(SUMIFS('caseload data'!F:F,'caseload data'!$C:$C,'custody %'!$B$64,'caseload data'!$D:$D,"SPO",'caseload data'!$B:$B,"custody")/SUMIFS('caseload data'!F:F,'caseload data'!$B:$B,"custody",'caseload data'!$C:$C,'custody %'!$B$64),"")</f>
        <v/>
      </c>
      <c r="E76" s="209" t="str">
        <f>IFERROR(SUMIFS('caseload data'!G:G,'caseload data'!$C:$C,'custody %'!$B$64,'caseload data'!$D:$D,"SPO",'caseload data'!$B:$B,"custody")/SUMIFS('caseload data'!G:G,'caseload data'!$B:$B,"custody",'caseload data'!$C:$C,'custody %'!$B$64),"")</f>
        <v/>
      </c>
      <c r="F76" s="209" t="str">
        <f>IFERROR(SUMIFS('caseload data'!H:H,'caseload data'!$C:$C,'custody %'!$B$64,'caseload data'!$D:$D,"SPO",'caseload data'!$B:$B,"custody")/SUMIFS('caseload data'!H:H,'caseload data'!$B:$B,"custody",'caseload data'!$C:$C,'custody %'!$B$64),"")</f>
        <v/>
      </c>
      <c r="G76" s="209" t="str">
        <f>IFERROR(SUMIFS('caseload data'!I:I,'caseload data'!$C:$C,'custody %'!$B$64,'caseload data'!$D:$D,"SPO",'caseload data'!$B:$B,"custody")/SUMIFS('caseload data'!I:I,'caseload data'!$B:$B,"custody",'caseload data'!$C:$C,'custody %'!$B$64),"")</f>
        <v/>
      </c>
      <c r="H76" s="209" t="str">
        <f>IFERROR(SUMIFS('caseload data'!J:J,'caseload data'!$C:$C,'custody %'!$B$64,'caseload data'!$D:$D,"SPO",'caseload data'!$B:$B,"custody")/SUMIFS('caseload data'!J:J,'caseload data'!$B:$B,"custody",'caseload data'!$C:$C,'custody %'!$B$64),"")</f>
        <v/>
      </c>
      <c r="I76" s="209" t="str">
        <f>IFERROR(SUMIFS('caseload data'!K:K,'caseload data'!$C:$C,'custody %'!$B$64,'caseload data'!$D:$D,"SPO",'caseload data'!$B:$B,"custody")/SUMIFS('caseload data'!K:K,'caseload data'!$B:$B,"custody",'caseload data'!$C:$C,'custody %'!$B$64),"")</f>
        <v/>
      </c>
      <c r="J76" s="209" t="str">
        <f>IFERROR(SUMIFS('caseload data'!L:L,'caseload data'!$C:$C,'custody %'!$B$64,'caseload data'!$D:$D,"SPO",'caseload data'!$B:$B,"custody")/SUMIFS('caseload data'!L:L,'caseload data'!$B:$B,"custody",'caseload data'!$C:$C,'custody %'!$B$64),"")</f>
        <v/>
      </c>
      <c r="K76" s="209" t="str">
        <f>IFERROR(SUMIFS('caseload data'!M:M,'caseload data'!$C:$C,'custody %'!$B$64,'caseload data'!$D:$D,"SPO",'caseload data'!$B:$B,"custody")/SUMIFS('caseload data'!M:M,'caseload data'!$B:$B,"custody",'caseload data'!$C:$C,'custody %'!$B$64),"")</f>
        <v/>
      </c>
      <c r="L76" s="209" t="str">
        <f>IFERROR(SUMIFS('caseload data'!N:N,'caseload data'!$C:$C,'custody %'!$B$64,'caseload data'!$D:$D,"SPO",'caseload data'!$B:$B,"custody")/SUMIFS('caseload data'!N:N,'caseload data'!$B:$B,"custody",'caseload data'!$C:$C,'custody %'!$B$64),"")</f>
        <v/>
      </c>
      <c r="M76" s="209" t="str">
        <f>IFERROR(SUMIFS('caseload data'!O:O,'caseload data'!$C:$C,'custody %'!$B$64,'caseload data'!$D:$D,"SPO",'caseload data'!$B:$B,"custody")/SUMIFS('caseload data'!O:O,'caseload data'!$B:$B,"custody",'caseload data'!$C:$C,'custody %'!$B$64),"")</f>
        <v/>
      </c>
      <c r="N76" s="209" t="str">
        <f>IFERROR(SUMIFS('caseload data'!P:P,'caseload data'!$C:$C,'custody %'!$B$64,'caseload data'!$D:$D,"SPO",'caseload data'!$B:$B,"custody")/SUMIFS('caseload data'!P:P,'caseload data'!$B:$B,"custody",'caseload data'!$C:$C,'custody %'!$B$64),"")</f>
        <v/>
      </c>
      <c r="O76" s="209" t="str">
        <f>IFERROR(SUMIFS('caseload data'!Q:Q,'caseload data'!$C:$C,'custody %'!$B$64,'caseload data'!$D:$D,"SPO",'caseload data'!$B:$B,"custody")/SUMIFS('caseload data'!Q:Q,'caseload data'!$B:$B,"custody",'caseload data'!$C:$C,'custody %'!$B$64),"")</f>
        <v/>
      </c>
      <c r="P76" s="209" t="str">
        <f>IFERROR(SUMIFS('caseload data'!R:R,'caseload data'!$C:$C,'custody %'!$B$64,'caseload data'!$D:$D,"SPO",'caseload data'!$B:$B,"custody")/SUMIFS('caseload data'!R:R,'caseload data'!$B:$B,"custody",'caseload data'!$C:$C,'custody %'!$B$64),"")</f>
        <v/>
      </c>
      <c r="Q76" s="209" t="str">
        <f>IFERROR(SUMIFS('caseload data'!S:S,'caseload data'!$C:$C,'custody %'!$B$64,'caseload data'!$D:$D,"SPO",'caseload data'!$B:$B,"custody")/SUMIFS('caseload data'!S:S,'caseload data'!$B:$B,"custody",'caseload data'!$C:$C,'custody %'!$B$64),"")</f>
        <v/>
      </c>
      <c r="R76" s="209" t="str">
        <f>IFERROR(SUMIFS('caseload data'!T:T,'caseload data'!$C:$C,'custody %'!$B$64,'caseload data'!$D:$D,"SPO",'caseload data'!$B:$B,"custody")/SUMIFS('caseload data'!T:T,'caseload data'!$B:$B,"custody",'caseload data'!$C:$C,'custody %'!$B$64),"")</f>
        <v/>
      </c>
    </row>
  </sheetData>
  <mergeCells count="40">
    <mergeCell ref="C64:O64"/>
    <mergeCell ref="P64:R64"/>
    <mergeCell ref="U64:AE64"/>
    <mergeCell ref="AF64:AH64"/>
    <mergeCell ref="C71:O71"/>
    <mergeCell ref="P71:R71"/>
    <mergeCell ref="C8:O8"/>
    <mergeCell ref="P8:R8"/>
    <mergeCell ref="U8:AE8"/>
    <mergeCell ref="AF8:AH8"/>
    <mergeCell ref="A1:AW1"/>
    <mergeCell ref="A2:AV2"/>
    <mergeCell ref="C15:O15"/>
    <mergeCell ref="P15:R15"/>
    <mergeCell ref="U15:AE15"/>
    <mergeCell ref="AF15:AH15"/>
    <mergeCell ref="C22:O22"/>
    <mergeCell ref="P22:R22"/>
    <mergeCell ref="U22:AE22"/>
    <mergeCell ref="AF22:AH22"/>
    <mergeCell ref="C29:O29"/>
    <mergeCell ref="P29:R29"/>
    <mergeCell ref="U29:AE29"/>
    <mergeCell ref="AF29:AH29"/>
    <mergeCell ref="C36:O36"/>
    <mergeCell ref="P36:R36"/>
    <mergeCell ref="U36:AE36"/>
    <mergeCell ref="AF36:AH36"/>
    <mergeCell ref="C57:O57"/>
    <mergeCell ref="P57:R57"/>
    <mergeCell ref="U57:AE57"/>
    <mergeCell ref="AF57:AH57"/>
    <mergeCell ref="C43:O43"/>
    <mergeCell ref="P43:R43"/>
    <mergeCell ref="U43:AE43"/>
    <mergeCell ref="AF43:AH43"/>
    <mergeCell ref="C50:O50"/>
    <mergeCell ref="P50:R50"/>
    <mergeCell ref="U50:AE50"/>
    <mergeCell ref="AF50:AH50"/>
  </mergeCells>
  <conditionalFormatting sqref="C11:C12">
    <cfRule type="cellIs" dxfId="1525" priority="607" operator="equal">
      <formula>0</formula>
    </cfRule>
    <cfRule type="cellIs" dxfId="1524" priority="608" operator="notEqual">
      <formula>0</formula>
    </cfRule>
  </conditionalFormatting>
  <conditionalFormatting sqref="D11:D12">
    <cfRule type="cellIs" dxfId="1523" priority="605" operator="equal">
      <formula>0</formula>
    </cfRule>
    <cfRule type="cellIs" dxfId="1522" priority="606" operator="notEqual">
      <formula>0</formula>
    </cfRule>
  </conditionalFormatting>
  <conditionalFormatting sqref="E11:E12">
    <cfRule type="cellIs" dxfId="1521" priority="603" operator="equal">
      <formula>0</formula>
    </cfRule>
    <cfRule type="cellIs" dxfId="1520" priority="604" operator="notEqual">
      <formula>0</formula>
    </cfRule>
  </conditionalFormatting>
  <conditionalFormatting sqref="F11:F12">
    <cfRule type="cellIs" dxfId="1519" priority="601" operator="equal">
      <formula>0</formula>
    </cfRule>
    <cfRule type="cellIs" dxfId="1518" priority="602" operator="notEqual">
      <formula>0</formula>
    </cfRule>
  </conditionalFormatting>
  <conditionalFormatting sqref="G11:G12">
    <cfRule type="cellIs" dxfId="1517" priority="599" operator="equal">
      <formula>0</formula>
    </cfRule>
    <cfRule type="cellIs" dxfId="1516" priority="600" operator="notEqual">
      <formula>0</formula>
    </cfRule>
  </conditionalFormatting>
  <conditionalFormatting sqref="H11:H12">
    <cfRule type="cellIs" dxfId="1515" priority="597" operator="equal">
      <formula>0</formula>
    </cfRule>
    <cfRule type="cellIs" dxfId="1514" priority="598" operator="notEqual">
      <formula>0</formula>
    </cfRule>
  </conditionalFormatting>
  <conditionalFormatting sqref="I11:I12">
    <cfRule type="cellIs" dxfId="1513" priority="595" operator="equal">
      <formula>0</formula>
    </cfRule>
    <cfRule type="cellIs" dxfId="1512" priority="596" operator="notEqual">
      <formula>0</formula>
    </cfRule>
  </conditionalFormatting>
  <conditionalFormatting sqref="J11:J12">
    <cfRule type="cellIs" dxfId="1511" priority="593" operator="equal">
      <formula>0</formula>
    </cfRule>
    <cfRule type="cellIs" dxfId="1510" priority="594" operator="notEqual">
      <formula>0</formula>
    </cfRule>
  </conditionalFormatting>
  <conditionalFormatting sqref="O10">
    <cfRule type="cellIs" dxfId="1509" priority="591" operator="equal">
      <formula>0</formula>
    </cfRule>
    <cfRule type="cellIs" dxfId="1508" priority="592" operator="notEqual">
      <formula>0</formula>
    </cfRule>
  </conditionalFormatting>
  <conditionalFormatting sqref="O13">
    <cfRule type="cellIs" dxfId="1507" priority="589" operator="equal">
      <formula>0</formula>
    </cfRule>
    <cfRule type="cellIs" dxfId="1506" priority="590" operator="notEqual">
      <formula>0</formula>
    </cfRule>
  </conditionalFormatting>
  <conditionalFormatting sqref="P10">
    <cfRule type="cellIs" dxfId="1505" priority="587" operator="equal">
      <formula>0</formula>
    </cfRule>
    <cfRule type="cellIs" dxfId="1504" priority="588" operator="notEqual">
      <formula>0</formula>
    </cfRule>
  </conditionalFormatting>
  <conditionalFormatting sqref="P13">
    <cfRule type="cellIs" dxfId="1503" priority="585" operator="equal">
      <formula>0</formula>
    </cfRule>
    <cfRule type="cellIs" dxfId="1502" priority="586" operator="notEqual">
      <formula>0</formula>
    </cfRule>
  </conditionalFormatting>
  <conditionalFormatting sqref="Q10">
    <cfRule type="cellIs" dxfId="1501" priority="583" operator="equal">
      <formula>0</formula>
    </cfRule>
    <cfRule type="cellIs" dxfId="1500" priority="584" operator="notEqual">
      <formula>0</formula>
    </cfRule>
  </conditionalFormatting>
  <conditionalFormatting sqref="Q13">
    <cfRule type="cellIs" dxfId="1499" priority="581" operator="equal">
      <formula>0</formula>
    </cfRule>
    <cfRule type="cellIs" dxfId="1498" priority="582" operator="notEqual">
      <formula>0</formula>
    </cfRule>
  </conditionalFormatting>
  <conditionalFormatting sqref="R10">
    <cfRule type="cellIs" dxfId="1497" priority="579" operator="equal">
      <formula>0</formula>
    </cfRule>
    <cfRule type="cellIs" dxfId="1496" priority="580" operator="notEqual">
      <formula>0</formula>
    </cfRule>
  </conditionalFormatting>
  <conditionalFormatting sqref="R13">
    <cfRule type="cellIs" dxfId="1495" priority="577" operator="equal">
      <formula>0</formula>
    </cfRule>
    <cfRule type="cellIs" dxfId="1494" priority="578" operator="notEqual">
      <formula>0</formula>
    </cfRule>
  </conditionalFormatting>
  <conditionalFormatting sqref="C18:C19">
    <cfRule type="cellIs" dxfId="1493" priority="575" operator="equal">
      <formula>0</formula>
    </cfRule>
    <cfRule type="cellIs" dxfId="1492" priority="576" operator="notEqual">
      <formula>0</formula>
    </cfRule>
  </conditionalFormatting>
  <conditionalFormatting sqref="D18:D19">
    <cfRule type="cellIs" dxfId="1491" priority="573" operator="equal">
      <formula>0</formula>
    </cfRule>
    <cfRule type="cellIs" dxfId="1490" priority="574" operator="notEqual">
      <formula>0</formula>
    </cfRule>
  </conditionalFormatting>
  <conditionalFormatting sqref="E18:E19">
    <cfRule type="cellIs" dxfId="1489" priority="571" operator="equal">
      <formula>0</formula>
    </cfRule>
    <cfRule type="cellIs" dxfId="1488" priority="572" operator="notEqual">
      <formula>0</formula>
    </cfRule>
  </conditionalFormatting>
  <conditionalFormatting sqref="F18:F19">
    <cfRule type="cellIs" dxfId="1487" priority="569" operator="equal">
      <formula>0</formula>
    </cfRule>
    <cfRule type="cellIs" dxfId="1486" priority="570" operator="notEqual">
      <formula>0</formula>
    </cfRule>
  </conditionalFormatting>
  <conditionalFormatting sqref="G18:G19">
    <cfRule type="cellIs" dxfId="1485" priority="567" operator="equal">
      <formula>0</formula>
    </cfRule>
    <cfRule type="cellIs" dxfId="1484" priority="568" operator="notEqual">
      <formula>0</formula>
    </cfRule>
  </conditionalFormatting>
  <conditionalFormatting sqref="H18:H19">
    <cfRule type="cellIs" dxfId="1483" priority="565" operator="equal">
      <formula>0</formula>
    </cfRule>
    <cfRule type="cellIs" dxfId="1482" priority="566" operator="notEqual">
      <formula>0</formula>
    </cfRule>
  </conditionalFormatting>
  <conditionalFormatting sqref="I18:I19">
    <cfRule type="cellIs" dxfId="1481" priority="563" operator="equal">
      <formula>0</formula>
    </cfRule>
    <cfRule type="cellIs" dxfId="1480" priority="564" operator="notEqual">
      <formula>0</formula>
    </cfRule>
  </conditionalFormatting>
  <conditionalFormatting sqref="J18:J19">
    <cfRule type="cellIs" dxfId="1479" priority="561" operator="equal">
      <formula>0</formula>
    </cfRule>
    <cfRule type="cellIs" dxfId="1478" priority="562" operator="notEqual">
      <formula>0</formula>
    </cfRule>
  </conditionalFormatting>
  <conditionalFormatting sqref="O17">
    <cfRule type="cellIs" dxfId="1477" priority="559" operator="equal">
      <formula>0</formula>
    </cfRule>
    <cfRule type="cellIs" dxfId="1476" priority="560" operator="notEqual">
      <formula>0</formula>
    </cfRule>
  </conditionalFormatting>
  <conditionalFormatting sqref="O20">
    <cfRule type="cellIs" dxfId="1475" priority="557" operator="equal">
      <formula>0</formula>
    </cfRule>
    <cfRule type="cellIs" dxfId="1474" priority="558" operator="notEqual">
      <formula>0</formula>
    </cfRule>
  </conditionalFormatting>
  <conditionalFormatting sqref="P17">
    <cfRule type="cellIs" dxfId="1473" priority="555" operator="equal">
      <formula>0</formula>
    </cfRule>
    <cfRule type="cellIs" dxfId="1472" priority="556" operator="notEqual">
      <formula>0</formula>
    </cfRule>
  </conditionalFormatting>
  <conditionalFormatting sqref="P20">
    <cfRule type="cellIs" dxfId="1471" priority="553" operator="equal">
      <formula>0</formula>
    </cfRule>
    <cfRule type="cellIs" dxfId="1470" priority="554" operator="notEqual">
      <formula>0</formula>
    </cfRule>
  </conditionalFormatting>
  <conditionalFormatting sqref="Q17">
    <cfRule type="cellIs" dxfId="1469" priority="551" operator="equal">
      <formula>0</formula>
    </cfRule>
    <cfRule type="cellIs" dxfId="1468" priority="552" operator="notEqual">
      <formula>0</formula>
    </cfRule>
  </conditionalFormatting>
  <conditionalFormatting sqref="Q20">
    <cfRule type="cellIs" dxfId="1467" priority="549" operator="equal">
      <formula>0</formula>
    </cfRule>
    <cfRule type="cellIs" dxfId="1466" priority="550" operator="notEqual">
      <formula>0</formula>
    </cfRule>
  </conditionalFormatting>
  <conditionalFormatting sqref="R17">
    <cfRule type="cellIs" dxfId="1465" priority="547" operator="equal">
      <formula>0</formula>
    </cfRule>
    <cfRule type="cellIs" dxfId="1464" priority="548" operator="notEqual">
      <formula>0</formula>
    </cfRule>
  </conditionalFormatting>
  <conditionalFormatting sqref="R20">
    <cfRule type="cellIs" dxfId="1463" priority="545" operator="equal">
      <formula>0</formula>
    </cfRule>
    <cfRule type="cellIs" dxfId="1462" priority="546" operator="notEqual">
      <formula>0</formula>
    </cfRule>
  </conditionalFormatting>
  <conditionalFormatting sqref="C25:C26">
    <cfRule type="cellIs" dxfId="1461" priority="543" operator="equal">
      <formula>0</formula>
    </cfRule>
    <cfRule type="cellIs" dxfId="1460" priority="544" operator="notEqual">
      <formula>0</formula>
    </cfRule>
  </conditionalFormatting>
  <conditionalFormatting sqref="D25:D26">
    <cfRule type="cellIs" dxfId="1459" priority="541" operator="equal">
      <formula>0</formula>
    </cfRule>
    <cfRule type="cellIs" dxfId="1458" priority="542" operator="notEqual">
      <formula>0</formula>
    </cfRule>
  </conditionalFormatting>
  <conditionalFormatting sqref="E25:E26">
    <cfRule type="cellIs" dxfId="1457" priority="539" operator="equal">
      <formula>0</formula>
    </cfRule>
    <cfRule type="cellIs" dxfId="1456" priority="540" operator="notEqual">
      <formula>0</formula>
    </cfRule>
  </conditionalFormatting>
  <conditionalFormatting sqref="F25:F26">
    <cfRule type="cellIs" dxfId="1455" priority="537" operator="equal">
      <formula>0</formula>
    </cfRule>
    <cfRule type="cellIs" dxfId="1454" priority="538" operator="notEqual">
      <formula>0</formula>
    </cfRule>
  </conditionalFormatting>
  <conditionalFormatting sqref="G25:G26">
    <cfRule type="cellIs" dxfId="1453" priority="535" operator="equal">
      <formula>0</formula>
    </cfRule>
    <cfRule type="cellIs" dxfId="1452" priority="536" operator="notEqual">
      <formula>0</formula>
    </cfRule>
  </conditionalFormatting>
  <conditionalFormatting sqref="H25:H26">
    <cfRule type="cellIs" dxfId="1451" priority="533" operator="equal">
      <formula>0</formula>
    </cfRule>
    <cfRule type="cellIs" dxfId="1450" priority="534" operator="notEqual">
      <formula>0</formula>
    </cfRule>
  </conditionalFormatting>
  <conditionalFormatting sqref="I25:I26">
    <cfRule type="cellIs" dxfId="1449" priority="531" operator="equal">
      <formula>0</formula>
    </cfRule>
    <cfRule type="cellIs" dxfId="1448" priority="532" operator="notEqual">
      <formula>0</formula>
    </cfRule>
  </conditionalFormatting>
  <conditionalFormatting sqref="J25:J26">
    <cfRule type="cellIs" dxfId="1447" priority="529" operator="equal">
      <formula>0</formula>
    </cfRule>
    <cfRule type="cellIs" dxfId="1446" priority="530" operator="notEqual">
      <formula>0</formula>
    </cfRule>
  </conditionalFormatting>
  <conditionalFormatting sqref="O24">
    <cfRule type="cellIs" dxfId="1445" priority="527" operator="equal">
      <formula>0</formula>
    </cfRule>
    <cfRule type="cellIs" dxfId="1444" priority="528" operator="notEqual">
      <formula>0</formula>
    </cfRule>
  </conditionalFormatting>
  <conditionalFormatting sqref="O27">
    <cfRule type="cellIs" dxfId="1443" priority="525" operator="equal">
      <formula>0</formula>
    </cfRule>
    <cfRule type="cellIs" dxfId="1442" priority="526" operator="notEqual">
      <formula>0</formula>
    </cfRule>
  </conditionalFormatting>
  <conditionalFormatting sqref="P24">
    <cfRule type="cellIs" dxfId="1441" priority="523" operator="equal">
      <formula>0</formula>
    </cfRule>
    <cfRule type="cellIs" dxfId="1440" priority="524" operator="notEqual">
      <formula>0</formula>
    </cfRule>
  </conditionalFormatting>
  <conditionalFormatting sqref="P27">
    <cfRule type="cellIs" dxfId="1439" priority="521" operator="equal">
      <formula>0</formula>
    </cfRule>
    <cfRule type="cellIs" dxfId="1438" priority="522" operator="notEqual">
      <formula>0</formula>
    </cfRule>
  </conditionalFormatting>
  <conditionalFormatting sqref="Q24">
    <cfRule type="cellIs" dxfId="1437" priority="519" operator="equal">
      <formula>0</formula>
    </cfRule>
    <cfRule type="cellIs" dxfId="1436" priority="520" operator="notEqual">
      <formula>0</formula>
    </cfRule>
  </conditionalFormatting>
  <conditionalFormatting sqref="Q27">
    <cfRule type="cellIs" dxfId="1435" priority="517" operator="equal">
      <formula>0</formula>
    </cfRule>
    <cfRule type="cellIs" dxfId="1434" priority="518" operator="notEqual">
      <formula>0</formula>
    </cfRule>
  </conditionalFormatting>
  <conditionalFormatting sqref="R24">
    <cfRule type="cellIs" dxfId="1433" priority="515" operator="equal">
      <formula>0</formula>
    </cfRule>
    <cfRule type="cellIs" dxfId="1432" priority="516" operator="notEqual">
      <formula>0</formula>
    </cfRule>
  </conditionalFormatting>
  <conditionalFormatting sqref="R27">
    <cfRule type="cellIs" dxfId="1431" priority="513" operator="equal">
      <formula>0</formula>
    </cfRule>
    <cfRule type="cellIs" dxfId="1430" priority="514" operator="notEqual">
      <formula>0</formula>
    </cfRule>
  </conditionalFormatting>
  <conditionalFormatting sqref="C32:C33">
    <cfRule type="cellIs" dxfId="1429" priority="511" operator="equal">
      <formula>0</formula>
    </cfRule>
    <cfRule type="cellIs" dxfId="1428" priority="512" operator="notEqual">
      <formula>0</formula>
    </cfRule>
  </conditionalFormatting>
  <conditionalFormatting sqref="D32:D33">
    <cfRule type="cellIs" dxfId="1427" priority="509" operator="equal">
      <formula>0</formula>
    </cfRule>
    <cfRule type="cellIs" dxfId="1426" priority="510" operator="notEqual">
      <formula>0</formula>
    </cfRule>
  </conditionalFormatting>
  <conditionalFormatting sqref="E32:E33">
    <cfRule type="cellIs" dxfId="1425" priority="507" operator="equal">
      <formula>0</formula>
    </cfRule>
    <cfRule type="cellIs" dxfId="1424" priority="508" operator="notEqual">
      <formula>0</formula>
    </cfRule>
  </conditionalFormatting>
  <conditionalFormatting sqref="F32:F33">
    <cfRule type="cellIs" dxfId="1423" priority="505" operator="equal">
      <formula>0</formula>
    </cfRule>
    <cfRule type="cellIs" dxfId="1422" priority="506" operator="notEqual">
      <formula>0</formula>
    </cfRule>
  </conditionalFormatting>
  <conditionalFormatting sqref="G32:G33">
    <cfRule type="cellIs" dxfId="1421" priority="503" operator="equal">
      <formula>0</formula>
    </cfRule>
    <cfRule type="cellIs" dxfId="1420" priority="504" operator="notEqual">
      <formula>0</formula>
    </cfRule>
  </conditionalFormatting>
  <conditionalFormatting sqref="H32:H33">
    <cfRule type="cellIs" dxfId="1419" priority="501" operator="equal">
      <formula>0</formula>
    </cfRule>
    <cfRule type="cellIs" dxfId="1418" priority="502" operator="notEqual">
      <formula>0</formula>
    </cfRule>
  </conditionalFormatting>
  <conditionalFormatting sqref="I32:I33">
    <cfRule type="cellIs" dxfId="1417" priority="499" operator="equal">
      <formula>0</formula>
    </cfRule>
    <cfRule type="cellIs" dxfId="1416" priority="500" operator="notEqual">
      <formula>0</formula>
    </cfRule>
  </conditionalFormatting>
  <conditionalFormatting sqref="J32:J33">
    <cfRule type="cellIs" dxfId="1415" priority="497" operator="equal">
      <formula>0</formula>
    </cfRule>
    <cfRule type="cellIs" dxfId="1414" priority="498" operator="notEqual">
      <formula>0</formula>
    </cfRule>
  </conditionalFormatting>
  <conditionalFormatting sqref="O31">
    <cfRule type="cellIs" dxfId="1413" priority="495" operator="equal">
      <formula>0</formula>
    </cfRule>
    <cfRule type="cellIs" dxfId="1412" priority="496" operator="notEqual">
      <formula>0</formula>
    </cfRule>
  </conditionalFormatting>
  <conditionalFormatting sqref="O34">
    <cfRule type="cellIs" dxfId="1411" priority="493" operator="equal">
      <formula>0</formula>
    </cfRule>
    <cfRule type="cellIs" dxfId="1410" priority="494" operator="notEqual">
      <formula>0</formula>
    </cfRule>
  </conditionalFormatting>
  <conditionalFormatting sqref="P31">
    <cfRule type="cellIs" dxfId="1409" priority="491" operator="equal">
      <formula>0</formula>
    </cfRule>
    <cfRule type="cellIs" dxfId="1408" priority="492" operator="notEqual">
      <formula>0</formula>
    </cfRule>
  </conditionalFormatting>
  <conditionalFormatting sqref="P34">
    <cfRule type="cellIs" dxfId="1407" priority="489" operator="equal">
      <formula>0</formula>
    </cfRule>
    <cfRule type="cellIs" dxfId="1406" priority="490" operator="notEqual">
      <formula>0</formula>
    </cfRule>
  </conditionalFormatting>
  <conditionalFormatting sqref="Q31">
    <cfRule type="cellIs" dxfId="1405" priority="487" operator="equal">
      <formula>0</formula>
    </cfRule>
    <cfRule type="cellIs" dxfId="1404" priority="488" operator="notEqual">
      <formula>0</formula>
    </cfRule>
  </conditionalFormatting>
  <conditionalFormatting sqref="Q34">
    <cfRule type="cellIs" dxfId="1403" priority="485" operator="equal">
      <formula>0</formula>
    </cfRule>
    <cfRule type="cellIs" dxfId="1402" priority="486" operator="notEqual">
      <formula>0</formula>
    </cfRule>
  </conditionalFormatting>
  <conditionalFormatting sqref="R31">
    <cfRule type="cellIs" dxfId="1401" priority="483" operator="equal">
      <formula>0</formula>
    </cfRule>
    <cfRule type="cellIs" dxfId="1400" priority="484" operator="notEqual">
      <formula>0</formula>
    </cfRule>
  </conditionalFormatting>
  <conditionalFormatting sqref="R34">
    <cfRule type="cellIs" dxfId="1399" priority="481" operator="equal">
      <formula>0</formula>
    </cfRule>
    <cfRule type="cellIs" dxfId="1398" priority="482" operator="notEqual">
      <formula>0</formula>
    </cfRule>
  </conditionalFormatting>
  <conditionalFormatting sqref="C39:C40">
    <cfRule type="cellIs" dxfId="1397" priority="479" operator="equal">
      <formula>0</formula>
    </cfRule>
    <cfRule type="cellIs" dxfId="1396" priority="480" operator="notEqual">
      <formula>0</formula>
    </cfRule>
  </conditionalFormatting>
  <conditionalFormatting sqref="D39:D40">
    <cfRule type="cellIs" dxfId="1395" priority="477" operator="equal">
      <formula>0</formula>
    </cfRule>
    <cfRule type="cellIs" dxfId="1394" priority="478" operator="notEqual">
      <formula>0</formula>
    </cfRule>
  </conditionalFormatting>
  <conditionalFormatting sqref="E39:E40">
    <cfRule type="cellIs" dxfId="1393" priority="475" operator="equal">
      <formula>0</formula>
    </cfRule>
    <cfRule type="cellIs" dxfId="1392" priority="476" operator="notEqual">
      <formula>0</formula>
    </cfRule>
  </conditionalFormatting>
  <conditionalFormatting sqref="F39:F40">
    <cfRule type="cellIs" dxfId="1391" priority="473" operator="equal">
      <formula>0</formula>
    </cfRule>
    <cfRule type="cellIs" dxfId="1390" priority="474" operator="notEqual">
      <formula>0</formula>
    </cfRule>
  </conditionalFormatting>
  <conditionalFormatting sqref="G39:G40">
    <cfRule type="cellIs" dxfId="1389" priority="471" operator="equal">
      <formula>0</formula>
    </cfRule>
    <cfRule type="cellIs" dxfId="1388" priority="472" operator="notEqual">
      <formula>0</formula>
    </cfRule>
  </conditionalFormatting>
  <conditionalFormatting sqref="H39:H40">
    <cfRule type="cellIs" dxfId="1387" priority="469" operator="equal">
      <formula>0</formula>
    </cfRule>
    <cfRule type="cellIs" dxfId="1386" priority="470" operator="notEqual">
      <formula>0</formula>
    </cfRule>
  </conditionalFormatting>
  <conditionalFormatting sqref="I39:I40">
    <cfRule type="cellIs" dxfId="1385" priority="467" operator="equal">
      <formula>0</formula>
    </cfRule>
    <cfRule type="cellIs" dxfId="1384" priority="468" operator="notEqual">
      <formula>0</formula>
    </cfRule>
  </conditionalFormatting>
  <conditionalFormatting sqref="J39:J40">
    <cfRule type="cellIs" dxfId="1383" priority="465" operator="equal">
      <formula>0</formula>
    </cfRule>
    <cfRule type="cellIs" dxfId="1382" priority="466" operator="notEqual">
      <formula>0</formula>
    </cfRule>
  </conditionalFormatting>
  <conditionalFormatting sqref="O38">
    <cfRule type="cellIs" dxfId="1381" priority="463" operator="equal">
      <formula>0</formula>
    </cfRule>
    <cfRule type="cellIs" dxfId="1380" priority="464" operator="notEqual">
      <formula>0</formula>
    </cfRule>
  </conditionalFormatting>
  <conditionalFormatting sqref="O41">
    <cfRule type="cellIs" dxfId="1379" priority="461" operator="equal">
      <formula>0</formula>
    </cfRule>
    <cfRule type="cellIs" dxfId="1378" priority="462" operator="notEqual">
      <formula>0</formula>
    </cfRule>
  </conditionalFormatting>
  <conditionalFormatting sqref="P38">
    <cfRule type="cellIs" dxfId="1377" priority="459" operator="equal">
      <formula>0</formula>
    </cfRule>
    <cfRule type="cellIs" dxfId="1376" priority="460" operator="notEqual">
      <formula>0</formula>
    </cfRule>
  </conditionalFormatting>
  <conditionalFormatting sqref="P41">
    <cfRule type="cellIs" dxfId="1375" priority="457" operator="equal">
      <formula>0</formula>
    </cfRule>
    <cfRule type="cellIs" dxfId="1374" priority="458" operator="notEqual">
      <formula>0</formula>
    </cfRule>
  </conditionalFormatting>
  <conditionalFormatting sqref="Q38">
    <cfRule type="cellIs" dxfId="1373" priority="455" operator="equal">
      <formula>0</formula>
    </cfRule>
    <cfRule type="cellIs" dxfId="1372" priority="456" operator="notEqual">
      <formula>0</formula>
    </cfRule>
  </conditionalFormatting>
  <conditionalFormatting sqref="Q41">
    <cfRule type="cellIs" dxfId="1371" priority="453" operator="equal">
      <formula>0</formula>
    </cfRule>
    <cfRule type="cellIs" dxfId="1370" priority="454" operator="notEqual">
      <formula>0</formula>
    </cfRule>
  </conditionalFormatting>
  <conditionalFormatting sqref="R38">
    <cfRule type="cellIs" dxfId="1369" priority="451" operator="equal">
      <formula>0</formula>
    </cfRule>
    <cfRule type="cellIs" dxfId="1368" priority="452" operator="notEqual">
      <formula>0</formula>
    </cfRule>
  </conditionalFormatting>
  <conditionalFormatting sqref="R41">
    <cfRule type="cellIs" dxfId="1367" priority="449" operator="equal">
      <formula>0</formula>
    </cfRule>
    <cfRule type="cellIs" dxfId="1366" priority="450" operator="notEqual">
      <formula>0</formula>
    </cfRule>
  </conditionalFormatting>
  <conditionalFormatting sqref="C46:C47">
    <cfRule type="cellIs" dxfId="1365" priority="447" operator="equal">
      <formula>0</formula>
    </cfRule>
    <cfRule type="cellIs" dxfId="1364" priority="448" operator="notEqual">
      <formula>0</formula>
    </cfRule>
  </conditionalFormatting>
  <conditionalFormatting sqref="D46:D47">
    <cfRule type="cellIs" dxfId="1363" priority="445" operator="equal">
      <formula>0</formula>
    </cfRule>
    <cfRule type="cellIs" dxfId="1362" priority="446" operator="notEqual">
      <formula>0</formula>
    </cfRule>
  </conditionalFormatting>
  <conditionalFormatting sqref="E46:E47">
    <cfRule type="cellIs" dxfId="1361" priority="443" operator="equal">
      <formula>0</formula>
    </cfRule>
    <cfRule type="cellIs" dxfId="1360" priority="444" operator="notEqual">
      <formula>0</formula>
    </cfRule>
  </conditionalFormatting>
  <conditionalFormatting sqref="F46:F47">
    <cfRule type="cellIs" dxfId="1359" priority="441" operator="equal">
      <formula>0</formula>
    </cfRule>
    <cfRule type="cellIs" dxfId="1358" priority="442" operator="notEqual">
      <formula>0</formula>
    </cfRule>
  </conditionalFormatting>
  <conditionalFormatting sqref="G46:G47">
    <cfRule type="cellIs" dxfId="1357" priority="439" operator="equal">
      <formula>0</formula>
    </cfRule>
    <cfRule type="cellIs" dxfId="1356" priority="440" operator="notEqual">
      <formula>0</formula>
    </cfRule>
  </conditionalFormatting>
  <conditionalFormatting sqref="H46:H47">
    <cfRule type="cellIs" dxfId="1355" priority="437" operator="equal">
      <formula>0</formula>
    </cfRule>
    <cfRule type="cellIs" dxfId="1354" priority="438" operator="notEqual">
      <formula>0</formula>
    </cfRule>
  </conditionalFormatting>
  <conditionalFormatting sqref="I46:I47">
    <cfRule type="cellIs" dxfId="1353" priority="435" operator="equal">
      <formula>0</formula>
    </cfRule>
    <cfRule type="cellIs" dxfId="1352" priority="436" operator="notEqual">
      <formula>0</formula>
    </cfRule>
  </conditionalFormatting>
  <conditionalFormatting sqref="J46:J47">
    <cfRule type="cellIs" dxfId="1351" priority="433" operator="equal">
      <formula>0</formula>
    </cfRule>
    <cfRule type="cellIs" dxfId="1350" priority="434" operator="notEqual">
      <formula>0</formula>
    </cfRule>
  </conditionalFormatting>
  <conditionalFormatting sqref="O45">
    <cfRule type="cellIs" dxfId="1349" priority="431" operator="equal">
      <formula>0</formula>
    </cfRule>
    <cfRule type="cellIs" dxfId="1348" priority="432" operator="notEqual">
      <formula>0</formula>
    </cfRule>
  </conditionalFormatting>
  <conditionalFormatting sqref="O48">
    <cfRule type="cellIs" dxfId="1347" priority="429" operator="equal">
      <formula>0</formula>
    </cfRule>
    <cfRule type="cellIs" dxfId="1346" priority="430" operator="notEqual">
      <formula>0</formula>
    </cfRule>
  </conditionalFormatting>
  <conditionalFormatting sqref="P45">
    <cfRule type="cellIs" dxfId="1345" priority="427" operator="equal">
      <formula>0</formula>
    </cfRule>
    <cfRule type="cellIs" dxfId="1344" priority="428" operator="notEqual">
      <formula>0</formula>
    </cfRule>
  </conditionalFormatting>
  <conditionalFormatting sqref="P48">
    <cfRule type="cellIs" dxfId="1343" priority="425" operator="equal">
      <formula>0</formula>
    </cfRule>
    <cfRule type="cellIs" dxfId="1342" priority="426" operator="notEqual">
      <formula>0</formula>
    </cfRule>
  </conditionalFormatting>
  <conditionalFormatting sqref="Q45">
    <cfRule type="cellIs" dxfId="1341" priority="423" operator="equal">
      <formula>0</formula>
    </cfRule>
    <cfRule type="cellIs" dxfId="1340" priority="424" operator="notEqual">
      <formula>0</formula>
    </cfRule>
  </conditionalFormatting>
  <conditionalFormatting sqref="Q48">
    <cfRule type="cellIs" dxfId="1339" priority="421" operator="equal">
      <formula>0</formula>
    </cfRule>
    <cfRule type="cellIs" dxfId="1338" priority="422" operator="notEqual">
      <formula>0</formula>
    </cfRule>
  </conditionalFormatting>
  <conditionalFormatting sqref="R45">
    <cfRule type="cellIs" dxfId="1337" priority="419" operator="equal">
      <formula>0</formula>
    </cfRule>
    <cfRule type="cellIs" dxfId="1336" priority="420" operator="notEqual">
      <formula>0</formula>
    </cfRule>
  </conditionalFormatting>
  <conditionalFormatting sqref="R48">
    <cfRule type="cellIs" dxfId="1335" priority="417" operator="equal">
      <formula>0</formula>
    </cfRule>
    <cfRule type="cellIs" dxfId="1334" priority="418" operator="notEqual">
      <formula>0</formula>
    </cfRule>
  </conditionalFormatting>
  <conditionalFormatting sqref="C53:C54">
    <cfRule type="cellIs" dxfId="1333" priority="415" operator="equal">
      <formula>0</formula>
    </cfRule>
    <cfRule type="cellIs" dxfId="1332" priority="416" operator="notEqual">
      <formula>0</formula>
    </cfRule>
  </conditionalFormatting>
  <conditionalFormatting sqref="D53:D54">
    <cfRule type="cellIs" dxfId="1331" priority="413" operator="equal">
      <formula>0</formula>
    </cfRule>
    <cfRule type="cellIs" dxfId="1330" priority="414" operator="notEqual">
      <formula>0</formula>
    </cfRule>
  </conditionalFormatting>
  <conditionalFormatting sqref="E53:E54">
    <cfRule type="cellIs" dxfId="1329" priority="411" operator="equal">
      <formula>0</formula>
    </cfRule>
    <cfRule type="cellIs" dxfId="1328" priority="412" operator="notEqual">
      <formula>0</formula>
    </cfRule>
  </conditionalFormatting>
  <conditionalFormatting sqref="F53:F54">
    <cfRule type="cellIs" dxfId="1327" priority="409" operator="equal">
      <formula>0</formula>
    </cfRule>
    <cfRule type="cellIs" dxfId="1326" priority="410" operator="notEqual">
      <formula>0</formula>
    </cfRule>
  </conditionalFormatting>
  <conditionalFormatting sqref="G53:G54">
    <cfRule type="cellIs" dxfId="1325" priority="407" operator="equal">
      <formula>0</formula>
    </cfRule>
    <cfRule type="cellIs" dxfId="1324" priority="408" operator="notEqual">
      <formula>0</formula>
    </cfRule>
  </conditionalFormatting>
  <conditionalFormatting sqref="H53:H54">
    <cfRule type="cellIs" dxfId="1323" priority="405" operator="equal">
      <formula>0</formula>
    </cfRule>
    <cfRule type="cellIs" dxfId="1322" priority="406" operator="notEqual">
      <formula>0</formula>
    </cfRule>
  </conditionalFormatting>
  <conditionalFormatting sqref="I53:I54">
    <cfRule type="cellIs" dxfId="1321" priority="403" operator="equal">
      <formula>0</formula>
    </cfRule>
    <cfRule type="cellIs" dxfId="1320" priority="404" operator="notEqual">
      <formula>0</formula>
    </cfRule>
  </conditionalFormatting>
  <conditionalFormatting sqref="J53:J54">
    <cfRule type="cellIs" dxfId="1319" priority="401" operator="equal">
      <formula>0</formula>
    </cfRule>
    <cfRule type="cellIs" dxfId="1318" priority="402" operator="notEqual">
      <formula>0</formula>
    </cfRule>
  </conditionalFormatting>
  <conditionalFormatting sqref="O52">
    <cfRule type="cellIs" dxfId="1317" priority="399" operator="equal">
      <formula>0</formula>
    </cfRule>
    <cfRule type="cellIs" dxfId="1316" priority="400" operator="notEqual">
      <formula>0</formula>
    </cfRule>
  </conditionalFormatting>
  <conditionalFormatting sqref="O55">
    <cfRule type="cellIs" dxfId="1315" priority="397" operator="equal">
      <formula>0</formula>
    </cfRule>
    <cfRule type="cellIs" dxfId="1314" priority="398" operator="notEqual">
      <formula>0</formula>
    </cfRule>
  </conditionalFormatting>
  <conditionalFormatting sqref="P52">
    <cfRule type="cellIs" dxfId="1313" priority="395" operator="equal">
      <formula>0</formula>
    </cfRule>
    <cfRule type="cellIs" dxfId="1312" priority="396" operator="notEqual">
      <formula>0</formula>
    </cfRule>
  </conditionalFormatting>
  <conditionalFormatting sqref="P55">
    <cfRule type="cellIs" dxfId="1311" priority="393" operator="equal">
      <formula>0</formula>
    </cfRule>
    <cfRule type="cellIs" dxfId="1310" priority="394" operator="notEqual">
      <formula>0</formula>
    </cfRule>
  </conditionalFormatting>
  <conditionalFormatting sqref="Q52">
    <cfRule type="cellIs" dxfId="1309" priority="391" operator="equal">
      <formula>0</formula>
    </cfRule>
    <cfRule type="cellIs" dxfId="1308" priority="392" operator="notEqual">
      <formula>0</formula>
    </cfRule>
  </conditionalFormatting>
  <conditionalFormatting sqref="Q55">
    <cfRule type="cellIs" dxfId="1307" priority="389" operator="equal">
      <formula>0</formula>
    </cfRule>
    <cfRule type="cellIs" dxfId="1306" priority="390" operator="notEqual">
      <formula>0</formula>
    </cfRule>
  </conditionalFormatting>
  <conditionalFormatting sqref="R52">
    <cfRule type="cellIs" dxfId="1305" priority="387" operator="equal">
      <formula>0</formula>
    </cfRule>
    <cfRule type="cellIs" dxfId="1304" priority="388" operator="notEqual">
      <formula>0</formula>
    </cfRule>
  </conditionalFormatting>
  <conditionalFormatting sqref="R55">
    <cfRule type="cellIs" dxfId="1303" priority="385" operator="equal">
      <formula>0</formula>
    </cfRule>
    <cfRule type="cellIs" dxfId="1302" priority="386" operator="notEqual">
      <formula>0</formula>
    </cfRule>
  </conditionalFormatting>
  <conditionalFormatting sqref="C60:C61">
    <cfRule type="cellIs" dxfId="1301" priority="383" operator="equal">
      <formula>0</formula>
    </cfRule>
    <cfRule type="cellIs" dxfId="1300" priority="384" operator="notEqual">
      <formula>0</formula>
    </cfRule>
  </conditionalFormatting>
  <conditionalFormatting sqref="D60:D61">
    <cfRule type="cellIs" dxfId="1299" priority="381" operator="equal">
      <formula>0</formula>
    </cfRule>
    <cfRule type="cellIs" dxfId="1298" priority="382" operator="notEqual">
      <formula>0</formula>
    </cfRule>
  </conditionalFormatting>
  <conditionalFormatting sqref="E60:E61">
    <cfRule type="cellIs" dxfId="1297" priority="379" operator="equal">
      <formula>0</formula>
    </cfRule>
    <cfRule type="cellIs" dxfId="1296" priority="380" operator="notEqual">
      <formula>0</formula>
    </cfRule>
  </conditionalFormatting>
  <conditionalFormatting sqref="F60:F61">
    <cfRule type="cellIs" dxfId="1295" priority="377" operator="equal">
      <formula>0</formula>
    </cfRule>
    <cfRule type="cellIs" dxfId="1294" priority="378" operator="notEqual">
      <formula>0</formula>
    </cfRule>
  </conditionalFormatting>
  <conditionalFormatting sqref="G60:G61">
    <cfRule type="cellIs" dxfId="1293" priority="375" operator="equal">
      <formula>0</formula>
    </cfRule>
    <cfRule type="cellIs" dxfId="1292" priority="376" operator="notEqual">
      <formula>0</formula>
    </cfRule>
  </conditionalFormatting>
  <conditionalFormatting sqref="H60:H61">
    <cfRule type="cellIs" dxfId="1291" priority="373" operator="equal">
      <formula>0</formula>
    </cfRule>
    <cfRule type="cellIs" dxfId="1290" priority="374" operator="notEqual">
      <formula>0</formula>
    </cfRule>
  </conditionalFormatting>
  <conditionalFormatting sqref="I60:I61">
    <cfRule type="cellIs" dxfId="1289" priority="371" operator="equal">
      <formula>0</formula>
    </cfRule>
    <cfRule type="cellIs" dxfId="1288" priority="372" operator="notEqual">
      <formula>0</formula>
    </cfRule>
  </conditionalFormatting>
  <conditionalFormatting sqref="J60:J61">
    <cfRule type="cellIs" dxfId="1287" priority="369" operator="equal">
      <formula>0</formula>
    </cfRule>
    <cfRule type="cellIs" dxfId="1286" priority="370" operator="notEqual">
      <formula>0</formula>
    </cfRule>
  </conditionalFormatting>
  <conditionalFormatting sqref="O59">
    <cfRule type="cellIs" dxfId="1285" priority="367" operator="equal">
      <formula>0</formula>
    </cfRule>
    <cfRule type="cellIs" dxfId="1284" priority="368" operator="notEqual">
      <formula>0</formula>
    </cfRule>
  </conditionalFormatting>
  <conditionalFormatting sqref="O62">
    <cfRule type="cellIs" dxfId="1283" priority="365" operator="equal">
      <formula>0</formula>
    </cfRule>
    <cfRule type="cellIs" dxfId="1282" priority="366" operator="notEqual">
      <formula>0</formula>
    </cfRule>
  </conditionalFormatting>
  <conditionalFormatting sqref="P59">
    <cfRule type="cellIs" dxfId="1281" priority="363" operator="equal">
      <formula>0</formula>
    </cfRule>
    <cfRule type="cellIs" dxfId="1280" priority="364" operator="notEqual">
      <formula>0</formula>
    </cfRule>
  </conditionalFormatting>
  <conditionalFormatting sqref="P62">
    <cfRule type="cellIs" dxfId="1279" priority="361" operator="equal">
      <formula>0</formula>
    </cfRule>
    <cfRule type="cellIs" dxfId="1278" priority="362" operator="notEqual">
      <formula>0</formula>
    </cfRule>
  </conditionalFormatting>
  <conditionalFormatting sqref="Q59">
    <cfRule type="cellIs" dxfId="1277" priority="359" operator="equal">
      <formula>0</formula>
    </cfRule>
    <cfRule type="cellIs" dxfId="1276" priority="360" operator="notEqual">
      <formula>0</formula>
    </cfRule>
  </conditionalFormatting>
  <conditionalFormatting sqref="Q62">
    <cfRule type="cellIs" dxfId="1275" priority="357" operator="equal">
      <formula>0</formula>
    </cfRule>
    <cfRule type="cellIs" dxfId="1274" priority="358" operator="notEqual">
      <formula>0</formula>
    </cfRule>
  </conditionalFormatting>
  <conditionalFormatting sqref="R59">
    <cfRule type="cellIs" dxfId="1273" priority="355" operator="equal">
      <formula>0</formula>
    </cfRule>
    <cfRule type="cellIs" dxfId="1272" priority="356" operator="notEqual">
      <formula>0</formula>
    </cfRule>
  </conditionalFormatting>
  <conditionalFormatting sqref="R62">
    <cfRule type="cellIs" dxfId="1271" priority="353" operator="equal">
      <formula>0</formula>
    </cfRule>
    <cfRule type="cellIs" dxfId="1270" priority="354" operator="notEqual">
      <formula>0</formula>
    </cfRule>
  </conditionalFormatting>
  <conditionalFormatting sqref="C67:C68">
    <cfRule type="cellIs" dxfId="1269" priority="351" operator="equal">
      <formula>0</formula>
    </cfRule>
    <cfRule type="cellIs" dxfId="1268" priority="352" operator="notEqual">
      <formula>0</formula>
    </cfRule>
  </conditionalFormatting>
  <conditionalFormatting sqref="D67:D68">
    <cfRule type="cellIs" dxfId="1267" priority="349" operator="equal">
      <formula>0</formula>
    </cfRule>
    <cfRule type="cellIs" dxfId="1266" priority="350" operator="notEqual">
      <formula>0</formula>
    </cfRule>
  </conditionalFormatting>
  <conditionalFormatting sqref="E67:E68">
    <cfRule type="cellIs" dxfId="1265" priority="347" operator="equal">
      <formula>0</formula>
    </cfRule>
    <cfRule type="cellIs" dxfId="1264" priority="348" operator="notEqual">
      <formula>0</formula>
    </cfRule>
  </conditionalFormatting>
  <conditionalFormatting sqref="F67:F68">
    <cfRule type="cellIs" dxfId="1263" priority="345" operator="equal">
      <formula>0</formula>
    </cfRule>
    <cfRule type="cellIs" dxfId="1262" priority="346" operator="notEqual">
      <formula>0</formula>
    </cfRule>
  </conditionalFormatting>
  <conditionalFormatting sqref="G67:G68">
    <cfRule type="cellIs" dxfId="1261" priority="343" operator="equal">
      <formula>0</formula>
    </cfRule>
    <cfRule type="cellIs" dxfId="1260" priority="344" operator="notEqual">
      <formula>0</formula>
    </cfRule>
  </conditionalFormatting>
  <conditionalFormatting sqref="H67:H68">
    <cfRule type="cellIs" dxfId="1259" priority="341" operator="equal">
      <formula>0</formula>
    </cfRule>
    <cfRule type="cellIs" dxfId="1258" priority="342" operator="notEqual">
      <formula>0</formula>
    </cfRule>
  </conditionalFormatting>
  <conditionalFormatting sqref="I67:I68">
    <cfRule type="cellIs" dxfId="1257" priority="339" operator="equal">
      <formula>0</formula>
    </cfRule>
    <cfRule type="cellIs" dxfId="1256" priority="340" operator="notEqual">
      <formula>0</formula>
    </cfRule>
  </conditionalFormatting>
  <conditionalFormatting sqref="J67:J68">
    <cfRule type="cellIs" dxfId="1255" priority="337" operator="equal">
      <formula>0</formula>
    </cfRule>
    <cfRule type="cellIs" dxfId="1254" priority="338" operator="notEqual">
      <formula>0</formula>
    </cfRule>
  </conditionalFormatting>
  <conditionalFormatting sqref="O66">
    <cfRule type="cellIs" dxfId="1253" priority="335" operator="equal">
      <formula>0</formula>
    </cfRule>
    <cfRule type="cellIs" dxfId="1252" priority="336" operator="notEqual">
      <formula>0</formula>
    </cfRule>
  </conditionalFormatting>
  <conditionalFormatting sqref="O69">
    <cfRule type="cellIs" dxfId="1251" priority="333" operator="equal">
      <formula>0</formula>
    </cfRule>
    <cfRule type="cellIs" dxfId="1250" priority="334" operator="notEqual">
      <formula>0</formula>
    </cfRule>
  </conditionalFormatting>
  <conditionalFormatting sqref="P66">
    <cfRule type="cellIs" dxfId="1249" priority="331" operator="equal">
      <formula>0</formula>
    </cfRule>
    <cfRule type="cellIs" dxfId="1248" priority="332" operator="notEqual">
      <formula>0</formula>
    </cfRule>
  </conditionalFormatting>
  <conditionalFormatting sqref="P69">
    <cfRule type="cellIs" dxfId="1247" priority="329" operator="equal">
      <formula>0</formula>
    </cfRule>
    <cfRule type="cellIs" dxfId="1246" priority="330" operator="notEqual">
      <formula>0</formula>
    </cfRule>
  </conditionalFormatting>
  <conditionalFormatting sqref="Q66">
    <cfRule type="cellIs" dxfId="1245" priority="327" operator="equal">
      <formula>0</formula>
    </cfRule>
    <cfRule type="cellIs" dxfId="1244" priority="328" operator="notEqual">
      <formula>0</formula>
    </cfRule>
  </conditionalFormatting>
  <conditionalFormatting sqref="Q69">
    <cfRule type="cellIs" dxfId="1243" priority="325" operator="equal">
      <formula>0</formula>
    </cfRule>
    <cfRule type="cellIs" dxfId="1242" priority="326" operator="notEqual">
      <formula>0</formula>
    </cfRule>
  </conditionalFormatting>
  <conditionalFormatting sqref="R66">
    <cfRule type="cellIs" dxfId="1241" priority="323" operator="equal">
      <formula>0</formula>
    </cfRule>
    <cfRule type="cellIs" dxfId="1240" priority="324" operator="notEqual">
      <formula>0</formula>
    </cfRule>
  </conditionalFormatting>
  <conditionalFormatting sqref="R69">
    <cfRule type="cellIs" dxfId="1239" priority="321" operator="equal">
      <formula>0</formula>
    </cfRule>
    <cfRule type="cellIs" dxfId="1238" priority="322" operator="notEqual">
      <formula>0</formula>
    </cfRule>
  </conditionalFormatting>
  <conditionalFormatting sqref="C74:C75">
    <cfRule type="cellIs" dxfId="1237" priority="319" operator="equal">
      <formula>0</formula>
    </cfRule>
    <cfRule type="cellIs" dxfId="1236" priority="320" operator="notEqual">
      <formula>0</formula>
    </cfRule>
  </conditionalFormatting>
  <conditionalFormatting sqref="D74:D75">
    <cfRule type="cellIs" dxfId="1235" priority="317" operator="equal">
      <formula>0</formula>
    </cfRule>
    <cfRule type="cellIs" dxfId="1234" priority="318" operator="notEqual">
      <formula>0</formula>
    </cfRule>
  </conditionalFormatting>
  <conditionalFormatting sqref="E74:E75">
    <cfRule type="cellIs" dxfId="1233" priority="315" operator="equal">
      <formula>0</formula>
    </cfRule>
    <cfRule type="cellIs" dxfId="1232" priority="316" operator="notEqual">
      <formula>0</formula>
    </cfRule>
  </conditionalFormatting>
  <conditionalFormatting sqref="F74:F75">
    <cfRule type="cellIs" dxfId="1231" priority="313" operator="equal">
      <formula>0</formula>
    </cfRule>
    <cfRule type="cellIs" dxfId="1230" priority="314" operator="notEqual">
      <formula>0</formula>
    </cfRule>
  </conditionalFormatting>
  <conditionalFormatting sqref="G74:G75">
    <cfRule type="cellIs" dxfId="1229" priority="311" operator="equal">
      <formula>0</formula>
    </cfRule>
    <cfRule type="cellIs" dxfId="1228" priority="312" operator="notEqual">
      <formula>0</formula>
    </cfRule>
  </conditionalFormatting>
  <conditionalFormatting sqref="H74:H75">
    <cfRule type="cellIs" dxfId="1227" priority="309" operator="equal">
      <formula>0</formula>
    </cfRule>
    <cfRule type="cellIs" dxfId="1226" priority="310" operator="notEqual">
      <formula>0</formula>
    </cfRule>
  </conditionalFormatting>
  <conditionalFormatting sqref="I74:I75">
    <cfRule type="cellIs" dxfId="1225" priority="307" operator="equal">
      <formula>0</formula>
    </cfRule>
    <cfRule type="cellIs" dxfId="1224" priority="308" operator="notEqual">
      <formula>0</formula>
    </cfRule>
  </conditionalFormatting>
  <conditionalFormatting sqref="J74:J75">
    <cfRule type="cellIs" dxfId="1223" priority="305" operator="equal">
      <formula>0</formula>
    </cfRule>
    <cfRule type="cellIs" dxfId="1222" priority="306" operator="notEqual">
      <formula>0</formula>
    </cfRule>
  </conditionalFormatting>
  <conditionalFormatting sqref="O73">
    <cfRule type="cellIs" dxfId="1221" priority="303" operator="equal">
      <formula>0</formula>
    </cfRule>
    <cfRule type="cellIs" dxfId="1220" priority="304" operator="notEqual">
      <formula>0</formula>
    </cfRule>
  </conditionalFormatting>
  <conditionalFormatting sqref="O76">
    <cfRule type="cellIs" dxfId="1219" priority="301" operator="equal">
      <formula>0</formula>
    </cfRule>
    <cfRule type="cellIs" dxfId="1218" priority="302" operator="notEqual">
      <formula>0</formula>
    </cfRule>
  </conditionalFormatting>
  <conditionalFormatting sqref="P73">
    <cfRule type="cellIs" dxfId="1217" priority="299" operator="equal">
      <formula>0</formula>
    </cfRule>
    <cfRule type="cellIs" dxfId="1216" priority="300" operator="notEqual">
      <formula>0</formula>
    </cfRule>
  </conditionalFormatting>
  <conditionalFormatting sqref="P76">
    <cfRule type="cellIs" dxfId="1215" priority="297" operator="equal">
      <formula>0</formula>
    </cfRule>
    <cfRule type="cellIs" dxfId="1214" priority="298" operator="notEqual">
      <formula>0</formula>
    </cfRule>
  </conditionalFormatting>
  <conditionalFormatting sqref="Q73">
    <cfRule type="cellIs" dxfId="1213" priority="295" operator="equal">
      <formula>0</formula>
    </cfRule>
    <cfRule type="cellIs" dxfId="1212" priority="296" operator="notEqual">
      <formula>0</formula>
    </cfRule>
  </conditionalFormatting>
  <conditionalFormatting sqref="Q76">
    <cfRule type="cellIs" dxfId="1211" priority="293" operator="equal">
      <formula>0</formula>
    </cfRule>
    <cfRule type="cellIs" dxfId="1210" priority="294" operator="notEqual">
      <formula>0</formula>
    </cfRule>
  </conditionalFormatting>
  <conditionalFormatting sqref="R73">
    <cfRule type="cellIs" dxfId="1209" priority="291" operator="equal">
      <formula>0</formula>
    </cfRule>
    <cfRule type="cellIs" dxfId="1208" priority="292" operator="notEqual">
      <formula>0</formula>
    </cfRule>
  </conditionalFormatting>
  <conditionalFormatting sqref="R76">
    <cfRule type="cellIs" dxfId="1207" priority="289" operator="equal">
      <formula>0</formula>
    </cfRule>
    <cfRule type="cellIs" dxfId="1206" priority="290" operator="notEqual">
      <formula>0</formula>
    </cfRule>
  </conditionalFormatting>
  <conditionalFormatting sqref="U67:U68">
    <cfRule type="cellIs" dxfId="1205" priority="287" operator="equal">
      <formula>0</formula>
    </cfRule>
    <cfRule type="cellIs" dxfId="1204" priority="288" operator="notEqual">
      <formula>0</formula>
    </cfRule>
  </conditionalFormatting>
  <conditionalFormatting sqref="V67:V68">
    <cfRule type="cellIs" dxfId="1203" priority="285" operator="equal">
      <formula>0</formula>
    </cfRule>
    <cfRule type="cellIs" dxfId="1202" priority="286" operator="notEqual">
      <formula>0</formula>
    </cfRule>
  </conditionalFormatting>
  <conditionalFormatting sqref="W67:W68">
    <cfRule type="cellIs" dxfId="1201" priority="283" operator="equal">
      <formula>0</formula>
    </cfRule>
    <cfRule type="cellIs" dxfId="1200" priority="284" operator="notEqual">
      <formula>0</formula>
    </cfRule>
  </conditionalFormatting>
  <conditionalFormatting sqref="X67:X68">
    <cfRule type="cellIs" dxfId="1199" priority="281" operator="equal">
      <formula>0</formula>
    </cfRule>
    <cfRule type="cellIs" dxfId="1198" priority="282" operator="notEqual">
      <formula>0</formula>
    </cfRule>
  </conditionalFormatting>
  <conditionalFormatting sqref="Y67:Y68">
    <cfRule type="cellIs" dxfId="1197" priority="279" operator="equal">
      <formula>0</formula>
    </cfRule>
    <cfRule type="cellIs" dxfId="1196" priority="280" operator="notEqual">
      <formula>0</formula>
    </cfRule>
  </conditionalFormatting>
  <conditionalFormatting sqref="Z67:Z68">
    <cfRule type="cellIs" dxfId="1195" priority="277" operator="equal">
      <formula>0</formula>
    </cfRule>
    <cfRule type="cellIs" dxfId="1194" priority="278" operator="notEqual">
      <formula>0</formula>
    </cfRule>
  </conditionalFormatting>
  <conditionalFormatting sqref="AA67:AA68">
    <cfRule type="cellIs" dxfId="1193" priority="275" operator="equal">
      <formula>0</formula>
    </cfRule>
    <cfRule type="cellIs" dxfId="1192" priority="276" operator="notEqual">
      <formula>0</formula>
    </cfRule>
  </conditionalFormatting>
  <conditionalFormatting sqref="AB67:AB68">
    <cfRule type="cellIs" dxfId="1191" priority="273" operator="equal">
      <formula>0</formula>
    </cfRule>
    <cfRule type="cellIs" dxfId="1190" priority="274" operator="notEqual">
      <formula>0</formula>
    </cfRule>
  </conditionalFormatting>
  <conditionalFormatting sqref="AG66">
    <cfRule type="cellIs" dxfId="1189" priority="271" operator="equal">
      <formula>0</formula>
    </cfRule>
    <cfRule type="cellIs" dxfId="1188" priority="272" operator="notEqual">
      <formula>0</formula>
    </cfRule>
  </conditionalFormatting>
  <conditionalFormatting sqref="AG69">
    <cfRule type="cellIs" dxfId="1187" priority="269" operator="equal">
      <formula>0</formula>
    </cfRule>
    <cfRule type="cellIs" dxfId="1186" priority="270" operator="notEqual">
      <formula>0</formula>
    </cfRule>
  </conditionalFormatting>
  <conditionalFormatting sqref="AH66">
    <cfRule type="cellIs" dxfId="1185" priority="267" operator="equal">
      <formula>0</formula>
    </cfRule>
    <cfRule type="cellIs" dxfId="1184" priority="268" operator="notEqual">
      <formula>0</formula>
    </cfRule>
  </conditionalFormatting>
  <conditionalFormatting sqref="AH69">
    <cfRule type="cellIs" dxfId="1183" priority="265" operator="equal">
      <formula>0</formula>
    </cfRule>
    <cfRule type="cellIs" dxfId="1182" priority="266" operator="notEqual">
      <formula>0</formula>
    </cfRule>
  </conditionalFormatting>
  <conditionalFormatting sqref="AI66">
    <cfRule type="cellIs" dxfId="1181" priority="263" operator="equal">
      <formula>0</formula>
    </cfRule>
    <cfRule type="cellIs" dxfId="1180" priority="264" operator="notEqual">
      <formula>0</formula>
    </cfRule>
  </conditionalFormatting>
  <conditionalFormatting sqref="AI69">
    <cfRule type="cellIs" dxfId="1179" priority="261" operator="equal">
      <formula>0</formula>
    </cfRule>
    <cfRule type="cellIs" dxfId="1178" priority="262" operator="notEqual">
      <formula>0</formula>
    </cfRule>
  </conditionalFormatting>
  <conditionalFormatting sqref="AJ66">
    <cfRule type="cellIs" dxfId="1177" priority="259" operator="equal">
      <formula>0</formula>
    </cfRule>
    <cfRule type="cellIs" dxfId="1176" priority="260" operator="notEqual">
      <formula>0</formula>
    </cfRule>
  </conditionalFormatting>
  <conditionalFormatting sqref="AJ69">
    <cfRule type="cellIs" dxfId="1175" priority="257" operator="equal">
      <formula>0</formula>
    </cfRule>
    <cfRule type="cellIs" dxfId="1174" priority="258" operator="notEqual">
      <formula>0</formula>
    </cfRule>
  </conditionalFormatting>
  <conditionalFormatting sqref="U60:U61">
    <cfRule type="cellIs" dxfId="1173" priority="255" operator="equal">
      <formula>0</formula>
    </cfRule>
    <cfRule type="cellIs" dxfId="1172" priority="256" operator="notEqual">
      <formula>0</formula>
    </cfRule>
  </conditionalFormatting>
  <conditionalFormatting sqref="V60:V61">
    <cfRule type="cellIs" dxfId="1171" priority="253" operator="equal">
      <formula>0</formula>
    </cfRule>
    <cfRule type="cellIs" dxfId="1170" priority="254" operator="notEqual">
      <formula>0</formula>
    </cfRule>
  </conditionalFormatting>
  <conditionalFormatting sqref="W60:W61">
    <cfRule type="cellIs" dxfId="1169" priority="251" operator="equal">
      <formula>0</formula>
    </cfRule>
    <cfRule type="cellIs" dxfId="1168" priority="252" operator="notEqual">
      <formula>0</formula>
    </cfRule>
  </conditionalFormatting>
  <conditionalFormatting sqref="X60:X61">
    <cfRule type="cellIs" dxfId="1167" priority="249" operator="equal">
      <formula>0</formula>
    </cfRule>
    <cfRule type="cellIs" dxfId="1166" priority="250" operator="notEqual">
      <formula>0</formula>
    </cfRule>
  </conditionalFormatting>
  <conditionalFormatting sqref="Y60:Y61">
    <cfRule type="cellIs" dxfId="1165" priority="247" operator="equal">
      <formula>0</formula>
    </cfRule>
    <cfRule type="cellIs" dxfId="1164" priority="248" operator="notEqual">
      <formula>0</formula>
    </cfRule>
  </conditionalFormatting>
  <conditionalFormatting sqref="Z60:Z61">
    <cfRule type="cellIs" dxfId="1163" priority="245" operator="equal">
      <formula>0</formula>
    </cfRule>
    <cfRule type="cellIs" dxfId="1162" priority="246" operator="notEqual">
      <formula>0</formula>
    </cfRule>
  </conditionalFormatting>
  <conditionalFormatting sqref="AA60:AA61">
    <cfRule type="cellIs" dxfId="1161" priority="243" operator="equal">
      <formula>0</formula>
    </cfRule>
    <cfRule type="cellIs" dxfId="1160" priority="244" operator="notEqual">
      <formula>0</formula>
    </cfRule>
  </conditionalFormatting>
  <conditionalFormatting sqref="AB60:AB61">
    <cfRule type="cellIs" dxfId="1159" priority="241" operator="equal">
      <formula>0</formula>
    </cfRule>
    <cfRule type="cellIs" dxfId="1158" priority="242" operator="notEqual">
      <formula>0</formula>
    </cfRule>
  </conditionalFormatting>
  <conditionalFormatting sqref="AG59">
    <cfRule type="cellIs" dxfId="1157" priority="239" operator="equal">
      <formula>0</formula>
    </cfRule>
    <cfRule type="cellIs" dxfId="1156" priority="240" operator="notEqual">
      <formula>0</formula>
    </cfRule>
  </conditionalFormatting>
  <conditionalFormatting sqref="AG62">
    <cfRule type="cellIs" dxfId="1155" priority="237" operator="equal">
      <formula>0</formula>
    </cfRule>
    <cfRule type="cellIs" dxfId="1154" priority="238" operator="notEqual">
      <formula>0</formula>
    </cfRule>
  </conditionalFormatting>
  <conditionalFormatting sqref="AH59">
    <cfRule type="cellIs" dxfId="1153" priority="235" operator="equal">
      <formula>0</formula>
    </cfRule>
    <cfRule type="cellIs" dxfId="1152" priority="236" operator="notEqual">
      <formula>0</formula>
    </cfRule>
  </conditionalFormatting>
  <conditionalFormatting sqref="AH62">
    <cfRule type="cellIs" dxfId="1151" priority="233" operator="equal">
      <formula>0</formula>
    </cfRule>
    <cfRule type="cellIs" dxfId="1150" priority="234" operator="notEqual">
      <formula>0</formula>
    </cfRule>
  </conditionalFormatting>
  <conditionalFormatting sqref="AI59">
    <cfRule type="cellIs" dxfId="1149" priority="231" operator="equal">
      <formula>0</formula>
    </cfRule>
    <cfRule type="cellIs" dxfId="1148" priority="232" operator="notEqual">
      <formula>0</formula>
    </cfRule>
  </conditionalFormatting>
  <conditionalFormatting sqref="AI62">
    <cfRule type="cellIs" dxfId="1147" priority="229" operator="equal">
      <formula>0</formula>
    </cfRule>
    <cfRule type="cellIs" dxfId="1146" priority="230" operator="notEqual">
      <formula>0</formula>
    </cfRule>
  </conditionalFormatting>
  <conditionalFormatting sqref="AJ59">
    <cfRule type="cellIs" dxfId="1145" priority="227" operator="equal">
      <formula>0</formula>
    </cfRule>
    <cfRule type="cellIs" dxfId="1144" priority="228" operator="notEqual">
      <formula>0</formula>
    </cfRule>
  </conditionalFormatting>
  <conditionalFormatting sqref="AJ62">
    <cfRule type="cellIs" dxfId="1143" priority="225" operator="equal">
      <formula>0</formula>
    </cfRule>
    <cfRule type="cellIs" dxfId="1142" priority="226" operator="notEqual">
      <formula>0</formula>
    </cfRule>
  </conditionalFormatting>
  <conditionalFormatting sqref="U53:U54">
    <cfRule type="cellIs" dxfId="1141" priority="223" operator="equal">
      <formula>0</formula>
    </cfRule>
    <cfRule type="cellIs" dxfId="1140" priority="224" operator="notEqual">
      <formula>0</formula>
    </cfRule>
  </conditionalFormatting>
  <conditionalFormatting sqref="V53:V54">
    <cfRule type="cellIs" dxfId="1139" priority="221" operator="equal">
      <formula>0</formula>
    </cfRule>
    <cfRule type="cellIs" dxfId="1138" priority="222" operator="notEqual">
      <formula>0</formula>
    </cfRule>
  </conditionalFormatting>
  <conditionalFormatting sqref="W53:W54">
    <cfRule type="cellIs" dxfId="1137" priority="219" operator="equal">
      <formula>0</formula>
    </cfRule>
    <cfRule type="cellIs" dxfId="1136" priority="220" operator="notEqual">
      <formula>0</formula>
    </cfRule>
  </conditionalFormatting>
  <conditionalFormatting sqref="X53:X54">
    <cfRule type="cellIs" dxfId="1135" priority="217" operator="equal">
      <formula>0</formula>
    </cfRule>
    <cfRule type="cellIs" dxfId="1134" priority="218" operator="notEqual">
      <formula>0</formula>
    </cfRule>
  </conditionalFormatting>
  <conditionalFormatting sqref="Y53:Y54">
    <cfRule type="cellIs" dxfId="1133" priority="215" operator="equal">
      <formula>0</formula>
    </cfRule>
    <cfRule type="cellIs" dxfId="1132" priority="216" operator="notEqual">
      <formula>0</formula>
    </cfRule>
  </conditionalFormatting>
  <conditionalFormatting sqref="Z53:Z54">
    <cfRule type="cellIs" dxfId="1131" priority="213" operator="equal">
      <formula>0</formula>
    </cfRule>
    <cfRule type="cellIs" dxfId="1130" priority="214" operator="notEqual">
      <formula>0</formula>
    </cfRule>
  </conditionalFormatting>
  <conditionalFormatting sqref="AA53:AA54">
    <cfRule type="cellIs" dxfId="1129" priority="211" operator="equal">
      <formula>0</formula>
    </cfRule>
    <cfRule type="cellIs" dxfId="1128" priority="212" operator="notEqual">
      <formula>0</formula>
    </cfRule>
  </conditionalFormatting>
  <conditionalFormatting sqref="AB53:AB54">
    <cfRule type="cellIs" dxfId="1127" priority="209" operator="equal">
      <formula>0</formula>
    </cfRule>
    <cfRule type="cellIs" dxfId="1126" priority="210" operator="notEqual">
      <formula>0</formula>
    </cfRule>
  </conditionalFormatting>
  <conditionalFormatting sqref="AG52">
    <cfRule type="cellIs" dxfId="1125" priority="207" operator="equal">
      <formula>0</formula>
    </cfRule>
    <cfRule type="cellIs" dxfId="1124" priority="208" operator="notEqual">
      <formula>0</formula>
    </cfRule>
  </conditionalFormatting>
  <conditionalFormatting sqref="AG55">
    <cfRule type="cellIs" dxfId="1123" priority="205" operator="equal">
      <formula>0</formula>
    </cfRule>
    <cfRule type="cellIs" dxfId="1122" priority="206" operator="notEqual">
      <formula>0</formula>
    </cfRule>
  </conditionalFormatting>
  <conditionalFormatting sqref="AH52">
    <cfRule type="cellIs" dxfId="1121" priority="203" operator="equal">
      <formula>0</formula>
    </cfRule>
    <cfRule type="cellIs" dxfId="1120" priority="204" operator="notEqual">
      <formula>0</formula>
    </cfRule>
  </conditionalFormatting>
  <conditionalFormatting sqref="AH55">
    <cfRule type="cellIs" dxfId="1119" priority="201" operator="equal">
      <formula>0</formula>
    </cfRule>
    <cfRule type="cellIs" dxfId="1118" priority="202" operator="notEqual">
      <formula>0</formula>
    </cfRule>
  </conditionalFormatting>
  <conditionalFormatting sqref="AI52">
    <cfRule type="cellIs" dxfId="1117" priority="199" operator="equal">
      <formula>0</formula>
    </cfRule>
    <cfRule type="cellIs" dxfId="1116" priority="200" operator="notEqual">
      <formula>0</formula>
    </cfRule>
  </conditionalFormatting>
  <conditionalFormatting sqref="AI55">
    <cfRule type="cellIs" dxfId="1115" priority="197" operator="equal">
      <formula>0</formula>
    </cfRule>
    <cfRule type="cellIs" dxfId="1114" priority="198" operator="notEqual">
      <formula>0</formula>
    </cfRule>
  </conditionalFormatting>
  <conditionalFormatting sqref="AJ52">
    <cfRule type="cellIs" dxfId="1113" priority="195" operator="equal">
      <formula>0</formula>
    </cfRule>
    <cfRule type="cellIs" dxfId="1112" priority="196" operator="notEqual">
      <formula>0</formula>
    </cfRule>
  </conditionalFormatting>
  <conditionalFormatting sqref="AJ55">
    <cfRule type="cellIs" dxfId="1111" priority="193" operator="equal">
      <formula>0</formula>
    </cfRule>
    <cfRule type="cellIs" dxfId="1110" priority="194" operator="notEqual">
      <formula>0</formula>
    </cfRule>
  </conditionalFormatting>
  <conditionalFormatting sqref="U46:U47">
    <cfRule type="cellIs" dxfId="1109" priority="191" operator="equal">
      <formula>0</formula>
    </cfRule>
    <cfRule type="cellIs" dxfId="1108" priority="192" operator="notEqual">
      <formula>0</formula>
    </cfRule>
  </conditionalFormatting>
  <conditionalFormatting sqref="V46:V47">
    <cfRule type="cellIs" dxfId="1107" priority="189" operator="equal">
      <formula>0</formula>
    </cfRule>
    <cfRule type="cellIs" dxfId="1106" priority="190" operator="notEqual">
      <formula>0</formula>
    </cfRule>
  </conditionalFormatting>
  <conditionalFormatting sqref="W46:W47">
    <cfRule type="cellIs" dxfId="1105" priority="187" operator="equal">
      <formula>0</formula>
    </cfRule>
    <cfRule type="cellIs" dxfId="1104" priority="188" operator="notEqual">
      <formula>0</formula>
    </cfRule>
  </conditionalFormatting>
  <conditionalFormatting sqref="X46:X47">
    <cfRule type="cellIs" dxfId="1103" priority="185" operator="equal">
      <formula>0</formula>
    </cfRule>
    <cfRule type="cellIs" dxfId="1102" priority="186" operator="notEqual">
      <formula>0</formula>
    </cfRule>
  </conditionalFormatting>
  <conditionalFormatting sqref="Y46:Y47">
    <cfRule type="cellIs" dxfId="1101" priority="183" operator="equal">
      <formula>0</formula>
    </cfRule>
    <cfRule type="cellIs" dxfId="1100" priority="184" operator="notEqual">
      <formula>0</formula>
    </cfRule>
  </conditionalFormatting>
  <conditionalFormatting sqref="Z46:Z47">
    <cfRule type="cellIs" dxfId="1099" priority="181" operator="equal">
      <formula>0</formula>
    </cfRule>
    <cfRule type="cellIs" dxfId="1098" priority="182" operator="notEqual">
      <formula>0</formula>
    </cfRule>
  </conditionalFormatting>
  <conditionalFormatting sqref="AA46:AA47">
    <cfRule type="cellIs" dxfId="1097" priority="179" operator="equal">
      <formula>0</formula>
    </cfRule>
    <cfRule type="cellIs" dxfId="1096" priority="180" operator="notEqual">
      <formula>0</formula>
    </cfRule>
  </conditionalFormatting>
  <conditionalFormatting sqref="AB46:AB47">
    <cfRule type="cellIs" dxfId="1095" priority="177" operator="equal">
      <formula>0</formula>
    </cfRule>
    <cfRule type="cellIs" dxfId="1094" priority="178" operator="notEqual">
      <formula>0</formula>
    </cfRule>
  </conditionalFormatting>
  <conditionalFormatting sqref="AG45">
    <cfRule type="cellIs" dxfId="1093" priority="175" operator="equal">
      <formula>0</formula>
    </cfRule>
    <cfRule type="cellIs" dxfId="1092" priority="176" operator="notEqual">
      <formula>0</formula>
    </cfRule>
  </conditionalFormatting>
  <conditionalFormatting sqref="AG48">
    <cfRule type="cellIs" dxfId="1091" priority="173" operator="equal">
      <formula>0</formula>
    </cfRule>
    <cfRule type="cellIs" dxfId="1090" priority="174" operator="notEqual">
      <formula>0</formula>
    </cfRule>
  </conditionalFormatting>
  <conditionalFormatting sqref="AH45">
    <cfRule type="cellIs" dxfId="1089" priority="171" operator="equal">
      <formula>0</formula>
    </cfRule>
    <cfRule type="cellIs" dxfId="1088" priority="172" operator="notEqual">
      <formula>0</formula>
    </cfRule>
  </conditionalFormatting>
  <conditionalFormatting sqref="AH48">
    <cfRule type="cellIs" dxfId="1087" priority="169" operator="equal">
      <formula>0</formula>
    </cfRule>
    <cfRule type="cellIs" dxfId="1086" priority="170" operator="notEqual">
      <formula>0</formula>
    </cfRule>
  </conditionalFormatting>
  <conditionalFormatting sqref="AI45">
    <cfRule type="cellIs" dxfId="1085" priority="167" operator="equal">
      <formula>0</formula>
    </cfRule>
    <cfRule type="cellIs" dxfId="1084" priority="168" operator="notEqual">
      <formula>0</formula>
    </cfRule>
  </conditionalFormatting>
  <conditionalFormatting sqref="AI48">
    <cfRule type="cellIs" dxfId="1083" priority="165" operator="equal">
      <formula>0</formula>
    </cfRule>
    <cfRule type="cellIs" dxfId="1082" priority="166" operator="notEqual">
      <formula>0</formula>
    </cfRule>
  </conditionalFormatting>
  <conditionalFormatting sqref="AJ45">
    <cfRule type="cellIs" dxfId="1081" priority="163" operator="equal">
      <formula>0</formula>
    </cfRule>
    <cfRule type="cellIs" dxfId="1080" priority="164" operator="notEqual">
      <formula>0</formula>
    </cfRule>
  </conditionalFormatting>
  <conditionalFormatting sqref="AJ48">
    <cfRule type="cellIs" dxfId="1079" priority="161" operator="equal">
      <formula>0</formula>
    </cfRule>
    <cfRule type="cellIs" dxfId="1078" priority="162" operator="notEqual">
      <formula>0</formula>
    </cfRule>
  </conditionalFormatting>
  <conditionalFormatting sqref="U39:U40">
    <cfRule type="cellIs" dxfId="1077" priority="159" operator="equal">
      <formula>0</formula>
    </cfRule>
    <cfRule type="cellIs" dxfId="1076" priority="160" operator="notEqual">
      <formula>0</formula>
    </cfRule>
  </conditionalFormatting>
  <conditionalFormatting sqref="V39:V40">
    <cfRule type="cellIs" dxfId="1075" priority="157" operator="equal">
      <formula>0</formula>
    </cfRule>
    <cfRule type="cellIs" dxfId="1074" priority="158" operator="notEqual">
      <formula>0</formula>
    </cfRule>
  </conditionalFormatting>
  <conditionalFormatting sqref="W39:W40">
    <cfRule type="cellIs" dxfId="1073" priority="155" operator="equal">
      <formula>0</formula>
    </cfRule>
    <cfRule type="cellIs" dxfId="1072" priority="156" operator="notEqual">
      <formula>0</formula>
    </cfRule>
  </conditionalFormatting>
  <conditionalFormatting sqref="X39:X40">
    <cfRule type="cellIs" dxfId="1071" priority="153" operator="equal">
      <formula>0</formula>
    </cfRule>
    <cfRule type="cellIs" dxfId="1070" priority="154" operator="notEqual">
      <formula>0</formula>
    </cfRule>
  </conditionalFormatting>
  <conditionalFormatting sqref="Y39:Y40">
    <cfRule type="cellIs" dxfId="1069" priority="151" operator="equal">
      <formula>0</formula>
    </cfRule>
    <cfRule type="cellIs" dxfId="1068" priority="152" operator="notEqual">
      <formula>0</formula>
    </cfRule>
  </conditionalFormatting>
  <conditionalFormatting sqref="Z39:Z40">
    <cfRule type="cellIs" dxfId="1067" priority="149" operator="equal">
      <formula>0</formula>
    </cfRule>
    <cfRule type="cellIs" dxfId="1066" priority="150" operator="notEqual">
      <formula>0</formula>
    </cfRule>
  </conditionalFormatting>
  <conditionalFormatting sqref="AA39:AA40">
    <cfRule type="cellIs" dxfId="1065" priority="147" operator="equal">
      <formula>0</formula>
    </cfRule>
    <cfRule type="cellIs" dxfId="1064" priority="148" operator="notEqual">
      <formula>0</formula>
    </cfRule>
  </conditionalFormatting>
  <conditionalFormatting sqref="AB39:AB40">
    <cfRule type="cellIs" dxfId="1063" priority="145" operator="equal">
      <formula>0</formula>
    </cfRule>
    <cfRule type="cellIs" dxfId="1062" priority="146" operator="notEqual">
      <formula>0</formula>
    </cfRule>
  </conditionalFormatting>
  <conditionalFormatting sqref="AG38">
    <cfRule type="cellIs" dxfId="1061" priority="143" operator="equal">
      <formula>0</formula>
    </cfRule>
    <cfRule type="cellIs" dxfId="1060" priority="144" operator="notEqual">
      <formula>0</formula>
    </cfRule>
  </conditionalFormatting>
  <conditionalFormatting sqref="AG41">
    <cfRule type="cellIs" dxfId="1059" priority="141" operator="equal">
      <formula>0</formula>
    </cfRule>
    <cfRule type="cellIs" dxfId="1058" priority="142" operator="notEqual">
      <formula>0</formula>
    </cfRule>
  </conditionalFormatting>
  <conditionalFormatting sqref="AH38">
    <cfRule type="cellIs" dxfId="1057" priority="139" operator="equal">
      <formula>0</formula>
    </cfRule>
    <cfRule type="cellIs" dxfId="1056" priority="140" operator="notEqual">
      <formula>0</formula>
    </cfRule>
  </conditionalFormatting>
  <conditionalFormatting sqref="AH41">
    <cfRule type="cellIs" dxfId="1055" priority="137" operator="equal">
      <formula>0</formula>
    </cfRule>
    <cfRule type="cellIs" dxfId="1054" priority="138" operator="notEqual">
      <formula>0</formula>
    </cfRule>
  </conditionalFormatting>
  <conditionalFormatting sqref="AI38">
    <cfRule type="cellIs" dxfId="1053" priority="135" operator="equal">
      <formula>0</formula>
    </cfRule>
    <cfRule type="cellIs" dxfId="1052" priority="136" operator="notEqual">
      <formula>0</formula>
    </cfRule>
  </conditionalFormatting>
  <conditionalFormatting sqref="AI41">
    <cfRule type="cellIs" dxfId="1051" priority="133" operator="equal">
      <formula>0</formula>
    </cfRule>
    <cfRule type="cellIs" dxfId="1050" priority="134" operator="notEqual">
      <formula>0</formula>
    </cfRule>
  </conditionalFormatting>
  <conditionalFormatting sqref="AJ38">
    <cfRule type="cellIs" dxfId="1049" priority="131" operator="equal">
      <formula>0</formula>
    </cfRule>
    <cfRule type="cellIs" dxfId="1048" priority="132" operator="notEqual">
      <formula>0</formula>
    </cfRule>
  </conditionalFormatting>
  <conditionalFormatting sqref="AJ41">
    <cfRule type="cellIs" dxfId="1047" priority="129" operator="equal">
      <formula>0</formula>
    </cfRule>
    <cfRule type="cellIs" dxfId="1046" priority="130" operator="notEqual">
      <formula>0</formula>
    </cfRule>
  </conditionalFormatting>
  <conditionalFormatting sqref="U32:U33">
    <cfRule type="cellIs" dxfId="1045" priority="127" operator="equal">
      <formula>0</formula>
    </cfRule>
    <cfRule type="cellIs" dxfId="1044" priority="128" operator="notEqual">
      <formula>0</formula>
    </cfRule>
  </conditionalFormatting>
  <conditionalFormatting sqref="V32:V33">
    <cfRule type="cellIs" dxfId="1043" priority="125" operator="equal">
      <formula>0</formula>
    </cfRule>
    <cfRule type="cellIs" dxfId="1042" priority="126" operator="notEqual">
      <formula>0</formula>
    </cfRule>
  </conditionalFormatting>
  <conditionalFormatting sqref="W32:W33">
    <cfRule type="cellIs" dxfId="1041" priority="123" operator="equal">
      <formula>0</formula>
    </cfRule>
    <cfRule type="cellIs" dxfId="1040" priority="124" operator="notEqual">
      <formula>0</formula>
    </cfRule>
  </conditionalFormatting>
  <conditionalFormatting sqref="X32:X33">
    <cfRule type="cellIs" dxfId="1039" priority="121" operator="equal">
      <formula>0</formula>
    </cfRule>
    <cfRule type="cellIs" dxfId="1038" priority="122" operator="notEqual">
      <formula>0</formula>
    </cfRule>
  </conditionalFormatting>
  <conditionalFormatting sqref="Y32:Y33">
    <cfRule type="cellIs" dxfId="1037" priority="119" operator="equal">
      <formula>0</formula>
    </cfRule>
    <cfRule type="cellIs" dxfId="1036" priority="120" operator="notEqual">
      <formula>0</formula>
    </cfRule>
  </conditionalFormatting>
  <conditionalFormatting sqref="Z32:Z33">
    <cfRule type="cellIs" dxfId="1035" priority="117" operator="equal">
      <formula>0</formula>
    </cfRule>
    <cfRule type="cellIs" dxfId="1034" priority="118" operator="notEqual">
      <formula>0</formula>
    </cfRule>
  </conditionalFormatting>
  <conditionalFormatting sqref="AA32:AA33">
    <cfRule type="cellIs" dxfId="1033" priority="115" operator="equal">
      <formula>0</formula>
    </cfRule>
    <cfRule type="cellIs" dxfId="1032" priority="116" operator="notEqual">
      <formula>0</formula>
    </cfRule>
  </conditionalFormatting>
  <conditionalFormatting sqref="AB32:AB33">
    <cfRule type="cellIs" dxfId="1031" priority="113" operator="equal">
      <formula>0</formula>
    </cfRule>
    <cfRule type="cellIs" dxfId="1030" priority="114" operator="notEqual">
      <formula>0</formula>
    </cfRule>
  </conditionalFormatting>
  <conditionalFormatting sqref="AG31">
    <cfRule type="cellIs" dxfId="1029" priority="111" operator="equal">
      <formula>0</formula>
    </cfRule>
    <cfRule type="cellIs" dxfId="1028" priority="112" operator="notEqual">
      <formula>0</formula>
    </cfRule>
  </conditionalFormatting>
  <conditionalFormatting sqref="AG34">
    <cfRule type="cellIs" dxfId="1027" priority="109" operator="equal">
      <formula>0</formula>
    </cfRule>
    <cfRule type="cellIs" dxfId="1026" priority="110" operator="notEqual">
      <formula>0</formula>
    </cfRule>
  </conditionalFormatting>
  <conditionalFormatting sqref="AH31">
    <cfRule type="cellIs" dxfId="1025" priority="107" operator="equal">
      <formula>0</formula>
    </cfRule>
    <cfRule type="cellIs" dxfId="1024" priority="108" operator="notEqual">
      <formula>0</formula>
    </cfRule>
  </conditionalFormatting>
  <conditionalFormatting sqref="AH34">
    <cfRule type="cellIs" dxfId="1023" priority="105" operator="equal">
      <formula>0</formula>
    </cfRule>
    <cfRule type="cellIs" dxfId="1022" priority="106" operator="notEqual">
      <formula>0</formula>
    </cfRule>
  </conditionalFormatting>
  <conditionalFormatting sqref="AI31">
    <cfRule type="cellIs" dxfId="1021" priority="103" operator="equal">
      <formula>0</formula>
    </cfRule>
    <cfRule type="cellIs" dxfId="1020" priority="104" operator="notEqual">
      <formula>0</formula>
    </cfRule>
  </conditionalFormatting>
  <conditionalFormatting sqref="AI34">
    <cfRule type="cellIs" dxfId="1019" priority="101" operator="equal">
      <formula>0</formula>
    </cfRule>
    <cfRule type="cellIs" dxfId="1018" priority="102" operator="notEqual">
      <formula>0</formula>
    </cfRule>
  </conditionalFormatting>
  <conditionalFormatting sqref="AJ31">
    <cfRule type="cellIs" dxfId="1017" priority="99" operator="equal">
      <formula>0</formula>
    </cfRule>
    <cfRule type="cellIs" dxfId="1016" priority="100" operator="notEqual">
      <formula>0</formula>
    </cfRule>
  </conditionalFormatting>
  <conditionalFormatting sqref="AJ34">
    <cfRule type="cellIs" dxfId="1015" priority="97" operator="equal">
      <formula>0</formula>
    </cfRule>
    <cfRule type="cellIs" dxfId="1014" priority="98" operator="notEqual">
      <formula>0</formula>
    </cfRule>
  </conditionalFormatting>
  <conditionalFormatting sqref="U25:U26">
    <cfRule type="cellIs" dxfId="1013" priority="95" operator="equal">
      <formula>0</formula>
    </cfRule>
    <cfRule type="cellIs" dxfId="1012" priority="96" operator="notEqual">
      <formula>0</formula>
    </cfRule>
  </conditionalFormatting>
  <conditionalFormatting sqref="V25:V26">
    <cfRule type="cellIs" dxfId="1011" priority="93" operator="equal">
      <formula>0</formula>
    </cfRule>
    <cfRule type="cellIs" dxfId="1010" priority="94" operator="notEqual">
      <formula>0</formula>
    </cfRule>
  </conditionalFormatting>
  <conditionalFormatting sqref="W25:W26">
    <cfRule type="cellIs" dxfId="1009" priority="91" operator="equal">
      <formula>0</formula>
    </cfRule>
    <cfRule type="cellIs" dxfId="1008" priority="92" operator="notEqual">
      <formula>0</formula>
    </cfRule>
  </conditionalFormatting>
  <conditionalFormatting sqref="X25:X26">
    <cfRule type="cellIs" dxfId="1007" priority="89" operator="equal">
      <formula>0</formula>
    </cfRule>
    <cfRule type="cellIs" dxfId="1006" priority="90" operator="notEqual">
      <formula>0</formula>
    </cfRule>
  </conditionalFormatting>
  <conditionalFormatting sqref="Y25:Y26">
    <cfRule type="cellIs" dxfId="1005" priority="87" operator="equal">
      <formula>0</formula>
    </cfRule>
    <cfRule type="cellIs" dxfId="1004" priority="88" operator="notEqual">
      <formula>0</formula>
    </cfRule>
  </conditionalFormatting>
  <conditionalFormatting sqref="Z25:Z26">
    <cfRule type="cellIs" dxfId="1003" priority="85" operator="equal">
      <formula>0</formula>
    </cfRule>
    <cfRule type="cellIs" dxfId="1002" priority="86" operator="notEqual">
      <formula>0</formula>
    </cfRule>
  </conditionalFormatting>
  <conditionalFormatting sqref="AA25:AA26">
    <cfRule type="cellIs" dxfId="1001" priority="83" operator="equal">
      <formula>0</formula>
    </cfRule>
    <cfRule type="cellIs" dxfId="1000" priority="84" operator="notEqual">
      <formula>0</formula>
    </cfRule>
  </conditionalFormatting>
  <conditionalFormatting sqref="AB25:AB26">
    <cfRule type="cellIs" dxfId="999" priority="81" operator="equal">
      <formula>0</formula>
    </cfRule>
    <cfRule type="cellIs" dxfId="998" priority="82" operator="notEqual">
      <formula>0</formula>
    </cfRule>
  </conditionalFormatting>
  <conditionalFormatting sqref="AG24">
    <cfRule type="cellIs" dxfId="997" priority="79" operator="equal">
      <formula>0</formula>
    </cfRule>
    <cfRule type="cellIs" dxfId="996" priority="80" operator="notEqual">
      <formula>0</formula>
    </cfRule>
  </conditionalFormatting>
  <conditionalFormatting sqref="AG27">
    <cfRule type="cellIs" dxfId="995" priority="77" operator="equal">
      <formula>0</formula>
    </cfRule>
    <cfRule type="cellIs" dxfId="994" priority="78" operator="notEqual">
      <formula>0</formula>
    </cfRule>
  </conditionalFormatting>
  <conditionalFormatting sqref="AH24">
    <cfRule type="cellIs" dxfId="993" priority="75" operator="equal">
      <formula>0</formula>
    </cfRule>
    <cfRule type="cellIs" dxfId="992" priority="76" operator="notEqual">
      <formula>0</formula>
    </cfRule>
  </conditionalFormatting>
  <conditionalFormatting sqref="AH27">
    <cfRule type="cellIs" dxfId="991" priority="73" operator="equal">
      <formula>0</formula>
    </cfRule>
    <cfRule type="cellIs" dxfId="990" priority="74" operator="notEqual">
      <formula>0</formula>
    </cfRule>
  </conditionalFormatting>
  <conditionalFormatting sqref="AI24">
    <cfRule type="cellIs" dxfId="989" priority="71" operator="equal">
      <formula>0</formula>
    </cfRule>
    <cfRule type="cellIs" dxfId="988" priority="72" operator="notEqual">
      <formula>0</formula>
    </cfRule>
  </conditionalFormatting>
  <conditionalFormatting sqref="AI27">
    <cfRule type="cellIs" dxfId="987" priority="69" operator="equal">
      <formula>0</formula>
    </cfRule>
    <cfRule type="cellIs" dxfId="986" priority="70" operator="notEqual">
      <formula>0</formula>
    </cfRule>
  </conditionalFormatting>
  <conditionalFormatting sqref="AJ24">
    <cfRule type="cellIs" dxfId="985" priority="67" operator="equal">
      <formula>0</formula>
    </cfRule>
    <cfRule type="cellIs" dxfId="984" priority="68" operator="notEqual">
      <formula>0</formula>
    </cfRule>
  </conditionalFormatting>
  <conditionalFormatting sqref="AJ27">
    <cfRule type="cellIs" dxfId="983" priority="65" operator="equal">
      <formula>0</formula>
    </cfRule>
    <cfRule type="cellIs" dxfId="982" priority="66" operator="notEqual">
      <formula>0</formula>
    </cfRule>
  </conditionalFormatting>
  <conditionalFormatting sqref="U18:U19">
    <cfRule type="cellIs" dxfId="981" priority="63" operator="equal">
      <formula>0</formula>
    </cfRule>
    <cfRule type="cellIs" dxfId="980" priority="64" operator="notEqual">
      <formula>0</formula>
    </cfRule>
  </conditionalFormatting>
  <conditionalFormatting sqref="V18:V19">
    <cfRule type="cellIs" dxfId="979" priority="61" operator="equal">
      <formula>0</formula>
    </cfRule>
    <cfRule type="cellIs" dxfId="978" priority="62" operator="notEqual">
      <formula>0</formula>
    </cfRule>
  </conditionalFormatting>
  <conditionalFormatting sqref="W18:W19">
    <cfRule type="cellIs" dxfId="977" priority="59" operator="equal">
      <formula>0</formula>
    </cfRule>
    <cfRule type="cellIs" dxfId="976" priority="60" operator="notEqual">
      <formula>0</formula>
    </cfRule>
  </conditionalFormatting>
  <conditionalFormatting sqref="X18:X19">
    <cfRule type="cellIs" dxfId="975" priority="57" operator="equal">
      <formula>0</formula>
    </cfRule>
    <cfRule type="cellIs" dxfId="974" priority="58" operator="notEqual">
      <formula>0</formula>
    </cfRule>
  </conditionalFormatting>
  <conditionalFormatting sqref="Y18:Y19">
    <cfRule type="cellIs" dxfId="973" priority="55" operator="equal">
      <formula>0</formula>
    </cfRule>
    <cfRule type="cellIs" dxfId="972" priority="56" operator="notEqual">
      <formula>0</formula>
    </cfRule>
  </conditionalFormatting>
  <conditionalFormatting sqref="Z18:Z19">
    <cfRule type="cellIs" dxfId="971" priority="53" operator="equal">
      <formula>0</formula>
    </cfRule>
    <cfRule type="cellIs" dxfId="970" priority="54" operator="notEqual">
      <formula>0</formula>
    </cfRule>
  </conditionalFormatting>
  <conditionalFormatting sqref="AA18:AA19">
    <cfRule type="cellIs" dxfId="969" priority="51" operator="equal">
      <formula>0</formula>
    </cfRule>
    <cfRule type="cellIs" dxfId="968" priority="52" operator="notEqual">
      <formula>0</formula>
    </cfRule>
  </conditionalFormatting>
  <conditionalFormatting sqref="AB18:AB19">
    <cfRule type="cellIs" dxfId="967" priority="49" operator="equal">
      <formula>0</formula>
    </cfRule>
    <cfRule type="cellIs" dxfId="966" priority="50" operator="notEqual">
      <formula>0</formula>
    </cfRule>
  </conditionalFormatting>
  <conditionalFormatting sqref="AG17">
    <cfRule type="cellIs" dxfId="965" priority="47" operator="equal">
      <formula>0</formula>
    </cfRule>
    <cfRule type="cellIs" dxfId="964" priority="48" operator="notEqual">
      <formula>0</formula>
    </cfRule>
  </conditionalFormatting>
  <conditionalFormatting sqref="AG20">
    <cfRule type="cellIs" dxfId="963" priority="45" operator="equal">
      <formula>0</formula>
    </cfRule>
    <cfRule type="cellIs" dxfId="962" priority="46" operator="notEqual">
      <formula>0</formula>
    </cfRule>
  </conditionalFormatting>
  <conditionalFormatting sqref="AH17">
    <cfRule type="cellIs" dxfId="961" priority="43" operator="equal">
      <formula>0</formula>
    </cfRule>
    <cfRule type="cellIs" dxfId="960" priority="44" operator="notEqual">
      <formula>0</formula>
    </cfRule>
  </conditionalFormatting>
  <conditionalFormatting sqref="AH20">
    <cfRule type="cellIs" dxfId="959" priority="41" operator="equal">
      <formula>0</formula>
    </cfRule>
    <cfRule type="cellIs" dxfId="958" priority="42" operator="notEqual">
      <formula>0</formula>
    </cfRule>
  </conditionalFormatting>
  <conditionalFormatting sqref="AI17">
    <cfRule type="cellIs" dxfId="957" priority="39" operator="equal">
      <formula>0</formula>
    </cfRule>
    <cfRule type="cellIs" dxfId="956" priority="40" operator="notEqual">
      <formula>0</formula>
    </cfRule>
  </conditionalFormatting>
  <conditionalFormatting sqref="AI20">
    <cfRule type="cellIs" dxfId="955" priority="37" operator="equal">
      <formula>0</formula>
    </cfRule>
    <cfRule type="cellIs" dxfId="954" priority="38" operator="notEqual">
      <formula>0</formula>
    </cfRule>
  </conditionalFormatting>
  <conditionalFormatting sqref="AJ17">
    <cfRule type="cellIs" dxfId="953" priority="35" operator="equal">
      <formula>0</formula>
    </cfRule>
    <cfRule type="cellIs" dxfId="952" priority="36" operator="notEqual">
      <formula>0</formula>
    </cfRule>
  </conditionalFormatting>
  <conditionalFormatting sqref="AJ20">
    <cfRule type="cellIs" dxfId="951" priority="33" operator="equal">
      <formula>0</formula>
    </cfRule>
    <cfRule type="cellIs" dxfId="950" priority="34" operator="notEqual">
      <formula>0</formula>
    </cfRule>
  </conditionalFormatting>
  <conditionalFormatting sqref="U11:U12">
    <cfRule type="cellIs" dxfId="949" priority="31" operator="equal">
      <formula>0</formula>
    </cfRule>
    <cfRule type="cellIs" dxfId="948" priority="32" operator="notEqual">
      <formula>0</formula>
    </cfRule>
  </conditionalFormatting>
  <conditionalFormatting sqref="V11:V12">
    <cfRule type="cellIs" dxfId="947" priority="29" operator="equal">
      <formula>0</formula>
    </cfRule>
    <cfRule type="cellIs" dxfId="946" priority="30" operator="notEqual">
      <formula>0</formula>
    </cfRule>
  </conditionalFormatting>
  <conditionalFormatting sqref="W11:W12">
    <cfRule type="cellIs" dxfId="945" priority="27" operator="equal">
      <formula>0</formula>
    </cfRule>
    <cfRule type="cellIs" dxfId="944" priority="28" operator="notEqual">
      <formula>0</formula>
    </cfRule>
  </conditionalFormatting>
  <conditionalFormatting sqref="X11:X12">
    <cfRule type="cellIs" dxfId="943" priority="25" operator="equal">
      <formula>0</formula>
    </cfRule>
    <cfRule type="cellIs" dxfId="942" priority="26" operator="notEqual">
      <formula>0</formula>
    </cfRule>
  </conditionalFormatting>
  <conditionalFormatting sqref="Y11:Y12">
    <cfRule type="cellIs" dxfId="941" priority="23" operator="equal">
      <formula>0</formula>
    </cfRule>
    <cfRule type="cellIs" dxfId="940" priority="24" operator="notEqual">
      <formula>0</formula>
    </cfRule>
  </conditionalFormatting>
  <conditionalFormatting sqref="Z11:Z12">
    <cfRule type="cellIs" dxfId="939" priority="21" operator="equal">
      <formula>0</formula>
    </cfRule>
    <cfRule type="cellIs" dxfId="938" priority="22" operator="notEqual">
      <formula>0</formula>
    </cfRule>
  </conditionalFormatting>
  <conditionalFormatting sqref="AA11:AA12">
    <cfRule type="cellIs" dxfId="937" priority="19" operator="equal">
      <formula>0</formula>
    </cfRule>
    <cfRule type="cellIs" dxfId="936" priority="20" operator="notEqual">
      <formula>0</formula>
    </cfRule>
  </conditionalFormatting>
  <conditionalFormatting sqref="AB11:AB12">
    <cfRule type="cellIs" dxfId="935" priority="17" operator="equal">
      <formula>0</formula>
    </cfRule>
    <cfRule type="cellIs" dxfId="934" priority="18" operator="notEqual">
      <formula>0</formula>
    </cfRule>
  </conditionalFormatting>
  <conditionalFormatting sqref="AG10">
    <cfRule type="cellIs" dxfId="933" priority="15" operator="equal">
      <formula>0</formula>
    </cfRule>
    <cfRule type="cellIs" dxfId="932" priority="16" operator="notEqual">
      <formula>0</formula>
    </cfRule>
  </conditionalFormatting>
  <conditionalFormatting sqref="AG13">
    <cfRule type="cellIs" dxfId="931" priority="13" operator="equal">
      <formula>0</formula>
    </cfRule>
    <cfRule type="cellIs" dxfId="930" priority="14" operator="notEqual">
      <formula>0</formula>
    </cfRule>
  </conditionalFormatting>
  <conditionalFormatting sqref="AH10">
    <cfRule type="cellIs" dxfId="929" priority="11" operator="equal">
      <formula>0</formula>
    </cfRule>
    <cfRule type="cellIs" dxfId="928" priority="12" operator="notEqual">
      <formula>0</formula>
    </cfRule>
  </conditionalFormatting>
  <conditionalFormatting sqref="AH13">
    <cfRule type="cellIs" dxfId="927" priority="9" operator="equal">
      <formula>0</formula>
    </cfRule>
    <cfRule type="cellIs" dxfId="926" priority="10" operator="notEqual">
      <formula>0</formula>
    </cfRule>
  </conditionalFormatting>
  <conditionalFormatting sqref="AI10">
    <cfRule type="cellIs" dxfId="925" priority="7" operator="equal">
      <formula>0</formula>
    </cfRule>
    <cfRule type="cellIs" dxfId="924" priority="8" operator="notEqual">
      <formula>0</formula>
    </cfRule>
  </conditionalFormatting>
  <conditionalFormatting sqref="AI13">
    <cfRule type="cellIs" dxfId="923" priority="5" operator="equal">
      <formula>0</formula>
    </cfRule>
    <cfRule type="cellIs" dxfId="922" priority="6" operator="notEqual">
      <formula>0</formula>
    </cfRule>
  </conditionalFormatting>
  <conditionalFormatting sqref="AJ10">
    <cfRule type="cellIs" dxfId="921" priority="3" operator="equal">
      <formula>0</formula>
    </cfRule>
    <cfRule type="cellIs" dxfId="920" priority="4" operator="notEqual">
      <formula>0</formula>
    </cfRule>
  </conditionalFormatting>
  <conditionalFormatting sqref="AJ13">
    <cfRule type="cellIs" dxfId="919" priority="1" operator="equal">
      <formula>0</formula>
    </cfRule>
    <cfRule type="cellIs" dxfId="918" priority="2" operator="notEqual">
      <formula>0</formula>
    </cfRule>
  </conditionalFormatting>
  <dataValidations count="1">
    <dataValidation type="list" allowBlank="1" showInputMessage="1" showErrorMessage="1" sqref="B5" xr:uid="{84235E3F-D3EF-47AD-B75A-682C1386A5B2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7"/>
  <dimension ref="A1:AX76"/>
  <sheetViews>
    <sheetView showGridLines="0" topLeftCell="B32" zoomScale="70" zoomScaleNormal="70" workbookViewId="0">
      <selection activeCell="B5" sqref="B5"/>
    </sheetView>
  </sheetViews>
  <sheetFormatPr baseColWidth="10" defaultColWidth="9.1640625" defaultRowHeight="14" x14ac:dyDescent="0.15"/>
  <cols>
    <col min="1" max="1" width="3.1640625" style="30" customWidth="1"/>
    <col min="2" max="2" width="36.1640625" style="30" customWidth="1"/>
    <col min="3" max="19" width="9.1640625" style="30"/>
    <col min="20" max="20" width="33" style="30" customWidth="1"/>
    <col min="21" max="16384" width="9.1640625" style="30"/>
  </cols>
  <sheetData>
    <row r="1" spans="1:50" ht="67.5" customHeight="1" x14ac:dyDescent="0.15">
      <c r="A1" s="81"/>
      <c r="B1" s="377" t="s">
        <v>449</v>
      </c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378"/>
      <c r="P1" s="378"/>
      <c r="Q1" s="378"/>
      <c r="R1" s="378"/>
      <c r="S1" s="378"/>
      <c r="T1" s="378"/>
      <c r="U1" s="378"/>
      <c r="V1" s="378"/>
      <c r="W1" s="378"/>
      <c r="X1" s="378"/>
      <c r="Y1" s="378"/>
      <c r="Z1" s="378"/>
      <c r="AA1" s="378"/>
      <c r="AB1" s="378"/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/>
      <c r="AO1" s="378"/>
      <c r="AP1" s="378"/>
      <c r="AQ1" s="378"/>
      <c r="AR1" s="378"/>
      <c r="AS1" s="378"/>
      <c r="AT1" s="378"/>
      <c r="AU1" s="378"/>
      <c r="AV1" s="378"/>
      <c r="AW1" s="378"/>
      <c r="AX1" s="378"/>
    </row>
    <row r="2" spans="1:50" ht="49.5" customHeight="1" x14ac:dyDescent="0.15">
      <c r="A2" s="80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79"/>
      <c r="U2" s="379"/>
      <c r="V2" s="379"/>
      <c r="W2" s="379"/>
      <c r="X2" s="379"/>
      <c r="Y2" s="379"/>
      <c r="Z2" s="379"/>
      <c r="AA2" s="379"/>
      <c r="AB2" s="379"/>
      <c r="AC2" s="379"/>
      <c r="AD2" s="379"/>
      <c r="AE2" s="379"/>
      <c r="AF2" s="379"/>
      <c r="AG2" s="379"/>
      <c r="AH2" s="379"/>
      <c r="AI2" s="379"/>
      <c r="AJ2" s="379"/>
      <c r="AK2" s="379"/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</row>
    <row r="3" spans="1:50" s="72" customFormat="1" ht="16" x14ac:dyDescent="0.15"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</row>
    <row r="4" spans="1:50" ht="30" x14ac:dyDescent="0.15">
      <c r="B4" s="56" t="s">
        <v>470</v>
      </c>
    </row>
    <row r="5" spans="1:50" ht="15" x14ac:dyDescent="0.15">
      <c r="B5" s="78" t="s">
        <v>1132</v>
      </c>
      <c r="P5" s="61"/>
      <c r="Q5" s="61"/>
    </row>
    <row r="6" spans="1:50" x14ac:dyDescent="0.15">
      <c r="B6" s="70"/>
    </row>
    <row r="8" spans="1:50" ht="47.25" customHeight="1" x14ac:dyDescent="0.15">
      <c r="B8" s="182" t="str">
        <f>HLOOKUP($B$5,Region_Table,2,0)</f>
        <v>All South Central</v>
      </c>
      <c r="C8" s="359" t="s">
        <v>368</v>
      </c>
      <c r="D8" s="365"/>
      <c r="E8" s="365"/>
      <c r="F8" s="365"/>
      <c r="G8" s="365"/>
      <c r="H8" s="365"/>
      <c r="I8" s="365"/>
      <c r="J8" s="365"/>
      <c r="K8" s="365"/>
      <c r="L8" s="365"/>
      <c r="M8" s="368"/>
      <c r="N8" s="368"/>
      <c r="O8" s="369"/>
      <c r="P8" s="362">
        <f>SUM(SUMIFS('caseload data'!V:V,'caseload data'!B:B,{"licence","community"},'caseload data'!C:C,'community caseload'!B8))</f>
        <v>0</v>
      </c>
      <c r="Q8" s="370"/>
      <c r="R8" s="371"/>
      <c r="S8" s="95"/>
      <c r="T8" s="182" t="str">
        <f>HLOOKUP($B$5,Region_Table,3,0)</f>
        <v>Buckinghamshire and M Keynes - N59</v>
      </c>
      <c r="U8" s="359" t="s">
        <v>368</v>
      </c>
      <c r="V8" s="365"/>
      <c r="W8" s="365"/>
      <c r="X8" s="365"/>
      <c r="Y8" s="365"/>
      <c r="Z8" s="365"/>
      <c r="AA8" s="365"/>
      <c r="AB8" s="365"/>
      <c r="AC8" s="365"/>
      <c r="AD8" s="365"/>
      <c r="AE8" s="368"/>
      <c r="AF8" s="368"/>
      <c r="AG8" s="369"/>
      <c r="AH8" s="362">
        <f>SUM(SUMIFS('caseload data'!V:V,'caseload data'!B:B,{"licence","community"},'caseload data'!C:C,'community caseload'!T8))</f>
        <v>0</v>
      </c>
      <c r="AI8" s="370"/>
      <c r="AJ8" s="371"/>
    </row>
    <row r="9" spans="1:50" x14ac:dyDescent="0.15">
      <c r="B9" s="127" t="s">
        <v>324</v>
      </c>
      <c r="C9" s="58" t="s">
        <v>504</v>
      </c>
      <c r="D9" s="58" t="s">
        <v>503</v>
      </c>
      <c r="E9" s="58" t="s">
        <v>502</v>
      </c>
      <c r="F9" s="58" t="s">
        <v>501</v>
      </c>
      <c r="G9" s="58" t="s">
        <v>510</v>
      </c>
      <c r="H9" s="58" t="s">
        <v>176</v>
      </c>
      <c r="I9" s="58" t="s">
        <v>177</v>
      </c>
      <c r="J9" s="58" t="s">
        <v>505</v>
      </c>
      <c r="K9" s="58" t="s">
        <v>507</v>
      </c>
      <c r="L9" s="58" t="s">
        <v>178</v>
      </c>
      <c r="M9" s="58" t="s">
        <v>179</v>
      </c>
      <c r="N9" s="58" t="s">
        <v>506</v>
      </c>
      <c r="O9" s="58" t="s">
        <v>508</v>
      </c>
      <c r="P9" s="58" t="s">
        <v>180</v>
      </c>
      <c r="Q9" s="58" t="s">
        <v>181</v>
      </c>
      <c r="R9" s="58" t="s">
        <v>509</v>
      </c>
      <c r="S9" s="95"/>
      <c r="T9" s="127" t="s">
        <v>324</v>
      </c>
      <c r="U9" s="58" t="s">
        <v>504</v>
      </c>
      <c r="V9" s="58" t="s">
        <v>503</v>
      </c>
      <c r="W9" s="58" t="s">
        <v>502</v>
      </c>
      <c r="X9" s="58" t="s">
        <v>501</v>
      </c>
      <c r="Y9" s="58" t="s">
        <v>510</v>
      </c>
      <c r="Z9" s="58" t="s">
        <v>176</v>
      </c>
      <c r="AA9" s="58" t="s">
        <v>177</v>
      </c>
      <c r="AB9" s="58" t="s">
        <v>505</v>
      </c>
      <c r="AC9" s="58" t="s">
        <v>507</v>
      </c>
      <c r="AD9" s="58" t="s">
        <v>178</v>
      </c>
      <c r="AE9" s="58" t="s">
        <v>179</v>
      </c>
      <c r="AF9" s="58" t="s">
        <v>506</v>
      </c>
      <c r="AG9" s="58" t="s">
        <v>508</v>
      </c>
      <c r="AH9" s="58" t="s">
        <v>180</v>
      </c>
      <c r="AI9" s="58" t="s">
        <v>181</v>
      </c>
      <c r="AJ9" s="58" t="s">
        <v>509</v>
      </c>
    </row>
    <row r="10" spans="1:50" x14ac:dyDescent="0.15">
      <c r="B10" s="129" t="s">
        <v>184</v>
      </c>
      <c r="C10" s="204">
        <f>SUM(SUMIFS('caseload data'!E:E,'caseload data'!$D:$D,"PO",'caseload data'!$C:$C,'community caseload'!$B$8,'caseload data'!$B:$B,{"licence","community"}))</f>
        <v>0</v>
      </c>
      <c r="D10" s="204">
        <f>SUM(SUMIFS('caseload data'!F:F,'caseload data'!$D:$D,"PO",'caseload data'!$C:$C,'community caseload'!$B$8,'caseload data'!$B:$B,{"licence","community"}))</f>
        <v>0</v>
      </c>
      <c r="E10" s="204">
        <f>SUM(SUMIFS('caseload data'!G:G,'caseload data'!$D:$D,"PO",'caseload data'!$C:$C,'community caseload'!$B$8,'caseload data'!$B:$B,{"licence","community"}))</f>
        <v>0</v>
      </c>
      <c r="F10" s="204">
        <f>SUM(SUMIFS('caseload data'!H:H,'caseload data'!$D:$D,"PO",'caseload data'!$C:$C,'community caseload'!$B$8,'caseload data'!$B:$B,{"licence","community"}))</f>
        <v>0</v>
      </c>
      <c r="G10" s="204">
        <f>SUM(SUMIFS('caseload data'!I:I,'caseload data'!$D:$D,"PO",'caseload data'!$C:$C,'community caseload'!$B$8,'caseload data'!$B:$B,{"licence","community"}))</f>
        <v>0</v>
      </c>
      <c r="H10" s="204">
        <f>SUM(SUMIFS('caseload data'!J:J,'caseload data'!$D:$D,"PO",'caseload data'!$C:$C,'community caseload'!$B$8,'caseload data'!$B:$B,{"licence","community"}))</f>
        <v>0</v>
      </c>
      <c r="I10" s="204">
        <f>SUM(SUMIFS('caseload data'!K:K,'caseload data'!$D:$D,"PO",'caseload data'!$C:$C,'community caseload'!$B$8,'caseload data'!$B:$B,{"licence","community"}))</f>
        <v>0</v>
      </c>
      <c r="J10" s="204">
        <f>SUM(SUMIFS('caseload data'!L:L,'caseload data'!$D:$D,"PO",'caseload data'!$C:$C,'community caseload'!$B$8,'caseload data'!$B:$B,{"licence","community"}))</f>
        <v>0</v>
      </c>
      <c r="K10" s="204">
        <f>SUM(SUMIFS('caseload data'!M:M,'caseload data'!$D:$D,"PO",'caseload data'!$C:$C,'community caseload'!$B$8,'caseload data'!$B:$B,{"licence","community"}))</f>
        <v>0</v>
      </c>
      <c r="L10" s="204">
        <f>SUM(SUMIFS('caseload data'!N:N,'caseload data'!$D:$D,"PO",'caseload data'!$C:$C,'community caseload'!$B$8,'caseload data'!$B:$B,{"licence","community"}))</f>
        <v>0</v>
      </c>
      <c r="M10" s="204">
        <f>SUM(SUMIFS('caseload data'!O:O,'caseload data'!$D:$D,"PO",'caseload data'!$C:$C,'community caseload'!$B$8,'caseload data'!$B:$B,{"licence","community"}))</f>
        <v>0</v>
      </c>
      <c r="N10" s="204">
        <f>SUM(SUMIFS('caseload data'!P:P,'caseload data'!$D:$D,"PO",'caseload data'!$C:$C,'community caseload'!$B$8,'caseload data'!$B:$B,{"licence","community"}))</f>
        <v>0</v>
      </c>
      <c r="O10" s="204">
        <f>SUM(SUMIFS('caseload data'!Q:Q,'caseload data'!$D:$D,"PO",'caseload data'!$C:$C,'community caseload'!$B$8,'caseload data'!$B:$B,{"licence","community"}))</f>
        <v>0</v>
      </c>
      <c r="P10" s="204">
        <f>SUM(SUMIFS('caseload data'!R:R,'caseload data'!$D:$D,"PO",'caseload data'!$C:$C,'community caseload'!$B$8,'caseload data'!$B:$B,{"licence","community"}))</f>
        <v>0</v>
      </c>
      <c r="Q10" s="204">
        <f>SUM(SUMIFS('caseload data'!S:S,'caseload data'!$D:$D,"PO",'caseload data'!$C:$C,'community caseload'!$B$8,'caseload data'!$B:$B,{"licence","community"}))</f>
        <v>0</v>
      </c>
      <c r="R10" s="204">
        <f>SUM(SUMIFS('caseload data'!T:T,'caseload data'!$D:$D,"PO",'caseload data'!$C:$C,'community caseload'!$B$8,'caseload data'!$B:$B,{"licence","community"}))</f>
        <v>0</v>
      </c>
      <c r="S10" s="95"/>
      <c r="T10" s="129" t="s">
        <v>184</v>
      </c>
      <c r="U10" s="204">
        <f>SUM(SUMIFS('caseload data'!E:E,'caseload data'!$D:$D,"PO",'caseload data'!$C:$C,'community caseload'!$T$8,'caseload data'!$B:$B,{"licence","community"}))</f>
        <v>0</v>
      </c>
      <c r="V10" s="204"/>
      <c r="W10" s="204"/>
      <c r="X10" s="204"/>
      <c r="Y10" s="204"/>
      <c r="Z10" s="204"/>
      <c r="AA10" s="204"/>
      <c r="AB10" s="204"/>
      <c r="AC10" s="204"/>
      <c r="AD10" s="204"/>
      <c r="AE10" s="204">
        <f>SUM(SUMIFS('caseload data'!J:J,'caseload data'!$D:$D,"PO",'caseload data'!$C:$C,'community caseload'!$T$8,'caseload data'!$B:$B,{"licence","community"}))</f>
        <v>0</v>
      </c>
      <c r="AF10" s="204">
        <f>SUM(SUMIFS('caseload data'!K:K,'caseload data'!$D:$D,"PO",'caseload data'!$C:$C,'community caseload'!$T$8,'caseload data'!$B:$B,{"licence","community"}))</f>
        <v>0</v>
      </c>
      <c r="AG10" s="204">
        <f>SUM(SUMIFS('caseload data'!N:N,'caseload data'!$D:$D,"PO",'caseload data'!$C:$C,'community caseload'!$T$8,'caseload data'!$B:$B,{"licence","community"}))</f>
        <v>0</v>
      </c>
      <c r="AH10" s="204">
        <f>SUM(SUMIFS('caseload data'!O:O,'caseload data'!$D:$D,"PO",'caseload data'!$C:$C,'community caseload'!$T$8,'caseload data'!$B:$B,{"licence","community"}))</f>
        <v>0</v>
      </c>
      <c r="AI10" s="204">
        <f>SUM(SUMIFS('caseload data'!R:R,'caseload data'!$D:$D,"PO",'caseload data'!$C:$C,'community caseload'!$T$8,'caseload data'!$B:$B,{"licence","community"}))</f>
        <v>0</v>
      </c>
      <c r="AJ10" s="204">
        <f>SUM(SUMIFS('caseload data'!S:S,'caseload data'!$D:$D,"PO",'caseload data'!$C:$C,'community caseload'!$T$8,'caseload data'!$B:$B,{"licence","community"}))</f>
        <v>0</v>
      </c>
    </row>
    <row r="11" spans="1:50" x14ac:dyDescent="0.15">
      <c r="B11" s="130" t="s">
        <v>185</v>
      </c>
      <c r="C11" s="204">
        <f>SUM(SUMIFS('caseload data'!E:E,'caseload data'!$D:$D,"PSO",'caseload data'!$C:$C,'community caseload'!$B$8,'caseload data'!$B:$B,{"licence","community"}))</f>
        <v>0</v>
      </c>
      <c r="D11" s="204">
        <f>SUM(SUMIFS('caseload data'!F:F,'caseload data'!$D:$D,"PSO",'caseload data'!$C:$C,'community caseload'!$B$8,'caseload data'!$B:$B,{"licence","community"}))</f>
        <v>0</v>
      </c>
      <c r="E11" s="204">
        <f>SUM(SUMIFS('caseload data'!G:G,'caseload data'!$D:$D,"PSO",'caseload data'!$C:$C,'community caseload'!$B$8,'caseload data'!$B:$B,{"licence","community"}))</f>
        <v>0</v>
      </c>
      <c r="F11" s="204">
        <f>SUM(SUMIFS('caseload data'!H:H,'caseload data'!$D:$D,"PSO",'caseload data'!$C:$C,'community caseload'!$B$8,'caseload data'!$B:$B,{"licence","community"}))</f>
        <v>0</v>
      </c>
      <c r="G11" s="204">
        <f>SUM(SUMIFS('caseload data'!I:I,'caseload data'!$D:$D,"PSO",'caseload data'!$C:$C,'community caseload'!$B$8,'caseload data'!$B:$B,{"licence","community"}))</f>
        <v>0</v>
      </c>
      <c r="H11" s="204">
        <f>SUM(SUMIFS('caseload data'!J:J,'caseload data'!$D:$D,"PSO",'caseload data'!$C:$C,'community caseload'!$B$8,'caseload data'!$B:$B,{"licence","community"}))</f>
        <v>0</v>
      </c>
      <c r="I11" s="204">
        <f>SUM(SUMIFS('caseload data'!K:K,'caseload data'!$D:$D,"PSO",'caseload data'!$C:$C,'community caseload'!$B$8,'caseload data'!$B:$B,{"licence","community"}))</f>
        <v>0</v>
      </c>
      <c r="J11" s="204">
        <f>SUM(SUMIFS('caseload data'!L:L,'caseload data'!$D:$D,"PSO",'caseload data'!$C:$C,'community caseload'!$B$8,'caseload data'!$B:$B,{"licence","community"}))</f>
        <v>0</v>
      </c>
      <c r="K11" s="204">
        <f>SUM(SUMIFS('caseload data'!M:M,'caseload data'!$D:$D,"PSO",'caseload data'!$C:$C,'community caseload'!$B$8,'caseload data'!$B:$B,{"licence","community"}))</f>
        <v>0</v>
      </c>
      <c r="L11" s="204">
        <f>SUM(SUMIFS('caseload data'!N:N,'caseload data'!$D:$D,"PSO",'caseload data'!$C:$C,'community caseload'!$B$8,'caseload data'!$B:$B,{"licence","community"}))</f>
        <v>0</v>
      </c>
      <c r="M11" s="204">
        <f>SUM(SUMIFS('caseload data'!O:O,'caseload data'!$D:$D,"PSO",'caseload data'!$C:$C,'community caseload'!$B$8,'caseload data'!$B:$B,{"licence","community"}))</f>
        <v>0</v>
      </c>
      <c r="N11" s="204">
        <f>SUM(SUMIFS('caseload data'!P:P,'caseload data'!$D:$D,"PSO",'caseload data'!$C:$C,'community caseload'!$B$8,'caseload data'!$B:$B,{"licence","community"}))</f>
        <v>0</v>
      </c>
      <c r="O11" s="204">
        <f>SUM(SUMIFS('caseload data'!Q:Q,'caseload data'!$D:$D,"PSO",'caseload data'!$C:$C,'community caseload'!$B$8,'caseload data'!$B:$B,{"licence","community"}))</f>
        <v>0</v>
      </c>
      <c r="P11" s="204">
        <f>SUM(SUMIFS('caseload data'!R:R,'caseload data'!$D:$D,"PSO",'caseload data'!$C:$C,'community caseload'!$B$8,'caseload data'!$B:$B,{"licence","community"}))</f>
        <v>0</v>
      </c>
      <c r="Q11" s="204">
        <f>SUM(SUMIFS('caseload data'!S:S,'caseload data'!$D:$D,"PSO",'caseload data'!$C:$C,'community caseload'!$B$8,'caseload data'!$B:$B,{"licence","community"}))</f>
        <v>0</v>
      </c>
      <c r="R11" s="204">
        <f>SUM(SUMIFS('caseload data'!T:T,'caseload data'!$D:$D,"PSO",'caseload data'!$C:$C,'community caseload'!$B$8,'caseload data'!$B:$B,{"licence","community"}))</f>
        <v>0</v>
      </c>
      <c r="S11" s="95"/>
      <c r="T11" s="130" t="s">
        <v>185</v>
      </c>
      <c r="U11" s="204">
        <f>SUM(SUMIFS('caseload data'!E:E,'caseload data'!$D:$D,"PSO",'caseload data'!$C:$C,'community caseload'!$T$8,'caseload data'!$B:$B,{"licence","community"}))</f>
        <v>0</v>
      </c>
      <c r="V11" s="204"/>
      <c r="W11" s="204"/>
      <c r="X11" s="204"/>
      <c r="Y11" s="204"/>
      <c r="Z11" s="204"/>
      <c r="AA11" s="204"/>
      <c r="AB11" s="204"/>
      <c r="AC11" s="204"/>
      <c r="AD11" s="204"/>
      <c r="AE11" s="204">
        <f>SUM(SUMIFS('caseload data'!J:J,'caseload data'!$D:$D,"PSO",'caseload data'!$C:$C,'community caseload'!$T$8,'caseload data'!$B:$B,{"licence","community"}))</f>
        <v>0</v>
      </c>
      <c r="AF11" s="204">
        <f>SUM(SUMIFS('caseload data'!K:K,'caseload data'!$D:$D,"PSO",'caseload data'!$C:$C,'community caseload'!$T$8,'caseload data'!$B:$B,{"licence","community"}))</f>
        <v>0</v>
      </c>
      <c r="AG11" s="204">
        <f>SUM(SUMIFS('caseload data'!N:N,'caseload data'!$D:$D,"PSO",'caseload data'!$C:$C,'community caseload'!$T$8,'caseload data'!$B:$B,{"licence","community"}))</f>
        <v>0</v>
      </c>
      <c r="AH11" s="204">
        <f>SUM(SUMIFS('caseload data'!O:O,'caseload data'!$D:$D,"PSO",'caseload data'!$C:$C,'community caseload'!$T$8,'caseload data'!$B:$B,{"licence","community"}))</f>
        <v>0</v>
      </c>
      <c r="AI11" s="204">
        <f>SUM(SUMIFS('caseload data'!R:R,'caseload data'!$D:$D,"PSO",'caseload data'!$C:$C,'community caseload'!$T$8,'caseload data'!$B:$B,{"licence","community"}))</f>
        <v>0</v>
      </c>
      <c r="AJ11" s="204">
        <f>SUM(SUMIFS('caseload data'!S:S,'caseload data'!$D:$D,"PSO",'caseload data'!$C:$C,'community caseload'!$T$8,'caseload data'!$B:$B,{"licence","community"}))</f>
        <v>0</v>
      </c>
    </row>
    <row r="12" spans="1:50" x14ac:dyDescent="0.15">
      <c r="B12" s="130" t="s">
        <v>186</v>
      </c>
      <c r="C12" s="204">
        <f>SUM(SUMIFS('caseload data'!E:E,'caseload data'!$D:$D,"TPO",'caseload data'!$C:$C,'community caseload'!$B$8,'caseload data'!$B:$B,{"licence","community"}))</f>
        <v>0</v>
      </c>
      <c r="D12" s="204">
        <f>SUM(SUMIFS('caseload data'!F:F,'caseload data'!$D:$D,"TPO",'caseload data'!$C:$C,'community caseload'!$B$8,'caseload data'!$B:$B,{"licence","community"}))</f>
        <v>0</v>
      </c>
      <c r="E12" s="204">
        <f>SUM(SUMIFS('caseload data'!G:G,'caseload data'!$D:$D,"TPO",'caseload data'!$C:$C,'community caseload'!$B$8,'caseload data'!$B:$B,{"licence","community"}))</f>
        <v>0</v>
      </c>
      <c r="F12" s="204">
        <f>SUM(SUMIFS('caseload data'!H:H,'caseload data'!$D:$D,"TPO",'caseload data'!$C:$C,'community caseload'!$B$8,'caseload data'!$B:$B,{"licence","community"}))</f>
        <v>0</v>
      </c>
      <c r="G12" s="204">
        <f>SUM(SUMIFS('caseload data'!I:I,'caseload data'!$D:$D,"TPO",'caseload data'!$C:$C,'community caseload'!$B$8,'caseload data'!$B:$B,{"licence","community"}))</f>
        <v>0</v>
      </c>
      <c r="H12" s="204">
        <f>SUM(SUMIFS('caseload data'!J:J,'caseload data'!$D:$D,"TPO",'caseload data'!$C:$C,'community caseload'!$B$8,'caseload data'!$B:$B,{"licence","community"}))</f>
        <v>0</v>
      </c>
      <c r="I12" s="204">
        <f>SUM(SUMIFS('caseload data'!K:K,'caseload data'!$D:$D,"TPO",'caseload data'!$C:$C,'community caseload'!$B$8,'caseload data'!$B:$B,{"licence","community"}))</f>
        <v>0</v>
      </c>
      <c r="J12" s="204">
        <f>SUM(SUMIFS('caseload data'!L:L,'caseload data'!$D:$D,"TPO",'caseload data'!$C:$C,'community caseload'!$B$8,'caseload data'!$B:$B,{"licence","community"}))</f>
        <v>0</v>
      </c>
      <c r="K12" s="204">
        <f>SUM(SUMIFS('caseload data'!M:M,'caseload data'!$D:$D,"TPO",'caseload data'!$C:$C,'community caseload'!$B$8,'caseload data'!$B:$B,{"licence","community"}))</f>
        <v>0</v>
      </c>
      <c r="L12" s="204">
        <f>SUM(SUMIFS('caseload data'!N:N,'caseload data'!$D:$D,"TPO",'caseload data'!$C:$C,'community caseload'!$B$8,'caseload data'!$B:$B,{"licence","community"}))</f>
        <v>0</v>
      </c>
      <c r="M12" s="204">
        <f>SUM(SUMIFS('caseload data'!O:O,'caseload data'!$D:$D,"TPO",'caseload data'!$C:$C,'community caseload'!$B$8,'caseload data'!$B:$B,{"licence","community"}))</f>
        <v>0</v>
      </c>
      <c r="N12" s="204">
        <f>SUM(SUMIFS('caseload data'!P:P,'caseload data'!$D:$D,"TPO",'caseload data'!$C:$C,'community caseload'!$B$8,'caseload data'!$B:$B,{"licence","community"}))</f>
        <v>0</v>
      </c>
      <c r="O12" s="204">
        <f>SUM(SUMIFS('caseload data'!Q:Q,'caseload data'!$D:$D,"TPO",'caseload data'!$C:$C,'community caseload'!$B$8,'caseload data'!$B:$B,{"licence","community"}))</f>
        <v>0</v>
      </c>
      <c r="P12" s="204">
        <f>SUM(SUMIFS('caseload data'!R:R,'caseload data'!$D:$D,"TPO",'caseload data'!$C:$C,'community caseload'!$B$8,'caseload data'!$B:$B,{"licence","community"}))</f>
        <v>0</v>
      </c>
      <c r="Q12" s="204">
        <f>SUM(SUMIFS('caseload data'!S:S,'caseload data'!$D:$D,"TPO",'caseload data'!$C:$C,'community caseload'!$B$8,'caseload data'!$B:$B,{"licence","community"}))</f>
        <v>0</v>
      </c>
      <c r="R12" s="204">
        <f>SUM(SUMIFS('caseload data'!T:T,'caseload data'!$D:$D,"TPO",'caseload data'!$C:$C,'community caseload'!$B$8,'caseload data'!$B:$B,{"licence","community"}))</f>
        <v>0</v>
      </c>
      <c r="S12" s="95"/>
      <c r="T12" s="130" t="s">
        <v>186</v>
      </c>
      <c r="U12" s="204">
        <f>SUM(SUMIFS('caseload data'!E:E,'caseload data'!$D:$D,"TPO",'caseload data'!$C:$C,'community caseload'!$T$8,'caseload data'!$B:$B,{"licence","community"}))</f>
        <v>0</v>
      </c>
      <c r="V12" s="204"/>
      <c r="W12" s="204"/>
      <c r="X12" s="204"/>
      <c r="Y12" s="204"/>
      <c r="Z12" s="204"/>
      <c r="AA12" s="204"/>
      <c r="AB12" s="204"/>
      <c r="AC12" s="204"/>
      <c r="AD12" s="204"/>
      <c r="AE12" s="204">
        <f>SUM(SUMIFS('caseload data'!J:J,'caseload data'!$D:$D,"TPO",'caseload data'!$C:$C,'community caseload'!$T$8,'caseload data'!$B:$B,{"licence","community"}))</f>
        <v>0</v>
      </c>
      <c r="AF12" s="204">
        <f>SUM(SUMIFS('caseload data'!K:K,'caseload data'!$D:$D,"TPO",'caseload data'!$C:$C,'community caseload'!$T$8,'caseload data'!$B:$B,{"licence","community"}))</f>
        <v>0</v>
      </c>
      <c r="AG12" s="204">
        <f>SUM(SUMIFS('caseload data'!N:N,'caseload data'!$D:$D,"TPO",'caseload data'!$C:$C,'community caseload'!$T$8,'caseload data'!$B:$B,{"licence","community"}))</f>
        <v>0</v>
      </c>
      <c r="AH12" s="204">
        <f>SUM(SUMIFS('caseload data'!O:O,'caseload data'!$D:$D,"TPO",'caseload data'!$C:$C,'community caseload'!$T$8,'caseload data'!$B:$B,{"licence","community"}))</f>
        <v>0</v>
      </c>
      <c r="AI12" s="204">
        <f>SUM(SUMIFS('caseload data'!R:R,'caseload data'!$D:$D,"TPO",'caseload data'!$C:$C,'community caseload'!$T$8,'caseload data'!$B:$B,{"licence","community"}))</f>
        <v>0</v>
      </c>
      <c r="AJ12" s="204">
        <f>SUM(SUMIFS('caseload data'!S:S,'caseload data'!$D:$D,"TPO",'caseload data'!$C:$C,'community caseload'!$T$8,'caseload data'!$B:$B,{"licence","community"}))</f>
        <v>0</v>
      </c>
    </row>
    <row r="13" spans="1:50" x14ac:dyDescent="0.15">
      <c r="B13" s="131" t="s">
        <v>187</v>
      </c>
      <c r="C13" s="204">
        <f>SUM(SUMIFS('caseload data'!E:E,'caseload data'!$D:$D,"SPO",'caseload data'!$C:$C,'community caseload'!$B$8,'caseload data'!$B:$B,{"licence","community"}))</f>
        <v>0</v>
      </c>
      <c r="D13" s="204">
        <f>SUM(SUMIFS('caseload data'!F:F,'caseload data'!$D:$D,"SPO",'caseload data'!$C:$C,'community caseload'!$B$8,'caseload data'!$B:$B,{"licence","community"}))</f>
        <v>0</v>
      </c>
      <c r="E13" s="204">
        <f>SUM(SUMIFS('caseload data'!G:G,'caseload data'!$D:$D,"SPO",'caseload data'!$C:$C,'community caseload'!$B$8,'caseload data'!$B:$B,{"licence","community"}))</f>
        <v>0</v>
      </c>
      <c r="F13" s="204">
        <f>SUM(SUMIFS('caseload data'!H:H,'caseload data'!$D:$D,"SPO",'caseload data'!$C:$C,'community caseload'!$B$8,'caseload data'!$B:$B,{"licence","community"}))</f>
        <v>0</v>
      </c>
      <c r="G13" s="204">
        <f>SUM(SUMIFS('caseload data'!I:I,'caseload data'!$D:$D,"SPO",'caseload data'!$C:$C,'community caseload'!$B$8,'caseload data'!$B:$B,{"licence","community"}))</f>
        <v>0</v>
      </c>
      <c r="H13" s="204">
        <f>SUM(SUMIFS('caseload data'!J:J,'caseload data'!$D:$D,"SPO",'caseload data'!$C:$C,'community caseload'!$B$8,'caseload data'!$B:$B,{"licence","community"}))</f>
        <v>0</v>
      </c>
      <c r="I13" s="204">
        <f>SUM(SUMIFS('caseload data'!K:K,'caseload data'!$D:$D,"SPO",'caseload data'!$C:$C,'community caseload'!$B$8,'caseload data'!$B:$B,{"licence","community"}))</f>
        <v>0</v>
      </c>
      <c r="J13" s="204">
        <f>SUM(SUMIFS('caseload data'!L:L,'caseload data'!$D:$D,"SPO",'caseload data'!$C:$C,'community caseload'!$B$8,'caseload data'!$B:$B,{"licence","community"}))</f>
        <v>0</v>
      </c>
      <c r="K13" s="204">
        <f>SUM(SUMIFS('caseload data'!M:M,'caseload data'!$D:$D,"SPO",'caseload data'!$C:$C,'community caseload'!$B$8,'caseload data'!$B:$B,{"licence","community"}))</f>
        <v>0</v>
      </c>
      <c r="L13" s="204">
        <f>SUM(SUMIFS('caseload data'!N:N,'caseload data'!$D:$D,"SPO",'caseload data'!$C:$C,'community caseload'!$B$8,'caseload data'!$B:$B,{"licence","community"}))</f>
        <v>0</v>
      </c>
      <c r="M13" s="204">
        <f>SUM(SUMIFS('caseload data'!O:O,'caseload data'!$D:$D,"SPO",'caseload data'!$C:$C,'community caseload'!$B$8,'caseload data'!$B:$B,{"licence","community"}))</f>
        <v>0</v>
      </c>
      <c r="N13" s="204">
        <f>SUM(SUMIFS('caseload data'!P:P,'caseload data'!$D:$D,"SPO",'caseload data'!$C:$C,'community caseload'!$B$8,'caseload data'!$B:$B,{"licence","community"}))</f>
        <v>0</v>
      </c>
      <c r="O13" s="204">
        <f>SUM(SUMIFS('caseload data'!Q:Q,'caseload data'!$D:$D,"SPO",'caseload data'!$C:$C,'community caseload'!$B$8,'caseload data'!$B:$B,{"licence","community"}))</f>
        <v>0</v>
      </c>
      <c r="P13" s="204">
        <f>SUM(SUMIFS('caseload data'!R:R,'caseload data'!$D:$D,"SPO",'caseload data'!$C:$C,'community caseload'!$B$8,'caseload data'!$B:$B,{"licence","community"}))</f>
        <v>0</v>
      </c>
      <c r="Q13" s="204">
        <f>SUM(SUMIFS('caseload data'!S:S,'caseload data'!$D:$D,"SPO",'caseload data'!$C:$C,'community caseload'!$B$8,'caseload data'!$B:$B,{"licence","community"}))</f>
        <v>0</v>
      </c>
      <c r="R13" s="204">
        <f>SUM(SUMIFS('caseload data'!T:T,'caseload data'!$D:$D,"SPO",'caseload data'!$C:$C,'community caseload'!$B$8,'caseload data'!$B:$B,{"licence","community"}))</f>
        <v>0</v>
      </c>
      <c r="S13" s="95"/>
      <c r="T13" s="131" t="s">
        <v>187</v>
      </c>
      <c r="U13" s="204">
        <f>SUM(SUMIFS('caseload data'!E:E,'caseload data'!$D:$D,"SPO",'caseload data'!$C:$C,'community caseload'!$T$8,'caseload data'!$B:$B,{"licence","community"}))</f>
        <v>0</v>
      </c>
      <c r="V13" s="204"/>
      <c r="W13" s="204"/>
      <c r="X13" s="204"/>
      <c r="Y13" s="204"/>
      <c r="Z13" s="204"/>
      <c r="AA13" s="204"/>
      <c r="AB13" s="204"/>
      <c r="AC13" s="204"/>
      <c r="AD13" s="204"/>
      <c r="AE13" s="204">
        <f>SUM(SUMIFS('caseload data'!J:J,'caseload data'!$D:$D,"SPO",'caseload data'!$C:$C,'community caseload'!$T$8,'caseload data'!$B:$B,{"licence","community"}))</f>
        <v>0</v>
      </c>
      <c r="AF13" s="204">
        <f>SUM(SUMIFS('caseload data'!K:K,'caseload data'!$D:$D,"SPO",'caseload data'!$C:$C,'community caseload'!$T$8,'caseload data'!$B:$B,{"licence","community"}))</f>
        <v>0</v>
      </c>
      <c r="AG13" s="204">
        <f>SUM(SUMIFS('caseload data'!N:N,'caseload data'!$D:$D,"SPO",'caseload data'!$C:$C,'community caseload'!$T$8,'caseload data'!$B:$B,{"licence","community"}))</f>
        <v>0</v>
      </c>
      <c r="AH13" s="204">
        <f>SUM(SUMIFS('caseload data'!O:O,'caseload data'!$D:$D,"SPO",'caseload data'!$C:$C,'community caseload'!$T$8,'caseload data'!$B:$B,{"licence","community"}))</f>
        <v>0</v>
      </c>
      <c r="AI13" s="204">
        <f>SUM(SUMIFS('caseload data'!R:R,'caseload data'!$D:$D,"SPO",'caseload data'!$C:$C,'community caseload'!$T$8,'caseload data'!$B:$B,{"licence","community"}))</f>
        <v>0</v>
      </c>
      <c r="AJ13" s="204">
        <f>SUM(SUMIFS('caseload data'!S:S,'caseload data'!$D:$D,"SPO",'caseload data'!$C:$C,'community caseload'!$T$8,'caseload data'!$B:$B,{"licence","community"}))</f>
        <v>0</v>
      </c>
    </row>
    <row r="14" spans="1:50" x14ac:dyDescent="0.15">
      <c r="B14" s="183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183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</row>
    <row r="15" spans="1:50" ht="45" customHeight="1" x14ac:dyDescent="0.15">
      <c r="B15" s="182" t="str">
        <f>HLOOKUP($B$5,Region_Table,4,0)</f>
        <v>Corporate Services - N59</v>
      </c>
      <c r="C15" s="359" t="s">
        <v>368</v>
      </c>
      <c r="D15" s="365"/>
      <c r="E15" s="365"/>
      <c r="F15" s="365"/>
      <c r="G15" s="365"/>
      <c r="H15" s="365"/>
      <c r="I15" s="365"/>
      <c r="J15" s="365"/>
      <c r="K15" s="365"/>
      <c r="L15" s="365"/>
      <c r="M15" s="368"/>
      <c r="N15" s="368"/>
      <c r="O15" s="369"/>
      <c r="P15" s="362" cm="1">
        <f t="array" ref="P15">SUM(SUMIFS('caseload data'!V:V,'caseload data'!B:B,{"licence","community"},'caseload data'!$C:$C,'community caseload'!B15))</f>
        <v>0</v>
      </c>
      <c r="Q15" s="370"/>
      <c r="R15" s="371"/>
      <c r="S15" s="95"/>
      <c r="T15" s="182" t="str">
        <f>HLOOKUP($B$5,Region_Table,5,0)</f>
        <v>Default Unallocated Borough - N59</v>
      </c>
      <c r="U15" s="359" t="s">
        <v>368</v>
      </c>
      <c r="V15" s="365"/>
      <c r="W15" s="365"/>
      <c r="X15" s="365"/>
      <c r="Y15" s="365"/>
      <c r="Z15" s="365"/>
      <c r="AA15" s="365"/>
      <c r="AB15" s="365"/>
      <c r="AC15" s="365"/>
      <c r="AD15" s="365"/>
      <c r="AE15" s="368"/>
      <c r="AF15" s="368"/>
      <c r="AG15" s="369"/>
      <c r="AH15" s="362" cm="1">
        <f t="array" ref="AH15">SUM(SUMIFS('caseload data'!V:V,'caseload data'!B:B,{"licence","community"},'caseload data'!$C:$C,'community caseload'!T15))</f>
        <v>0</v>
      </c>
      <c r="AI15" s="370"/>
      <c r="AJ15" s="371"/>
    </row>
    <row r="16" spans="1:50" x14ac:dyDescent="0.15">
      <c r="B16" s="127" t="s">
        <v>324</v>
      </c>
      <c r="C16" s="58" t="s">
        <v>504</v>
      </c>
      <c r="D16" s="58" t="s">
        <v>503</v>
      </c>
      <c r="E16" s="58" t="s">
        <v>502</v>
      </c>
      <c r="F16" s="58" t="s">
        <v>501</v>
      </c>
      <c r="G16" s="58" t="s">
        <v>510</v>
      </c>
      <c r="H16" s="58" t="s">
        <v>176</v>
      </c>
      <c r="I16" s="58" t="s">
        <v>177</v>
      </c>
      <c r="J16" s="58" t="s">
        <v>505</v>
      </c>
      <c r="K16" s="58" t="s">
        <v>507</v>
      </c>
      <c r="L16" s="58" t="s">
        <v>178</v>
      </c>
      <c r="M16" s="58" t="s">
        <v>179</v>
      </c>
      <c r="N16" s="58" t="s">
        <v>506</v>
      </c>
      <c r="O16" s="58" t="s">
        <v>508</v>
      </c>
      <c r="P16" s="58" t="s">
        <v>180</v>
      </c>
      <c r="Q16" s="58" t="s">
        <v>181</v>
      </c>
      <c r="R16" s="58" t="s">
        <v>509</v>
      </c>
      <c r="S16" s="95"/>
      <c r="T16" s="127" t="s">
        <v>324</v>
      </c>
      <c r="U16" s="58" t="s">
        <v>504</v>
      </c>
      <c r="V16" s="58" t="s">
        <v>503</v>
      </c>
      <c r="W16" s="58" t="s">
        <v>502</v>
      </c>
      <c r="X16" s="58" t="s">
        <v>501</v>
      </c>
      <c r="Y16" s="58" t="s">
        <v>510</v>
      </c>
      <c r="Z16" s="58" t="s">
        <v>176</v>
      </c>
      <c r="AA16" s="58" t="s">
        <v>177</v>
      </c>
      <c r="AB16" s="58" t="s">
        <v>505</v>
      </c>
      <c r="AC16" s="58" t="s">
        <v>507</v>
      </c>
      <c r="AD16" s="58" t="s">
        <v>178</v>
      </c>
      <c r="AE16" s="58" t="s">
        <v>179</v>
      </c>
      <c r="AF16" s="58" t="s">
        <v>506</v>
      </c>
      <c r="AG16" s="58" t="s">
        <v>508</v>
      </c>
      <c r="AH16" s="58" t="s">
        <v>180</v>
      </c>
      <c r="AI16" s="58" t="s">
        <v>181</v>
      </c>
      <c r="AJ16" s="58" t="s">
        <v>509</v>
      </c>
    </row>
    <row r="17" spans="2:36" x14ac:dyDescent="0.15">
      <c r="B17" s="129" t="s">
        <v>184</v>
      </c>
      <c r="C17" s="204">
        <f>SUM(SUMIFS('caseload data'!E:E,'caseload data'!$D:$D,"PO",'caseload data'!$C:$C,'community caseload'!$B$15,'caseload data'!$B:$B,{"licence","community"}))</f>
        <v>0</v>
      </c>
      <c r="D17" s="204">
        <f>SUM(SUMIFS('caseload data'!F:F,'caseload data'!$D:$D,"PO",'caseload data'!$C:$C,'community caseload'!$B$15,'caseload data'!$B:$B,{"licence","community"}))</f>
        <v>0</v>
      </c>
      <c r="E17" s="204">
        <f>SUM(SUMIFS('caseload data'!G:G,'caseload data'!$D:$D,"PO",'caseload data'!$C:$C,'community caseload'!$B$15,'caseload data'!$B:$B,{"licence","community"}))</f>
        <v>0</v>
      </c>
      <c r="F17" s="204">
        <f>SUM(SUMIFS('caseload data'!H:H,'caseload data'!$D:$D,"PO",'caseload data'!$C:$C,'community caseload'!$B$15,'caseload data'!$B:$B,{"licence","community"}))</f>
        <v>0</v>
      </c>
      <c r="G17" s="204">
        <f>SUM(SUMIFS('caseload data'!I:I,'caseload data'!$D:$D,"PO",'caseload data'!$C:$C,'community caseload'!$B$15,'caseload data'!$B:$B,{"licence","community"}))</f>
        <v>0</v>
      </c>
      <c r="H17" s="204">
        <f>SUM(SUMIFS('caseload data'!J:J,'caseload data'!$D:$D,"PO",'caseload data'!$C:$C,'community caseload'!$B$15,'caseload data'!$B:$B,{"licence","community"}))</f>
        <v>0</v>
      </c>
      <c r="I17" s="204">
        <f>SUM(SUMIFS('caseload data'!K:K,'caseload data'!$D:$D,"PO",'caseload data'!$C:$C,'community caseload'!$B$15,'caseload data'!$B:$B,{"licence","community"}))</f>
        <v>0</v>
      </c>
      <c r="J17" s="204">
        <f>SUM(SUMIFS('caseload data'!L:L,'caseload data'!$D:$D,"PO",'caseload data'!$C:$C,'community caseload'!$B$15,'caseload data'!$B:$B,{"licence","community"}))</f>
        <v>0</v>
      </c>
      <c r="K17" s="204">
        <f>SUM(SUMIFS('caseload data'!M:M,'caseload data'!$D:$D,"PO",'caseload data'!$C:$C,'community caseload'!$B$15,'caseload data'!$B:$B,{"licence","community"}))</f>
        <v>0</v>
      </c>
      <c r="L17" s="204">
        <f>SUM(SUMIFS('caseload data'!N:N,'caseload data'!$D:$D,"PO",'caseload data'!$C:$C,'community caseload'!$B$15,'caseload data'!$B:$B,{"licence","community"}))</f>
        <v>0</v>
      </c>
      <c r="M17" s="204">
        <f>SUM(SUMIFS('caseload data'!O:O,'caseload data'!$D:$D,"PO",'caseload data'!$C:$C,'community caseload'!$B$15,'caseload data'!$B:$B,{"licence","community"}))</f>
        <v>0</v>
      </c>
      <c r="N17" s="204">
        <f>SUM(SUMIFS('caseload data'!P:P,'caseload data'!$D:$D,"PO",'caseload data'!$C:$C,'community caseload'!$B$15,'caseload data'!$B:$B,{"licence","community"}))</f>
        <v>0</v>
      </c>
      <c r="O17" s="204">
        <f>SUM(SUMIFS('caseload data'!Q:Q,'caseload data'!$D:$D,"PO",'caseload data'!$C:$C,'community caseload'!$B$15,'caseload data'!$B:$B,{"licence","community"}))</f>
        <v>0</v>
      </c>
      <c r="P17" s="204">
        <f>SUM(SUMIFS('caseload data'!R:R,'caseload data'!$D:$D,"PO",'caseload data'!$C:$C,'community caseload'!$B$15,'caseload data'!$B:$B,{"licence","community"}))</f>
        <v>0</v>
      </c>
      <c r="Q17" s="204">
        <f>SUM(SUMIFS('caseload data'!S:S,'caseload data'!$D:$D,"PO",'caseload data'!$C:$C,'community caseload'!$B$15,'caseload data'!$B:$B,{"licence","community"}))</f>
        <v>0</v>
      </c>
      <c r="R17" s="204">
        <f>SUM(SUMIFS('caseload data'!T:T,'caseload data'!$D:$D,"PO",'caseload data'!$C:$C,'community caseload'!$B$15,'caseload data'!$B:$B,{"licence","community"}))</f>
        <v>0</v>
      </c>
      <c r="S17" s="95"/>
      <c r="T17" s="129" t="s">
        <v>184</v>
      </c>
      <c r="U17" s="204">
        <f>SUM(SUMIFS('caseload data'!E:E,'caseload data'!$D:$D,"PO",'caseload data'!$C:$C,'community caseload'!$T$15,'caseload data'!$B:$B,{"licence","community"}))</f>
        <v>0</v>
      </c>
      <c r="V17" s="204"/>
      <c r="W17" s="204"/>
      <c r="X17" s="204"/>
      <c r="Y17" s="204"/>
      <c r="Z17" s="204"/>
      <c r="AA17" s="204"/>
      <c r="AB17" s="204"/>
      <c r="AC17" s="204"/>
      <c r="AD17" s="204"/>
      <c r="AE17" s="204">
        <f>SUM(SUMIFS('caseload data'!J:J,'caseload data'!$D:$D,"PO",'caseload data'!$C:$C,'community caseload'!$T$15,'caseload data'!$B:$B,{"licence","community"}))</f>
        <v>0</v>
      </c>
      <c r="AF17" s="204">
        <f>SUM(SUMIFS('caseload data'!K:K,'caseload data'!$D:$D,"PO",'caseload data'!$C:$C,'community caseload'!$T$15,'caseload data'!$B:$B,{"licence","community"}))</f>
        <v>0</v>
      </c>
      <c r="AG17" s="204">
        <f>SUM(SUMIFS('caseload data'!N:N,'caseload data'!$D:$D,"PO",'caseload data'!$C:$C,'community caseload'!$T$15,'caseload data'!$B:$B,{"licence","community"}))</f>
        <v>0</v>
      </c>
      <c r="AH17" s="204">
        <f>SUM(SUMIFS('caseload data'!O:O,'caseload data'!$D:$D,"PO",'caseload data'!$C:$C,'community caseload'!$T$15,'caseload data'!$B:$B,{"licence","community"}))</f>
        <v>0</v>
      </c>
      <c r="AI17" s="204">
        <f>SUM(SUMIFS('caseload data'!R:R,'caseload data'!$D:$D,"PO",'caseload data'!$C:$C,'community caseload'!$T$15,'caseload data'!$B:$B,{"licence","community"}))</f>
        <v>0</v>
      </c>
      <c r="AJ17" s="204">
        <f>SUM(SUMIFS('caseload data'!S:S,'caseload data'!$D:$D,"PO",'caseload data'!$C:$C,'community caseload'!$T$15,'caseload data'!$B:$B,{"licence","community"}))</f>
        <v>0</v>
      </c>
    </row>
    <row r="18" spans="2:36" x14ac:dyDescent="0.15">
      <c r="B18" s="130" t="s">
        <v>185</v>
      </c>
      <c r="C18" s="204">
        <f>SUM(SUMIFS('caseload data'!E:E,'caseload data'!$D:$D,"PSO",'caseload data'!$C:$C,'community caseload'!$B$15,'caseload data'!$B:$B,{"licence","community"}))</f>
        <v>0</v>
      </c>
      <c r="D18" s="204">
        <f>SUM(SUMIFS('caseload data'!F:F,'caseload data'!$D:$D,"PSO",'caseload data'!$C:$C,'community caseload'!$B$15,'caseload data'!$B:$B,{"licence","community"}))</f>
        <v>0</v>
      </c>
      <c r="E18" s="204">
        <f>SUM(SUMIFS('caseload data'!G:G,'caseload data'!$D:$D,"PSO",'caseload data'!$C:$C,'community caseload'!$B$15,'caseload data'!$B:$B,{"licence","community"}))</f>
        <v>0</v>
      </c>
      <c r="F18" s="204">
        <f>SUM(SUMIFS('caseload data'!H:H,'caseload data'!$D:$D,"PSO",'caseload data'!$C:$C,'community caseload'!$B$15,'caseload data'!$B:$B,{"licence","community"}))</f>
        <v>0</v>
      </c>
      <c r="G18" s="204">
        <f>SUM(SUMIFS('caseload data'!I:I,'caseload data'!$D:$D,"PSO",'caseload data'!$C:$C,'community caseload'!$B$15,'caseload data'!$B:$B,{"licence","community"}))</f>
        <v>0</v>
      </c>
      <c r="H18" s="204">
        <f>SUM(SUMIFS('caseload data'!J:J,'caseload data'!$D:$D,"PSO",'caseload data'!$C:$C,'community caseload'!$B$15,'caseload data'!$B:$B,{"licence","community"}))</f>
        <v>0</v>
      </c>
      <c r="I18" s="204">
        <f>SUM(SUMIFS('caseload data'!K:K,'caseload data'!$D:$D,"PSO",'caseload data'!$C:$C,'community caseload'!$B$15,'caseload data'!$B:$B,{"licence","community"}))</f>
        <v>0</v>
      </c>
      <c r="J18" s="204">
        <f>SUM(SUMIFS('caseload data'!L:L,'caseload data'!$D:$D,"PSO",'caseload data'!$C:$C,'community caseload'!$B$15,'caseload data'!$B:$B,{"licence","community"}))</f>
        <v>0</v>
      </c>
      <c r="K18" s="204">
        <f>SUM(SUMIFS('caseload data'!M:M,'caseload data'!$D:$D,"PSO",'caseload data'!$C:$C,'community caseload'!$B$15,'caseload data'!$B:$B,{"licence","community"}))</f>
        <v>0</v>
      </c>
      <c r="L18" s="204">
        <f>SUM(SUMIFS('caseload data'!N:N,'caseload data'!$D:$D,"PSO",'caseload data'!$C:$C,'community caseload'!$B$15,'caseload data'!$B:$B,{"licence","community"}))</f>
        <v>0</v>
      </c>
      <c r="M18" s="204">
        <f>SUM(SUMIFS('caseload data'!O:O,'caseload data'!$D:$D,"PSO",'caseload data'!$C:$C,'community caseload'!$B$15,'caseload data'!$B:$B,{"licence","community"}))</f>
        <v>0</v>
      </c>
      <c r="N18" s="204">
        <f>SUM(SUMIFS('caseload data'!P:P,'caseload data'!$D:$D,"PSO",'caseload data'!$C:$C,'community caseload'!$B$15,'caseload data'!$B:$B,{"licence","community"}))</f>
        <v>0</v>
      </c>
      <c r="O18" s="204">
        <f>SUM(SUMIFS('caseload data'!Q:Q,'caseload data'!$D:$D,"PSO",'caseload data'!$C:$C,'community caseload'!$B$15,'caseload data'!$B:$B,{"licence","community"}))</f>
        <v>0</v>
      </c>
      <c r="P18" s="204">
        <f>SUM(SUMIFS('caseload data'!R:R,'caseload data'!$D:$D,"PSO",'caseload data'!$C:$C,'community caseload'!$B$15,'caseload data'!$B:$B,{"licence","community"}))</f>
        <v>0</v>
      </c>
      <c r="Q18" s="204">
        <f>SUM(SUMIFS('caseload data'!S:S,'caseload data'!$D:$D,"PSO",'caseload data'!$C:$C,'community caseload'!$B$15,'caseload data'!$B:$B,{"licence","community"}))</f>
        <v>0</v>
      </c>
      <c r="R18" s="204">
        <f>SUM(SUMIFS('caseload data'!T:T,'caseload data'!$D:$D,"PSO",'caseload data'!$C:$C,'community caseload'!$B$15,'caseload data'!$B:$B,{"licence","community"}))</f>
        <v>0</v>
      </c>
      <c r="S18" s="95"/>
      <c r="T18" s="130" t="s">
        <v>185</v>
      </c>
      <c r="U18" s="204">
        <f>SUM(SUMIFS('caseload data'!E:E,'caseload data'!$D:$D,"PSO",'caseload data'!$C:$C,'community caseload'!$T$15,'caseload data'!$B:$B,{"licence","community"}))</f>
        <v>0</v>
      </c>
      <c r="V18" s="204"/>
      <c r="W18" s="204"/>
      <c r="X18" s="204"/>
      <c r="Y18" s="204"/>
      <c r="Z18" s="204"/>
      <c r="AA18" s="204"/>
      <c r="AB18" s="204"/>
      <c r="AC18" s="204"/>
      <c r="AD18" s="204"/>
      <c r="AE18" s="204">
        <f>SUM(SUMIFS('caseload data'!J:J,'caseload data'!$D:$D,"PSO",'caseload data'!$C:$C,'community caseload'!$T$15,'caseload data'!$B:$B,{"licence","community"}))</f>
        <v>0</v>
      </c>
      <c r="AF18" s="204">
        <f>SUM(SUMIFS('caseload data'!K:K,'caseload data'!$D:$D,"PSO",'caseload data'!$C:$C,'community caseload'!$T$15,'caseload data'!$B:$B,{"licence","community"}))</f>
        <v>0</v>
      </c>
      <c r="AG18" s="204">
        <f>SUM(SUMIFS('caseload data'!N:N,'caseload data'!$D:$D,"PSO",'caseload data'!$C:$C,'community caseload'!$T$15,'caseload data'!$B:$B,{"licence","community"}))</f>
        <v>0</v>
      </c>
      <c r="AH18" s="204">
        <f>SUM(SUMIFS('caseload data'!O:O,'caseload data'!$D:$D,"PSO",'caseload data'!$C:$C,'community caseload'!$T$15,'caseload data'!$B:$B,{"licence","community"}))</f>
        <v>0</v>
      </c>
      <c r="AI18" s="204">
        <f>SUM(SUMIFS('caseload data'!R:R,'caseload data'!$D:$D,"PSO",'caseload data'!$C:$C,'community caseload'!$T$15,'caseload data'!$B:$B,{"licence","community"}))</f>
        <v>0</v>
      </c>
      <c r="AJ18" s="204">
        <f>SUM(SUMIFS('caseload data'!S:S,'caseload data'!$D:$D,"PSO",'caseload data'!$C:$C,'community caseload'!$T$15,'caseload data'!$B:$B,{"licence","community"}))</f>
        <v>0</v>
      </c>
    </row>
    <row r="19" spans="2:36" x14ac:dyDescent="0.15">
      <c r="B19" s="130" t="s">
        <v>186</v>
      </c>
      <c r="C19" s="204">
        <f>SUM(SUMIFS('caseload data'!E:E,'caseload data'!$D:$D,"TPO",'caseload data'!$C:$C,'community caseload'!$B$15,'caseload data'!$B:$B,{"licence","community"}))</f>
        <v>0</v>
      </c>
      <c r="D19" s="204">
        <f>SUM(SUMIFS('caseload data'!F:F,'caseload data'!$D:$D,"TPO",'caseload data'!$C:$C,'community caseload'!$B$15,'caseload data'!$B:$B,{"licence","community"}))</f>
        <v>0</v>
      </c>
      <c r="E19" s="204">
        <f>SUM(SUMIFS('caseload data'!G:G,'caseload data'!$D:$D,"TPO",'caseload data'!$C:$C,'community caseload'!$B$15,'caseload data'!$B:$B,{"licence","community"}))</f>
        <v>0</v>
      </c>
      <c r="F19" s="204">
        <f>SUM(SUMIFS('caseload data'!H:H,'caseload data'!$D:$D,"TPO",'caseload data'!$C:$C,'community caseload'!$B$15,'caseload data'!$B:$B,{"licence","community"}))</f>
        <v>0</v>
      </c>
      <c r="G19" s="204">
        <f>SUM(SUMIFS('caseload data'!I:I,'caseload data'!$D:$D,"TPO",'caseload data'!$C:$C,'community caseload'!$B$15,'caseload data'!$B:$B,{"licence","community"}))</f>
        <v>0</v>
      </c>
      <c r="H19" s="204">
        <f>SUM(SUMIFS('caseload data'!J:J,'caseload data'!$D:$D,"TPO",'caseload data'!$C:$C,'community caseload'!$B$15,'caseload data'!$B:$B,{"licence","community"}))</f>
        <v>0</v>
      </c>
      <c r="I19" s="204">
        <f>SUM(SUMIFS('caseload data'!K:K,'caseload data'!$D:$D,"TPO",'caseload data'!$C:$C,'community caseload'!$B$15,'caseload data'!$B:$B,{"licence","community"}))</f>
        <v>0</v>
      </c>
      <c r="J19" s="204">
        <f>SUM(SUMIFS('caseload data'!L:L,'caseload data'!$D:$D,"TPO",'caseload data'!$C:$C,'community caseload'!$B$15,'caseload data'!$B:$B,{"licence","community"}))</f>
        <v>0</v>
      </c>
      <c r="K19" s="204">
        <f>SUM(SUMIFS('caseload data'!M:M,'caseload data'!$D:$D,"TPO",'caseload data'!$C:$C,'community caseload'!$B$15,'caseload data'!$B:$B,{"licence","community"}))</f>
        <v>0</v>
      </c>
      <c r="L19" s="204">
        <f>SUM(SUMIFS('caseload data'!N:N,'caseload data'!$D:$D,"TPO",'caseload data'!$C:$C,'community caseload'!$B$15,'caseload data'!$B:$B,{"licence","community"}))</f>
        <v>0</v>
      </c>
      <c r="M19" s="204">
        <f>SUM(SUMIFS('caseload data'!O:O,'caseload data'!$D:$D,"TPO",'caseload data'!$C:$C,'community caseload'!$B$15,'caseload data'!$B:$B,{"licence","community"}))</f>
        <v>0</v>
      </c>
      <c r="N19" s="204">
        <f>SUM(SUMIFS('caseload data'!P:P,'caseload data'!$D:$D,"TPO",'caseload data'!$C:$C,'community caseload'!$B$15,'caseload data'!$B:$B,{"licence","community"}))</f>
        <v>0</v>
      </c>
      <c r="O19" s="204">
        <f>SUM(SUMIFS('caseload data'!Q:Q,'caseload data'!$D:$D,"TPO",'caseload data'!$C:$C,'community caseload'!$B$15,'caseload data'!$B:$B,{"licence","community"}))</f>
        <v>0</v>
      </c>
      <c r="P19" s="204">
        <f>SUM(SUMIFS('caseload data'!R:R,'caseload data'!$D:$D,"TPO",'caseload data'!$C:$C,'community caseload'!$B$15,'caseload data'!$B:$B,{"licence","community"}))</f>
        <v>0</v>
      </c>
      <c r="Q19" s="204">
        <f>SUM(SUMIFS('caseload data'!S:S,'caseload data'!$D:$D,"TPO",'caseload data'!$C:$C,'community caseload'!$B$15,'caseload data'!$B:$B,{"licence","community"}))</f>
        <v>0</v>
      </c>
      <c r="R19" s="204">
        <f>SUM(SUMIFS('caseload data'!T:T,'caseload data'!$D:$D,"TPO",'caseload data'!$C:$C,'community caseload'!$B$15,'caseload data'!$B:$B,{"licence","community"}))</f>
        <v>0</v>
      </c>
      <c r="S19" s="95"/>
      <c r="T19" s="130" t="s">
        <v>186</v>
      </c>
      <c r="U19" s="204">
        <f>SUM(SUMIFS('caseload data'!E:E,'caseload data'!$D:$D,"TPO",'caseload data'!$C:$C,'community caseload'!$T$15,'caseload data'!$B:$B,{"licence","community"}))</f>
        <v>0</v>
      </c>
      <c r="V19" s="204"/>
      <c r="W19" s="204"/>
      <c r="X19" s="204"/>
      <c r="Y19" s="204"/>
      <c r="Z19" s="204"/>
      <c r="AA19" s="204"/>
      <c r="AB19" s="204"/>
      <c r="AC19" s="204"/>
      <c r="AD19" s="204"/>
      <c r="AE19" s="204">
        <f>SUM(SUMIFS('caseload data'!J:J,'caseload data'!$D:$D,"TPO",'caseload data'!$C:$C,'community caseload'!$T$15,'caseload data'!$B:$B,{"licence","community"}))</f>
        <v>0</v>
      </c>
      <c r="AF19" s="204">
        <f>SUM(SUMIFS('caseload data'!K:K,'caseload data'!$D:$D,"TPO",'caseload data'!$C:$C,'community caseload'!$T$15,'caseload data'!$B:$B,{"licence","community"}))</f>
        <v>0</v>
      </c>
      <c r="AG19" s="204">
        <f>SUM(SUMIFS('caseload data'!N:N,'caseload data'!$D:$D,"TPO",'caseload data'!$C:$C,'community caseload'!$T$15,'caseload data'!$B:$B,{"licence","community"}))</f>
        <v>0</v>
      </c>
      <c r="AH19" s="204">
        <f>SUM(SUMIFS('caseload data'!O:O,'caseload data'!$D:$D,"TPO",'caseload data'!$C:$C,'community caseload'!$T$15,'caseload data'!$B:$B,{"licence","community"}))</f>
        <v>0</v>
      </c>
      <c r="AI19" s="204">
        <f>SUM(SUMIFS('caseload data'!R:R,'caseload data'!$D:$D,"TPO",'caseload data'!$C:$C,'community caseload'!$T$15,'caseload data'!$B:$B,{"licence","community"}))</f>
        <v>0</v>
      </c>
      <c r="AJ19" s="204">
        <f>SUM(SUMIFS('caseload data'!S:S,'caseload data'!$D:$D,"TPO",'caseload data'!$C:$C,'community caseload'!$T$15,'caseload data'!$B:$B,{"licence","community"}))</f>
        <v>0</v>
      </c>
    </row>
    <row r="20" spans="2:36" x14ac:dyDescent="0.15">
      <c r="B20" s="131" t="s">
        <v>187</v>
      </c>
      <c r="C20" s="204">
        <f>SUM(SUMIFS('caseload data'!E:E,'caseload data'!$D:$D,"SPO",'caseload data'!$C:$C,'community caseload'!$B$15,'caseload data'!$B:$B,{"licence","community"}))</f>
        <v>0</v>
      </c>
      <c r="D20" s="204">
        <f>SUM(SUMIFS('caseload data'!F:F,'caseload data'!$D:$D,"SPO",'caseload data'!$C:$C,'community caseload'!$B$15,'caseload data'!$B:$B,{"licence","community"}))</f>
        <v>0</v>
      </c>
      <c r="E20" s="204">
        <f>SUM(SUMIFS('caseload data'!G:G,'caseload data'!$D:$D,"SPO",'caseload data'!$C:$C,'community caseload'!$B$15,'caseload data'!$B:$B,{"licence","community"}))</f>
        <v>0</v>
      </c>
      <c r="F20" s="204">
        <f>SUM(SUMIFS('caseload data'!H:H,'caseload data'!$D:$D,"SPO",'caseload data'!$C:$C,'community caseload'!$B$15,'caseload data'!$B:$B,{"licence","community"}))</f>
        <v>0</v>
      </c>
      <c r="G20" s="204">
        <f>SUM(SUMIFS('caseload data'!I:I,'caseload data'!$D:$D,"SPO",'caseload data'!$C:$C,'community caseload'!$B$15,'caseload data'!$B:$B,{"licence","community"}))</f>
        <v>0</v>
      </c>
      <c r="H20" s="204">
        <f>SUM(SUMIFS('caseload data'!J:J,'caseload data'!$D:$D,"SPO",'caseload data'!$C:$C,'community caseload'!$B$15,'caseload data'!$B:$B,{"licence","community"}))</f>
        <v>0</v>
      </c>
      <c r="I20" s="204">
        <f>SUM(SUMIFS('caseload data'!K:K,'caseload data'!$D:$D,"SPO",'caseload data'!$C:$C,'community caseload'!$B$15,'caseload data'!$B:$B,{"licence","community"}))</f>
        <v>0</v>
      </c>
      <c r="J20" s="204">
        <f>SUM(SUMIFS('caseload data'!L:L,'caseload data'!$D:$D,"SPO",'caseload data'!$C:$C,'community caseload'!$B$15,'caseload data'!$B:$B,{"licence","community"}))</f>
        <v>0</v>
      </c>
      <c r="K20" s="204">
        <f>SUM(SUMIFS('caseload data'!M:M,'caseload data'!$D:$D,"SPO",'caseload data'!$C:$C,'community caseload'!$B$15,'caseload data'!$B:$B,{"licence","community"}))</f>
        <v>0</v>
      </c>
      <c r="L20" s="204">
        <f>SUM(SUMIFS('caseload data'!N:N,'caseload data'!$D:$D,"SPO",'caseload data'!$C:$C,'community caseload'!$B$15,'caseload data'!$B:$B,{"licence","community"}))</f>
        <v>0</v>
      </c>
      <c r="M20" s="204">
        <f>SUM(SUMIFS('caseload data'!O:O,'caseload data'!$D:$D,"SPO",'caseload data'!$C:$C,'community caseload'!$B$15,'caseload data'!$B:$B,{"licence","community"}))</f>
        <v>0</v>
      </c>
      <c r="N20" s="204">
        <f>SUM(SUMIFS('caseload data'!P:P,'caseload data'!$D:$D,"SPO",'caseload data'!$C:$C,'community caseload'!$B$15,'caseload data'!$B:$B,{"licence","community"}))</f>
        <v>0</v>
      </c>
      <c r="O20" s="204">
        <f>SUM(SUMIFS('caseload data'!Q:Q,'caseload data'!$D:$D,"SPO",'caseload data'!$C:$C,'community caseload'!$B$15,'caseload data'!$B:$B,{"licence","community"}))</f>
        <v>0</v>
      </c>
      <c r="P20" s="204">
        <f>SUM(SUMIFS('caseload data'!R:R,'caseload data'!$D:$D,"SPO",'caseload data'!$C:$C,'community caseload'!$B$15,'caseload data'!$B:$B,{"licence","community"}))</f>
        <v>0</v>
      </c>
      <c r="Q20" s="204">
        <f>SUM(SUMIFS('caseload data'!S:S,'caseload data'!$D:$D,"SPO",'caseload data'!$C:$C,'community caseload'!$B$15,'caseload data'!$B:$B,{"licence","community"}))</f>
        <v>0</v>
      </c>
      <c r="R20" s="204">
        <f>SUM(SUMIFS('caseload data'!T:T,'caseload data'!$D:$D,"SPO",'caseload data'!$C:$C,'community caseload'!$B$15,'caseload data'!$B:$B,{"licence","community"}))</f>
        <v>0</v>
      </c>
      <c r="S20" s="95"/>
      <c r="T20" s="131" t="s">
        <v>187</v>
      </c>
      <c r="U20" s="204">
        <f>SUM(SUMIFS('caseload data'!E:E,'caseload data'!$D:$D,"SPO",'caseload data'!$C:$C,'community caseload'!$T$15,'caseload data'!$B:$B,{"licence","community"}))</f>
        <v>0</v>
      </c>
      <c r="V20" s="204"/>
      <c r="W20" s="204"/>
      <c r="X20" s="204"/>
      <c r="Y20" s="204"/>
      <c r="Z20" s="204"/>
      <c r="AA20" s="204"/>
      <c r="AB20" s="204"/>
      <c r="AC20" s="204"/>
      <c r="AD20" s="204"/>
      <c r="AE20" s="204">
        <f>SUM(SUMIFS('caseload data'!J:J,'caseload data'!$D:$D,"SPO",'caseload data'!$C:$C,'community caseload'!$T$15,'caseload data'!$B:$B,{"licence","community"}))</f>
        <v>0</v>
      </c>
      <c r="AF20" s="204">
        <f>SUM(SUMIFS('caseload data'!K:K,'caseload data'!$D:$D,"SPO",'caseload data'!$C:$C,'community caseload'!$T$15,'caseload data'!$B:$B,{"licence","community"}))</f>
        <v>0</v>
      </c>
      <c r="AG20" s="204">
        <f>SUM(SUMIFS('caseload data'!N:N,'caseload data'!$D:$D,"SPO",'caseload data'!$C:$C,'community caseload'!$T$15,'caseload data'!$B:$B,{"licence","community"}))</f>
        <v>0</v>
      </c>
      <c r="AH20" s="204">
        <f>SUM(SUMIFS('caseload data'!O:O,'caseload data'!$D:$D,"SPO",'caseload data'!$C:$C,'community caseload'!$T$15,'caseload data'!$B:$B,{"licence","community"}))</f>
        <v>0</v>
      </c>
      <c r="AI20" s="204">
        <f>SUM(SUMIFS('caseload data'!R:R,'caseload data'!$D:$D,"SPO",'caseload data'!$C:$C,'community caseload'!$T$15,'caseload data'!$B:$B,{"licence","community"}))</f>
        <v>0</v>
      </c>
      <c r="AJ20" s="204">
        <f>SUM(SUMIFS('caseload data'!S:S,'caseload data'!$D:$D,"SPO",'caseload data'!$C:$C,'community caseload'!$T$15,'caseload data'!$B:$B,{"licence","community"}))</f>
        <v>0</v>
      </c>
    </row>
    <row r="21" spans="2:36" x14ac:dyDescent="0.15">
      <c r="B21" s="183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183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</row>
    <row r="22" spans="2:36" ht="51.75" customHeight="1" x14ac:dyDescent="0.15">
      <c r="B22" s="182" t="str">
        <f>HLOOKUP($B$5,Region_Table,6,0)</f>
        <v>East Berkshire</v>
      </c>
      <c r="C22" s="359" t="s">
        <v>368</v>
      </c>
      <c r="D22" s="365"/>
      <c r="E22" s="365"/>
      <c r="F22" s="365"/>
      <c r="G22" s="365"/>
      <c r="H22" s="365"/>
      <c r="I22" s="365"/>
      <c r="J22" s="365"/>
      <c r="K22" s="365"/>
      <c r="L22" s="365"/>
      <c r="M22" s="368"/>
      <c r="N22" s="368"/>
      <c r="O22" s="369"/>
      <c r="P22" s="362" cm="1">
        <f t="array" ref="P22">SUM(SUMIFS('caseload data'!V:V,'caseload data'!B:B,{"licence","community"},'caseload data'!$C:$C,'community caseload'!B22))</f>
        <v>0</v>
      </c>
      <c r="Q22" s="370"/>
      <c r="R22" s="371"/>
      <c r="S22" s="95"/>
      <c r="T22" s="182" t="str">
        <f>HLOOKUP($B$5,Region_Table,7,0)</f>
        <v>Hampshire North and East - N59</v>
      </c>
      <c r="U22" s="359" t="s">
        <v>368</v>
      </c>
      <c r="V22" s="365"/>
      <c r="W22" s="365"/>
      <c r="X22" s="365"/>
      <c r="Y22" s="365"/>
      <c r="Z22" s="365"/>
      <c r="AA22" s="365"/>
      <c r="AB22" s="365"/>
      <c r="AC22" s="365"/>
      <c r="AD22" s="365"/>
      <c r="AE22" s="368"/>
      <c r="AF22" s="368"/>
      <c r="AG22" s="369"/>
      <c r="AH22" s="362" cm="1">
        <f t="array" ref="AH22">SUM(SUMIFS('caseload data'!V:V,'caseload data'!B:B,{"licence","community"},'caseload data'!$C:$C,'community caseload'!T22))</f>
        <v>0</v>
      </c>
      <c r="AI22" s="370"/>
      <c r="AJ22" s="371"/>
    </row>
    <row r="23" spans="2:36" x14ac:dyDescent="0.15">
      <c r="B23" s="127" t="s">
        <v>324</v>
      </c>
      <c r="C23" s="58" t="s">
        <v>504</v>
      </c>
      <c r="D23" s="58" t="s">
        <v>503</v>
      </c>
      <c r="E23" s="58" t="s">
        <v>502</v>
      </c>
      <c r="F23" s="58" t="s">
        <v>501</v>
      </c>
      <c r="G23" s="58" t="s">
        <v>510</v>
      </c>
      <c r="H23" s="58" t="s">
        <v>176</v>
      </c>
      <c r="I23" s="58" t="s">
        <v>177</v>
      </c>
      <c r="J23" s="58" t="s">
        <v>505</v>
      </c>
      <c r="K23" s="58" t="s">
        <v>507</v>
      </c>
      <c r="L23" s="58" t="s">
        <v>178</v>
      </c>
      <c r="M23" s="58" t="s">
        <v>179</v>
      </c>
      <c r="N23" s="58" t="s">
        <v>506</v>
      </c>
      <c r="O23" s="58" t="s">
        <v>508</v>
      </c>
      <c r="P23" s="58" t="s">
        <v>180</v>
      </c>
      <c r="Q23" s="58" t="s">
        <v>181</v>
      </c>
      <c r="R23" s="58" t="s">
        <v>509</v>
      </c>
      <c r="S23" s="95"/>
      <c r="T23" s="127" t="s">
        <v>324</v>
      </c>
      <c r="U23" s="58" t="s">
        <v>504</v>
      </c>
      <c r="V23" s="58" t="s">
        <v>503</v>
      </c>
      <c r="W23" s="58" t="s">
        <v>502</v>
      </c>
      <c r="X23" s="58" t="s">
        <v>501</v>
      </c>
      <c r="Y23" s="58" t="s">
        <v>510</v>
      </c>
      <c r="Z23" s="58" t="s">
        <v>176</v>
      </c>
      <c r="AA23" s="58" t="s">
        <v>177</v>
      </c>
      <c r="AB23" s="58" t="s">
        <v>505</v>
      </c>
      <c r="AC23" s="58" t="s">
        <v>507</v>
      </c>
      <c r="AD23" s="58" t="s">
        <v>178</v>
      </c>
      <c r="AE23" s="58" t="s">
        <v>179</v>
      </c>
      <c r="AF23" s="58" t="s">
        <v>506</v>
      </c>
      <c r="AG23" s="58" t="s">
        <v>508</v>
      </c>
      <c r="AH23" s="58" t="s">
        <v>180</v>
      </c>
      <c r="AI23" s="58" t="s">
        <v>181</v>
      </c>
      <c r="AJ23" s="58" t="s">
        <v>509</v>
      </c>
    </row>
    <row r="24" spans="2:36" x14ac:dyDescent="0.15">
      <c r="B24" s="129" t="s">
        <v>184</v>
      </c>
      <c r="C24" s="204">
        <f>SUM(SUMIFS('caseload data'!E:E,'caseload data'!$D:$D,"PO",'caseload data'!$C:$C,'community caseload'!$B$22,'caseload data'!$B:$B,{"licence","community"}))</f>
        <v>0</v>
      </c>
      <c r="D24" s="204">
        <f>SUM(SUMIFS('caseload data'!F:F,'caseload data'!$D:$D,"PO",'caseload data'!$C:$C,'community caseload'!$B$22,'caseload data'!$B:$B,{"licence","community"}))</f>
        <v>0</v>
      </c>
      <c r="E24" s="204">
        <f>SUM(SUMIFS('caseload data'!G:G,'caseload data'!$D:$D,"PO",'caseload data'!$C:$C,'community caseload'!$B$22,'caseload data'!$B:$B,{"licence","community"}))</f>
        <v>0</v>
      </c>
      <c r="F24" s="204">
        <f>SUM(SUMIFS('caseload data'!H:H,'caseload data'!$D:$D,"PO",'caseload data'!$C:$C,'community caseload'!$B$22,'caseload data'!$B:$B,{"licence","community"}))</f>
        <v>0</v>
      </c>
      <c r="G24" s="204">
        <f>SUM(SUMIFS('caseload data'!I:I,'caseload data'!$D:$D,"PO",'caseload data'!$C:$C,'community caseload'!$B$22,'caseload data'!$B:$B,{"licence","community"}))</f>
        <v>0</v>
      </c>
      <c r="H24" s="204">
        <f>SUM(SUMIFS('caseload data'!J:J,'caseload data'!$D:$D,"PO",'caseload data'!$C:$C,'community caseload'!$B$22,'caseload data'!$B:$B,{"licence","community"}))</f>
        <v>0</v>
      </c>
      <c r="I24" s="204">
        <f>SUM(SUMIFS('caseload data'!K:K,'caseload data'!$D:$D,"PO",'caseload data'!$C:$C,'community caseload'!$B$22,'caseload data'!$B:$B,{"licence","community"}))</f>
        <v>0</v>
      </c>
      <c r="J24" s="204">
        <f>SUM(SUMIFS('caseload data'!L:L,'caseload data'!$D:$D,"PO",'caseload data'!$C:$C,'community caseload'!$B$22,'caseload data'!$B:$B,{"licence","community"}))</f>
        <v>0</v>
      </c>
      <c r="K24" s="204">
        <f>SUM(SUMIFS('caseload data'!M:M,'caseload data'!$D:$D,"PO",'caseload data'!$C:$C,'community caseload'!$B$22,'caseload data'!$B:$B,{"licence","community"}))</f>
        <v>0</v>
      </c>
      <c r="L24" s="204">
        <f>SUM(SUMIFS('caseload data'!N:N,'caseload data'!$D:$D,"PO",'caseload data'!$C:$C,'community caseload'!$B$22,'caseload data'!$B:$B,{"licence","community"}))</f>
        <v>0</v>
      </c>
      <c r="M24" s="204">
        <f>SUM(SUMIFS('caseload data'!O:O,'caseload data'!$D:$D,"PO",'caseload data'!$C:$C,'community caseload'!$B$22,'caseload data'!$B:$B,{"licence","community"}))</f>
        <v>0</v>
      </c>
      <c r="N24" s="204">
        <f>SUM(SUMIFS('caseload data'!P:P,'caseload data'!$D:$D,"PO",'caseload data'!$C:$C,'community caseload'!$B$22,'caseload data'!$B:$B,{"licence","community"}))</f>
        <v>0</v>
      </c>
      <c r="O24" s="204">
        <f>SUM(SUMIFS('caseload data'!Q:Q,'caseload data'!$D:$D,"PO",'caseload data'!$C:$C,'community caseload'!$B$22,'caseload data'!$B:$B,{"licence","community"}))</f>
        <v>0</v>
      </c>
      <c r="P24" s="204">
        <f>SUM(SUMIFS('caseload data'!R:R,'caseload data'!$D:$D,"PO",'caseload data'!$C:$C,'community caseload'!$B$22,'caseload data'!$B:$B,{"licence","community"}))</f>
        <v>0</v>
      </c>
      <c r="Q24" s="204">
        <f>SUM(SUMIFS('caseload data'!S:S,'caseload data'!$D:$D,"PO",'caseload data'!$C:$C,'community caseload'!$B$22,'caseload data'!$B:$B,{"licence","community"}))</f>
        <v>0</v>
      </c>
      <c r="R24" s="204">
        <f>SUM(SUMIFS('caseload data'!T:T,'caseload data'!$D:$D,"PO",'caseload data'!$C:$C,'community caseload'!$B$22,'caseload data'!$B:$B,{"licence","community"}))</f>
        <v>0</v>
      </c>
      <c r="S24" s="95"/>
      <c r="T24" s="129" t="s">
        <v>184</v>
      </c>
      <c r="U24" s="204">
        <f>SUM(SUMIFS('caseload data'!E:E,'caseload data'!$D:$D,"PO",'caseload data'!$C:$C,'community caseload'!$T$22,'caseload data'!$B:$B,{"licence","community"}))</f>
        <v>0</v>
      </c>
      <c r="V24" s="204">
        <f>SUM(SUMIFS('caseload data'!F:F,'caseload data'!$D:$D,"PO",'caseload data'!$C:$C,'community caseload'!$T$22,'caseload data'!$B:$B,{"licence","community"}))</f>
        <v>0</v>
      </c>
      <c r="W24" s="204">
        <f>SUM(SUMIFS('caseload data'!G:G,'caseload data'!$D:$D,"PO",'caseload data'!$C:$C,'community caseload'!$T$22,'caseload data'!$B:$B,{"licence","community"}))</f>
        <v>0</v>
      </c>
      <c r="X24" s="204">
        <f>SUM(SUMIFS('caseload data'!H:H,'caseload data'!$D:$D,"PO",'caseload data'!$C:$C,'community caseload'!$T$22,'caseload data'!$B:$B,{"licence","community"}))</f>
        <v>0</v>
      </c>
      <c r="Y24" s="204">
        <f>SUM(SUMIFS('caseload data'!I:I,'caseload data'!$D:$D,"PO",'caseload data'!$C:$C,'community caseload'!$T$22,'caseload data'!$B:$B,{"licence","community"}))</f>
        <v>0</v>
      </c>
      <c r="Z24" s="204">
        <f>SUM(SUMIFS('caseload data'!J:J,'caseload data'!$D:$D,"PO",'caseload data'!$C:$C,'community caseload'!$T$22,'caseload data'!$B:$B,{"licence","community"}))</f>
        <v>0</v>
      </c>
      <c r="AA24" s="204">
        <f>SUM(SUMIFS('caseload data'!K:K,'caseload data'!$D:$D,"PO",'caseload data'!$C:$C,'community caseload'!$T$22,'caseload data'!$B:$B,{"licence","community"}))</f>
        <v>0</v>
      </c>
      <c r="AB24" s="204">
        <f>SUM(SUMIFS('caseload data'!L:L,'caseload data'!$D:$D,"PO",'caseload data'!$C:$C,'community caseload'!$T$22,'caseload data'!$B:$B,{"licence","community"}))</f>
        <v>0</v>
      </c>
      <c r="AC24" s="204">
        <f>SUM(SUMIFS('caseload data'!M:M,'caseload data'!$D:$D,"PO",'caseload data'!$C:$C,'community caseload'!$T$22,'caseload data'!$B:$B,{"licence","community"}))</f>
        <v>0</v>
      </c>
      <c r="AD24" s="204">
        <f>SUM(SUMIFS('caseload data'!N:N,'caseload data'!$D:$D,"PO",'caseload data'!$C:$C,'community caseload'!$T$22,'caseload data'!$B:$B,{"licence","community"}))</f>
        <v>0</v>
      </c>
      <c r="AE24" s="204">
        <f>SUM(SUMIFS('caseload data'!O:O,'caseload data'!$D:$D,"PO",'caseload data'!$C:$C,'community caseload'!$T$22,'caseload data'!$B:$B,{"licence","community"}))</f>
        <v>0</v>
      </c>
      <c r="AF24" s="204">
        <f>SUM(SUMIFS('caseload data'!P:P,'caseload data'!$D:$D,"PO",'caseload data'!$C:$C,'community caseload'!$T$22,'caseload data'!$B:$B,{"licence","community"}))</f>
        <v>0</v>
      </c>
      <c r="AG24" s="204">
        <f>SUM(SUMIFS('caseload data'!Q:Q,'caseload data'!$D:$D,"PO",'caseload data'!$C:$C,'community caseload'!$T$22,'caseload data'!$B:$B,{"licence","community"}))</f>
        <v>0</v>
      </c>
      <c r="AH24" s="204">
        <f>SUM(SUMIFS('caseload data'!R:R,'caseload data'!$D:$D,"PO",'caseload data'!$C:$C,'community caseload'!$T$22,'caseload data'!$B:$B,{"licence","community"}))</f>
        <v>0</v>
      </c>
      <c r="AI24" s="204">
        <f>SUM(SUMIFS('caseload data'!S:S,'caseload data'!$D:$D,"PO",'caseload data'!$C:$C,'community caseload'!$T$22,'caseload data'!$B:$B,{"licence","community"}))</f>
        <v>0</v>
      </c>
      <c r="AJ24" s="204">
        <f>SUM(SUMIFS('caseload data'!T:T,'caseload data'!$D:$D,"PO",'caseload data'!$C:$C,'community caseload'!$T$22,'caseload data'!$B:$B,{"licence","community"}))</f>
        <v>0</v>
      </c>
    </row>
    <row r="25" spans="2:36" x14ac:dyDescent="0.15">
      <c r="B25" s="130" t="s">
        <v>185</v>
      </c>
      <c r="C25" s="204">
        <f>SUM(SUMIFS('caseload data'!E:E,'caseload data'!$D:$D,"PSO",'caseload data'!$C:$C,'community caseload'!$B$22,'caseload data'!$B:$B,{"licence","community"}))</f>
        <v>0</v>
      </c>
      <c r="D25" s="204">
        <f>SUM(SUMIFS('caseload data'!F:F,'caseload data'!$D:$D,"PSO",'caseload data'!$C:$C,'community caseload'!$B$22,'caseload data'!$B:$B,{"licence","community"}))</f>
        <v>0</v>
      </c>
      <c r="E25" s="204">
        <f>SUM(SUMIFS('caseload data'!G:G,'caseload data'!$D:$D,"PSO",'caseload data'!$C:$C,'community caseload'!$B$22,'caseload data'!$B:$B,{"licence","community"}))</f>
        <v>0</v>
      </c>
      <c r="F25" s="204">
        <f>SUM(SUMIFS('caseload data'!H:H,'caseload data'!$D:$D,"PSO",'caseload data'!$C:$C,'community caseload'!$B$22,'caseload data'!$B:$B,{"licence","community"}))</f>
        <v>0</v>
      </c>
      <c r="G25" s="204">
        <f>SUM(SUMIFS('caseload data'!I:I,'caseload data'!$D:$D,"PSO",'caseload data'!$C:$C,'community caseload'!$B$22,'caseload data'!$B:$B,{"licence","community"}))</f>
        <v>0</v>
      </c>
      <c r="H25" s="204">
        <f>SUM(SUMIFS('caseload data'!J:J,'caseload data'!$D:$D,"PSO",'caseload data'!$C:$C,'community caseload'!$B$22,'caseload data'!$B:$B,{"licence","community"}))</f>
        <v>0</v>
      </c>
      <c r="I25" s="204">
        <f>SUM(SUMIFS('caseload data'!K:K,'caseload data'!$D:$D,"PSO",'caseload data'!$C:$C,'community caseload'!$B$22,'caseload data'!$B:$B,{"licence","community"}))</f>
        <v>0</v>
      </c>
      <c r="J25" s="204">
        <f>SUM(SUMIFS('caseload data'!L:L,'caseload data'!$D:$D,"PSO",'caseload data'!$C:$C,'community caseload'!$B$22,'caseload data'!$B:$B,{"licence","community"}))</f>
        <v>0</v>
      </c>
      <c r="K25" s="204">
        <f>SUM(SUMIFS('caseload data'!M:M,'caseload data'!$D:$D,"PSO",'caseload data'!$C:$C,'community caseload'!$B$22,'caseload data'!$B:$B,{"licence","community"}))</f>
        <v>0</v>
      </c>
      <c r="L25" s="204">
        <f>SUM(SUMIFS('caseload data'!N:N,'caseload data'!$D:$D,"PSO",'caseload data'!$C:$C,'community caseload'!$B$22,'caseload data'!$B:$B,{"licence","community"}))</f>
        <v>0</v>
      </c>
      <c r="M25" s="204">
        <f>SUM(SUMIFS('caseload data'!O:O,'caseload data'!$D:$D,"PSO",'caseload data'!$C:$C,'community caseload'!$B$22,'caseload data'!$B:$B,{"licence","community"}))</f>
        <v>0</v>
      </c>
      <c r="N25" s="204">
        <f>SUM(SUMIFS('caseload data'!P:P,'caseload data'!$D:$D,"PSO",'caseload data'!$C:$C,'community caseload'!$B$22,'caseload data'!$B:$B,{"licence","community"}))</f>
        <v>0</v>
      </c>
      <c r="O25" s="204">
        <f>SUM(SUMIFS('caseload data'!Q:Q,'caseload data'!$D:$D,"PSO",'caseload data'!$C:$C,'community caseload'!$B$22,'caseload data'!$B:$B,{"licence","community"}))</f>
        <v>0</v>
      </c>
      <c r="P25" s="204">
        <f>SUM(SUMIFS('caseload data'!R:R,'caseload data'!$D:$D,"PSO",'caseload data'!$C:$C,'community caseload'!$B$22,'caseload data'!$B:$B,{"licence","community"}))</f>
        <v>0</v>
      </c>
      <c r="Q25" s="204">
        <f>SUM(SUMIFS('caseload data'!S:S,'caseload data'!$D:$D,"PSO",'caseload data'!$C:$C,'community caseload'!$B$22,'caseload data'!$B:$B,{"licence","community"}))</f>
        <v>0</v>
      </c>
      <c r="R25" s="204">
        <f>SUM(SUMIFS('caseload data'!T:T,'caseload data'!$D:$D,"PSO",'caseload data'!$C:$C,'community caseload'!$B$22,'caseload data'!$B:$B,{"licence","community"}))</f>
        <v>0</v>
      </c>
      <c r="S25" s="95"/>
      <c r="T25" s="130" t="s">
        <v>185</v>
      </c>
      <c r="U25" s="204">
        <f>SUM(SUMIFS('caseload data'!E:E,'caseload data'!$D:$D,"PSO",'caseload data'!$C:$C,'community caseload'!$T$22,'caseload data'!$B:$B,{"licence","community"}))</f>
        <v>0</v>
      </c>
      <c r="V25" s="204">
        <f>SUM(SUMIFS('caseload data'!F:F,'caseload data'!$D:$D,"PSO",'caseload data'!$C:$C,'community caseload'!$T$22,'caseload data'!$B:$B,{"licence","community"}))</f>
        <v>0</v>
      </c>
      <c r="W25" s="204">
        <f>SUM(SUMIFS('caseload data'!G:G,'caseload data'!$D:$D,"PSO",'caseload data'!$C:$C,'community caseload'!$T$22,'caseload data'!$B:$B,{"licence","community"}))</f>
        <v>0</v>
      </c>
      <c r="X25" s="204">
        <f>SUM(SUMIFS('caseload data'!H:H,'caseload data'!$D:$D,"PSO",'caseload data'!$C:$C,'community caseload'!$T$22,'caseload data'!$B:$B,{"licence","community"}))</f>
        <v>0</v>
      </c>
      <c r="Y25" s="204">
        <f>SUM(SUMIFS('caseload data'!I:I,'caseload data'!$D:$D,"PSO",'caseload data'!$C:$C,'community caseload'!$T$22,'caseload data'!$B:$B,{"licence","community"}))</f>
        <v>0</v>
      </c>
      <c r="Z25" s="204">
        <f>SUM(SUMIFS('caseload data'!J:J,'caseload data'!$D:$D,"PSO",'caseload data'!$C:$C,'community caseload'!$T$22,'caseload data'!$B:$B,{"licence","community"}))</f>
        <v>0</v>
      </c>
      <c r="AA25" s="204">
        <f>SUM(SUMIFS('caseload data'!K:K,'caseload data'!$D:$D,"PSO",'caseload data'!$C:$C,'community caseload'!$T$22,'caseload data'!$B:$B,{"licence","community"}))</f>
        <v>0</v>
      </c>
      <c r="AB25" s="204">
        <f>SUM(SUMIFS('caseload data'!L:L,'caseload data'!$D:$D,"PSO",'caseload data'!$C:$C,'community caseload'!$T$22,'caseload data'!$B:$B,{"licence","community"}))</f>
        <v>0</v>
      </c>
      <c r="AC25" s="204">
        <f>SUM(SUMIFS('caseload data'!M:M,'caseload data'!$D:$D,"PSO",'caseload data'!$C:$C,'community caseload'!$T$22,'caseload data'!$B:$B,{"licence","community"}))</f>
        <v>0</v>
      </c>
      <c r="AD25" s="204">
        <f>SUM(SUMIFS('caseload data'!N:N,'caseload data'!$D:$D,"PSO",'caseload data'!$C:$C,'community caseload'!$T$22,'caseload data'!$B:$B,{"licence","community"}))</f>
        <v>0</v>
      </c>
      <c r="AE25" s="204">
        <f>SUM(SUMIFS('caseload data'!O:O,'caseload data'!$D:$D,"PSO",'caseload data'!$C:$C,'community caseload'!$T$22,'caseload data'!$B:$B,{"licence","community"}))</f>
        <v>0</v>
      </c>
      <c r="AF25" s="204">
        <f>SUM(SUMIFS('caseload data'!P:P,'caseload data'!$D:$D,"PSO",'caseload data'!$C:$C,'community caseload'!$T$22,'caseload data'!$B:$B,{"licence","community"}))</f>
        <v>0</v>
      </c>
      <c r="AG25" s="204">
        <f>SUM(SUMIFS('caseload data'!Q:Q,'caseload data'!$D:$D,"PSO",'caseload data'!$C:$C,'community caseload'!$T$22,'caseload data'!$B:$B,{"licence","community"}))</f>
        <v>0</v>
      </c>
      <c r="AH25" s="204">
        <f>SUM(SUMIFS('caseload data'!R:R,'caseload data'!$D:$D,"PSO",'caseload data'!$C:$C,'community caseload'!$T$22,'caseload data'!$B:$B,{"licence","community"}))</f>
        <v>0</v>
      </c>
      <c r="AI25" s="204">
        <f>SUM(SUMIFS('caseload data'!S:S,'caseload data'!$D:$D,"PSO",'caseload data'!$C:$C,'community caseload'!$T$22,'caseload data'!$B:$B,{"licence","community"}))</f>
        <v>0</v>
      </c>
      <c r="AJ25" s="204">
        <f>SUM(SUMIFS('caseload data'!T:T,'caseload data'!$D:$D,"PSO",'caseload data'!$C:$C,'community caseload'!$T$22,'caseload data'!$B:$B,{"licence","community"}))</f>
        <v>0</v>
      </c>
    </row>
    <row r="26" spans="2:36" x14ac:dyDescent="0.15">
      <c r="B26" s="130" t="s">
        <v>186</v>
      </c>
      <c r="C26" s="204">
        <f>SUM(SUMIFS('caseload data'!E:E,'caseload data'!$D:$D,"TPO",'caseload data'!$C:$C,'community caseload'!$B$22,'caseload data'!$B:$B,{"licence","community"}))</f>
        <v>0</v>
      </c>
      <c r="D26" s="204">
        <f>SUM(SUMIFS('caseload data'!F:F,'caseload data'!$D:$D,"TPO",'caseload data'!$C:$C,'community caseload'!$B$22,'caseload data'!$B:$B,{"licence","community"}))</f>
        <v>0</v>
      </c>
      <c r="E26" s="204">
        <f>SUM(SUMIFS('caseload data'!G:G,'caseload data'!$D:$D,"TPO",'caseload data'!$C:$C,'community caseload'!$B$22,'caseload data'!$B:$B,{"licence","community"}))</f>
        <v>0</v>
      </c>
      <c r="F26" s="204">
        <f>SUM(SUMIFS('caseload data'!H:H,'caseload data'!$D:$D,"TPO",'caseload data'!$C:$C,'community caseload'!$B$22,'caseload data'!$B:$B,{"licence","community"}))</f>
        <v>0</v>
      </c>
      <c r="G26" s="204">
        <f>SUM(SUMIFS('caseload data'!I:I,'caseload data'!$D:$D,"TPO",'caseload data'!$C:$C,'community caseload'!$B$22,'caseload data'!$B:$B,{"licence","community"}))</f>
        <v>0</v>
      </c>
      <c r="H26" s="204">
        <f>SUM(SUMIFS('caseload data'!J:J,'caseload data'!$D:$D,"TPO",'caseload data'!$C:$C,'community caseload'!$B$22,'caseload data'!$B:$B,{"licence","community"}))</f>
        <v>0</v>
      </c>
      <c r="I26" s="204">
        <f>SUM(SUMIFS('caseload data'!K:K,'caseload data'!$D:$D,"TPO",'caseload data'!$C:$C,'community caseload'!$B$22,'caseload data'!$B:$B,{"licence","community"}))</f>
        <v>0</v>
      </c>
      <c r="J26" s="204">
        <f>SUM(SUMIFS('caseload data'!L:L,'caseload data'!$D:$D,"TPO",'caseload data'!$C:$C,'community caseload'!$B$22,'caseload data'!$B:$B,{"licence","community"}))</f>
        <v>0</v>
      </c>
      <c r="K26" s="204">
        <f>SUM(SUMIFS('caseload data'!M:M,'caseload data'!$D:$D,"TPO",'caseload data'!$C:$C,'community caseload'!$B$22,'caseload data'!$B:$B,{"licence","community"}))</f>
        <v>0</v>
      </c>
      <c r="L26" s="204">
        <f>SUM(SUMIFS('caseload data'!N:N,'caseload data'!$D:$D,"TPO",'caseload data'!$C:$C,'community caseload'!$B$22,'caseload data'!$B:$B,{"licence","community"}))</f>
        <v>0</v>
      </c>
      <c r="M26" s="204">
        <f>SUM(SUMIFS('caseload data'!O:O,'caseload data'!$D:$D,"TPO",'caseload data'!$C:$C,'community caseload'!$B$22,'caseload data'!$B:$B,{"licence","community"}))</f>
        <v>0</v>
      </c>
      <c r="N26" s="204">
        <f>SUM(SUMIFS('caseload data'!P:P,'caseload data'!$D:$D,"TPO",'caseload data'!$C:$C,'community caseload'!$B$22,'caseload data'!$B:$B,{"licence","community"}))</f>
        <v>0</v>
      </c>
      <c r="O26" s="204">
        <f>SUM(SUMIFS('caseload data'!Q:Q,'caseload data'!$D:$D,"TPO",'caseload data'!$C:$C,'community caseload'!$B$22,'caseload data'!$B:$B,{"licence","community"}))</f>
        <v>0</v>
      </c>
      <c r="P26" s="204">
        <f>SUM(SUMIFS('caseload data'!R:R,'caseload data'!$D:$D,"TPO",'caseload data'!$C:$C,'community caseload'!$B$22,'caseload data'!$B:$B,{"licence","community"}))</f>
        <v>0</v>
      </c>
      <c r="Q26" s="204">
        <f>SUM(SUMIFS('caseload data'!S:S,'caseload data'!$D:$D,"TPO",'caseload data'!$C:$C,'community caseload'!$B$22,'caseload data'!$B:$B,{"licence","community"}))</f>
        <v>0</v>
      </c>
      <c r="R26" s="204">
        <f>SUM(SUMIFS('caseload data'!T:T,'caseload data'!$D:$D,"TPO",'caseload data'!$C:$C,'community caseload'!$B$22,'caseload data'!$B:$B,{"licence","community"}))</f>
        <v>0</v>
      </c>
      <c r="S26" s="95"/>
      <c r="T26" s="130" t="s">
        <v>186</v>
      </c>
      <c r="U26" s="204">
        <f>SUM(SUMIFS('caseload data'!E:E,'caseload data'!$D:$D,"TPO",'caseload data'!$C:$C,'community caseload'!$T$22,'caseload data'!$B:$B,{"licence","community"}))</f>
        <v>0</v>
      </c>
      <c r="V26" s="204">
        <f>SUM(SUMIFS('caseload data'!F:F,'caseload data'!$D:$D,"TPO",'caseload data'!$C:$C,'community caseload'!$T$22,'caseload data'!$B:$B,{"licence","community"}))</f>
        <v>0</v>
      </c>
      <c r="W26" s="204">
        <f>SUM(SUMIFS('caseload data'!G:G,'caseload data'!$D:$D,"TPO",'caseload data'!$C:$C,'community caseload'!$T$22,'caseload data'!$B:$B,{"licence","community"}))</f>
        <v>0</v>
      </c>
      <c r="X26" s="204">
        <f>SUM(SUMIFS('caseload data'!H:H,'caseload data'!$D:$D,"TPO",'caseload data'!$C:$C,'community caseload'!$T$22,'caseload data'!$B:$B,{"licence","community"}))</f>
        <v>0</v>
      </c>
      <c r="Y26" s="204">
        <f>SUM(SUMIFS('caseload data'!I:I,'caseload data'!$D:$D,"TPO",'caseload data'!$C:$C,'community caseload'!$T$22,'caseload data'!$B:$B,{"licence","community"}))</f>
        <v>0</v>
      </c>
      <c r="Z26" s="204">
        <f>SUM(SUMIFS('caseload data'!J:J,'caseload data'!$D:$D,"TPO",'caseload data'!$C:$C,'community caseload'!$T$22,'caseload data'!$B:$B,{"licence","community"}))</f>
        <v>0</v>
      </c>
      <c r="AA26" s="204">
        <f>SUM(SUMIFS('caseload data'!K:K,'caseload data'!$D:$D,"TPO",'caseload data'!$C:$C,'community caseload'!$T$22,'caseload data'!$B:$B,{"licence","community"}))</f>
        <v>0</v>
      </c>
      <c r="AB26" s="204">
        <f>SUM(SUMIFS('caseload data'!L:L,'caseload data'!$D:$D,"TPO",'caseload data'!$C:$C,'community caseload'!$T$22,'caseload data'!$B:$B,{"licence","community"}))</f>
        <v>0</v>
      </c>
      <c r="AC26" s="204">
        <f>SUM(SUMIFS('caseload data'!M:M,'caseload data'!$D:$D,"TPO",'caseload data'!$C:$C,'community caseload'!$T$22,'caseload data'!$B:$B,{"licence","community"}))</f>
        <v>0</v>
      </c>
      <c r="AD26" s="204">
        <f>SUM(SUMIFS('caseload data'!N:N,'caseload data'!$D:$D,"TPO",'caseload data'!$C:$C,'community caseload'!$T$22,'caseload data'!$B:$B,{"licence","community"}))</f>
        <v>0</v>
      </c>
      <c r="AE26" s="204">
        <f>SUM(SUMIFS('caseload data'!O:O,'caseload data'!$D:$D,"TPO",'caseload data'!$C:$C,'community caseload'!$T$22,'caseload data'!$B:$B,{"licence","community"}))</f>
        <v>0</v>
      </c>
      <c r="AF26" s="204">
        <f>SUM(SUMIFS('caseload data'!P:P,'caseload data'!$D:$D,"TPO",'caseload data'!$C:$C,'community caseload'!$T$22,'caseload data'!$B:$B,{"licence","community"}))</f>
        <v>0</v>
      </c>
      <c r="AG26" s="204">
        <f>SUM(SUMIFS('caseload data'!Q:Q,'caseload data'!$D:$D,"TPO",'caseload data'!$C:$C,'community caseload'!$T$22,'caseload data'!$B:$B,{"licence","community"}))</f>
        <v>0</v>
      </c>
      <c r="AH26" s="204">
        <f>SUM(SUMIFS('caseload data'!R:R,'caseload data'!$D:$D,"TPO",'caseload data'!$C:$C,'community caseload'!$T$22,'caseload data'!$B:$B,{"licence","community"}))</f>
        <v>0</v>
      </c>
      <c r="AI26" s="204">
        <f>SUM(SUMIFS('caseload data'!S:S,'caseload data'!$D:$D,"TPO",'caseload data'!$C:$C,'community caseload'!$T$22,'caseload data'!$B:$B,{"licence","community"}))</f>
        <v>0</v>
      </c>
      <c r="AJ26" s="204">
        <f>SUM(SUMIFS('caseload data'!T:T,'caseload data'!$D:$D,"TPO",'caseload data'!$C:$C,'community caseload'!$T$22,'caseload data'!$B:$B,{"licence","community"}))</f>
        <v>0</v>
      </c>
    </row>
    <row r="27" spans="2:36" x14ac:dyDescent="0.15">
      <c r="B27" s="131" t="s">
        <v>187</v>
      </c>
      <c r="C27" s="204">
        <f>SUM(SUMIFS('caseload data'!E:E,'caseload data'!$D:$D,"SPO",'caseload data'!$C:$C,'community caseload'!$B$22,'caseload data'!$B:$B,{"licence","community"}))</f>
        <v>0</v>
      </c>
      <c r="D27" s="204">
        <f>SUM(SUMIFS('caseload data'!F:F,'caseload data'!$D:$D,"SPO",'caseload data'!$C:$C,'community caseload'!$B$22,'caseload data'!$B:$B,{"licence","community"}))</f>
        <v>0</v>
      </c>
      <c r="E27" s="204">
        <f>SUM(SUMIFS('caseload data'!G:G,'caseload data'!$D:$D,"SPO",'caseload data'!$C:$C,'community caseload'!$B$22,'caseload data'!$B:$B,{"licence","community"}))</f>
        <v>0</v>
      </c>
      <c r="F27" s="204">
        <f>SUM(SUMIFS('caseload data'!H:H,'caseload data'!$D:$D,"SPO",'caseload data'!$C:$C,'community caseload'!$B$22,'caseload data'!$B:$B,{"licence","community"}))</f>
        <v>0</v>
      </c>
      <c r="G27" s="204">
        <f>SUM(SUMIFS('caseload data'!I:I,'caseload data'!$D:$D,"SPO",'caseload data'!$C:$C,'community caseload'!$B$22,'caseload data'!$B:$B,{"licence","community"}))</f>
        <v>0</v>
      </c>
      <c r="H27" s="204">
        <f>SUM(SUMIFS('caseload data'!J:J,'caseload data'!$D:$D,"SPO",'caseload data'!$C:$C,'community caseload'!$B$22,'caseload data'!$B:$B,{"licence","community"}))</f>
        <v>0</v>
      </c>
      <c r="I27" s="204">
        <f>SUM(SUMIFS('caseload data'!K:K,'caseload data'!$D:$D,"SPO",'caseload data'!$C:$C,'community caseload'!$B$22,'caseload data'!$B:$B,{"licence","community"}))</f>
        <v>0</v>
      </c>
      <c r="J27" s="204">
        <f>SUM(SUMIFS('caseload data'!L:L,'caseload data'!$D:$D,"SPO",'caseload data'!$C:$C,'community caseload'!$B$22,'caseload data'!$B:$B,{"licence","community"}))</f>
        <v>0</v>
      </c>
      <c r="K27" s="204">
        <f>SUM(SUMIFS('caseload data'!M:M,'caseload data'!$D:$D,"SPO",'caseload data'!$C:$C,'community caseload'!$B$22,'caseload data'!$B:$B,{"licence","community"}))</f>
        <v>0</v>
      </c>
      <c r="L27" s="204">
        <f>SUM(SUMIFS('caseload data'!N:N,'caseload data'!$D:$D,"SPO",'caseload data'!$C:$C,'community caseload'!$B$22,'caseload data'!$B:$B,{"licence","community"}))</f>
        <v>0</v>
      </c>
      <c r="M27" s="204">
        <f>SUM(SUMIFS('caseload data'!O:O,'caseload data'!$D:$D,"SPO",'caseload data'!$C:$C,'community caseload'!$B$22,'caseload data'!$B:$B,{"licence","community"}))</f>
        <v>0</v>
      </c>
      <c r="N27" s="204">
        <f>SUM(SUMIFS('caseload data'!P:P,'caseload data'!$D:$D,"SPO",'caseload data'!$C:$C,'community caseload'!$B$22,'caseload data'!$B:$B,{"licence","community"}))</f>
        <v>0</v>
      </c>
      <c r="O27" s="204">
        <f>SUM(SUMIFS('caseload data'!Q:Q,'caseload data'!$D:$D,"SPO",'caseload data'!$C:$C,'community caseload'!$B$22,'caseload data'!$B:$B,{"licence","community"}))</f>
        <v>0</v>
      </c>
      <c r="P27" s="204">
        <f>SUM(SUMIFS('caseload data'!R:R,'caseload data'!$D:$D,"SPO",'caseload data'!$C:$C,'community caseload'!$B$22,'caseload data'!$B:$B,{"licence","community"}))</f>
        <v>0</v>
      </c>
      <c r="Q27" s="204">
        <f>SUM(SUMIFS('caseload data'!S:S,'caseload data'!$D:$D,"SPO",'caseload data'!$C:$C,'community caseload'!$B$22,'caseload data'!$B:$B,{"licence","community"}))</f>
        <v>0</v>
      </c>
      <c r="R27" s="204">
        <f>SUM(SUMIFS('caseload data'!T:T,'caseload data'!$D:$D,"SPO",'caseload data'!$C:$C,'community caseload'!$B$22,'caseload data'!$B:$B,{"licence","community"}))</f>
        <v>0</v>
      </c>
      <c r="S27" s="95"/>
      <c r="T27" s="131" t="s">
        <v>187</v>
      </c>
      <c r="U27" s="204">
        <f>SUM(SUMIFS('caseload data'!E:E,'caseload data'!$D:$D,"SPO",'caseload data'!$C:$C,'community caseload'!$T$22,'caseload data'!$B:$B,{"licence","community"}))</f>
        <v>0</v>
      </c>
      <c r="V27" s="204">
        <f>SUM(SUMIFS('caseload data'!F:F,'caseload data'!$D:$D,"SPO",'caseload data'!$C:$C,'community caseload'!$T$22,'caseload data'!$B:$B,{"licence","community"}))</f>
        <v>0</v>
      </c>
      <c r="W27" s="204">
        <f>SUM(SUMIFS('caseload data'!G:G,'caseload data'!$D:$D,"SPO",'caseload data'!$C:$C,'community caseload'!$T$22,'caseload data'!$B:$B,{"licence","community"}))</f>
        <v>0</v>
      </c>
      <c r="X27" s="204">
        <f>SUM(SUMIFS('caseload data'!H:H,'caseload data'!$D:$D,"SPO",'caseload data'!$C:$C,'community caseload'!$T$22,'caseload data'!$B:$B,{"licence","community"}))</f>
        <v>0</v>
      </c>
      <c r="Y27" s="204">
        <f>SUM(SUMIFS('caseload data'!I:I,'caseload data'!$D:$D,"SPO",'caseload data'!$C:$C,'community caseload'!$T$22,'caseload data'!$B:$B,{"licence","community"}))</f>
        <v>0</v>
      </c>
      <c r="Z27" s="204">
        <f>SUM(SUMIFS('caseload data'!J:J,'caseload data'!$D:$D,"SPO",'caseload data'!$C:$C,'community caseload'!$T$22,'caseload data'!$B:$B,{"licence","community"}))</f>
        <v>0</v>
      </c>
      <c r="AA27" s="204">
        <f>SUM(SUMIFS('caseload data'!K:K,'caseload data'!$D:$D,"SPO",'caseload data'!$C:$C,'community caseload'!$T$22,'caseload data'!$B:$B,{"licence","community"}))</f>
        <v>0</v>
      </c>
      <c r="AB27" s="204">
        <f>SUM(SUMIFS('caseload data'!L:L,'caseload data'!$D:$D,"SPO",'caseload data'!$C:$C,'community caseload'!$T$22,'caseload data'!$B:$B,{"licence","community"}))</f>
        <v>0</v>
      </c>
      <c r="AC27" s="204">
        <f>SUM(SUMIFS('caseload data'!M:M,'caseload data'!$D:$D,"SPO",'caseload data'!$C:$C,'community caseload'!$T$22,'caseload data'!$B:$B,{"licence","community"}))</f>
        <v>0</v>
      </c>
      <c r="AD27" s="204">
        <f>SUM(SUMIFS('caseload data'!N:N,'caseload data'!$D:$D,"SPO",'caseload data'!$C:$C,'community caseload'!$T$22,'caseload data'!$B:$B,{"licence","community"}))</f>
        <v>0</v>
      </c>
      <c r="AE27" s="204">
        <f>SUM(SUMIFS('caseload data'!O:O,'caseload data'!$D:$D,"SPO",'caseload data'!$C:$C,'community caseload'!$T$22,'caseload data'!$B:$B,{"licence","community"}))</f>
        <v>0</v>
      </c>
      <c r="AF27" s="204">
        <f>SUM(SUMIFS('caseload data'!P:P,'caseload data'!$D:$D,"SPO",'caseload data'!$C:$C,'community caseload'!$T$22,'caseload data'!$B:$B,{"licence","community"}))</f>
        <v>0</v>
      </c>
      <c r="AG27" s="204">
        <f>SUM(SUMIFS('caseload data'!Q:Q,'caseload data'!$D:$D,"SPO",'caseload data'!$C:$C,'community caseload'!$T$22,'caseload data'!$B:$B,{"licence","community"}))</f>
        <v>0</v>
      </c>
      <c r="AH27" s="204">
        <f>SUM(SUMIFS('caseload data'!R:R,'caseload data'!$D:$D,"SPO",'caseload data'!$C:$C,'community caseload'!$T$22,'caseload data'!$B:$B,{"licence","community"}))</f>
        <v>0</v>
      </c>
      <c r="AI27" s="204">
        <f>SUM(SUMIFS('caseload data'!S:S,'caseload data'!$D:$D,"SPO",'caseload data'!$C:$C,'community caseload'!$T$22,'caseload data'!$B:$B,{"licence","community"}))</f>
        <v>0</v>
      </c>
      <c r="AJ27" s="204">
        <f>SUM(SUMIFS('caseload data'!T:T,'caseload data'!$D:$D,"SPO",'caseload data'!$C:$C,'community caseload'!$T$22,'caseload data'!$B:$B,{"licence","community"}))</f>
        <v>0</v>
      </c>
    </row>
    <row r="28" spans="2:36" x14ac:dyDescent="0.15">
      <c r="B28" s="183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183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</row>
    <row r="29" spans="2:36" ht="48" customHeight="1" x14ac:dyDescent="0.15">
      <c r="B29" s="182" t="str">
        <f>HLOOKUP($B$5,Region_Table,8,0)</f>
        <v>Oxfordshire</v>
      </c>
      <c r="C29" s="359" t="s">
        <v>368</v>
      </c>
      <c r="D29" s="365"/>
      <c r="E29" s="365"/>
      <c r="F29" s="365"/>
      <c r="G29" s="365"/>
      <c r="H29" s="365"/>
      <c r="I29" s="365"/>
      <c r="J29" s="365"/>
      <c r="K29" s="365"/>
      <c r="L29" s="365"/>
      <c r="M29" s="368"/>
      <c r="N29" s="368"/>
      <c r="O29" s="369"/>
      <c r="P29" s="362" cm="1">
        <f t="array" ref="P29">SUM(SUMIFS('caseload data'!V:V,'caseload data'!B:B,{"licence","community"},'caseload data'!$C:$C,'community caseload'!B29))</f>
        <v>0</v>
      </c>
      <c r="Q29" s="370"/>
      <c r="R29" s="371"/>
      <c r="S29" s="95"/>
      <c r="T29" s="182" t="str">
        <f>HLOOKUP($B$5,Region_Table,9,0)</f>
        <v>Performance And Quality</v>
      </c>
      <c r="U29" s="359" t="s">
        <v>368</v>
      </c>
      <c r="V29" s="365"/>
      <c r="W29" s="365"/>
      <c r="X29" s="365"/>
      <c r="Y29" s="365"/>
      <c r="Z29" s="365"/>
      <c r="AA29" s="365"/>
      <c r="AB29" s="365"/>
      <c r="AC29" s="365"/>
      <c r="AD29" s="365"/>
      <c r="AE29" s="368"/>
      <c r="AF29" s="368"/>
      <c r="AG29" s="369"/>
      <c r="AH29" s="362" cm="1">
        <f t="array" ref="AH29">SUM(SUMIFS('caseload data'!V:V,'caseload data'!B:B,{"licence","community"},'caseload data'!$C:$C,'community caseload'!T29))</f>
        <v>0</v>
      </c>
      <c r="AI29" s="370"/>
      <c r="AJ29" s="371"/>
    </row>
    <row r="30" spans="2:36" x14ac:dyDescent="0.15">
      <c r="B30" s="127" t="s">
        <v>324</v>
      </c>
      <c r="C30" s="58" t="s">
        <v>504</v>
      </c>
      <c r="D30" s="58" t="s">
        <v>503</v>
      </c>
      <c r="E30" s="58" t="s">
        <v>502</v>
      </c>
      <c r="F30" s="58" t="s">
        <v>501</v>
      </c>
      <c r="G30" s="58" t="s">
        <v>510</v>
      </c>
      <c r="H30" s="58" t="s">
        <v>176</v>
      </c>
      <c r="I30" s="58" t="s">
        <v>177</v>
      </c>
      <c r="J30" s="58" t="s">
        <v>505</v>
      </c>
      <c r="K30" s="58" t="s">
        <v>507</v>
      </c>
      <c r="L30" s="58" t="s">
        <v>178</v>
      </c>
      <c r="M30" s="58" t="s">
        <v>179</v>
      </c>
      <c r="N30" s="58" t="s">
        <v>506</v>
      </c>
      <c r="O30" s="58" t="s">
        <v>508</v>
      </c>
      <c r="P30" s="58" t="s">
        <v>180</v>
      </c>
      <c r="Q30" s="58" t="s">
        <v>181</v>
      </c>
      <c r="R30" s="58" t="s">
        <v>509</v>
      </c>
      <c r="S30" s="95"/>
      <c r="T30" s="127" t="s">
        <v>324</v>
      </c>
      <c r="U30" s="58" t="s">
        <v>504</v>
      </c>
      <c r="V30" s="58" t="s">
        <v>503</v>
      </c>
      <c r="W30" s="58" t="s">
        <v>502</v>
      </c>
      <c r="X30" s="58" t="s">
        <v>501</v>
      </c>
      <c r="Y30" s="58" t="s">
        <v>510</v>
      </c>
      <c r="Z30" s="58" t="s">
        <v>176</v>
      </c>
      <c r="AA30" s="58" t="s">
        <v>177</v>
      </c>
      <c r="AB30" s="58" t="s">
        <v>505</v>
      </c>
      <c r="AC30" s="58" t="s">
        <v>507</v>
      </c>
      <c r="AD30" s="58" t="s">
        <v>178</v>
      </c>
      <c r="AE30" s="58" t="s">
        <v>179</v>
      </c>
      <c r="AF30" s="58" t="s">
        <v>506</v>
      </c>
      <c r="AG30" s="58" t="s">
        <v>508</v>
      </c>
      <c r="AH30" s="58" t="s">
        <v>180</v>
      </c>
      <c r="AI30" s="58" t="s">
        <v>181</v>
      </c>
      <c r="AJ30" s="58" t="s">
        <v>509</v>
      </c>
    </row>
    <row r="31" spans="2:36" x14ac:dyDescent="0.15">
      <c r="B31" s="129" t="s">
        <v>184</v>
      </c>
      <c r="C31" s="204">
        <f>SUM(SUMIFS('caseload data'!E:E,'caseload data'!$D:$D,"PO",'caseload data'!$C:$C,'community caseload'!$B$29,'caseload data'!$B:$B,{"licence","community"}))</f>
        <v>0</v>
      </c>
      <c r="D31" s="204">
        <f>SUM(SUMIFS('caseload data'!F:F,'caseload data'!$D:$D,"PO",'caseload data'!$C:$C,'community caseload'!$B$29,'caseload data'!$B:$B,{"licence","community"}))</f>
        <v>0</v>
      </c>
      <c r="E31" s="204">
        <f>SUM(SUMIFS('caseload data'!G:G,'caseload data'!$D:$D,"PO",'caseload data'!$C:$C,'community caseload'!$B$29,'caseload data'!$B:$B,{"licence","community"}))</f>
        <v>0</v>
      </c>
      <c r="F31" s="204">
        <f>SUM(SUMIFS('caseload data'!H:H,'caseload data'!$D:$D,"PO",'caseload data'!$C:$C,'community caseload'!$B$29,'caseload data'!$B:$B,{"licence","community"}))</f>
        <v>0</v>
      </c>
      <c r="G31" s="204">
        <f>SUM(SUMIFS('caseload data'!I:I,'caseload data'!$D:$D,"PO",'caseload data'!$C:$C,'community caseload'!$B$29,'caseload data'!$B:$B,{"licence","community"}))</f>
        <v>0</v>
      </c>
      <c r="H31" s="204">
        <f>SUM(SUMIFS('caseload data'!J:J,'caseload data'!$D:$D,"PO",'caseload data'!$C:$C,'community caseload'!$B$29,'caseload data'!$B:$B,{"licence","community"}))</f>
        <v>0</v>
      </c>
      <c r="I31" s="204">
        <f>SUM(SUMIFS('caseload data'!K:K,'caseload data'!$D:$D,"PO",'caseload data'!$C:$C,'community caseload'!$B$29,'caseload data'!$B:$B,{"licence","community"}))</f>
        <v>0</v>
      </c>
      <c r="J31" s="204">
        <f>SUM(SUMIFS('caseload data'!L:L,'caseload data'!$D:$D,"PO",'caseload data'!$C:$C,'community caseload'!$B$29,'caseload data'!$B:$B,{"licence","community"}))</f>
        <v>0</v>
      </c>
      <c r="K31" s="204">
        <f>SUM(SUMIFS('caseload data'!M:M,'caseload data'!$D:$D,"PO",'caseload data'!$C:$C,'community caseload'!$B$29,'caseload data'!$B:$B,{"licence","community"}))</f>
        <v>0</v>
      </c>
      <c r="L31" s="204">
        <f>SUM(SUMIFS('caseload data'!N:N,'caseload data'!$D:$D,"PO",'caseload data'!$C:$C,'community caseload'!$B$29,'caseload data'!$B:$B,{"licence","community"}))</f>
        <v>0</v>
      </c>
      <c r="M31" s="204">
        <f>SUM(SUMIFS('caseload data'!O:O,'caseload data'!$D:$D,"PO",'caseload data'!$C:$C,'community caseload'!$B$29,'caseload data'!$B:$B,{"licence","community"}))</f>
        <v>0</v>
      </c>
      <c r="N31" s="204">
        <f>SUM(SUMIFS('caseload data'!P:P,'caseload data'!$D:$D,"PO",'caseload data'!$C:$C,'community caseload'!$B$29,'caseload data'!$B:$B,{"licence","community"}))</f>
        <v>0</v>
      </c>
      <c r="O31" s="204">
        <f>SUM(SUMIFS('caseload data'!Q:Q,'caseload data'!$D:$D,"PO",'caseload data'!$C:$C,'community caseload'!$B$29,'caseload data'!$B:$B,{"licence","community"}))</f>
        <v>0</v>
      </c>
      <c r="P31" s="204">
        <f>SUM(SUMIFS('caseload data'!R:R,'caseload data'!$D:$D,"PO",'caseload data'!$C:$C,'community caseload'!$B$29,'caseload data'!$B:$B,{"licence","community"}))</f>
        <v>0</v>
      </c>
      <c r="Q31" s="204">
        <f>SUM(SUMIFS('caseload data'!S:S,'caseload data'!$D:$D,"PO",'caseload data'!$C:$C,'community caseload'!$B$29,'caseload data'!$B:$B,{"licence","community"}))</f>
        <v>0</v>
      </c>
      <c r="R31" s="204">
        <f>SUM(SUMIFS('caseload data'!T:T,'caseload data'!$D:$D,"PO",'caseload data'!$C:$C,'community caseload'!$B$29,'caseload data'!$B:$B,{"licence","community"}))</f>
        <v>0</v>
      </c>
      <c r="S31" s="95"/>
      <c r="T31" s="129" t="s">
        <v>184</v>
      </c>
      <c r="U31" s="204">
        <f>SUM(SUMIFS('caseload data'!E:E,'caseload data'!$D:$D,"PO",'caseload data'!$C:$C,'community caseload'!$T$29,'caseload data'!$B:$B,{"licence","community"}))</f>
        <v>0</v>
      </c>
      <c r="V31" s="204">
        <f>SUM(SUMIFS('caseload data'!F:F,'caseload data'!$D:$D,"PO",'caseload data'!$C:$C,'community caseload'!$T$29,'caseload data'!$B:$B,{"licence","community"}))</f>
        <v>0</v>
      </c>
      <c r="W31" s="204">
        <f>SUM(SUMIFS('caseload data'!G:G,'caseload data'!$D:$D,"PO",'caseload data'!$C:$C,'community caseload'!$T$29,'caseload data'!$B:$B,{"licence","community"}))</f>
        <v>0</v>
      </c>
      <c r="X31" s="204">
        <f>SUM(SUMIFS('caseload data'!H:H,'caseload data'!$D:$D,"PO",'caseload data'!$C:$C,'community caseload'!$T$29,'caseload data'!$B:$B,{"licence","community"}))</f>
        <v>0</v>
      </c>
      <c r="Y31" s="204">
        <f>SUM(SUMIFS('caseload data'!I:I,'caseload data'!$D:$D,"PO",'caseload data'!$C:$C,'community caseload'!$T$29,'caseload data'!$B:$B,{"licence","community"}))</f>
        <v>0</v>
      </c>
      <c r="Z31" s="204">
        <f>SUM(SUMIFS('caseload data'!J:J,'caseload data'!$D:$D,"PO",'caseload data'!$C:$C,'community caseload'!$T$29,'caseload data'!$B:$B,{"licence","community"}))</f>
        <v>0</v>
      </c>
      <c r="AA31" s="204">
        <f>SUM(SUMIFS('caseload data'!K:K,'caseload data'!$D:$D,"PO",'caseload data'!$C:$C,'community caseload'!$T$29,'caseload data'!$B:$B,{"licence","community"}))</f>
        <v>0</v>
      </c>
      <c r="AB31" s="204">
        <f>SUM(SUMIFS('caseload data'!L:L,'caseload data'!$D:$D,"PO",'caseload data'!$C:$C,'community caseload'!$T$29,'caseload data'!$B:$B,{"licence","community"}))</f>
        <v>0</v>
      </c>
      <c r="AC31" s="204">
        <f>SUM(SUMIFS('caseload data'!M:M,'caseload data'!$D:$D,"PO",'caseload data'!$C:$C,'community caseload'!$T$29,'caseload data'!$B:$B,{"licence","community"}))</f>
        <v>0</v>
      </c>
      <c r="AD31" s="204">
        <f>SUM(SUMIFS('caseload data'!N:N,'caseload data'!$D:$D,"PO",'caseload data'!$C:$C,'community caseload'!$T$29,'caseload data'!$B:$B,{"licence","community"}))</f>
        <v>0</v>
      </c>
      <c r="AE31" s="204">
        <f>SUM(SUMIFS('caseload data'!O:O,'caseload data'!$D:$D,"PO",'caseload data'!$C:$C,'community caseload'!$T$29,'caseload data'!$B:$B,{"licence","community"}))</f>
        <v>0</v>
      </c>
      <c r="AF31" s="204">
        <f>SUM(SUMIFS('caseload data'!P:P,'caseload data'!$D:$D,"PO",'caseload data'!$C:$C,'community caseload'!$T$29,'caseload data'!$B:$B,{"licence","community"}))</f>
        <v>0</v>
      </c>
      <c r="AG31" s="204">
        <f>SUM(SUMIFS('caseload data'!Q:Q,'caseload data'!$D:$D,"PO",'caseload data'!$C:$C,'community caseload'!$T$29,'caseload data'!$B:$B,{"licence","community"}))</f>
        <v>0</v>
      </c>
      <c r="AH31" s="204">
        <f>SUM(SUMIFS('caseload data'!R:R,'caseload data'!$D:$D,"PO",'caseload data'!$C:$C,'community caseload'!$T$29,'caseload data'!$B:$B,{"licence","community"}))</f>
        <v>0</v>
      </c>
      <c r="AI31" s="204">
        <f>SUM(SUMIFS('caseload data'!S:S,'caseload data'!$D:$D,"PO",'caseload data'!$C:$C,'community caseload'!$T$29,'caseload data'!$B:$B,{"licence","community"}))</f>
        <v>0</v>
      </c>
      <c r="AJ31" s="204">
        <f>SUM(SUMIFS('caseload data'!T:T,'caseload data'!$D:$D,"PO",'caseload data'!$C:$C,'community caseload'!$T$29,'caseload data'!$B:$B,{"licence","community"}))</f>
        <v>0</v>
      </c>
    </row>
    <row r="32" spans="2:36" x14ac:dyDescent="0.15">
      <c r="B32" s="130" t="s">
        <v>185</v>
      </c>
      <c r="C32" s="204">
        <f>SUM(SUMIFS('caseload data'!E:E,'caseload data'!$D:$D,"PSO",'caseload data'!$C:$C,'community caseload'!$B$29,'caseload data'!$B:$B,{"licence","community"}))</f>
        <v>0</v>
      </c>
      <c r="D32" s="204">
        <f>SUM(SUMIFS('caseload data'!F:F,'caseload data'!$D:$D,"PSO",'caseload data'!$C:$C,'community caseload'!$B$29,'caseload data'!$B:$B,{"licence","community"}))</f>
        <v>0</v>
      </c>
      <c r="E32" s="204">
        <f>SUM(SUMIFS('caseload data'!G:G,'caseload data'!$D:$D,"PSO",'caseload data'!$C:$C,'community caseload'!$B$29,'caseload data'!$B:$B,{"licence","community"}))</f>
        <v>0</v>
      </c>
      <c r="F32" s="204">
        <f>SUM(SUMIFS('caseload data'!H:H,'caseload data'!$D:$D,"PSO",'caseload data'!$C:$C,'community caseload'!$B$29,'caseload data'!$B:$B,{"licence","community"}))</f>
        <v>0</v>
      </c>
      <c r="G32" s="204">
        <f>SUM(SUMIFS('caseload data'!I:I,'caseload data'!$D:$D,"PSO",'caseload data'!$C:$C,'community caseload'!$B$29,'caseload data'!$B:$B,{"licence","community"}))</f>
        <v>0</v>
      </c>
      <c r="H32" s="204">
        <f>SUM(SUMIFS('caseload data'!J:J,'caseload data'!$D:$D,"PSO",'caseload data'!$C:$C,'community caseload'!$B$29,'caseload data'!$B:$B,{"licence","community"}))</f>
        <v>0</v>
      </c>
      <c r="I32" s="204">
        <f>SUM(SUMIFS('caseload data'!K:K,'caseload data'!$D:$D,"PSO",'caseload data'!$C:$C,'community caseload'!$B$29,'caseload data'!$B:$B,{"licence","community"}))</f>
        <v>0</v>
      </c>
      <c r="J32" s="204">
        <f>SUM(SUMIFS('caseload data'!L:L,'caseload data'!$D:$D,"PSO",'caseload data'!$C:$C,'community caseload'!$B$29,'caseload data'!$B:$B,{"licence","community"}))</f>
        <v>0</v>
      </c>
      <c r="K32" s="204">
        <f>SUM(SUMIFS('caseload data'!M:M,'caseload data'!$D:$D,"PSO",'caseload data'!$C:$C,'community caseload'!$B$29,'caseload data'!$B:$B,{"licence","community"}))</f>
        <v>0</v>
      </c>
      <c r="L32" s="204">
        <f>SUM(SUMIFS('caseload data'!N:N,'caseload data'!$D:$D,"PSO",'caseload data'!$C:$C,'community caseload'!$B$29,'caseload data'!$B:$B,{"licence","community"}))</f>
        <v>0</v>
      </c>
      <c r="M32" s="204">
        <f>SUM(SUMIFS('caseload data'!O:O,'caseload data'!$D:$D,"PSO",'caseload data'!$C:$C,'community caseload'!$B$29,'caseload data'!$B:$B,{"licence","community"}))</f>
        <v>0</v>
      </c>
      <c r="N32" s="204">
        <f>SUM(SUMIFS('caseload data'!P:P,'caseload data'!$D:$D,"PSO",'caseload data'!$C:$C,'community caseload'!$B$29,'caseload data'!$B:$B,{"licence","community"}))</f>
        <v>0</v>
      </c>
      <c r="O32" s="204">
        <f>SUM(SUMIFS('caseload data'!Q:Q,'caseload data'!$D:$D,"PSO",'caseload data'!$C:$C,'community caseload'!$B$29,'caseload data'!$B:$B,{"licence","community"}))</f>
        <v>0</v>
      </c>
      <c r="P32" s="204">
        <f>SUM(SUMIFS('caseload data'!R:R,'caseload data'!$D:$D,"PSO",'caseload data'!$C:$C,'community caseload'!$B$29,'caseload data'!$B:$B,{"licence","community"}))</f>
        <v>0</v>
      </c>
      <c r="Q32" s="204">
        <f>SUM(SUMIFS('caseload data'!S:S,'caseload data'!$D:$D,"PSO",'caseload data'!$C:$C,'community caseload'!$B$29,'caseload data'!$B:$B,{"licence","community"}))</f>
        <v>0</v>
      </c>
      <c r="R32" s="204">
        <f>SUM(SUMIFS('caseload data'!T:T,'caseload data'!$D:$D,"PSO",'caseload data'!$C:$C,'community caseload'!$B$29,'caseload data'!$B:$B,{"licence","community"}))</f>
        <v>0</v>
      </c>
      <c r="S32" s="95"/>
      <c r="T32" s="130" t="s">
        <v>185</v>
      </c>
      <c r="U32" s="204">
        <f>SUM(SUMIFS('caseload data'!E:E,'caseload data'!$D:$D,"PSO",'caseload data'!$C:$C,'community caseload'!$T$29,'caseload data'!$B:$B,{"licence","community"}))</f>
        <v>0</v>
      </c>
      <c r="V32" s="204">
        <f>SUM(SUMIFS('caseload data'!F:F,'caseload data'!$D:$D,"PSO",'caseload data'!$C:$C,'community caseload'!$T$29,'caseload data'!$B:$B,{"licence","community"}))</f>
        <v>0</v>
      </c>
      <c r="W32" s="204">
        <f>SUM(SUMIFS('caseload data'!G:G,'caseload data'!$D:$D,"PSO",'caseload data'!$C:$C,'community caseload'!$T$29,'caseload data'!$B:$B,{"licence","community"}))</f>
        <v>0</v>
      </c>
      <c r="X32" s="204">
        <f>SUM(SUMIFS('caseload data'!H:H,'caseload data'!$D:$D,"PSO",'caseload data'!$C:$C,'community caseload'!$T$29,'caseload data'!$B:$B,{"licence","community"}))</f>
        <v>0</v>
      </c>
      <c r="Y32" s="204">
        <f>SUM(SUMIFS('caseload data'!I:I,'caseload data'!$D:$D,"PSO",'caseload data'!$C:$C,'community caseload'!$T$29,'caseload data'!$B:$B,{"licence","community"}))</f>
        <v>0</v>
      </c>
      <c r="Z32" s="204">
        <f>SUM(SUMIFS('caseload data'!J:J,'caseload data'!$D:$D,"PSO",'caseload data'!$C:$C,'community caseload'!$T$29,'caseload data'!$B:$B,{"licence","community"}))</f>
        <v>0</v>
      </c>
      <c r="AA32" s="204">
        <f>SUM(SUMIFS('caseload data'!K:K,'caseload data'!$D:$D,"PSO",'caseload data'!$C:$C,'community caseload'!$T$29,'caseload data'!$B:$B,{"licence","community"}))</f>
        <v>0</v>
      </c>
      <c r="AB32" s="204">
        <f>SUM(SUMIFS('caseload data'!L:L,'caseload data'!$D:$D,"PSO",'caseload data'!$C:$C,'community caseload'!$T$29,'caseload data'!$B:$B,{"licence","community"}))</f>
        <v>0</v>
      </c>
      <c r="AC32" s="204">
        <f>SUM(SUMIFS('caseload data'!M:M,'caseload data'!$D:$D,"PSO",'caseload data'!$C:$C,'community caseload'!$T$29,'caseload data'!$B:$B,{"licence","community"}))</f>
        <v>0</v>
      </c>
      <c r="AD32" s="204">
        <f>SUM(SUMIFS('caseload data'!N:N,'caseload data'!$D:$D,"PSO",'caseload data'!$C:$C,'community caseload'!$T$29,'caseload data'!$B:$B,{"licence","community"}))</f>
        <v>0</v>
      </c>
      <c r="AE32" s="204">
        <f>SUM(SUMIFS('caseload data'!O:O,'caseload data'!$D:$D,"PSO",'caseload data'!$C:$C,'community caseload'!$T$29,'caseload data'!$B:$B,{"licence","community"}))</f>
        <v>0</v>
      </c>
      <c r="AF32" s="204">
        <f>SUM(SUMIFS('caseload data'!P:P,'caseload data'!$D:$D,"PSO",'caseload data'!$C:$C,'community caseload'!$T$29,'caseload data'!$B:$B,{"licence","community"}))</f>
        <v>0</v>
      </c>
      <c r="AG32" s="204">
        <f>SUM(SUMIFS('caseload data'!Q:Q,'caseload data'!$D:$D,"PSO",'caseload data'!$C:$C,'community caseload'!$T$29,'caseload data'!$B:$B,{"licence","community"}))</f>
        <v>0</v>
      </c>
      <c r="AH32" s="204">
        <f>SUM(SUMIFS('caseload data'!R:R,'caseload data'!$D:$D,"PSO",'caseload data'!$C:$C,'community caseload'!$T$29,'caseload data'!$B:$B,{"licence","community"}))</f>
        <v>0</v>
      </c>
      <c r="AI32" s="204">
        <f>SUM(SUMIFS('caseload data'!S:S,'caseload data'!$D:$D,"PSO",'caseload data'!$C:$C,'community caseload'!$T$29,'caseload data'!$B:$B,{"licence","community"}))</f>
        <v>0</v>
      </c>
      <c r="AJ32" s="204">
        <f>SUM(SUMIFS('caseload data'!T:T,'caseload data'!$D:$D,"PSO",'caseload data'!$C:$C,'community caseload'!$T$29,'caseload data'!$B:$B,{"licence","community"}))</f>
        <v>0</v>
      </c>
    </row>
    <row r="33" spans="2:36" x14ac:dyDescent="0.15">
      <c r="B33" s="130" t="s">
        <v>186</v>
      </c>
      <c r="C33" s="204">
        <f>SUM(SUMIFS('caseload data'!E:E,'caseload data'!$D:$D,"TPO",'caseload data'!$C:$C,'community caseload'!$B$29,'caseload data'!$B:$B,{"licence","community"}))</f>
        <v>0</v>
      </c>
      <c r="D33" s="204">
        <f>SUM(SUMIFS('caseload data'!F:F,'caseload data'!$D:$D,"TPO",'caseload data'!$C:$C,'community caseload'!$B$29,'caseload data'!$B:$B,{"licence","community"}))</f>
        <v>0</v>
      </c>
      <c r="E33" s="204">
        <f>SUM(SUMIFS('caseload data'!G:G,'caseload data'!$D:$D,"TPO",'caseload data'!$C:$C,'community caseload'!$B$29,'caseload data'!$B:$B,{"licence","community"}))</f>
        <v>0</v>
      </c>
      <c r="F33" s="204">
        <f>SUM(SUMIFS('caseload data'!H:H,'caseload data'!$D:$D,"TPO",'caseload data'!$C:$C,'community caseload'!$B$29,'caseload data'!$B:$B,{"licence","community"}))</f>
        <v>0</v>
      </c>
      <c r="G33" s="204">
        <f>SUM(SUMIFS('caseload data'!I:I,'caseload data'!$D:$D,"TPO",'caseload data'!$C:$C,'community caseload'!$B$29,'caseload data'!$B:$B,{"licence","community"}))</f>
        <v>0</v>
      </c>
      <c r="H33" s="204">
        <f>SUM(SUMIFS('caseload data'!J:J,'caseload data'!$D:$D,"TPO",'caseload data'!$C:$C,'community caseload'!$B$29,'caseload data'!$B:$B,{"licence","community"}))</f>
        <v>0</v>
      </c>
      <c r="I33" s="204">
        <f>SUM(SUMIFS('caseload data'!K:K,'caseload data'!$D:$D,"TPO",'caseload data'!$C:$C,'community caseload'!$B$29,'caseload data'!$B:$B,{"licence","community"}))</f>
        <v>0</v>
      </c>
      <c r="J33" s="204">
        <f>SUM(SUMIFS('caseload data'!L:L,'caseload data'!$D:$D,"TPO",'caseload data'!$C:$C,'community caseload'!$B$29,'caseload data'!$B:$B,{"licence","community"}))</f>
        <v>0</v>
      </c>
      <c r="K33" s="204">
        <f>SUM(SUMIFS('caseload data'!M:M,'caseload data'!$D:$D,"TPO",'caseload data'!$C:$C,'community caseload'!$B$29,'caseload data'!$B:$B,{"licence","community"}))</f>
        <v>0</v>
      </c>
      <c r="L33" s="204">
        <f>SUM(SUMIFS('caseload data'!N:N,'caseload data'!$D:$D,"TPO",'caseload data'!$C:$C,'community caseload'!$B$29,'caseload data'!$B:$B,{"licence","community"}))</f>
        <v>0</v>
      </c>
      <c r="M33" s="204">
        <f>SUM(SUMIFS('caseload data'!O:O,'caseload data'!$D:$D,"TPO",'caseload data'!$C:$C,'community caseload'!$B$29,'caseload data'!$B:$B,{"licence","community"}))</f>
        <v>0</v>
      </c>
      <c r="N33" s="204">
        <f>SUM(SUMIFS('caseload data'!P:P,'caseload data'!$D:$D,"TPO",'caseload data'!$C:$C,'community caseload'!$B$29,'caseload data'!$B:$B,{"licence","community"}))</f>
        <v>0</v>
      </c>
      <c r="O33" s="204">
        <f>SUM(SUMIFS('caseload data'!Q:Q,'caseload data'!$D:$D,"TPO",'caseload data'!$C:$C,'community caseload'!$B$29,'caseload data'!$B:$B,{"licence","community"}))</f>
        <v>0</v>
      </c>
      <c r="P33" s="204">
        <f>SUM(SUMIFS('caseload data'!R:R,'caseload data'!$D:$D,"TPO",'caseload data'!$C:$C,'community caseload'!$B$29,'caseload data'!$B:$B,{"licence","community"}))</f>
        <v>0</v>
      </c>
      <c r="Q33" s="204">
        <f>SUM(SUMIFS('caseload data'!S:S,'caseload data'!$D:$D,"TPO",'caseload data'!$C:$C,'community caseload'!$B$29,'caseload data'!$B:$B,{"licence","community"}))</f>
        <v>0</v>
      </c>
      <c r="R33" s="204">
        <f>SUM(SUMIFS('caseload data'!T:T,'caseload data'!$D:$D,"TPO",'caseload data'!$C:$C,'community caseload'!$B$29,'caseload data'!$B:$B,{"licence","community"}))</f>
        <v>0</v>
      </c>
      <c r="S33" s="95"/>
      <c r="T33" s="130" t="s">
        <v>186</v>
      </c>
      <c r="U33" s="204">
        <f>SUM(SUMIFS('caseload data'!E:E,'caseload data'!$D:$D,"TPO",'caseload data'!$C:$C,'community caseload'!$T$29,'caseload data'!$B:$B,{"licence","community"}))</f>
        <v>0</v>
      </c>
      <c r="V33" s="204">
        <f>SUM(SUMIFS('caseload data'!F:F,'caseload data'!$D:$D,"TPO",'caseload data'!$C:$C,'community caseload'!$T$29,'caseload data'!$B:$B,{"licence","community"}))</f>
        <v>0</v>
      </c>
      <c r="W33" s="204">
        <f>SUM(SUMIFS('caseload data'!G:G,'caseload data'!$D:$D,"TPO",'caseload data'!$C:$C,'community caseload'!$T$29,'caseload data'!$B:$B,{"licence","community"}))</f>
        <v>0</v>
      </c>
      <c r="X33" s="204">
        <f>SUM(SUMIFS('caseload data'!H:H,'caseload data'!$D:$D,"TPO",'caseload data'!$C:$C,'community caseload'!$T$29,'caseload data'!$B:$B,{"licence","community"}))</f>
        <v>0</v>
      </c>
      <c r="Y33" s="204">
        <f>SUM(SUMIFS('caseload data'!I:I,'caseload data'!$D:$D,"TPO",'caseload data'!$C:$C,'community caseload'!$T$29,'caseload data'!$B:$B,{"licence","community"}))</f>
        <v>0</v>
      </c>
      <c r="Z33" s="204">
        <f>SUM(SUMIFS('caseload data'!J:J,'caseload data'!$D:$D,"TPO",'caseload data'!$C:$C,'community caseload'!$T$29,'caseload data'!$B:$B,{"licence","community"}))</f>
        <v>0</v>
      </c>
      <c r="AA33" s="204">
        <f>SUM(SUMIFS('caseload data'!K:K,'caseload data'!$D:$D,"TPO",'caseload data'!$C:$C,'community caseload'!$T$29,'caseload data'!$B:$B,{"licence","community"}))</f>
        <v>0</v>
      </c>
      <c r="AB33" s="204">
        <f>SUM(SUMIFS('caseload data'!L:L,'caseload data'!$D:$D,"TPO",'caseload data'!$C:$C,'community caseload'!$T$29,'caseload data'!$B:$B,{"licence","community"}))</f>
        <v>0</v>
      </c>
      <c r="AC33" s="204">
        <f>SUM(SUMIFS('caseload data'!M:M,'caseload data'!$D:$D,"TPO",'caseload data'!$C:$C,'community caseload'!$T$29,'caseload data'!$B:$B,{"licence","community"}))</f>
        <v>0</v>
      </c>
      <c r="AD33" s="204">
        <f>SUM(SUMIFS('caseload data'!N:N,'caseload data'!$D:$D,"TPO",'caseload data'!$C:$C,'community caseload'!$T$29,'caseload data'!$B:$B,{"licence","community"}))</f>
        <v>0</v>
      </c>
      <c r="AE33" s="204">
        <f>SUM(SUMIFS('caseload data'!O:O,'caseload data'!$D:$D,"TPO",'caseload data'!$C:$C,'community caseload'!$T$29,'caseload data'!$B:$B,{"licence","community"}))</f>
        <v>0</v>
      </c>
      <c r="AF33" s="204">
        <f>SUM(SUMIFS('caseload data'!P:P,'caseload data'!$D:$D,"TPO",'caseload data'!$C:$C,'community caseload'!$T$29,'caseload data'!$B:$B,{"licence","community"}))</f>
        <v>0</v>
      </c>
      <c r="AG33" s="204">
        <f>SUM(SUMIFS('caseload data'!Q:Q,'caseload data'!$D:$D,"TPO",'caseload data'!$C:$C,'community caseload'!$T$29,'caseload data'!$B:$B,{"licence","community"}))</f>
        <v>0</v>
      </c>
      <c r="AH33" s="204">
        <f>SUM(SUMIFS('caseload data'!R:R,'caseload data'!$D:$D,"TPO",'caseload data'!$C:$C,'community caseload'!$T$29,'caseload data'!$B:$B,{"licence","community"}))</f>
        <v>0</v>
      </c>
      <c r="AI33" s="204">
        <f>SUM(SUMIFS('caseload data'!S:S,'caseload data'!$D:$D,"TPO",'caseload data'!$C:$C,'community caseload'!$T$29,'caseload data'!$B:$B,{"licence","community"}))</f>
        <v>0</v>
      </c>
      <c r="AJ33" s="204">
        <f>SUM(SUMIFS('caseload data'!T:T,'caseload data'!$D:$D,"TPO",'caseload data'!$C:$C,'community caseload'!$T$29,'caseload data'!$B:$B,{"licence","community"}))</f>
        <v>0</v>
      </c>
    </row>
    <row r="34" spans="2:36" x14ac:dyDescent="0.15">
      <c r="B34" s="131" t="s">
        <v>187</v>
      </c>
      <c r="C34" s="204">
        <f>SUM(SUMIFS('caseload data'!E:E,'caseload data'!$D:$D,"SPO",'caseload data'!$C:$C,'community caseload'!$B$29,'caseload data'!$B:$B,{"licence","community"}))</f>
        <v>0</v>
      </c>
      <c r="D34" s="204">
        <f>SUM(SUMIFS('caseload data'!F:F,'caseload data'!$D:$D,"SPO",'caseload data'!$C:$C,'community caseload'!$B$29,'caseload data'!$B:$B,{"licence","community"}))</f>
        <v>0</v>
      </c>
      <c r="E34" s="204">
        <f>SUM(SUMIFS('caseload data'!G:G,'caseload data'!$D:$D,"SPO",'caseload data'!$C:$C,'community caseload'!$B$29,'caseload data'!$B:$B,{"licence","community"}))</f>
        <v>0</v>
      </c>
      <c r="F34" s="204">
        <f>SUM(SUMIFS('caseload data'!H:H,'caseload data'!$D:$D,"SPO",'caseload data'!$C:$C,'community caseload'!$B$29,'caseload data'!$B:$B,{"licence","community"}))</f>
        <v>0</v>
      </c>
      <c r="G34" s="204">
        <f>SUM(SUMIFS('caseload data'!I:I,'caseload data'!$D:$D,"SPO",'caseload data'!$C:$C,'community caseload'!$B$29,'caseload data'!$B:$B,{"licence","community"}))</f>
        <v>0</v>
      </c>
      <c r="H34" s="204">
        <f>SUM(SUMIFS('caseload data'!J:J,'caseload data'!$D:$D,"SPO",'caseload data'!$C:$C,'community caseload'!$B$29,'caseload data'!$B:$B,{"licence","community"}))</f>
        <v>0</v>
      </c>
      <c r="I34" s="204">
        <f>SUM(SUMIFS('caseload data'!K:K,'caseload data'!$D:$D,"SPO",'caseload data'!$C:$C,'community caseload'!$B$29,'caseload data'!$B:$B,{"licence","community"}))</f>
        <v>0</v>
      </c>
      <c r="J34" s="204">
        <f>SUM(SUMIFS('caseload data'!L:L,'caseload data'!$D:$D,"SPO",'caseload data'!$C:$C,'community caseload'!$B$29,'caseload data'!$B:$B,{"licence","community"}))</f>
        <v>0</v>
      </c>
      <c r="K34" s="204">
        <f>SUM(SUMIFS('caseload data'!M:M,'caseload data'!$D:$D,"SPO",'caseload data'!$C:$C,'community caseload'!$B$29,'caseload data'!$B:$B,{"licence","community"}))</f>
        <v>0</v>
      </c>
      <c r="L34" s="204">
        <f>SUM(SUMIFS('caseload data'!N:N,'caseload data'!$D:$D,"SPO",'caseload data'!$C:$C,'community caseload'!$B$29,'caseload data'!$B:$B,{"licence","community"}))</f>
        <v>0</v>
      </c>
      <c r="M34" s="204">
        <f>SUM(SUMIFS('caseload data'!O:O,'caseload data'!$D:$D,"SPO",'caseload data'!$C:$C,'community caseload'!$B$29,'caseload data'!$B:$B,{"licence","community"}))</f>
        <v>0</v>
      </c>
      <c r="N34" s="204">
        <f>SUM(SUMIFS('caseload data'!P:P,'caseload data'!$D:$D,"SPO",'caseload data'!$C:$C,'community caseload'!$B$29,'caseload data'!$B:$B,{"licence","community"}))</f>
        <v>0</v>
      </c>
      <c r="O34" s="204">
        <f>SUM(SUMIFS('caseload data'!Q:Q,'caseload data'!$D:$D,"SPO",'caseload data'!$C:$C,'community caseload'!$B$29,'caseload data'!$B:$B,{"licence","community"}))</f>
        <v>0</v>
      </c>
      <c r="P34" s="204">
        <f>SUM(SUMIFS('caseload data'!R:R,'caseload data'!$D:$D,"SPO",'caseload data'!$C:$C,'community caseload'!$B$29,'caseload data'!$B:$B,{"licence","community"}))</f>
        <v>0</v>
      </c>
      <c r="Q34" s="204">
        <f>SUM(SUMIFS('caseload data'!S:S,'caseload data'!$D:$D,"SPO",'caseload data'!$C:$C,'community caseload'!$B$29,'caseload data'!$B:$B,{"licence","community"}))</f>
        <v>0</v>
      </c>
      <c r="R34" s="204">
        <f>SUM(SUMIFS('caseload data'!T:T,'caseload data'!$D:$D,"SPO",'caseload data'!$C:$C,'community caseload'!$B$29,'caseload data'!$B:$B,{"licence","community"}))</f>
        <v>0</v>
      </c>
      <c r="S34" s="95"/>
      <c r="T34" s="131" t="s">
        <v>187</v>
      </c>
      <c r="U34" s="204">
        <f>SUM(SUMIFS('caseload data'!E:E,'caseload data'!$D:$D,"SPO",'caseload data'!$C:$C,'community caseload'!$T$29,'caseload data'!$B:$B,{"licence","community"}))</f>
        <v>0</v>
      </c>
      <c r="V34" s="204">
        <f>SUM(SUMIFS('caseload data'!F:F,'caseload data'!$D:$D,"SPO",'caseload data'!$C:$C,'community caseload'!$T$29,'caseload data'!$B:$B,{"licence","community"}))</f>
        <v>0</v>
      </c>
      <c r="W34" s="204">
        <f>SUM(SUMIFS('caseload data'!G:G,'caseload data'!$D:$D,"SPO",'caseload data'!$C:$C,'community caseload'!$T$29,'caseload data'!$B:$B,{"licence","community"}))</f>
        <v>0</v>
      </c>
      <c r="X34" s="204">
        <f>SUM(SUMIFS('caseload data'!H:H,'caseload data'!$D:$D,"SPO",'caseload data'!$C:$C,'community caseload'!$T$29,'caseload data'!$B:$B,{"licence","community"}))</f>
        <v>0</v>
      </c>
      <c r="Y34" s="204">
        <f>SUM(SUMIFS('caseload data'!I:I,'caseload data'!$D:$D,"SPO",'caseload data'!$C:$C,'community caseload'!$T$29,'caseload data'!$B:$B,{"licence","community"}))</f>
        <v>0</v>
      </c>
      <c r="Z34" s="204">
        <f>SUM(SUMIFS('caseload data'!J:J,'caseload data'!$D:$D,"SPO",'caseload data'!$C:$C,'community caseload'!$T$29,'caseload data'!$B:$B,{"licence","community"}))</f>
        <v>0</v>
      </c>
      <c r="AA34" s="204">
        <f>SUM(SUMIFS('caseload data'!K:K,'caseload data'!$D:$D,"SPO",'caseload data'!$C:$C,'community caseload'!$T$29,'caseload data'!$B:$B,{"licence","community"}))</f>
        <v>0</v>
      </c>
      <c r="AB34" s="204">
        <f>SUM(SUMIFS('caseload data'!L:L,'caseload data'!$D:$D,"SPO",'caseload data'!$C:$C,'community caseload'!$T$29,'caseload data'!$B:$B,{"licence","community"}))</f>
        <v>0</v>
      </c>
      <c r="AC34" s="204">
        <f>SUM(SUMIFS('caseload data'!M:M,'caseload data'!$D:$D,"SPO",'caseload data'!$C:$C,'community caseload'!$T$29,'caseload data'!$B:$B,{"licence","community"}))</f>
        <v>0</v>
      </c>
      <c r="AD34" s="204">
        <f>SUM(SUMIFS('caseload data'!N:N,'caseload data'!$D:$D,"SPO",'caseload data'!$C:$C,'community caseload'!$T$29,'caseload data'!$B:$B,{"licence","community"}))</f>
        <v>0</v>
      </c>
      <c r="AE34" s="204">
        <f>SUM(SUMIFS('caseload data'!O:O,'caseload data'!$D:$D,"SPO",'caseload data'!$C:$C,'community caseload'!$T$29,'caseload data'!$B:$B,{"licence","community"}))</f>
        <v>0</v>
      </c>
      <c r="AF34" s="204">
        <f>SUM(SUMIFS('caseload data'!P:P,'caseload data'!$D:$D,"SPO",'caseload data'!$C:$C,'community caseload'!$T$29,'caseload data'!$B:$B,{"licence","community"}))</f>
        <v>0</v>
      </c>
      <c r="AG34" s="204">
        <f>SUM(SUMIFS('caseload data'!Q:Q,'caseload data'!$D:$D,"SPO",'caseload data'!$C:$C,'community caseload'!$T$29,'caseload data'!$B:$B,{"licence","community"}))</f>
        <v>0</v>
      </c>
      <c r="AH34" s="204">
        <f>SUM(SUMIFS('caseload data'!R:R,'caseload data'!$D:$D,"SPO",'caseload data'!$C:$C,'community caseload'!$T$29,'caseload data'!$B:$B,{"licence","community"}))</f>
        <v>0</v>
      </c>
      <c r="AI34" s="204">
        <f>SUM(SUMIFS('caseload data'!S:S,'caseload data'!$D:$D,"SPO",'caseload data'!$C:$C,'community caseload'!$T$29,'caseload data'!$B:$B,{"licence","community"}))</f>
        <v>0</v>
      </c>
      <c r="AJ34" s="204">
        <f>SUM(SUMIFS('caseload data'!T:T,'caseload data'!$D:$D,"SPO",'caseload data'!$C:$C,'community caseload'!$T$29,'caseload data'!$B:$B,{"licence","community"}))</f>
        <v>0</v>
      </c>
    </row>
    <row r="35" spans="2:36" x14ac:dyDescent="0.15">
      <c r="B35" s="183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183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</row>
    <row r="36" spans="2:36" ht="42.75" customHeight="1" x14ac:dyDescent="0.15">
      <c r="B36" s="182" t="str">
        <f>HLOOKUP($B$5,Region_Table,10,0)</f>
        <v>Portsmouth and IoW</v>
      </c>
      <c r="C36" s="359" t="s">
        <v>369</v>
      </c>
      <c r="D36" s="365"/>
      <c r="E36" s="365"/>
      <c r="F36" s="365"/>
      <c r="G36" s="365"/>
      <c r="H36" s="365"/>
      <c r="I36" s="365"/>
      <c r="J36" s="365"/>
      <c r="K36" s="365"/>
      <c r="L36" s="365"/>
      <c r="M36" s="368"/>
      <c r="N36" s="368"/>
      <c r="O36" s="369"/>
      <c r="P36" s="362" cm="1">
        <f t="array" ref="P36">SUM(SUMIFS('caseload data'!V:V,'caseload data'!B:B,{"licence","community"},'caseload data'!$C:$C,'community caseload'!B36))</f>
        <v>0</v>
      </c>
      <c r="Q36" s="370"/>
      <c r="R36" s="371"/>
      <c r="S36" s="95"/>
      <c r="T36" s="182" t="str">
        <f>HLOOKUP($B$5,Region_Table,11,0)</f>
        <v>Public Protection Community</v>
      </c>
      <c r="U36" s="359" t="s">
        <v>368</v>
      </c>
      <c r="V36" s="365"/>
      <c r="W36" s="365"/>
      <c r="X36" s="365"/>
      <c r="Y36" s="365"/>
      <c r="Z36" s="365"/>
      <c r="AA36" s="365"/>
      <c r="AB36" s="365"/>
      <c r="AC36" s="365"/>
      <c r="AD36" s="365"/>
      <c r="AE36" s="368"/>
      <c r="AF36" s="368"/>
      <c r="AG36" s="369"/>
      <c r="AH36" s="362" cm="1">
        <f t="array" ref="AH36">SUM(SUMIFS('caseload data'!V:V,'caseload data'!B:B,{"licence","community"},'caseload data'!$C:$C,'community caseload'!T36))</f>
        <v>0</v>
      </c>
      <c r="AI36" s="370"/>
      <c r="AJ36" s="371"/>
    </row>
    <row r="37" spans="2:36" x14ac:dyDescent="0.15">
      <c r="B37" s="127" t="s">
        <v>324</v>
      </c>
      <c r="C37" s="58" t="s">
        <v>504</v>
      </c>
      <c r="D37" s="58" t="s">
        <v>503</v>
      </c>
      <c r="E37" s="58" t="s">
        <v>502</v>
      </c>
      <c r="F37" s="58" t="s">
        <v>501</v>
      </c>
      <c r="G37" s="58" t="s">
        <v>510</v>
      </c>
      <c r="H37" s="58" t="s">
        <v>176</v>
      </c>
      <c r="I37" s="58" t="s">
        <v>177</v>
      </c>
      <c r="J37" s="58" t="s">
        <v>505</v>
      </c>
      <c r="K37" s="58" t="s">
        <v>507</v>
      </c>
      <c r="L37" s="58" t="s">
        <v>178</v>
      </c>
      <c r="M37" s="58" t="s">
        <v>179</v>
      </c>
      <c r="N37" s="58" t="s">
        <v>506</v>
      </c>
      <c r="O37" s="58" t="s">
        <v>508</v>
      </c>
      <c r="P37" s="58" t="s">
        <v>180</v>
      </c>
      <c r="Q37" s="58" t="s">
        <v>181</v>
      </c>
      <c r="R37" s="58" t="s">
        <v>509</v>
      </c>
      <c r="S37" s="95"/>
      <c r="T37" s="127" t="s">
        <v>324</v>
      </c>
      <c r="U37" s="58" t="s">
        <v>504</v>
      </c>
      <c r="V37" s="58" t="s">
        <v>503</v>
      </c>
      <c r="W37" s="58" t="s">
        <v>502</v>
      </c>
      <c r="X37" s="58" t="s">
        <v>501</v>
      </c>
      <c r="Y37" s="58" t="s">
        <v>510</v>
      </c>
      <c r="Z37" s="58" t="s">
        <v>176</v>
      </c>
      <c r="AA37" s="58" t="s">
        <v>177</v>
      </c>
      <c r="AB37" s="58" t="s">
        <v>505</v>
      </c>
      <c r="AC37" s="58" t="s">
        <v>507</v>
      </c>
      <c r="AD37" s="58" t="s">
        <v>178</v>
      </c>
      <c r="AE37" s="58" t="s">
        <v>179</v>
      </c>
      <c r="AF37" s="58" t="s">
        <v>506</v>
      </c>
      <c r="AG37" s="58" t="s">
        <v>508</v>
      </c>
      <c r="AH37" s="58" t="s">
        <v>180</v>
      </c>
      <c r="AI37" s="58" t="s">
        <v>181</v>
      </c>
      <c r="AJ37" s="58" t="s">
        <v>509</v>
      </c>
    </row>
    <row r="38" spans="2:36" x14ac:dyDescent="0.15">
      <c r="B38" s="129" t="s">
        <v>184</v>
      </c>
      <c r="C38" s="204">
        <f>SUM(SUMIFS('caseload data'!E:E,'caseload data'!$D:$D,"PO",'caseload data'!$C:$C,'community caseload'!$B$36,'caseload data'!$B:$B,{"licence","community"}))</f>
        <v>0</v>
      </c>
      <c r="D38" s="204">
        <f>SUM(SUMIFS('caseload data'!F:F,'caseload data'!$D:$D,"PO",'caseload data'!$C:$C,'community caseload'!$B$36,'caseload data'!$B:$B,{"licence","community"}))</f>
        <v>0</v>
      </c>
      <c r="E38" s="204">
        <f>SUM(SUMIFS('caseload data'!G:G,'caseload data'!$D:$D,"PO",'caseload data'!$C:$C,'community caseload'!$B$36,'caseload data'!$B:$B,{"licence","community"}))</f>
        <v>0</v>
      </c>
      <c r="F38" s="204">
        <f>SUM(SUMIFS('caseload data'!H:H,'caseload data'!$D:$D,"PO",'caseload data'!$C:$C,'community caseload'!$B$36,'caseload data'!$B:$B,{"licence","community"}))</f>
        <v>0</v>
      </c>
      <c r="G38" s="204">
        <f>SUM(SUMIFS('caseload data'!I:I,'caseload data'!$D:$D,"PO",'caseload data'!$C:$C,'community caseload'!$B$36,'caseload data'!$B:$B,{"licence","community"}))</f>
        <v>0</v>
      </c>
      <c r="H38" s="204">
        <f>SUM(SUMIFS('caseload data'!J:J,'caseload data'!$D:$D,"PO",'caseload data'!$C:$C,'community caseload'!$B$36,'caseload data'!$B:$B,{"licence","community"}))</f>
        <v>0</v>
      </c>
      <c r="I38" s="204">
        <f>SUM(SUMIFS('caseload data'!K:K,'caseload data'!$D:$D,"PO",'caseload data'!$C:$C,'community caseload'!$B$36,'caseload data'!$B:$B,{"licence","community"}))</f>
        <v>0</v>
      </c>
      <c r="J38" s="204">
        <f>SUM(SUMIFS('caseload data'!L:L,'caseload data'!$D:$D,"PO",'caseload data'!$C:$C,'community caseload'!$B$36,'caseload data'!$B:$B,{"licence","community"}))</f>
        <v>0</v>
      </c>
      <c r="K38" s="204">
        <f>SUM(SUMIFS('caseload data'!M:M,'caseload data'!$D:$D,"PO",'caseload data'!$C:$C,'community caseload'!$B$36,'caseload data'!$B:$B,{"licence","community"}))</f>
        <v>0</v>
      </c>
      <c r="L38" s="204">
        <f>SUM(SUMIFS('caseload data'!N:N,'caseload data'!$D:$D,"PO",'caseload data'!$C:$C,'community caseload'!$B$36,'caseload data'!$B:$B,{"licence","community"}))</f>
        <v>0</v>
      </c>
      <c r="M38" s="204">
        <f>SUM(SUMIFS('caseload data'!O:O,'caseload data'!$D:$D,"PO",'caseload data'!$C:$C,'community caseload'!$B$36,'caseload data'!$B:$B,{"licence","community"}))</f>
        <v>0</v>
      </c>
      <c r="N38" s="204">
        <f>SUM(SUMIFS('caseload data'!P:P,'caseload data'!$D:$D,"PO",'caseload data'!$C:$C,'community caseload'!$B$36,'caseload data'!$B:$B,{"licence","community"}))</f>
        <v>0</v>
      </c>
      <c r="O38" s="204">
        <f>SUM(SUMIFS('caseload data'!Q:Q,'caseload data'!$D:$D,"PO",'caseload data'!$C:$C,'community caseload'!$B$36,'caseload data'!$B:$B,{"licence","community"}))</f>
        <v>0</v>
      </c>
      <c r="P38" s="204">
        <f>SUM(SUMIFS('caseload data'!R:R,'caseload data'!$D:$D,"PO",'caseload data'!$C:$C,'community caseload'!$B$36,'caseload data'!$B:$B,{"licence","community"}))</f>
        <v>0</v>
      </c>
      <c r="Q38" s="204">
        <f>SUM(SUMIFS('caseload data'!S:S,'caseload data'!$D:$D,"PO",'caseload data'!$C:$C,'community caseload'!$B$36,'caseload data'!$B:$B,{"licence","community"}))</f>
        <v>0</v>
      </c>
      <c r="R38" s="204">
        <f>SUM(SUMIFS('caseload data'!T:T,'caseload data'!$D:$D,"PO",'caseload data'!$C:$C,'community caseload'!$B$36,'caseload data'!$B:$B,{"licence","community"}))</f>
        <v>0</v>
      </c>
      <c r="S38" s="95"/>
      <c r="T38" s="129" t="s">
        <v>184</v>
      </c>
      <c r="U38" s="204">
        <f>SUM(SUMIFS('caseload data'!E:E,'caseload data'!$D:$D,"PO",'caseload data'!$C:$C,'community caseload'!$T$36,'caseload data'!$B:$B,{"licence","community"}))</f>
        <v>0</v>
      </c>
      <c r="V38" s="204">
        <f>SUM(SUMIFS('caseload data'!F:F,'caseload data'!$D:$D,"PO",'caseload data'!$C:$C,'community caseload'!$T$36,'caseload data'!$B:$B,{"licence","community"}))</f>
        <v>0</v>
      </c>
      <c r="W38" s="204">
        <f>SUM(SUMIFS('caseload data'!G:G,'caseload data'!$D:$D,"PO",'caseload data'!$C:$C,'community caseload'!$T$36,'caseload data'!$B:$B,{"licence","community"}))</f>
        <v>0</v>
      </c>
      <c r="X38" s="204">
        <f>SUM(SUMIFS('caseload data'!H:H,'caseload data'!$D:$D,"PO",'caseload data'!$C:$C,'community caseload'!$T$36,'caseload data'!$B:$B,{"licence","community"}))</f>
        <v>0</v>
      </c>
      <c r="Y38" s="204">
        <f>SUM(SUMIFS('caseload data'!I:I,'caseload data'!$D:$D,"PO",'caseload data'!$C:$C,'community caseload'!$T$36,'caseload data'!$B:$B,{"licence","community"}))</f>
        <v>0</v>
      </c>
      <c r="Z38" s="204">
        <f>SUM(SUMIFS('caseload data'!J:J,'caseload data'!$D:$D,"PO",'caseload data'!$C:$C,'community caseload'!$T$36,'caseload data'!$B:$B,{"licence","community"}))</f>
        <v>0</v>
      </c>
      <c r="AA38" s="204">
        <f>SUM(SUMIFS('caseload data'!K:K,'caseload data'!$D:$D,"PO",'caseload data'!$C:$C,'community caseload'!$T$36,'caseload data'!$B:$B,{"licence","community"}))</f>
        <v>0</v>
      </c>
      <c r="AB38" s="204">
        <f>SUM(SUMIFS('caseload data'!L:L,'caseload data'!$D:$D,"PO",'caseload data'!$C:$C,'community caseload'!$T$36,'caseload data'!$B:$B,{"licence","community"}))</f>
        <v>0</v>
      </c>
      <c r="AC38" s="204">
        <f>SUM(SUMIFS('caseload data'!M:M,'caseload data'!$D:$D,"PO",'caseload data'!$C:$C,'community caseload'!$T$36,'caseload data'!$B:$B,{"licence","community"}))</f>
        <v>0</v>
      </c>
      <c r="AD38" s="204">
        <f>SUM(SUMIFS('caseload data'!N:N,'caseload data'!$D:$D,"PO",'caseload data'!$C:$C,'community caseload'!$T$36,'caseload data'!$B:$B,{"licence","community"}))</f>
        <v>0</v>
      </c>
      <c r="AE38" s="204">
        <f>SUM(SUMIFS('caseload data'!O:O,'caseload data'!$D:$D,"PO",'caseload data'!$C:$C,'community caseload'!$T$36,'caseload data'!$B:$B,{"licence","community"}))</f>
        <v>0</v>
      </c>
      <c r="AF38" s="204">
        <f>SUM(SUMIFS('caseload data'!P:P,'caseload data'!$D:$D,"PO",'caseload data'!$C:$C,'community caseload'!$T$36,'caseload data'!$B:$B,{"licence","community"}))</f>
        <v>0</v>
      </c>
      <c r="AG38" s="204">
        <f>SUM(SUMIFS('caseload data'!Q:Q,'caseload data'!$D:$D,"PO",'caseload data'!$C:$C,'community caseload'!$T$36,'caseload data'!$B:$B,{"licence","community"}))</f>
        <v>0</v>
      </c>
      <c r="AH38" s="204">
        <f>SUM(SUMIFS('caseload data'!R:R,'caseload data'!$D:$D,"PO",'caseload data'!$C:$C,'community caseload'!$T$36,'caseload data'!$B:$B,{"licence","community"}))</f>
        <v>0</v>
      </c>
      <c r="AI38" s="204">
        <f>SUM(SUMIFS('caseload data'!S:S,'caseload data'!$D:$D,"PO",'caseload data'!$C:$C,'community caseload'!$T$36,'caseload data'!$B:$B,{"licence","community"}))</f>
        <v>0</v>
      </c>
      <c r="AJ38" s="204">
        <f>SUM(SUMIFS('caseload data'!T:T,'caseload data'!$D:$D,"PO",'caseload data'!$C:$C,'community caseload'!$T$36,'caseload data'!$B:$B,{"licence","community"}))</f>
        <v>0</v>
      </c>
    </row>
    <row r="39" spans="2:36" x14ac:dyDescent="0.15">
      <c r="B39" s="130" t="s">
        <v>185</v>
      </c>
      <c r="C39" s="204">
        <f>SUM(SUMIFS('caseload data'!E:E,'caseload data'!$D:$D,"PSO",'caseload data'!$C:$C,'community caseload'!$B$36,'caseload data'!$B:$B,{"licence","community"}))</f>
        <v>0</v>
      </c>
      <c r="D39" s="204">
        <f>SUM(SUMIFS('caseload data'!F:F,'caseload data'!$D:$D,"PSO",'caseload data'!$C:$C,'community caseload'!$B$36,'caseload data'!$B:$B,{"licence","community"}))</f>
        <v>0</v>
      </c>
      <c r="E39" s="204">
        <f>SUM(SUMIFS('caseload data'!G:G,'caseload data'!$D:$D,"PSO",'caseload data'!$C:$C,'community caseload'!$B$36,'caseload data'!$B:$B,{"licence","community"}))</f>
        <v>0</v>
      </c>
      <c r="F39" s="204">
        <f>SUM(SUMIFS('caseload data'!H:H,'caseload data'!$D:$D,"PSO",'caseload data'!$C:$C,'community caseload'!$B$36,'caseload data'!$B:$B,{"licence","community"}))</f>
        <v>0</v>
      </c>
      <c r="G39" s="204">
        <f>SUM(SUMIFS('caseload data'!I:I,'caseload data'!$D:$D,"PSO",'caseload data'!$C:$C,'community caseload'!$B$36,'caseload data'!$B:$B,{"licence","community"}))</f>
        <v>0</v>
      </c>
      <c r="H39" s="204">
        <f>SUM(SUMIFS('caseload data'!J:J,'caseload data'!$D:$D,"PSO",'caseload data'!$C:$C,'community caseload'!$B$36,'caseload data'!$B:$B,{"licence","community"}))</f>
        <v>0</v>
      </c>
      <c r="I39" s="204">
        <f>SUM(SUMIFS('caseload data'!K:K,'caseload data'!$D:$D,"PSO",'caseload data'!$C:$C,'community caseload'!$B$36,'caseload data'!$B:$B,{"licence","community"}))</f>
        <v>0</v>
      </c>
      <c r="J39" s="204">
        <f>SUM(SUMIFS('caseload data'!L:L,'caseload data'!$D:$D,"PSO",'caseload data'!$C:$C,'community caseload'!$B$36,'caseload data'!$B:$B,{"licence","community"}))</f>
        <v>0</v>
      </c>
      <c r="K39" s="204">
        <f>SUM(SUMIFS('caseload data'!M:M,'caseload data'!$D:$D,"PSO",'caseload data'!$C:$C,'community caseload'!$B$36,'caseload data'!$B:$B,{"licence","community"}))</f>
        <v>0</v>
      </c>
      <c r="L39" s="204">
        <f>SUM(SUMIFS('caseload data'!N:N,'caseload data'!$D:$D,"PSO",'caseload data'!$C:$C,'community caseload'!$B$36,'caseload data'!$B:$B,{"licence","community"}))</f>
        <v>0</v>
      </c>
      <c r="M39" s="204">
        <f>SUM(SUMIFS('caseload data'!O:O,'caseload data'!$D:$D,"PSO",'caseload data'!$C:$C,'community caseload'!$B$36,'caseload data'!$B:$B,{"licence","community"}))</f>
        <v>0</v>
      </c>
      <c r="N39" s="204">
        <f>SUM(SUMIFS('caseload data'!P:P,'caseload data'!$D:$D,"PSO",'caseload data'!$C:$C,'community caseload'!$B$36,'caseload data'!$B:$B,{"licence","community"}))</f>
        <v>0</v>
      </c>
      <c r="O39" s="204">
        <f>SUM(SUMIFS('caseload data'!Q:Q,'caseload data'!$D:$D,"PSO",'caseload data'!$C:$C,'community caseload'!$B$36,'caseload data'!$B:$B,{"licence","community"}))</f>
        <v>0</v>
      </c>
      <c r="P39" s="204">
        <f>SUM(SUMIFS('caseload data'!R:R,'caseload data'!$D:$D,"PSO",'caseload data'!$C:$C,'community caseload'!$B$36,'caseload data'!$B:$B,{"licence","community"}))</f>
        <v>0</v>
      </c>
      <c r="Q39" s="204">
        <f>SUM(SUMIFS('caseload data'!S:S,'caseload data'!$D:$D,"PSO",'caseload data'!$C:$C,'community caseload'!$B$36,'caseload data'!$B:$B,{"licence","community"}))</f>
        <v>0</v>
      </c>
      <c r="R39" s="204">
        <f>SUM(SUMIFS('caseload data'!T:T,'caseload data'!$D:$D,"PSO",'caseload data'!$C:$C,'community caseload'!$B$36,'caseload data'!$B:$B,{"licence","community"}))</f>
        <v>0</v>
      </c>
      <c r="S39" s="95"/>
      <c r="T39" s="130" t="s">
        <v>185</v>
      </c>
      <c r="U39" s="204">
        <f>SUM(SUMIFS('caseload data'!E:E,'caseload data'!$D:$D,"PSO",'caseload data'!$C:$C,'community caseload'!$T$36,'caseload data'!$B:$B,{"licence","community"}))</f>
        <v>0</v>
      </c>
      <c r="V39" s="204">
        <f>SUM(SUMIFS('caseload data'!F:F,'caseload data'!$D:$D,"PSO",'caseload data'!$C:$C,'community caseload'!$T$36,'caseload data'!$B:$B,{"licence","community"}))</f>
        <v>0</v>
      </c>
      <c r="W39" s="204">
        <f>SUM(SUMIFS('caseload data'!G:G,'caseload data'!$D:$D,"PSO",'caseload data'!$C:$C,'community caseload'!$T$36,'caseload data'!$B:$B,{"licence","community"}))</f>
        <v>0</v>
      </c>
      <c r="X39" s="204">
        <f>SUM(SUMIFS('caseload data'!H:H,'caseload data'!$D:$D,"PSO",'caseload data'!$C:$C,'community caseload'!$T$36,'caseload data'!$B:$B,{"licence","community"}))</f>
        <v>0</v>
      </c>
      <c r="Y39" s="204">
        <f>SUM(SUMIFS('caseload data'!I:I,'caseload data'!$D:$D,"PSO",'caseload data'!$C:$C,'community caseload'!$T$36,'caseload data'!$B:$B,{"licence","community"}))</f>
        <v>0</v>
      </c>
      <c r="Z39" s="204">
        <f>SUM(SUMIFS('caseload data'!J:J,'caseload data'!$D:$D,"PSO",'caseload data'!$C:$C,'community caseload'!$T$36,'caseload data'!$B:$B,{"licence","community"}))</f>
        <v>0</v>
      </c>
      <c r="AA39" s="204">
        <f>SUM(SUMIFS('caseload data'!K:K,'caseload data'!$D:$D,"PSO",'caseload data'!$C:$C,'community caseload'!$T$36,'caseload data'!$B:$B,{"licence","community"}))</f>
        <v>0</v>
      </c>
      <c r="AB39" s="204">
        <f>SUM(SUMIFS('caseload data'!L:L,'caseload data'!$D:$D,"PSO",'caseload data'!$C:$C,'community caseload'!$T$36,'caseload data'!$B:$B,{"licence","community"}))</f>
        <v>0</v>
      </c>
      <c r="AC39" s="204">
        <f>SUM(SUMIFS('caseload data'!M:M,'caseload data'!$D:$D,"PSO",'caseload data'!$C:$C,'community caseload'!$T$36,'caseload data'!$B:$B,{"licence","community"}))</f>
        <v>0</v>
      </c>
      <c r="AD39" s="204">
        <f>SUM(SUMIFS('caseload data'!N:N,'caseload data'!$D:$D,"PSO",'caseload data'!$C:$C,'community caseload'!$T$36,'caseload data'!$B:$B,{"licence","community"}))</f>
        <v>0</v>
      </c>
      <c r="AE39" s="204">
        <f>SUM(SUMIFS('caseload data'!O:O,'caseload data'!$D:$D,"PSO",'caseload data'!$C:$C,'community caseload'!$T$36,'caseload data'!$B:$B,{"licence","community"}))</f>
        <v>0</v>
      </c>
      <c r="AF39" s="204">
        <f>SUM(SUMIFS('caseload data'!P:P,'caseload data'!$D:$D,"PSO",'caseload data'!$C:$C,'community caseload'!$T$36,'caseload data'!$B:$B,{"licence","community"}))</f>
        <v>0</v>
      </c>
      <c r="AG39" s="204">
        <f>SUM(SUMIFS('caseload data'!Q:Q,'caseload data'!$D:$D,"PSO",'caseload data'!$C:$C,'community caseload'!$T$36,'caseload data'!$B:$B,{"licence","community"}))</f>
        <v>0</v>
      </c>
      <c r="AH39" s="204">
        <f>SUM(SUMIFS('caseload data'!R:R,'caseload data'!$D:$D,"PSO",'caseload data'!$C:$C,'community caseload'!$T$36,'caseload data'!$B:$B,{"licence","community"}))</f>
        <v>0</v>
      </c>
      <c r="AI39" s="204">
        <f>SUM(SUMIFS('caseload data'!S:S,'caseload data'!$D:$D,"PSO",'caseload data'!$C:$C,'community caseload'!$T$36,'caseload data'!$B:$B,{"licence","community"}))</f>
        <v>0</v>
      </c>
      <c r="AJ39" s="204">
        <f>SUM(SUMIFS('caseload data'!T:T,'caseload data'!$D:$D,"PSO",'caseload data'!$C:$C,'community caseload'!$T$36,'caseload data'!$B:$B,{"licence","community"}))</f>
        <v>0</v>
      </c>
    </row>
    <row r="40" spans="2:36" x14ac:dyDescent="0.15">
      <c r="B40" s="130" t="s">
        <v>186</v>
      </c>
      <c r="C40" s="204">
        <f>SUM(SUMIFS('caseload data'!E:E,'caseload data'!$D:$D,"TPO",'caseload data'!$C:$C,'community caseload'!$B$36,'caseload data'!$B:$B,{"licence","community"}))</f>
        <v>0</v>
      </c>
      <c r="D40" s="204">
        <f>SUM(SUMIFS('caseload data'!F:F,'caseload data'!$D:$D,"TPO",'caseload data'!$C:$C,'community caseload'!$B$36,'caseload data'!$B:$B,{"licence","community"}))</f>
        <v>0</v>
      </c>
      <c r="E40" s="204">
        <f>SUM(SUMIFS('caseload data'!G:G,'caseload data'!$D:$D,"TPO",'caseload data'!$C:$C,'community caseload'!$B$36,'caseload data'!$B:$B,{"licence","community"}))</f>
        <v>0</v>
      </c>
      <c r="F40" s="204">
        <f>SUM(SUMIFS('caseload data'!H:H,'caseload data'!$D:$D,"TPO",'caseload data'!$C:$C,'community caseload'!$B$36,'caseload data'!$B:$B,{"licence","community"}))</f>
        <v>0</v>
      </c>
      <c r="G40" s="204">
        <f>SUM(SUMIFS('caseload data'!I:I,'caseload data'!$D:$D,"TPO",'caseload data'!$C:$C,'community caseload'!$B$36,'caseload data'!$B:$B,{"licence","community"}))</f>
        <v>0</v>
      </c>
      <c r="H40" s="204">
        <f>SUM(SUMIFS('caseload data'!J:J,'caseload data'!$D:$D,"TPO",'caseload data'!$C:$C,'community caseload'!$B$36,'caseload data'!$B:$B,{"licence","community"}))</f>
        <v>0</v>
      </c>
      <c r="I40" s="204">
        <f>SUM(SUMIFS('caseload data'!K:K,'caseload data'!$D:$D,"TPO",'caseload data'!$C:$C,'community caseload'!$B$36,'caseload data'!$B:$B,{"licence","community"}))</f>
        <v>0</v>
      </c>
      <c r="J40" s="204">
        <f>SUM(SUMIFS('caseload data'!L:L,'caseload data'!$D:$D,"TPO",'caseload data'!$C:$C,'community caseload'!$B$36,'caseload data'!$B:$B,{"licence","community"}))</f>
        <v>0</v>
      </c>
      <c r="K40" s="204">
        <f>SUM(SUMIFS('caseload data'!M:M,'caseload data'!$D:$D,"TPO",'caseload data'!$C:$C,'community caseload'!$B$36,'caseload data'!$B:$B,{"licence","community"}))</f>
        <v>0</v>
      </c>
      <c r="L40" s="204">
        <f>SUM(SUMIFS('caseload data'!N:N,'caseload data'!$D:$D,"TPO",'caseload data'!$C:$C,'community caseload'!$B$36,'caseload data'!$B:$B,{"licence","community"}))</f>
        <v>0</v>
      </c>
      <c r="M40" s="204">
        <f>SUM(SUMIFS('caseload data'!O:O,'caseload data'!$D:$D,"TPO",'caseload data'!$C:$C,'community caseload'!$B$36,'caseload data'!$B:$B,{"licence","community"}))</f>
        <v>0</v>
      </c>
      <c r="N40" s="204">
        <f>SUM(SUMIFS('caseload data'!P:P,'caseload data'!$D:$D,"TPO",'caseload data'!$C:$C,'community caseload'!$B$36,'caseload data'!$B:$B,{"licence","community"}))</f>
        <v>0</v>
      </c>
      <c r="O40" s="204">
        <f>SUM(SUMIFS('caseload data'!Q:Q,'caseload data'!$D:$D,"TPO",'caseload data'!$C:$C,'community caseload'!$B$36,'caseload data'!$B:$B,{"licence","community"}))</f>
        <v>0</v>
      </c>
      <c r="P40" s="204">
        <f>SUM(SUMIFS('caseload data'!R:R,'caseload data'!$D:$D,"TPO",'caseload data'!$C:$C,'community caseload'!$B$36,'caseload data'!$B:$B,{"licence","community"}))</f>
        <v>0</v>
      </c>
      <c r="Q40" s="204">
        <f>SUM(SUMIFS('caseload data'!S:S,'caseload data'!$D:$D,"TPO",'caseload data'!$C:$C,'community caseload'!$B$36,'caseload data'!$B:$B,{"licence","community"}))</f>
        <v>0</v>
      </c>
      <c r="R40" s="204">
        <f>SUM(SUMIFS('caseload data'!T:T,'caseload data'!$D:$D,"TPO",'caseload data'!$C:$C,'community caseload'!$B$36,'caseload data'!$B:$B,{"licence","community"}))</f>
        <v>0</v>
      </c>
      <c r="S40" s="95"/>
      <c r="T40" s="130" t="s">
        <v>186</v>
      </c>
      <c r="U40" s="204">
        <f>SUM(SUMIFS('caseload data'!E:E,'caseload data'!$D:$D,"TPO",'caseload data'!$C:$C,'community caseload'!$T$36,'caseload data'!$B:$B,{"licence","community"}))</f>
        <v>0</v>
      </c>
      <c r="V40" s="204">
        <f>SUM(SUMIFS('caseload data'!F:F,'caseload data'!$D:$D,"TPO",'caseload data'!$C:$C,'community caseload'!$T$36,'caseload data'!$B:$B,{"licence","community"}))</f>
        <v>0</v>
      </c>
      <c r="W40" s="204">
        <f>SUM(SUMIFS('caseload data'!G:G,'caseload data'!$D:$D,"TPO",'caseload data'!$C:$C,'community caseload'!$T$36,'caseload data'!$B:$B,{"licence","community"}))</f>
        <v>0</v>
      </c>
      <c r="X40" s="204">
        <f>SUM(SUMIFS('caseload data'!H:H,'caseload data'!$D:$D,"TPO",'caseload data'!$C:$C,'community caseload'!$T$36,'caseload data'!$B:$B,{"licence","community"}))</f>
        <v>0</v>
      </c>
      <c r="Y40" s="204">
        <f>SUM(SUMIFS('caseload data'!I:I,'caseload data'!$D:$D,"TPO",'caseload data'!$C:$C,'community caseload'!$T$36,'caseload data'!$B:$B,{"licence","community"}))</f>
        <v>0</v>
      </c>
      <c r="Z40" s="204">
        <f>SUM(SUMIFS('caseload data'!J:J,'caseload data'!$D:$D,"TPO",'caseload data'!$C:$C,'community caseload'!$T$36,'caseload data'!$B:$B,{"licence","community"}))</f>
        <v>0</v>
      </c>
      <c r="AA40" s="204">
        <f>SUM(SUMIFS('caseload data'!K:K,'caseload data'!$D:$D,"TPO",'caseload data'!$C:$C,'community caseload'!$T$36,'caseload data'!$B:$B,{"licence","community"}))</f>
        <v>0</v>
      </c>
      <c r="AB40" s="204">
        <f>SUM(SUMIFS('caseload data'!L:L,'caseload data'!$D:$D,"TPO",'caseload data'!$C:$C,'community caseload'!$T$36,'caseload data'!$B:$B,{"licence","community"}))</f>
        <v>0</v>
      </c>
      <c r="AC40" s="204">
        <f>SUM(SUMIFS('caseload data'!M:M,'caseload data'!$D:$D,"TPO",'caseload data'!$C:$C,'community caseload'!$T$36,'caseload data'!$B:$B,{"licence","community"}))</f>
        <v>0</v>
      </c>
      <c r="AD40" s="204">
        <f>SUM(SUMIFS('caseload data'!N:N,'caseload data'!$D:$D,"TPO",'caseload data'!$C:$C,'community caseload'!$T$36,'caseload data'!$B:$B,{"licence","community"}))</f>
        <v>0</v>
      </c>
      <c r="AE40" s="204">
        <f>SUM(SUMIFS('caseload data'!O:O,'caseload data'!$D:$D,"TPO",'caseload data'!$C:$C,'community caseload'!$T$36,'caseload data'!$B:$B,{"licence","community"}))</f>
        <v>0</v>
      </c>
      <c r="AF40" s="204">
        <f>SUM(SUMIFS('caseload data'!P:P,'caseload data'!$D:$D,"TPO",'caseload data'!$C:$C,'community caseload'!$T$36,'caseload data'!$B:$B,{"licence","community"}))</f>
        <v>0</v>
      </c>
      <c r="AG40" s="204">
        <f>SUM(SUMIFS('caseload data'!Q:Q,'caseload data'!$D:$D,"TPO",'caseload data'!$C:$C,'community caseload'!$T$36,'caseload data'!$B:$B,{"licence","community"}))</f>
        <v>0</v>
      </c>
      <c r="AH40" s="204">
        <f>SUM(SUMIFS('caseload data'!R:R,'caseload data'!$D:$D,"TPO",'caseload data'!$C:$C,'community caseload'!$T$36,'caseload data'!$B:$B,{"licence","community"}))</f>
        <v>0</v>
      </c>
      <c r="AI40" s="204">
        <f>SUM(SUMIFS('caseload data'!S:S,'caseload data'!$D:$D,"TPO",'caseload data'!$C:$C,'community caseload'!$T$36,'caseload data'!$B:$B,{"licence","community"}))</f>
        <v>0</v>
      </c>
      <c r="AJ40" s="204">
        <f>SUM(SUMIFS('caseload data'!T:T,'caseload data'!$D:$D,"TPO",'caseload data'!$C:$C,'community caseload'!$T$36,'caseload data'!$B:$B,{"licence","community"}))</f>
        <v>0</v>
      </c>
    </row>
    <row r="41" spans="2:36" x14ac:dyDescent="0.15">
      <c r="B41" s="131" t="s">
        <v>187</v>
      </c>
      <c r="C41" s="204">
        <f>SUM(SUMIFS('caseload data'!E:E,'caseload data'!$D:$D,"SPO",'caseload data'!$C:$C,'community caseload'!$B$36,'caseload data'!$B:$B,{"licence","community"}))</f>
        <v>0</v>
      </c>
      <c r="D41" s="204">
        <f>SUM(SUMIFS('caseload data'!F:F,'caseload data'!$D:$D,"SPO",'caseload data'!$C:$C,'community caseload'!$B$36,'caseload data'!$B:$B,{"licence","community"}))</f>
        <v>0</v>
      </c>
      <c r="E41" s="204">
        <f>SUM(SUMIFS('caseload data'!G:G,'caseload data'!$D:$D,"SPO",'caseload data'!$C:$C,'community caseload'!$B$36,'caseload data'!$B:$B,{"licence","community"}))</f>
        <v>0</v>
      </c>
      <c r="F41" s="204">
        <f>SUM(SUMIFS('caseload data'!H:H,'caseload data'!$D:$D,"SPO",'caseload data'!$C:$C,'community caseload'!$B$36,'caseload data'!$B:$B,{"licence","community"}))</f>
        <v>0</v>
      </c>
      <c r="G41" s="204">
        <f>SUM(SUMIFS('caseload data'!I:I,'caseload data'!$D:$D,"SPO",'caseload data'!$C:$C,'community caseload'!$B$36,'caseload data'!$B:$B,{"licence","community"}))</f>
        <v>0</v>
      </c>
      <c r="H41" s="204">
        <f>SUM(SUMIFS('caseload data'!J:J,'caseload data'!$D:$D,"SPO",'caseload data'!$C:$C,'community caseload'!$B$36,'caseload data'!$B:$B,{"licence","community"}))</f>
        <v>0</v>
      </c>
      <c r="I41" s="204">
        <f>SUM(SUMIFS('caseload data'!K:K,'caseload data'!$D:$D,"SPO",'caseload data'!$C:$C,'community caseload'!$B$36,'caseload data'!$B:$B,{"licence","community"}))</f>
        <v>0</v>
      </c>
      <c r="J41" s="204">
        <f>SUM(SUMIFS('caseload data'!L:L,'caseload data'!$D:$D,"SPO",'caseload data'!$C:$C,'community caseload'!$B$36,'caseload data'!$B:$B,{"licence","community"}))</f>
        <v>0</v>
      </c>
      <c r="K41" s="204">
        <f>SUM(SUMIFS('caseload data'!M:M,'caseload data'!$D:$D,"SPO",'caseload data'!$C:$C,'community caseload'!$B$36,'caseload data'!$B:$B,{"licence","community"}))</f>
        <v>0</v>
      </c>
      <c r="L41" s="204">
        <f>SUM(SUMIFS('caseload data'!N:N,'caseload data'!$D:$D,"SPO",'caseload data'!$C:$C,'community caseload'!$B$36,'caseload data'!$B:$B,{"licence","community"}))</f>
        <v>0</v>
      </c>
      <c r="M41" s="204">
        <f>SUM(SUMIFS('caseload data'!O:O,'caseload data'!$D:$D,"SPO",'caseload data'!$C:$C,'community caseload'!$B$36,'caseload data'!$B:$B,{"licence","community"}))</f>
        <v>0</v>
      </c>
      <c r="N41" s="204">
        <f>SUM(SUMIFS('caseload data'!P:P,'caseload data'!$D:$D,"SPO",'caseload data'!$C:$C,'community caseload'!$B$36,'caseload data'!$B:$B,{"licence","community"}))</f>
        <v>0</v>
      </c>
      <c r="O41" s="204">
        <f>SUM(SUMIFS('caseload data'!Q:Q,'caseload data'!$D:$D,"SPO",'caseload data'!$C:$C,'community caseload'!$B$36,'caseload data'!$B:$B,{"licence","community"}))</f>
        <v>0</v>
      </c>
      <c r="P41" s="204">
        <f>SUM(SUMIFS('caseload data'!R:R,'caseload data'!$D:$D,"SPO",'caseload data'!$C:$C,'community caseload'!$B$36,'caseload data'!$B:$B,{"licence","community"}))</f>
        <v>0</v>
      </c>
      <c r="Q41" s="204">
        <f>SUM(SUMIFS('caseload data'!S:S,'caseload data'!$D:$D,"SPO",'caseload data'!$C:$C,'community caseload'!$B$36,'caseload data'!$B:$B,{"licence","community"}))</f>
        <v>0</v>
      </c>
      <c r="R41" s="204">
        <f>SUM(SUMIFS('caseload data'!T:T,'caseload data'!$D:$D,"SPO",'caseload data'!$C:$C,'community caseload'!$B$36,'caseload data'!$B:$B,{"licence","community"}))</f>
        <v>0</v>
      </c>
      <c r="S41" s="95"/>
      <c r="T41" s="131" t="s">
        <v>187</v>
      </c>
      <c r="U41" s="204">
        <f>SUM(SUMIFS('caseload data'!E:E,'caseload data'!$D:$D,"SPO",'caseload data'!$C:$C,'community caseload'!$T$36,'caseload data'!$B:$B,{"licence","community"}))</f>
        <v>0</v>
      </c>
      <c r="V41" s="204">
        <f>SUM(SUMIFS('caseload data'!F:F,'caseload data'!$D:$D,"SPO",'caseload data'!$C:$C,'community caseload'!$T$36,'caseload data'!$B:$B,{"licence","community"}))</f>
        <v>0</v>
      </c>
      <c r="W41" s="204">
        <f>SUM(SUMIFS('caseload data'!G:G,'caseload data'!$D:$D,"SPO",'caseload data'!$C:$C,'community caseload'!$T$36,'caseload data'!$B:$B,{"licence","community"}))</f>
        <v>0</v>
      </c>
      <c r="X41" s="204">
        <f>SUM(SUMIFS('caseload data'!H:H,'caseload data'!$D:$D,"SPO",'caseload data'!$C:$C,'community caseload'!$T$36,'caseload data'!$B:$B,{"licence","community"}))</f>
        <v>0</v>
      </c>
      <c r="Y41" s="204">
        <f>SUM(SUMIFS('caseload data'!I:I,'caseload data'!$D:$D,"SPO",'caseload data'!$C:$C,'community caseload'!$T$36,'caseload data'!$B:$B,{"licence","community"}))</f>
        <v>0</v>
      </c>
      <c r="Z41" s="204">
        <f>SUM(SUMIFS('caseload data'!J:J,'caseload data'!$D:$D,"SPO",'caseload data'!$C:$C,'community caseload'!$T$36,'caseload data'!$B:$B,{"licence","community"}))</f>
        <v>0</v>
      </c>
      <c r="AA41" s="204">
        <f>SUM(SUMIFS('caseload data'!K:K,'caseload data'!$D:$D,"SPO",'caseload data'!$C:$C,'community caseload'!$T$36,'caseload data'!$B:$B,{"licence","community"}))</f>
        <v>0</v>
      </c>
      <c r="AB41" s="204">
        <f>SUM(SUMIFS('caseload data'!L:L,'caseload data'!$D:$D,"SPO",'caseload data'!$C:$C,'community caseload'!$T$36,'caseload data'!$B:$B,{"licence","community"}))</f>
        <v>0</v>
      </c>
      <c r="AC41" s="204">
        <f>SUM(SUMIFS('caseload data'!M:M,'caseload data'!$D:$D,"SPO",'caseload data'!$C:$C,'community caseload'!$T$36,'caseload data'!$B:$B,{"licence","community"}))</f>
        <v>0</v>
      </c>
      <c r="AD41" s="204">
        <f>SUM(SUMIFS('caseload data'!N:N,'caseload data'!$D:$D,"SPO",'caseload data'!$C:$C,'community caseload'!$T$36,'caseload data'!$B:$B,{"licence","community"}))</f>
        <v>0</v>
      </c>
      <c r="AE41" s="204">
        <f>SUM(SUMIFS('caseload data'!O:O,'caseload data'!$D:$D,"SPO",'caseload data'!$C:$C,'community caseload'!$T$36,'caseload data'!$B:$B,{"licence","community"}))</f>
        <v>0</v>
      </c>
      <c r="AF41" s="204">
        <f>SUM(SUMIFS('caseload data'!P:P,'caseload data'!$D:$D,"SPO",'caseload data'!$C:$C,'community caseload'!$T$36,'caseload data'!$B:$B,{"licence","community"}))</f>
        <v>0</v>
      </c>
      <c r="AG41" s="204">
        <f>SUM(SUMIFS('caseload data'!Q:Q,'caseload data'!$D:$D,"SPO",'caseload data'!$C:$C,'community caseload'!$T$36,'caseload data'!$B:$B,{"licence","community"}))</f>
        <v>0</v>
      </c>
      <c r="AH41" s="204">
        <f>SUM(SUMIFS('caseload data'!R:R,'caseload data'!$D:$D,"SPO",'caseload data'!$C:$C,'community caseload'!$T$36,'caseload data'!$B:$B,{"licence","community"}))</f>
        <v>0</v>
      </c>
      <c r="AI41" s="204">
        <f>SUM(SUMIFS('caseload data'!S:S,'caseload data'!$D:$D,"SPO",'caseload data'!$C:$C,'community caseload'!$T$36,'caseload data'!$B:$B,{"licence","community"}))</f>
        <v>0</v>
      </c>
      <c r="AJ41" s="204">
        <f>SUM(SUMIFS('caseload data'!T:T,'caseload data'!$D:$D,"SPO",'caseload data'!$C:$C,'community caseload'!$T$36,'caseload data'!$B:$B,{"licence","community"}))</f>
        <v>0</v>
      </c>
    </row>
    <row r="42" spans="2:36" x14ac:dyDescent="0.15">
      <c r="B42" s="183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183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</row>
    <row r="43" spans="2:36" ht="46.5" customHeight="1" x14ac:dyDescent="0.15">
      <c r="B43" s="182" t="str">
        <f>HLOOKUP($B$5,Region_Table,12,0)</f>
        <v>Southampton, Eastleigh and New Forest</v>
      </c>
      <c r="C43" s="359" t="s">
        <v>368</v>
      </c>
      <c r="D43" s="365"/>
      <c r="E43" s="365"/>
      <c r="F43" s="365"/>
      <c r="G43" s="365"/>
      <c r="H43" s="365"/>
      <c r="I43" s="365"/>
      <c r="J43" s="365"/>
      <c r="K43" s="365"/>
      <c r="L43" s="365"/>
      <c r="M43" s="368"/>
      <c r="N43" s="368"/>
      <c r="O43" s="369"/>
      <c r="P43" s="362" cm="1">
        <f t="array" ref="P43">SUM(SUMIFS('caseload data'!V:V,'caseload data'!B:B,{"licence","community"},'caseload data'!$C:$C,'community caseload'!B43))</f>
        <v>0</v>
      </c>
      <c r="Q43" s="370"/>
      <c r="R43" s="371"/>
      <c r="S43" s="95"/>
      <c r="T43" s="182" t="str">
        <f>HLOOKUP($B$5,Region_Table,13,0)</f>
        <v>Unpaid Work and Attendance Centres - N59</v>
      </c>
      <c r="U43" s="359" t="s">
        <v>368</v>
      </c>
      <c r="V43" s="365"/>
      <c r="W43" s="365"/>
      <c r="X43" s="365"/>
      <c r="Y43" s="365"/>
      <c r="Z43" s="365"/>
      <c r="AA43" s="365"/>
      <c r="AB43" s="365"/>
      <c r="AC43" s="365"/>
      <c r="AD43" s="365"/>
      <c r="AE43" s="368"/>
      <c r="AF43" s="368"/>
      <c r="AG43" s="369"/>
      <c r="AH43" s="362" cm="1">
        <f t="array" ref="AH43">SUM(SUMIFS('caseload data'!V:V,'caseload data'!B:B,{"licence","community"},'caseload data'!$C:$C,'community caseload'!T43))</f>
        <v>0</v>
      </c>
      <c r="AI43" s="370"/>
      <c r="AJ43" s="371"/>
    </row>
    <row r="44" spans="2:36" x14ac:dyDescent="0.15">
      <c r="B44" s="127" t="s">
        <v>324</v>
      </c>
      <c r="C44" s="58" t="s">
        <v>504</v>
      </c>
      <c r="D44" s="58" t="s">
        <v>503</v>
      </c>
      <c r="E44" s="58" t="s">
        <v>502</v>
      </c>
      <c r="F44" s="58" t="s">
        <v>501</v>
      </c>
      <c r="G44" s="58" t="s">
        <v>510</v>
      </c>
      <c r="H44" s="58" t="s">
        <v>176</v>
      </c>
      <c r="I44" s="58" t="s">
        <v>177</v>
      </c>
      <c r="J44" s="58" t="s">
        <v>505</v>
      </c>
      <c r="K44" s="58" t="s">
        <v>507</v>
      </c>
      <c r="L44" s="58" t="s">
        <v>178</v>
      </c>
      <c r="M44" s="58" t="s">
        <v>179</v>
      </c>
      <c r="N44" s="58" t="s">
        <v>506</v>
      </c>
      <c r="O44" s="58" t="s">
        <v>508</v>
      </c>
      <c r="P44" s="58" t="s">
        <v>180</v>
      </c>
      <c r="Q44" s="58" t="s">
        <v>181</v>
      </c>
      <c r="R44" s="58" t="s">
        <v>509</v>
      </c>
      <c r="S44" s="95"/>
      <c r="T44" s="127" t="s">
        <v>324</v>
      </c>
      <c r="U44" s="58" t="s">
        <v>504</v>
      </c>
      <c r="V44" s="58" t="s">
        <v>503</v>
      </c>
      <c r="W44" s="58" t="s">
        <v>502</v>
      </c>
      <c r="X44" s="58" t="s">
        <v>501</v>
      </c>
      <c r="Y44" s="58" t="s">
        <v>510</v>
      </c>
      <c r="Z44" s="58" t="s">
        <v>176</v>
      </c>
      <c r="AA44" s="58" t="s">
        <v>177</v>
      </c>
      <c r="AB44" s="58" t="s">
        <v>505</v>
      </c>
      <c r="AC44" s="58" t="s">
        <v>507</v>
      </c>
      <c r="AD44" s="58" t="s">
        <v>178</v>
      </c>
      <c r="AE44" s="58" t="s">
        <v>179</v>
      </c>
      <c r="AF44" s="58" t="s">
        <v>506</v>
      </c>
      <c r="AG44" s="58" t="s">
        <v>508</v>
      </c>
      <c r="AH44" s="58" t="s">
        <v>180</v>
      </c>
      <c r="AI44" s="58" t="s">
        <v>181</v>
      </c>
      <c r="AJ44" s="58" t="s">
        <v>509</v>
      </c>
    </row>
    <row r="45" spans="2:36" x14ac:dyDescent="0.15">
      <c r="B45" s="129" t="s">
        <v>184</v>
      </c>
      <c r="C45" s="204">
        <f>SUM(SUMIFS('caseload data'!E:E,'caseload data'!$D:$D,"PO",'caseload data'!$C:$C,'community caseload'!$B$43,'caseload data'!$B:$B,{"licence","community"}))</f>
        <v>0</v>
      </c>
      <c r="D45" s="204">
        <f>SUM(SUMIFS('caseload data'!F:F,'caseload data'!$D:$D,"PO",'caseload data'!$C:$C,'community caseload'!$B$43,'caseload data'!$B:$B,{"licence","community"}))</f>
        <v>0</v>
      </c>
      <c r="E45" s="204">
        <f>SUM(SUMIFS('caseload data'!G:G,'caseload data'!$D:$D,"PO",'caseload data'!$C:$C,'community caseload'!$B$43,'caseload data'!$B:$B,{"licence","community"}))</f>
        <v>0</v>
      </c>
      <c r="F45" s="204">
        <f>SUM(SUMIFS('caseload data'!H:H,'caseload data'!$D:$D,"PO",'caseload data'!$C:$C,'community caseload'!$B$43,'caseload data'!$B:$B,{"licence","community"}))</f>
        <v>0</v>
      </c>
      <c r="G45" s="204">
        <f>SUM(SUMIFS('caseload data'!I:I,'caseload data'!$D:$D,"PO",'caseload data'!$C:$C,'community caseload'!$B$43,'caseload data'!$B:$B,{"licence","community"}))</f>
        <v>0</v>
      </c>
      <c r="H45" s="204">
        <f>SUM(SUMIFS('caseload data'!J:J,'caseload data'!$D:$D,"PO",'caseload data'!$C:$C,'community caseload'!$B$43,'caseload data'!$B:$B,{"licence","community"}))</f>
        <v>0</v>
      </c>
      <c r="I45" s="204">
        <f>SUM(SUMIFS('caseload data'!K:K,'caseload data'!$D:$D,"PO",'caseload data'!$C:$C,'community caseload'!$B$43,'caseload data'!$B:$B,{"licence","community"}))</f>
        <v>0</v>
      </c>
      <c r="J45" s="204">
        <f>SUM(SUMIFS('caseload data'!L:L,'caseload data'!$D:$D,"PO",'caseload data'!$C:$C,'community caseload'!$B$43,'caseload data'!$B:$B,{"licence","community"}))</f>
        <v>0</v>
      </c>
      <c r="K45" s="204">
        <f>SUM(SUMIFS('caseload data'!M:M,'caseload data'!$D:$D,"PO",'caseload data'!$C:$C,'community caseload'!$B$43,'caseload data'!$B:$B,{"licence","community"}))</f>
        <v>0</v>
      </c>
      <c r="L45" s="204">
        <f>SUM(SUMIFS('caseload data'!N:N,'caseload data'!$D:$D,"PO",'caseload data'!$C:$C,'community caseload'!$B$43,'caseload data'!$B:$B,{"licence","community"}))</f>
        <v>0</v>
      </c>
      <c r="M45" s="204">
        <f>SUM(SUMIFS('caseload data'!O:O,'caseload data'!$D:$D,"PO",'caseload data'!$C:$C,'community caseload'!$B$43,'caseload data'!$B:$B,{"licence","community"}))</f>
        <v>0</v>
      </c>
      <c r="N45" s="204">
        <f>SUM(SUMIFS('caseload data'!P:P,'caseload data'!$D:$D,"PO",'caseload data'!$C:$C,'community caseload'!$B$43,'caseload data'!$B:$B,{"licence","community"}))</f>
        <v>0</v>
      </c>
      <c r="O45" s="204">
        <f>SUM(SUMIFS('caseload data'!Q:Q,'caseload data'!$D:$D,"PO",'caseload data'!$C:$C,'community caseload'!$B$43,'caseload data'!$B:$B,{"licence","community"}))</f>
        <v>0</v>
      </c>
      <c r="P45" s="204">
        <f>SUM(SUMIFS('caseload data'!R:R,'caseload data'!$D:$D,"PO",'caseload data'!$C:$C,'community caseload'!$B$43,'caseload data'!$B:$B,{"licence","community"}))</f>
        <v>0</v>
      </c>
      <c r="Q45" s="204">
        <f>SUM(SUMIFS('caseload data'!S:S,'caseload data'!$D:$D,"PO",'caseload data'!$C:$C,'community caseload'!$B$43,'caseload data'!$B:$B,{"licence","community"}))</f>
        <v>0</v>
      </c>
      <c r="R45" s="204">
        <f>SUM(SUMIFS('caseload data'!T:T,'caseload data'!$D:$D,"PO",'caseload data'!$C:$C,'community caseload'!$B$43,'caseload data'!$B:$B,{"licence","community"}))</f>
        <v>0</v>
      </c>
      <c r="S45" s="95"/>
      <c r="T45" s="129" t="s">
        <v>184</v>
      </c>
      <c r="U45" s="204">
        <f>SUM(SUMIFS('caseload data'!E:E,'caseload data'!$D:$D,"PO",'caseload data'!$C:$C,'community caseload'!$T$43,'caseload data'!$B:$B,{"licence","community"}))</f>
        <v>0</v>
      </c>
      <c r="V45" s="204">
        <f>SUM(SUMIFS('caseload data'!F:F,'caseload data'!$D:$D,"PO",'caseload data'!$C:$C,'community caseload'!$T$43,'caseload data'!$B:$B,{"licence","community"}))</f>
        <v>0</v>
      </c>
      <c r="W45" s="204">
        <f>SUM(SUMIFS('caseload data'!G:G,'caseload data'!$D:$D,"PO",'caseload data'!$C:$C,'community caseload'!$T$43,'caseload data'!$B:$B,{"licence","community"}))</f>
        <v>0</v>
      </c>
      <c r="X45" s="204">
        <f>SUM(SUMIFS('caseload data'!H:H,'caseload data'!$D:$D,"PO",'caseload data'!$C:$C,'community caseload'!$T$43,'caseload data'!$B:$B,{"licence","community"}))</f>
        <v>0</v>
      </c>
      <c r="Y45" s="204">
        <f>SUM(SUMIFS('caseload data'!I:I,'caseload data'!$D:$D,"PO",'caseload data'!$C:$C,'community caseload'!$T$43,'caseload data'!$B:$B,{"licence","community"}))</f>
        <v>0</v>
      </c>
      <c r="Z45" s="204">
        <f>SUM(SUMIFS('caseload data'!J:J,'caseload data'!$D:$D,"PO",'caseload data'!$C:$C,'community caseload'!$T$43,'caseload data'!$B:$B,{"licence","community"}))</f>
        <v>0</v>
      </c>
      <c r="AA45" s="204">
        <f>SUM(SUMIFS('caseload data'!K:K,'caseload data'!$D:$D,"PO",'caseload data'!$C:$C,'community caseload'!$T$43,'caseload data'!$B:$B,{"licence","community"}))</f>
        <v>0</v>
      </c>
      <c r="AB45" s="204">
        <f>SUM(SUMIFS('caseload data'!L:L,'caseload data'!$D:$D,"PO",'caseload data'!$C:$C,'community caseload'!$T$43,'caseload data'!$B:$B,{"licence","community"}))</f>
        <v>0</v>
      </c>
      <c r="AC45" s="204">
        <f>SUM(SUMIFS('caseload data'!M:M,'caseload data'!$D:$D,"PO",'caseload data'!$C:$C,'community caseload'!$T$43,'caseload data'!$B:$B,{"licence","community"}))</f>
        <v>0</v>
      </c>
      <c r="AD45" s="204">
        <f>SUM(SUMIFS('caseload data'!N:N,'caseload data'!$D:$D,"PO",'caseload data'!$C:$C,'community caseload'!$T$43,'caseload data'!$B:$B,{"licence","community"}))</f>
        <v>0</v>
      </c>
      <c r="AE45" s="204">
        <f>SUM(SUMIFS('caseload data'!O:O,'caseload data'!$D:$D,"PO",'caseload data'!$C:$C,'community caseload'!$T$43,'caseload data'!$B:$B,{"licence","community"}))</f>
        <v>0</v>
      </c>
      <c r="AF45" s="204">
        <f>SUM(SUMIFS('caseload data'!P:P,'caseload data'!$D:$D,"PO",'caseload data'!$C:$C,'community caseload'!$T$43,'caseload data'!$B:$B,{"licence","community"}))</f>
        <v>0</v>
      </c>
      <c r="AG45" s="204">
        <f>SUM(SUMIFS('caseload data'!Q:Q,'caseload data'!$D:$D,"PO",'caseload data'!$C:$C,'community caseload'!$T$43,'caseload data'!$B:$B,{"licence","community"}))</f>
        <v>0</v>
      </c>
      <c r="AH45" s="204">
        <f>SUM(SUMIFS('caseload data'!R:R,'caseload data'!$D:$D,"PO",'caseload data'!$C:$C,'community caseload'!$T$43,'caseload data'!$B:$B,{"licence","community"}))</f>
        <v>0</v>
      </c>
      <c r="AI45" s="204">
        <f>SUM(SUMIFS('caseload data'!S:S,'caseload data'!$D:$D,"PO",'caseload data'!$C:$C,'community caseload'!$T$43,'caseload data'!$B:$B,{"licence","community"}))</f>
        <v>0</v>
      </c>
      <c r="AJ45" s="204">
        <f>SUM(SUMIFS('caseload data'!T:T,'caseload data'!$D:$D,"PO",'caseload data'!$C:$C,'community caseload'!$T$43,'caseload data'!$B:$B,{"licence","community"}))</f>
        <v>0</v>
      </c>
    </row>
    <row r="46" spans="2:36" x14ac:dyDescent="0.15">
      <c r="B46" s="130" t="s">
        <v>185</v>
      </c>
      <c r="C46" s="204">
        <f>SUM(SUMIFS('caseload data'!E:E,'caseload data'!$D:$D,"PSO",'caseload data'!$C:$C,'community caseload'!$B$43,'caseload data'!$B:$B,{"licence","community"}))</f>
        <v>0</v>
      </c>
      <c r="D46" s="204">
        <f>SUM(SUMIFS('caseload data'!F:F,'caseload data'!$D:$D,"PSO",'caseload data'!$C:$C,'community caseload'!$B$43,'caseload data'!$B:$B,{"licence","community"}))</f>
        <v>0</v>
      </c>
      <c r="E46" s="204">
        <f>SUM(SUMIFS('caseload data'!G:G,'caseload data'!$D:$D,"PSO",'caseload data'!$C:$C,'community caseload'!$B$43,'caseload data'!$B:$B,{"licence","community"}))</f>
        <v>0</v>
      </c>
      <c r="F46" s="204">
        <f>SUM(SUMIFS('caseload data'!H:H,'caseload data'!$D:$D,"PSO",'caseload data'!$C:$C,'community caseload'!$B$43,'caseload data'!$B:$B,{"licence","community"}))</f>
        <v>0</v>
      </c>
      <c r="G46" s="204">
        <f>SUM(SUMIFS('caseload data'!I:I,'caseload data'!$D:$D,"PSO",'caseload data'!$C:$C,'community caseload'!$B$43,'caseload data'!$B:$B,{"licence","community"}))</f>
        <v>0</v>
      </c>
      <c r="H46" s="204">
        <f>SUM(SUMIFS('caseload data'!J:J,'caseload data'!$D:$D,"PSO",'caseload data'!$C:$C,'community caseload'!$B$43,'caseload data'!$B:$B,{"licence","community"}))</f>
        <v>0</v>
      </c>
      <c r="I46" s="204">
        <f>SUM(SUMIFS('caseload data'!K:K,'caseload data'!$D:$D,"PSO",'caseload data'!$C:$C,'community caseload'!$B$43,'caseload data'!$B:$B,{"licence","community"}))</f>
        <v>0</v>
      </c>
      <c r="J46" s="204">
        <f>SUM(SUMIFS('caseload data'!L:L,'caseload data'!$D:$D,"PSO",'caseload data'!$C:$C,'community caseload'!$B$43,'caseload data'!$B:$B,{"licence","community"}))</f>
        <v>0</v>
      </c>
      <c r="K46" s="204">
        <f>SUM(SUMIFS('caseload data'!M:M,'caseload data'!$D:$D,"PSO",'caseload data'!$C:$C,'community caseload'!$B$43,'caseload data'!$B:$B,{"licence","community"}))</f>
        <v>0</v>
      </c>
      <c r="L46" s="204">
        <f>SUM(SUMIFS('caseload data'!N:N,'caseload data'!$D:$D,"PSO",'caseload data'!$C:$C,'community caseload'!$B$43,'caseload data'!$B:$B,{"licence","community"}))</f>
        <v>0</v>
      </c>
      <c r="M46" s="204">
        <f>SUM(SUMIFS('caseload data'!O:O,'caseload data'!$D:$D,"PSO",'caseload data'!$C:$C,'community caseload'!$B$43,'caseload data'!$B:$B,{"licence","community"}))</f>
        <v>0</v>
      </c>
      <c r="N46" s="204">
        <f>SUM(SUMIFS('caseload data'!P:P,'caseload data'!$D:$D,"PSO",'caseload data'!$C:$C,'community caseload'!$B$43,'caseload data'!$B:$B,{"licence","community"}))</f>
        <v>0</v>
      </c>
      <c r="O46" s="204">
        <f>SUM(SUMIFS('caseload data'!Q:Q,'caseload data'!$D:$D,"PSO",'caseload data'!$C:$C,'community caseload'!$B$43,'caseload data'!$B:$B,{"licence","community"}))</f>
        <v>0</v>
      </c>
      <c r="P46" s="204">
        <f>SUM(SUMIFS('caseload data'!R:R,'caseload data'!$D:$D,"PSO",'caseload data'!$C:$C,'community caseload'!$B$43,'caseload data'!$B:$B,{"licence","community"}))</f>
        <v>0</v>
      </c>
      <c r="Q46" s="204">
        <f>SUM(SUMIFS('caseload data'!S:S,'caseload data'!$D:$D,"PSO",'caseload data'!$C:$C,'community caseload'!$B$43,'caseload data'!$B:$B,{"licence","community"}))</f>
        <v>0</v>
      </c>
      <c r="R46" s="204">
        <f>SUM(SUMIFS('caseload data'!T:T,'caseload data'!$D:$D,"PSO",'caseload data'!$C:$C,'community caseload'!$B$43,'caseload data'!$B:$B,{"licence","community"}))</f>
        <v>0</v>
      </c>
      <c r="S46" s="95"/>
      <c r="T46" s="130" t="s">
        <v>185</v>
      </c>
      <c r="U46" s="204">
        <f>SUM(SUMIFS('caseload data'!E:E,'caseload data'!$D:$D,"PSO",'caseload data'!$C:$C,'community caseload'!$T$43,'caseload data'!$B:$B,{"licence","community"}))</f>
        <v>0</v>
      </c>
      <c r="V46" s="204">
        <f>SUM(SUMIFS('caseload data'!F:F,'caseload data'!$D:$D,"PSO",'caseload data'!$C:$C,'community caseload'!$T$43,'caseload data'!$B:$B,{"licence","community"}))</f>
        <v>0</v>
      </c>
      <c r="W46" s="204">
        <f>SUM(SUMIFS('caseload data'!G:G,'caseload data'!$D:$D,"PSO",'caseload data'!$C:$C,'community caseload'!$T$43,'caseload data'!$B:$B,{"licence","community"}))</f>
        <v>0</v>
      </c>
      <c r="X46" s="204">
        <f>SUM(SUMIFS('caseload data'!H:H,'caseload data'!$D:$D,"PSO",'caseload data'!$C:$C,'community caseload'!$T$43,'caseload data'!$B:$B,{"licence","community"}))</f>
        <v>0</v>
      </c>
      <c r="Y46" s="204">
        <f>SUM(SUMIFS('caseload data'!I:I,'caseload data'!$D:$D,"PSO",'caseload data'!$C:$C,'community caseload'!$T$43,'caseload data'!$B:$B,{"licence","community"}))</f>
        <v>0</v>
      </c>
      <c r="Z46" s="204">
        <f>SUM(SUMIFS('caseload data'!J:J,'caseload data'!$D:$D,"PSO",'caseload data'!$C:$C,'community caseload'!$T$43,'caseload data'!$B:$B,{"licence","community"}))</f>
        <v>0</v>
      </c>
      <c r="AA46" s="204">
        <f>SUM(SUMIFS('caseload data'!K:K,'caseload data'!$D:$D,"PSO",'caseload data'!$C:$C,'community caseload'!$T$43,'caseload data'!$B:$B,{"licence","community"}))</f>
        <v>0</v>
      </c>
      <c r="AB46" s="204">
        <f>SUM(SUMIFS('caseload data'!L:L,'caseload data'!$D:$D,"PSO",'caseload data'!$C:$C,'community caseload'!$T$43,'caseload data'!$B:$B,{"licence","community"}))</f>
        <v>0</v>
      </c>
      <c r="AC46" s="204">
        <f>SUM(SUMIFS('caseload data'!M:M,'caseload data'!$D:$D,"PSO",'caseload data'!$C:$C,'community caseload'!$T$43,'caseload data'!$B:$B,{"licence","community"}))</f>
        <v>0</v>
      </c>
      <c r="AD46" s="204">
        <f>SUM(SUMIFS('caseload data'!N:N,'caseload data'!$D:$D,"PSO",'caseload data'!$C:$C,'community caseload'!$T$43,'caseload data'!$B:$B,{"licence","community"}))</f>
        <v>0</v>
      </c>
      <c r="AE46" s="204">
        <f>SUM(SUMIFS('caseload data'!O:O,'caseload data'!$D:$D,"PSO",'caseload data'!$C:$C,'community caseload'!$T$43,'caseload data'!$B:$B,{"licence","community"}))</f>
        <v>0</v>
      </c>
      <c r="AF46" s="204">
        <f>SUM(SUMIFS('caseload data'!P:P,'caseload data'!$D:$D,"PSO",'caseload data'!$C:$C,'community caseload'!$T$43,'caseload data'!$B:$B,{"licence","community"}))</f>
        <v>0</v>
      </c>
      <c r="AG46" s="204">
        <f>SUM(SUMIFS('caseload data'!Q:Q,'caseload data'!$D:$D,"PSO",'caseload data'!$C:$C,'community caseload'!$T$43,'caseload data'!$B:$B,{"licence","community"}))</f>
        <v>0</v>
      </c>
      <c r="AH46" s="204">
        <f>SUM(SUMIFS('caseload data'!R:R,'caseload data'!$D:$D,"PSO",'caseload data'!$C:$C,'community caseload'!$T$43,'caseload data'!$B:$B,{"licence","community"}))</f>
        <v>0</v>
      </c>
      <c r="AI46" s="204">
        <f>SUM(SUMIFS('caseload data'!S:S,'caseload data'!$D:$D,"PSO",'caseload data'!$C:$C,'community caseload'!$T$43,'caseload data'!$B:$B,{"licence","community"}))</f>
        <v>0</v>
      </c>
      <c r="AJ46" s="204">
        <f>SUM(SUMIFS('caseload data'!T:T,'caseload data'!$D:$D,"PSO",'caseload data'!$C:$C,'community caseload'!$T$43,'caseload data'!$B:$B,{"licence","community"}))</f>
        <v>0</v>
      </c>
    </row>
    <row r="47" spans="2:36" x14ac:dyDescent="0.15">
      <c r="B47" s="130" t="s">
        <v>186</v>
      </c>
      <c r="C47" s="204">
        <f>SUM(SUMIFS('caseload data'!E:E,'caseload data'!$D:$D,"TPO",'caseload data'!$C:$C,'community caseload'!$B$43,'caseload data'!$B:$B,{"licence","community"}))</f>
        <v>0</v>
      </c>
      <c r="D47" s="204">
        <f>SUM(SUMIFS('caseload data'!F:F,'caseload data'!$D:$D,"TPO",'caseload data'!$C:$C,'community caseload'!$B$43,'caseload data'!$B:$B,{"licence","community"}))</f>
        <v>0</v>
      </c>
      <c r="E47" s="204">
        <f>SUM(SUMIFS('caseload data'!G:G,'caseload data'!$D:$D,"TPO",'caseload data'!$C:$C,'community caseload'!$B$43,'caseload data'!$B:$B,{"licence","community"}))</f>
        <v>0</v>
      </c>
      <c r="F47" s="204">
        <f>SUM(SUMIFS('caseload data'!H:H,'caseload data'!$D:$D,"TPO",'caseload data'!$C:$C,'community caseload'!$B$43,'caseload data'!$B:$B,{"licence","community"}))</f>
        <v>0</v>
      </c>
      <c r="G47" s="204">
        <f>SUM(SUMIFS('caseload data'!I:I,'caseload data'!$D:$D,"TPO",'caseload data'!$C:$C,'community caseload'!$B$43,'caseload data'!$B:$B,{"licence","community"}))</f>
        <v>0</v>
      </c>
      <c r="H47" s="204">
        <f>SUM(SUMIFS('caseload data'!J:J,'caseload data'!$D:$D,"TPO",'caseload data'!$C:$C,'community caseload'!$B$43,'caseload data'!$B:$B,{"licence","community"}))</f>
        <v>0</v>
      </c>
      <c r="I47" s="204">
        <f>SUM(SUMIFS('caseload data'!K:K,'caseload data'!$D:$D,"TPO",'caseload data'!$C:$C,'community caseload'!$B$43,'caseload data'!$B:$B,{"licence","community"}))</f>
        <v>0</v>
      </c>
      <c r="J47" s="204">
        <f>SUM(SUMIFS('caseload data'!L:L,'caseload data'!$D:$D,"TPO",'caseload data'!$C:$C,'community caseload'!$B$43,'caseload data'!$B:$B,{"licence","community"}))</f>
        <v>0</v>
      </c>
      <c r="K47" s="204">
        <f>SUM(SUMIFS('caseload data'!M:M,'caseload data'!$D:$D,"TPO",'caseload data'!$C:$C,'community caseload'!$B$43,'caseload data'!$B:$B,{"licence","community"}))</f>
        <v>0</v>
      </c>
      <c r="L47" s="204">
        <f>SUM(SUMIFS('caseload data'!N:N,'caseload data'!$D:$D,"TPO",'caseload data'!$C:$C,'community caseload'!$B$43,'caseload data'!$B:$B,{"licence","community"}))</f>
        <v>0</v>
      </c>
      <c r="M47" s="204">
        <f>SUM(SUMIFS('caseload data'!O:O,'caseload data'!$D:$D,"TPO",'caseload data'!$C:$C,'community caseload'!$B$43,'caseload data'!$B:$B,{"licence","community"}))</f>
        <v>0</v>
      </c>
      <c r="N47" s="204">
        <f>SUM(SUMIFS('caseload data'!P:P,'caseload data'!$D:$D,"TPO",'caseload data'!$C:$C,'community caseload'!$B$43,'caseload data'!$B:$B,{"licence","community"}))</f>
        <v>0</v>
      </c>
      <c r="O47" s="204">
        <f>SUM(SUMIFS('caseload data'!Q:Q,'caseload data'!$D:$D,"TPO",'caseload data'!$C:$C,'community caseload'!$B$43,'caseload data'!$B:$B,{"licence","community"}))</f>
        <v>0</v>
      </c>
      <c r="P47" s="204">
        <f>SUM(SUMIFS('caseload data'!R:R,'caseload data'!$D:$D,"TPO",'caseload data'!$C:$C,'community caseload'!$B$43,'caseload data'!$B:$B,{"licence","community"}))</f>
        <v>0</v>
      </c>
      <c r="Q47" s="204">
        <f>SUM(SUMIFS('caseload data'!S:S,'caseload data'!$D:$D,"TPO",'caseload data'!$C:$C,'community caseload'!$B$43,'caseload data'!$B:$B,{"licence","community"}))</f>
        <v>0</v>
      </c>
      <c r="R47" s="204">
        <f>SUM(SUMIFS('caseload data'!T:T,'caseload data'!$D:$D,"TPO",'caseload data'!$C:$C,'community caseload'!$B$43,'caseload data'!$B:$B,{"licence","community"}))</f>
        <v>0</v>
      </c>
      <c r="S47" s="95"/>
      <c r="T47" s="130" t="s">
        <v>186</v>
      </c>
      <c r="U47" s="204">
        <f>SUM(SUMIFS('caseload data'!E:E,'caseload data'!$D:$D,"TPO",'caseload data'!$C:$C,'community caseload'!$T$43,'caseload data'!$B:$B,{"licence","community"}))</f>
        <v>0</v>
      </c>
      <c r="V47" s="204">
        <f>SUM(SUMIFS('caseload data'!F:F,'caseload data'!$D:$D,"TPO",'caseload data'!$C:$C,'community caseload'!$T$43,'caseload data'!$B:$B,{"licence","community"}))</f>
        <v>0</v>
      </c>
      <c r="W47" s="204">
        <f>SUM(SUMIFS('caseload data'!G:G,'caseload data'!$D:$D,"TPO",'caseload data'!$C:$C,'community caseload'!$T$43,'caseload data'!$B:$B,{"licence","community"}))</f>
        <v>0</v>
      </c>
      <c r="X47" s="204">
        <f>SUM(SUMIFS('caseload data'!H:H,'caseload data'!$D:$D,"TPO",'caseload data'!$C:$C,'community caseload'!$T$43,'caseload data'!$B:$B,{"licence","community"}))</f>
        <v>0</v>
      </c>
      <c r="Y47" s="204">
        <f>SUM(SUMIFS('caseload data'!I:I,'caseload data'!$D:$D,"TPO",'caseload data'!$C:$C,'community caseload'!$T$43,'caseload data'!$B:$B,{"licence","community"}))</f>
        <v>0</v>
      </c>
      <c r="Z47" s="204">
        <f>SUM(SUMIFS('caseload data'!J:J,'caseload data'!$D:$D,"TPO",'caseload data'!$C:$C,'community caseload'!$T$43,'caseload data'!$B:$B,{"licence","community"}))</f>
        <v>0</v>
      </c>
      <c r="AA47" s="204">
        <f>SUM(SUMIFS('caseload data'!K:K,'caseload data'!$D:$D,"TPO",'caseload data'!$C:$C,'community caseload'!$T$43,'caseload data'!$B:$B,{"licence","community"}))</f>
        <v>0</v>
      </c>
      <c r="AB47" s="204">
        <f>SUM(SUMIFS('caseload data'!L:L,'caseload data'!$D:$D,"TPO",'caseload data'!$C:$C,'community caseload'!$T$43,'caseload data'!$B:$B,{"licence","community"}))</f>
        <v>0</v>
      </c>
      <c r="AC47" s="204">
        <f>SUM(SUMIFS('caseload data'!M:M,'caseload data'!$D:$D,"TPO",'caseload data'!$C:$C,'community caseload'!$T$43,'caseload data'!$B:$B,{"licence","community"}))</f>
        <v>0</v>
      </c>
      <c r="AD47" s="204">
        <f>SUM(SUMIFS('caseload data'!N:N,'caseload data'!$D:$D,"TPO",'caseload data'!$C:$C,'community caseload'!$T$43,'caseload data'!$B:$B,{"licence","community"}))</f>
        <v>0</v>
      </c>
      <c r="AE47" s="204">
        <f>SUM(SUMIFS('caseload data'!O:O,'caseload data'!$D:$D,"TPO",'caseload data'!$C:$C,'community caseload'!$T$43,'caseload data'!$B:$B,{"licence","community"}))</f>
        <v>0</v>
      </c>
      <c r="AF47" s="204">
        <f>SUM(SUMIFS('caseload data'!P:P,'caseload data'!$D:$D,"TPO",'caseload data'!$C:$C,'community caseload'!$T$43,'caseload data'!$B:$B,{"licence","community"}))</f>
        <v>0</v>
      </c>
      <c r="AG47" s="204">
        <f>SUM(SUMIFS('caseload data'!Q:Q,'caseload data'!$D:$D,"TPO",'caseload data'!$C:$C,'community caseload'!$T$43,'caseload data'!$B:$B,{"licence","community"}))</f>
        <v>0</v>
      </c>
      <c r="AH47" s="204">
        <f>SUM(SUMIFS('caseload data'!R:R,'caseload data'!$D:$D,"TPO",'caseload data'!$C:$C,'community caseload'!$T$43,'caseload data'!$B:$B,{"licence","community"}))</f>
        <v>0</v>
      </c>
      <c r="AI47" s="204">
        <f>SUM(SUMIFS('caseload data'!S:S,'caseload data'!$D:$D,"TPO",'caseload data'!$C:$C,'community caseload'!$T$43,'caseload data'!$B:$B,{"licence","community"}))</f>
        <v>0</v>
      </c>
      <c r="AJ47" s="204">
        <f>SUM(SUMIFS('caseload data'!T:T,'caseload data'!$D:$D,"TPO",'caseload data'!$C:$C,'community caseload'!$T$43,'caseload data'!$B:$B,{"licence","community"}))</f>
        <v>0</v>
      </c>
    </row>
    <row r="48" spans="2:36" x14ac:dyDescent="0.15">
      <c r="B48" s="131" t="s">
        <v>187</v>
      </c>
      <c r="C48" s="204">
        <f>SUM(SUMIFS('caseload data'!E:E,'caseload data'!$D:$D,"SPO",'caseload data'!$C:$C,'community caseload'!$B$43,'caseload data'!$B:$B,{"licence","community"}))</f>
        <v>0</v>
      </c>
      <c r="D48" s="204">
        <f>SUM(SUMIFS('caseload data'!F:F,'caseload data'!$D:$D,"SPO",'caseload data'!$C:$C,'community caseload'!$B$43,'caseload data'!$B:$B,{"licence","community"}))</f>
        <v>0</v>
      </c>
      <c r="E48" s="204">
        <f>SUM(SUMIFS('caseload data'!G:G,'caseload data'!$D:$D,"SPO",'caseload data'!$C:$C,'community caseload'!$B$43,'caseload data'!$B:$B,{"licence","community"}))</f>
        <v>0</v>
      </c>
      <c r="F48" s="204">
        <f>SUM(SUMIFS('caseload data'!H:H,'caseload data'!$D:$D,"SPO",'caseload data'!$C:$C,'community caseload'!$B$43,'caseload data'!$B:$B,{"licence","community"}))</f>
        <v>0</v>
      </c>
      <c r="G48" s="204">
        <f>SUM(SUMIFS('caseload data'!I:I,'caseload data'!$D:$D,"SPO",'caseload data'!$C:$C,'community caseload'!$B$43,'caseload data'!$B:$B,{"licence","community"}))</f>
        <v>0</v>
      </c>
      <c r="H48" s="204">
        <f>SUM(SUMIFS('caseload data'!J:J,'caseload data'!$D:$D,"SPO",'caseload data'!$C:$C,'community caseload'!$B$43,'caseload data'!$B:$B,{"licence","community"}))</f>
        <v>0</v>
      </c>
      <c r="I48" s="204">
        <f>SUM(SUMIFS('caseload data'!K:K,'caseload data'!$D:$D,"SPO",'caseload data'!$C:$C,'community caseload'!$B$43,'caseload data'!$B:$B,{"licence","community"}))</f>
        <v>0</v>
      </c>
      <c r="J48" s="204">
        <f>SUM(SUMIFS('caseload data'!L:L,'caseload data'!$D:$D,"SPO",'caseload data'!$C:$C,'community caseload'!$B$43,'caseload data'!$B:$B,{"licence","community"}))</f>
        <v>0</v>
      </c>
      <c r="K48" s="204">
        <f>SUM(SUMIFS('caseload data'!M:M,'caseload data'!$D:$D,"SPO",'caseload data'!$C:$C,'community caseload'!$B$43,'caseload data'!$B:$B,{"licence","community"}))</f>
        <v>0</v>
      </c>
      <c r="L48" s="204">
        <f>SUM(SUMIFS('caseload data'!N:N,'caseload data'!$D:$D,"SPO",'caseload data'!$C:$C,'community caseload'!$B$43,'caseload data'!$B:$B,{"licence","community"}))</f>
        <v>0</v>
      </c>
      <c r="M48" s="204">
        <f>SUM(SUMIFS('caseload data'!O:O,'caseload data'!$D:$D,"SPO",'caseload data'!$C:$C,'community caseload'!$B$43,'caseload data'!$B:$B,{"licence","community"}))</f>
        <v>0</v>
      </c>
      <c r="N48" s="204">
        <f>SUM(SUMIFS('caseload data'!P:P,'caseload data'!$D:$D,"SPO",'caseload data'!$C:$C,'community caseload'!$B$43,'caseload data'!$B:$B,{"licence","community"}))</f>
        <v>0</v>
      </c>
      <c r="O48" s="204">
        <f>SUM(SUMIFS('caseload data'!Q:Q,'caseload data'!$D:$D,"SPO",'caseload data'!$C:$C,'community caseload'!$B$43,'caseload data'!$B:$B,{"licence","community"}))</f>
        <v>0</v>
      </c>
      <c r="P48" s="204">
        <f>SUM(SUMIFS('caseload data'!R:R,'caseload data'!$D:$D,"SPO",'caseload data'!$C:$C,'community caseload'!$B$43,'caseload data'!$B:$B,{"licence","community"}))</f>
        <v>0</v>
      </c>
      <c r="Q48" s="204">
        <f>SUM(SUMIFS('caseload data'!S:S,'caseload data'!$D:$D,"SPO",'caseload data'!$C:$C,'community caseload'!$B$43,'caseload data'!$B:$B,{"licence","community"}))</f>
        <v>0</v>
      </c>
      <c r="R48" s="204">
        <f>SUM(SUMIFS('caseload data'!T:T,'caseload data'!$D:$D,"SPO",'caseload data'!$C:$C,'community caseload'!$B$43,'caseload data'!$B:$B,{"licence","community"}))</f>
        <v>0</v>
      </c>
      <c r="S48" s="95"/>
      <c r="T48" s="131" t="s">
        <v>187</v>
      </c>
      <c r="U48" s="204">
        <f>SUM(SUMIFS('caseload data'!E:E,'caseload data'!$D:$D,"SPO",'caseload data'!$C:$C,'community caseload'!$T$43,'caseload data'!$B:$B,{"licence","community"}))</f>
        <v>0</v>
      </c>
      <c r="V48" s="204">
        <f>SUM(SUMIFS('caseload data'!F:F,'caseload data'!$D:$D,"SPO",'caseload data'!$C:$C,'community caseload'!$T$43,'caseload data'!$B:$B,{"licence","community"}))</f>
        <v>0</v>
      </c>
      <c r="W48" s="204">
        <f>SUM(SUMIFS('caseload data'!G:G,'caseload data'!$D:$D,"SPO",'caseload data'!$C:$C,'community caseload'!$T$43,'caseload data'!$B:$B,{"licence","community"}))</f>
        <v>0</v>
      </c>
      <c r="X48" s="204">
        <f>SUM(SUMIFS('caseload data'!H:H,'caseload data'!$D:$D,"SPO",'caseload data'!$C:$C,'community caseload'!$T$43,'caseload data'!$B:$B,{"licence","community"}))</f>
        <v>0</v>
      </c>
      <c r="Y48" s="204">
        <f>SUM(SUMIFS('caseload data'!I:I,'caseload data'!$D:$D,"SPO",'caseload data'!$C:$C,'community caseload'!$T$43,'caseload data'!$B:$B,{"licence","community"}))</f>
        <v>0</v>
      </c>
      <c r="Z48" s="204">
        <f>SUM(SUMIFS('caseload data'!J:J,'caseload data'!$D:$D,"SPO",'caseload data'!$C:$C,'community caseload'!$T$43,'caseload data'!$B:$B,{"licence","community"}))</f>
        <v>0</v>
      </c>
      <c r="AA48" s="204">
        <f>SUM(SUMIFS('caseload data'!K:K,'caseload data'!$D:$D,"SPO",'caseload data'!$C:$C,'community caseload'!$T$43,'caseload data'!$B:$B,{"licence","community"}))</f>
        <v>0</v>
      </c>
      <c r="AB48" s="204">
        <f>SUM(SUMIFS('caseload data'!L:L,'caseload data'!$D:$D,"SPO",'caseload data'!$C:$C,'community caseload'!$T$43,'caseload data'!$B:$B,{"licence","community"}))</f>
        <v>0</v>
      </c>
      <c r="AC48" s="204">
        <f>SUM(SUMIFS('caseload data'!M:M,'caseload data'!$D:$D,"SPO",'caseload data'!$C:$C,'community caseload'!$T$43,'caseload data'!$B:$B,{"licence","community"}))</f>
        <v>0</v>
      </c>
      <c r="AD48" s="204">
        <f>SUM(SUMIFS('caseload data'!N:N,'caseload data'!$D:$D,"SPO",'caseload data'!$C:$C,'community caseload'!$T$43,'caseload data'!$B:$B,{"licence","community"}))</f>
        <v>0</v>
      </c>
      <c r="AE48" s="204">
        <f>SUM(SUMIFS('caseload data'!O:O,'caseload data'!$D:$D,"SPO",'caseload data'!$C:$C,'community caseload'!$T$43,'caseload data'!$B:$B,{"licence","community"}))</f>
        <v>0</v>
      </c>
      <c r="AF48" s="204">
        <f>SUM(SUMIFS('caseload data'!P:P,'caseload data'!$D:$D,"SPO",'caseload data'!$C:$C,'community caseload'!$T$43,'caseload data'!$B:$B,{"licence","community"}))</f>
        <v>0</v>
      </c>
      <c r="AG48" s="204">
        <f>SUM(SUMIFS('caseload data'!Q:Q,'caseload data'!$D:$D,"SPO",'caseload data'!$C:$C,'community caseload'!$T$43,'caseload data'!$B:$B,{"licence","community"}))</f>
        <v>0</v>
      </c>
      <c r="AH48" s="204">
        <f>SUM(SUMIFS('caseload data'!R:R,'caseload data'!$D:$D,"SPO",'caseload data'!$C:$C,'community caseload'!$T$43,'caseload data'!$B:$B,{"licence","community"}))</f>
        <v>0</v>
      </c>
      <c r="AI48" s="204">
        <f>SUM(SUMIFS('caseload data'!S:S,'caseload data'!$D:$D,"SPO",'caseload data'!$C:$C,'community caseload'!$T$43,'caseload data'!$B:$B,{"licence","community"}))</f>
        <v>0</v>
      </c>
      <c r="AJ48" s="204">
        <f>SUM(SUMIFS('caseload data'!T:T,'caseload data'!$D:$D,"SPO",'caseload data'!$C:$C,'community caseload'!$T$43,'caseload data'!$B:$B,{"licence","community"}))</f>
        <v>0</v>
      </c>
    </row>
    <row r="49" spans="2:36" x14ac:dyDescent="0.15">
      <c r="B49" s="183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183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</row>
    <row r="50" spans="2:36" ht="45.75" customHeight="1" x14ac:dyDescent="0.15">
      <c r="B50" s="182" t="str">
        <f>HLOOKUP($B$5,Region_Table,14,0)</f>
        <v>West Berkshire</v>
      </c>
      <c r="C50" s="359" t="s">
        <v>368</v>
      </c>
      <c r="D50" s="365"/>
      <c r="E50" s="365"/>
      <c r="F50" s="365"/>
      <c r="G50" s="365"/>
      <c r="H50" s="365"/>
      <c r="I50" s="365"/>
      <c r="J50" s="365"/>
      <c r="K50" s="365"/>
      <c r="L50" s="365"/>
      <c r="M50" s="368"/>
      <c r="N50" s="368"/>
      <c r="O50" s="369"/>
      <c r="P50" s="362" cm="1">
        <f t="array" ref="P50">SUM(SUMIFS('caseload data'!V:V,'caseload data'!B:B,{"licence","community"},'caseload data'!$C:$C,'community caseload'!B50))</f>
        <v>0</v>
      </c>
      <c r="Q50" s="370"/>
      <c r="R50" s="371"/>
      <c r="S50" s="95"/>
      <c r="T50" s="182">
        <f>HLOOKUP($B$5,Region_Table,15,0)</f>
        <v>0</v>
      </c>
      <c r="U50" s="359" t="s">
        <v>368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8"/>
      <c r="AF50" s="368"/>
      <c r="AG50" s="369"/>
      <c r="AH50" s="362" cm="1">
        <f t="array" ref="AH50">SUM(SUMIFS('caseload data'!V:V,'caseload data'!B:B,{"licence","community"},'caseload data'!$C:$C,'community caseload'!T50))</f>
        <v>0</v>
      </c>
      <c r="AI50" s="370"/>
      <c r="AJ50" s="371"/>
    </row>
    <row r="51" spans="2:36" x14ac:dyDescent="0.15">
      <c r="B51" s="127" t="s">
        <v>324</v>
      </c>
      <c r="C51" s="58" t="s">
        <v>504</v>
      </c>
      <c r="D51" s="58" t="s">
        <v>503</v>
      </c>
      <c r="E51" s="58" t="s">
        <v>502</v>
      </c>
      <c r="F51" s="58" t="s">
        <v>501</v>
      </c>
      <c r="G51" s="58" t="s">
        <v>510</v>
      </c>
      <c r="H51" s="58" t="s">
        <v>176</v>
      </c>
      <c r="I51" s="58" t="s">
        <v>177</v>
      </c>
      <c r="J51" s="58" t="s">
        <v>505</v>
      </c>
      <c r="K51" s="58" t="s">
        <v>507</v>
      </c>
      <c r="L51" s="58" t="s">
        <v>178</v>
      </c>
      <c r="M51" s="58" t="s">
        <v>179</v>
      </c>
      <c r="N51" s="58" t="s">
        <v>506</v>
      </c>
      <c r="O51" s="58" t="s">
        <v>508</v>
      </c>
      <c r="P51" s="58" t="s">
        <v>180</v>
      </c>
      <c r="Q51" s="58" t="s">
        <v>181</v>
      </c>
      <c r="R51" s="58" t="s">
        <v>509</v>
      </c>
      <c r="S51" s="95"/>
      <c r="T51" s="127" t="s">
        <v>324</v>
      </c>
      <c r="U51" s="58" t="s">
        <v>504</v>
      </c>
      <c r="V51" s="58" t="s">
        <v>503</v>
      </c>
      <c r="W51" s="58" t="s">
        <v>502</v>
      </c>
      <c r="X51" s="58" t="s">
        <v>501</v>
      </c>
      <c r="Y51" s="58" t="s">
        <v>510</v>
      </c>
      <c r="Z51" s="58" t="s">
        <v>176</v>
      </c>
      <c r="AA51" s="58" t="s">
        <v>177</v>
      </c>
      <c r="AB51" s="58" t="s">
        <v>505</v>
      </c>
      <c r="AC51" s="58" t="s">
        <v>507</v>
      </c>
      <c r="AD51" s="58" t="s">
        <v>178</v>
      </c>
      <c r="AE51" s="58" t="s">
        <v>179</v>
      </c>
      <c r="AF51" s="58" t="s">
        <v>506</v>
      </c>
      <c r="AG51" s="58" t="s">
        <v>508</v>
      </c>
      <c r="AH51" s="58" t="s">
        <v>180</v>
      </c>
      <c r="AI51" s="58" t="s">
        <v>181</v>
      </c>
      <c r="AJ51" s="58" t="s">
        <v>509</v>
      </c>
    </row>
    <row r="52" spans="2:36" x14ac:dyDescent="0.15">
      <c r="B52" s="129" t="s">
        <v>184</v>
      </c>
      <c r="C52" s="204">
        <f>SUM(SUMIFS('caseload data'!E:E,'caseload data'!$D:$D,"PO",'caseload data'!$C:$C,'community caseload'!$B$50,'caseload data'!$B:$B,{"licence","community"}))</f>
        <v>0</v>
      </c>
      <c r="D52" s="204">
        <f>SUM(SUMIFS('caseload data'!F:F,'caseload data'!$D:$D,"PO",'caseload data'!$C:$C,'community caseload'!$B$50,'caseload data'!$B:$B,{"licence","community"}))</f>
        <v>0</v>
      </c>
      <c r="E52" s="204">
        <f>SUM(SUMIFS('caseload data'!G:G,'caseload data'!$D:$D,"PO",'caseload data'!$C:$C,'community caseload'!$B$50,'caseload data'!$B:$B,{"licence","community"}))</f>
        <v>0</v>
      </c>
      <c r="F52" s="204">
        <f>SUM(SUMIFS('caseload data'!H:H,'caseload data'!$D:$D,"PO",'caseload data'!$C:$C,'community caseload'!$B$50,'caseload data'!$B:$B,{"licence","community"}))</f>
        <v>0</v>
      </c>
      <c r="G52" s="204">
        <f>SUM(SUMIFS('caseload data'!I:I,'caseload data'!$D:$D,"PO",'caseload data'!$C:$C,'community caseload'!$B$50,'caseload data'!$B:$B,{"licence","community"}))</f>
        <v>0</v>
      </c>
      <c r="H52" s="204">
        <f>SUM(SUMIFS('caseload data'!J:J,'caseload data'!$D:$D,"PO",'caseload data'!$C:$C,'community caseload'!$B$50,'caseload data'!$B:$B,{"licence","community"}))</f>
        <v>0</v>
      </c>
      <c r="I52" s="204">
        <f>SUM(SUMIFS('caseload data'!K:K,'caseload data'!$D:$D,"PO",'caseload data'!$C:$C,'community caseload'!$B$50,'caseload data'!$B:$B,{"licence","community"}))</f>
        <v>0</v>
      </c>
      <c r="J52" s="204">
        <f>SUM(SUMIFS('caseload data'!L:L,'caseload data'!$D:$D,"PO",'caseload data'!$C:$C,'community caseload'!$B$50,'caseload data'!$B:$B,{"licence","community"}))</f>
        <v>0</v>
      </c>
      <c r="K52" s="204">
        <f>SUM(SUMIFS('caseload data'!M:M,'caseload data'!$D:$D,"PO",'caseload data'!$C:$C,'community caseload'!$B$50,'caseload data'!$B:$B,{"licence","community"}))</f>
        <v>0</v>
      </c>
      <c r="L52" s="204">
        <f>SUM(SUMIFS('caseload data'!N:N,'caseload data'!$D:$D,"PO",'caseload data'!$C:$C,'community caseload'!$B$50,'caseload data'!$B:$B,{"licence","community"}))</f>
        <v>0</v>
      </c>
      <c r="M52" s="204">
        <f>SUM(SUMIFS('caseload data'!O:O,'caseload data'!$D:$D,"PO",'caseload data'!$C:$C,'community caseload'!$B$50,'caseload data'!$B:$B,{"licence","community"}))</f>
        <v>0</v>
      </c>
      <c r="N52" s="204">
        <f>SUM(SUMIFS('caseload data'!P:P,'caseload data'!$D:$D,"PO",'caseload data'!$C:$C,'community caseload'!$B$50,'caseload data'!$B:$B,{"licence","community"}))</f>
        <v>0</v>
      </c>
      <c r="O52" s="204">
        <f>SUM(SUMIFS('caseload data'!Q:Q,'caseload data'!$D:$D,"PO",'caseload data'!$C:$C,'community caseload'!$B$50,'caseload data'!$B:$B,{"licence","community"}))</f>
        <v>0</v>
      </c>
      <c r="P52" s="204">
        <f>SUM(SUMIFS('caseload data'!R:R,'caseload data'!$D:$D,"PO",'caseload data'!$C:$C,'community caseload'!$B$50,'caseload data'!$B:$B,{"licence","community"}))</f>
        <v>0</v>
      </c>
      <c r="Q52" s="204">
        <f>SUM(SUMIFS('caseload data'!S:S,'caseload data'!$D:$D,"PO",'caseload data'!$C:$C,'community caseload'!$B$50,'caseload data'!$B:$B,{"licence","community"}))</f>
        <v>0</v>
      </c>
      <c r="R52" s="204">
        <f>SUM(SUMIFS('caseload data'!T:T,'caseload data'!$D:$D,"PO",'caseload data'!$C:$C,'community caseload'!$B$50,'caseload data'!$B:$B,{"licence","community"}))</f>
        <v>0</v>
      </c>
      <c r="S52" s="95"/>
      <c r="T52" s="129" t="s">
        <v>184</v>
      </c>
      <c r="U52" s="204">
        <f>SUM(SUMIFS('caseload data'!E:E,'caseload data'!$D:$D,"PO",'caseload data'!$C:$C,'community caseload'!$T$50,'caseload data'!$B:$B,{"licence","community"}))</f>
        <v>0</v>
      </c>
      <c r="V52" s="204">
        <f>SUM(SUMIFS('caseload data'!F:F,'caseload data'!$D:$D,"PO",'caseload data'!$C:$C,'community caseload'!$T$50,'caseload data'!$B:$B,{"licence","community"}))</f>
        <v>0</v>
      </c>
      <c r="W52" s="204">
        <f>SUM(SUMIFS('caseload data'!G:G,'caseload data'!$D:$D,"PO",'caseload data'!$C:$C,'community caseload'!$T$50,'caseload data'!$B:$B,{"licence","community"}))</f>
        <v>0</v>
      </c>
      <c r="X52" s="204">
        <f>SUM(SUMIFS('caseload data'!H:H,'caseload data'!$D:$D,"PO",'caseload data'!$C:$C,'community caseload'!$T$50,'caseload data'!$B:$B,{"licence","community"}))</f>
        <v>0</v>
      </c>
      <c r="Y52" s="204">
        <f>SUM(SUMIFS('caseload data'!I:I,'caseload data'!$D:$D,"PO",'caseload data'!$C:$C,'community caseload'!$T$50,'caseload data'!$B:$B,{"licence","community"}))</f>
        <v>0</v>
      </c>
      <c r="Z52" s="204">
        <f>SUM(SUMIFS('caseload data'!J:J,'caseload data'!$D:$D,"PO",'caseload data'!$C:$C,'community caseload'!$T$50,'caseload data'!$B:$B,{"licence","community"}))</f>
        <v>0</v>
      </c>
      <c r="AA52" s="204">
        <f>SUM(SUMIFS('caseload data'!K:K,'caseload data'!$D:$D,"PO",'caseload data'!$C:$C,'community caseload'!$T$50,'caseload data'!$B:$B,{"licence","community"}))</f>
        <v>0</v>
      </c>
      <c r="AB52" s="204">
        <f>SUM(SUMIFS('caseload data'!L:L,'caseload data'!$D:$D,"PO",'caseload data'!$C:$C,'community caseload'!$T$50,'caseload data'!$B:$B,{"licence","community"}))</f>
        <v>0</v>
      </c>
      <c r="AC52" s="204">
        <f>SUM(SUMIFS('caseload data'!M:M,'caseload data'!$D:$D,"PO",'caseload data'!$C:$C,'community caseload'!$T$50,'caseload data'!$B:$B,{"licence","community"}))</f>
        <v>0</v>
      </c>
      <c r="AD52" s="204">
        <f>SUM(SUMIFS('caseload data'!N:N,'caseload data'!$D:$D,"PO",'caseload data'!$C:$C,'community caseload'!$T$50,'caseload data'!$B:$B,{"licence","community"}))</f>
        <v>0</v>
      </c>
      <c r="AE52" s="204">
        <f>SUM(SUMIFS('caseload data'!O:O,'caseload data'!$D:$D,"PO",'caseload data'!$C:$C,'community caseload'!$T$50,'caseload data'!$B:$B,{"licence","community"}))</f>
        <v>0</v>
      </c>
      <c r="AF52" s="204">
        <f>SUM(SUMIFS('caseload data'!P:P,'caseload data'!$D:$D,"PO",'caseload data'!$C:$C,'community caseload'!$T$50,'caseload data'!$B:$B,{"licence","community"}))</f>
        <v>0</v>
      </c>
      <c r="AG52" s="204">
        <f>SUM(SUMIFS('caseload data'!Q:Q,'caseload data'!$D:$D,"PO",'caseload data'!$C:$C,'community caseload'!$T$50,'caseload data'!$B:$B,{"licence","community"}))</f>
        <v>0</v>
      </c>
      <c r="AH52" s="204">
        <f>SUM(SUMIFS('caseload data'!R:R,'caseload data'!$D:$D,"PO",'caseload data'!$C:$C,'community caseload'!$T$50,'caseload data'!$B:$B,{"licence","community"}))</f>
        <v>0</v>
      </c>
      <c r="AI52" s="204">
        <f>SUM(SUMIFS('caseload data'!S:S,'caseload data'!$D:$D,"PO",'caseload data'!$C:$C,'community caseload'!$T$50,'caseload data'!$B:$B,{"licence","community"}))</f>
        <v>0</v>
      </c>
      <c r="AJ52" s="204">
        <f>SUM(SUMIFS('caseload data'!T:T,'caseload data'!$D:$D,"PO",'caseload data'!$C:$C,'community caseload'!$T$50,'caseload data'!$B:$B,{"licence","community"}))</f>
        <v>0</v>
      </c>
    </row>
    <row r="53" spans="2:36" x14ac:dyDescent="0.15">
      <c r="B53" s="130" t="s">
        <v>185</v>
      </c>
      <c r="C53" s="204">
        <f>SUM(SUMIFS('caseload data'!E:E,'caseload data'!$D:$D,"PSO",'caseload data'!$C:$C,'community caseload'!$B$50,'caseload data'!$B:$B,{"licence","community"}))</f>
        <v>0</v>
      </c>
      <c r="D53" s="204">
        <f>SUM(SUMIFS('caseload data'!F:F,'caseload data'!$D:$D,"PSO",'caseload data'!$C:$C,'community caseload'!$B$50,'caseload data'!$B:$B,{"licence","community"}))</f>
        <v>0</v>
      </c>
      <c r="E53" s="204">
        <f>SUM(SUMIFS('caseload data'!G:G,'caseload data'!$D:$D,"PSO",'caseload data'!$C:$C,'community caseload'!$B$50,'caseload data'!$B:$B,{"licence","community"}))</f>
        <v>0</v>
      </c>
      <c r="F53" s="204">
        <f>SUM(SUMIFS('caseload data'!H:H,'caseload data'!$D:$D,"PSO",'caseload data'!$C:$C,'community caseload'!$B$50,'caseload data'!$B:$B,{"licence","community"}))</f>
        <v>0</v>
      </c>
      <c r="G53" s="204">
        <f>SUM(SUMIFS('caseload data'!I:I,'caseload data'!$D:$D,"PSO",'caseload data'!$C:$C,'community caseload'!$B$50,'caseload data'!$B:$B,{"licence","community"}))</f>
        <v>0</v>
      </c>
      <c r="H53" s="204">
        <f>SUM(SUMIFS('caseload data'!J:J,'caseload data'!$D:$D,"PSO",'caseload data'!$C:$C,'community caseload'!$B$50,'caseload data'!$B:$B,{"licence","community"}))</f>
        <v>0</v>
      </c>
      <c r="I53" s="204">
        <f>SUM(SUMIFS('caseload data'!K:K,'caseload data'!$D:$D,"PSO",'caseload data'!$C:$C,'community caseload'!$B$50,'caseload data'!$B:$B,{"licence","community"}))</f>
        <v>0</v>
      </c>
      <c r="J53" s="204">
        <f>SUM(SUMIFS('caseload data'!L:L,'caseload data'!$D:$D,"PSO",'caseload data'!$C:$C,'community caseload'!$B$50,'caseload data'!$B:$B,{"licence","community"}))</f>
        <v>0</v>
      </c>
      <c r="K53" s="204">
        <f>SUM(SUMIFS('caseload data'!M:M,'caseload data'!$D:$D,"PSO",'caseload data'!$C:$C,'community caseload'!$B$50,'caseload data'!$B:$B,{"licence","community"}))</f>
        <v>0</v>
      </c>
      <c r="L53" s="204">
        <f>SUM(SUMIFS('caseload data'!N:N,'caseload data'!$D:$D,"PSO",'caseload data'!$C:$C,'community caseload'!$B$50,'caseload data'!$B:$B,{"licence","community"}))</f>
        <v>0</v>
      </c>
      <c r="M53" s="204">
        <f>SUM(SUMIFS('caseload data'!O:O,'caseload data'!$D:$D,"PSO",'caseload data'!$C:$C,'community caseload'!$B$50,'caseload data'!$B:$B,{"licence","community"}))</f>
        <v>0</v>
      </c>
      <c r="N53" s="204">
        <f>SUM(SUMIFS('caseload data'!P:P,'caseload data'!$D:$D,"PSO",'caseload data'!$C:$C,'community caseload'!$B$50,'caseload data'!$B:$B,{"licence","community"}))</f>
        <v>0</v>
      </c>
      <c r="O53" s="204">
        <f>SUM(SUMIFS('caseload data'!Q:Q,'caseload data'!$D:$D,"PSO",'caseload data'!$C:$C,'community caseload'!$B$50,'caseload data'!$B:$B,{"licence","community"}))</f>
        <v>0</v>
      </c>
      <c r="P53" s="204">
        <f>SUM(SUMIFS('caseload data'!R:R,'caseload data'!$D:$D,"PSO",'caseload data'!$C:$C,'community caseload'!$B$50,'caseload data'!$B:$B,{"licence","community"}))</f>
        <v>0</v>
      </c>
      <c r="Q53" s="204">
        <f>SUM(SUMIFS('caseload data'!S:S,'caseload data'!$D:$D,"PSO",'caseload data'!$C:$C,'community caseload'!$B$50,'caseload data'!$B:$B,{"licence","community"}))</f>
        <v>0</v>
      </c>
      <c r="R53" s="204">
        <f>SUM(SUMIFS('caseload data'!T:T,'caseload data'!$D:$D,"PSO",'caseload data'!$C:$C,'community caseload'!$B$50,'caseload data'!$B:$B,{"licence","community"}))</f>
        <v>0</v>
      </c>
      <c r="S53" s="95"/>
      <c r="T53" s="130" t="s">
        <v>185</v>
      </c>
      <c r="U53" s="204">
        <f>SUM(SUMIFS('caseload data'!E:E,'caseload data'!$D:$D,"PSO",'caseload data'!$C:$C,'community caseload'!$T$50,'caseload data'!$B:$B,{"licence","community"}))</f>
        <v>0</v>
      </c>
      <c r="V53" s="204">
        <f>SUM(SUMIFS('caseload data'!F:F,'caseload data'!$D:$D,"PSO",'caseload data'!$C:$C,'community caseload'!$T$50,'caseload data'!$B:$B,{"licence","community"}))</f>
        <v>0</v>
      </c>
      <c r="W53" s="204">
        <f>SUM(SUMIFS('caseload data'!G:G,'caseload data'!$D:$D,"PSO",'caseload data'!$C:$C,'community caseload'!$T$50,'caseload data'!$B:$B,{"licence","community"}))</f>
        <v>0</v>
      </c>
      <c r="X53" s="204">
        <f>SUM(SUMIFS('caseload data'!H:H,'caseload data'!$D:$D,"PSO",'caseload data'!$C:$C,'community caseload'!$T$50,'caseload data'!$B:$B,{"licence","community"}))</f>
        <v>0</v>
      </c>
      <c r="Y53" s="204">
        <f>SUM(SUMIFS('caseload data'!I:I,'caseload data'!$D:$D,"PSO",'caseload data'!$C:$C,'community caseload'!$T$50,'caseload data'!$B:$B,{"licence","community"}))</f>
        <v>0</v>
      </c>
      <c r="Z53" s="204">
        <f>SUM(SUMIFS('caseload data'!J:J,'caseload data'!$D:$D,"PSO",'caseload data'!$C:$C,'community caseload'!$T$50,'caseload data'!$B:$B,{"licence","community"}))</f>
        <v>0</v>
      </c>
      <c r="AA53" s="204">
        <f>SUM(SUMIFS('caseload data'!K:K,'caseload data'!$D:$D,"PSO",'caseload data'!$C:$C,'community caseload'!$T$50,'caseload data'!$B:$B,{"licence","community"}))</f>
        <v>0</v>
      </c>
      <c r="AB53" s="204">
        <f>SUM(SUMIFS('caseload data'!L:L,'caseload data'!$D:$D,"PSO",'caseload data'!$C:$C,'community caseload'!$T$50,'caseload data'!$B:$B,{"licence","community"}))</f>
        <v>0</v>
      </c>
      <c r="AC53" s="204">
        <f>SUM(SUMIFS('caseload data'!M:M,'caseload data'!$D:$D,"PSO",'caseload data'!$C:$C,'community caseload'!$T$50,'caseload data'!$B:$B,{"licence","community"}))</f>
        <v>0</v>
      </c>
      <c r="AD53" s="204">
        <f>SUM(SUMIFS('caseload data'!N:N,'caseload data'!$D:$D,"PSO",'caseload data'!$C:$C,'community caseload'!$T$50,'caseload data'!$B:$B,{"licence","community"}))</f>
        <v>0</v>
      </c>
      <c r="AE53" s="204">
        <f>SUM(SUMIFS('caseload data'!O:O,'caseload data'!$D:$D,"PSO",'caseload data'!$C:$C,'community caseload'!$T$50,'caseload data'!$B:$B,{"licence","community"}))</f>
        <v>0</v>
      </c>
      <c r="AF53" s="204">
        <f>SUM(SUMIFS('caseload data'!P:P,'caseload data'!$D:$D,"PSO",'caseload data'!$C:$C,'community caseload'!$T$50,'caseload data'!$B:$B,{"licence","community"}))</f>
        <v>0</v>
      </c>
      <c r="AG53" s="204">
        <f>SUM(SUMIFS('caseload data'!Q:Q,'caseload data'!$D:$D,"PSO",'caseload data'!$C:$C,'community caseload'!$T$50,'caseload data'!$B:$B,{"licence","community"}))</f>
        <v>0</v>
      </c>
      <c r="AH53" s="204">
        <f>SUM(SUMIFS('caseload data'!R:R,'caseload data'!$D:$D,"PSO",'caseload data'!$C:$C,'community caseload'!$T$50,'caseload data'!$B:$B,{"licence","community"}))</f>
        <v>0</v>
      </c>
      <c r="AI53" s="204">
        <f>SUM(SUMIFS('caseload data'!S:S,'caseload data'!$D:$D,"PSO",'caseload data'!$C:$C,'community caseload'!$T$50,'caseload data'!$B:$B,{"licence","community"}))</f>
        <v>0</v>
      </c>
      <c r="AJ53" s="204">
        <f>SUM(SUMIFS('caseload data'!T:T,'caseload data'!$D:$D,"PSO",'caseload data'!$C:$C,'community caseload'!$T$50,'caseload data'!$B:$B,{"licence","community"}))</f>
        <v>0</v>
      </c>
    </row>
    <row r="54" spans="2:36" x14ac:dyDescent="0.15">
      <c r="B54" s="130" t="s">
        <v>186</v>
      </c>
      <c r="C54" s="204">
        <f>SUM(SUMIFS('caseload data'!E:E,'caseload data'!$D:$D,"TPO",'caseload data'!$C:$C,'community caseload'!$B$50,'caseload data'!$B:$B,{"licence","community"}))</f>
        <v>0</v>
      </c>
      <c r="D54" s="204">
        <f>SUM(SUMIFS('caseload data'!F:F,'caseload data'!$D:$D,"TPO",'caseload data'!$C:$C,'community caseload'!$B$50,'caseload data'!$B:$B,{"licence","community"}))</f>
        <v>0</v>
      </c>
      <c r="E54" s="204">
        <f>SUM(SUMIFS('caseload data'!G:G,'caseload data'!$D:$D,"TPO",'caseload data'!$C:$C,'community caseload'!$B$50,'caseload data'!$B:$B,{"licence","community"}))</f>
        <v>0</v>
      </c>
      <c r="F54" s="204">
        <f>SUM(SUMIFS('caseload data'!H:H,'caseload data'!$D:$D,"TPO",'caseload data'!$C:$C,'community caseload'!$B$50,'caseload data'!$B:$B,{"licence","community"}))</f>
        <v>0</v>
      </c>
      <c r="G54" s="204">
        <f>SUM(SUMIFS('caseload data'!I:I,'caseload data'!$D:$D,"TPO",'caseload data'!$C:$C,'community caseload'!$B$50,'caseload data'!$B:$B,{"licence","community"}))</f>
        <v>0</v>
      </c>
      <c r="H54" s="204">
        <f>SUM(SUMIFS('caseload data'!J:J,'caseload data'!$D:$D,"TPO",'caseload data'!$C:$C,'community caseload'!$B$50,'caseload data'!$B:$B,{"licence","community"}))</f>
        <v>0</v>
      </c>
      <c r="I54" s="204">
        <f>SUM(SUMIFS('caseload data'!K:K,'caseload data'!$D:$D,"TPO",'caseload data'!$C:$C,'community caseload'!$B$50,'caseload data'!$B:$B,{"licence","community"}))</f>
        <v>0</v>
      </c>
      <c r="J54" s="204">
        <f>SUM(SUMIFS('caseload data'!L:L,'caseload data'!$D:$D,"TPO",'caseload data'!$C:$C,'community caseload'!$B$50,'caseload data'!$B:$B,{"licence","community"}))</f>
        <v>0</v>
      </c>
      <c r="K54" s="204">
        <f>SUM(SUMIFS('caseload data'!M:M,'caseload data'!$D:$D,"TPO",'caseload data'!$C:$C,'community caseload'!$B$50,'caseload data'!$B:$B,{"licence","community"}))</f>
        <v>0</v>
      </c>
      <c r="L54" s="204">
        <f>SUM(SUMIFS('caseload data'!N:N,'caseload data'!$D:$D,"TPO",'caseload data'!$C:$C,'community caseload'!$B$50,'caseload data'!$B:$B,{"licence","community"}))</f>
        <v>0</v>
      </c>
      <c r="M54" s="204">
        <f>SUM(SUMIFS('caseload data'!O:O,'caseload data'!$D:$D,"TPO",'caseload data'!$C:$C,'community caseload'!$B$50,'caseload data'!$B:$B,{"licence","community"}))</f>
        <v>0</v>
      </c>
      <c r="N54" s="204">
        <f>SUM(SUMIFS('caseload data'!P:P,'caseload data'!$D:$D,"TPO",'caseload data'!$C:$C,'community caseload'!$B$50,'caseload data'!$B:$B,{"licence","community"}))</f>
        <v>0</v>
      </c>
      <c r="O54" s="204">
        <f>SUM(SUMIFS('caseload data'!Q:Q,'caseload data'!$D:$D,"TPO",'caseload data'!$C:$C,'community caseload'!$B$50,'caseload data'!$B:$B,{"licence","community"}))</f>
        <v>0</v>
      </c>
      <c r="P54" s="204">
        <f>SUM(SUMIFS('caseload data'!R:R,'caseload data'!$D:$D,"TPO",'caseload data'!$C:$C,'community caseload'!$B$50,'caseload data'!$B:$B,{"licence","community"}))</f>
        <v>0</v>
      </c>
      <c r="Q54" s="204">
        <f>SUM(SUMIFS('caseload data'!S:S,'caseload data'!$D:$D,"TPO",'caseload data'!$C:$C,'community caseload'!$B$50,'caseload data'!$B:$B,{"licence","community"}))</f>
        <v>0</v>
      </c>
      <c r="R54" s="204">
        <f>SUM(SUMIFS('caseload data'!T:T,'caseload data'!$D:$D,"TPO",'caseload data'!$C:$C,'community caseload'!$B$50,'caseload data'!$B:$B,{"licence","community"}))</f>
        <v>0</v>
      </c>
      <c r="S54" s="95"/>
      <c r="T54" s="130" t="s">
        <v>186</v>
      </c>
      <c r="U54" s="204">
        <f>SUM(SUMIFS('caseload data'!E:E,'caseload data'!$D:$D,"TPO",'caseload data'!$C:$C,'community caseload'!$T$50,'caseload data'!$B:$B,{"licence","community"}))</f>
        <v>0</v>
      </c>
      <c r="V54" s="204">
        <f>SUM(SUMIFS('caseload data'!F:F,'caseload data'!$D:$D,"TPO",'caseload data'!$C:$C,'community caseload'!$T$50,'caseload data'!$B:$B,{"licence","community"}))</f>
        <v>0</v>
      </c>
      <c r="W54" s="204">
        <f>SUM(SUMIFS('caseload data'!G:G,'caseload data'!$D:$D,"TPO",'caseload data'!$C:$C,'community caseload'!$T$50,'caseload data'!$B:$B,{"licence","community"}))</f>
        <v>0</v>
      </c>
      <c r="X54" s="204">
        <f>SUM(SUMIFS('caseload data'!H:H,'caseload data'!$D:$D,"TPO",'caseload data'!$C:$C,'community caseload'!$T$50,'caseload data'!$B:$B,{"licence","community"}))</f>
        <v>0</v>
      </c>
      <c r="Y54" s="204">
        <f>SUM(SUMIFS('caseload data'!I:I,'caseload data'!$D:$D,"TPO",'caseload data'!$C:$C,'community caseload'!$T$50,'caseload data'!$B:$B,{"licence","community"}))</f>
        <v>0</v>
      </c>
      <c r="Z54" s="204">
        <f>SUM(SUMIFS('caseload data'!J:J,'caseload data'!$D:$D,"TPO",'caseload data'!$C:$C,'community caseload'!$T$50,'caseload data'!$B:$B,{"licence","community"}))</f>
        <v>0</v>
      </c>
      <c r="AA54" s="204">
        <f>SUM(SUMIFS('caseload data'!K:K,'caseload data'!$D:$D,"TPO",'caseload data'!$C:$C,'community caseload'!$T$50,'caseload data'!$B:$B,{"licence","community"}))</f>
        <v>0</v>
      </c>
      <c r="AB54" s="204">
        <f>SUM(SUMIFS('caseload data'!L:L,'caseload data'!$D:$D,"TPO",'caseload data'!$C:$C,'community caseload'!$T$50,'caseload data'!$B:$B,{"licence","community"}))</f>
        <v>0</v>
      </c>
      <c r="AC54" s="204">
        <f>SUM(SUMIFS('caseload data'!M:M,'caseload data'!$D:$D,"TPO",'caseload data'!$C:$C,'community caseload'!$T$50,'caseload data'!$B:$B,{"licence","community"}))</f>
        <v>0</v>
      </c>
      <c r="AD54" s="204">
        <f>SUM(SUMIFS('caseload data'!N:N,'caseload data'!$D:$D,"TPO",'caseload data'!$C:$C,'community caseload'!$T$50,'caseload data'!$B:$B,{"licence","community"}))</f>
        <v>0</v>
      </c>
      <c r="AE54" s="204">
        <f>SUM(SUMIFS('caseload data'!O:O,'caseload data'!$D:$D,"TPO",'caseload data'!$C:$C,'community caseload'!$T$50,'caseload data'!$B:$B,{"licence","community"}))</f>
        <v>0</v>
      </c>
      <c r="AF54" s="204">
        <f>SUM(SUMIFS('caseload data'!P:P,'caseload data'!$D:$D,"TPO",'caseload data'!$C:$C,'community caseload'!$T$50,'caseload data'!$B:$B,{"licence","community"}))</f>
        <v>0</v>
      </c>
      <c r="AG54" s="204">
        <f>SUM(SUMIFS('caseload data'!Q:Q,'caseload data'!$D:$D,"TPO",'caseload data'!$C:$C,'community caseload'!$T$50,'caseload data'!$B:$B,{"licence","community"}))</f>
        <v>0</v>
      </c>
      <c r="AH54" s="204">
        <f>SUM(SUMIFS('caseload data'!R:R,'caseload data'!$D:$D,"TPO",'caseload data'!$C:$C,'community caseload'!$T$50,'caseload data'!$B:$B,{"licence","community"}))</f>
        <v>0</v>
      </c>
      <c r="AI54" s="204">
        <f>SUM(SUMIFS('caseload data'!S:S,'caseload data'!$D:$D,"TPO",'caseload data'!$C:$C,'community caseload'!$T$50,'caseload data'!$B:$B,{"licence","community"}))</f>
        <v>0</v>
      </c>
      <c r="AJ54" s="204">
        <f>SUM(SUMIFS('caseload data'!T:T,'caseload data'!$D:$D,"TPO",'caseload data'!$C:$C,'community caseload'!$T$50,'caseload data'!$B:$B,{"licence","community"}))</f>
        <v>0</v>
      </c>
    </row>
    <row r="55" spans="2:36" x14ac:dyDescent="0.15">
      <c r="B55" s="131" t="s">
        <v>187</v>
      </c>
      <c r="C55" s="204">
        <f>SUM(SUMIFS('caseload data'!E:E,'caseload data'!$D:$D,"SPO",'caseload data'!$C:$C,'community caseload'!$B$50,'caseload data'!$B:$B,{"licence","community"}))</f>
        <v>0</v>
      </c>
      <c r="D55" s="204">
        <f>SUM(SUMIFS('caseload data'!F:F,'caseload data'!$D:$D,"SPO",'caseload data'!$C:$C,'community caseload'!$B$50,'caseload data'!$B:$B,{"licence","community"}))</f>
        <v>0</v>
      </c>
      <c r="E55" s="204">
        <f>SUM(SUMIFS('caseload data'!G:G,'caseload data'!$D:$D,"SPO",'caseload data'!$C:$C,'community caseload'!$B$50,'caseload data'!$B:$B,{"licence","community"}))</f>
        <v>0</v>
      </c>
      <c r="F55" s="204">
        <f>SUM(SUMIFS('caseload data'!H:H,'caseload data'!$D:$D,"SPO",'caseload data'!$C:$C,'community caseload'!$B$50,'caseload data'!$B:$B,{"licence","community"}))</f>
        <v>0</v>
      </c>
      <c r="G55" s="204">
        <f>SUM(SUMIFS('caseload data'!I:I,'caseload data'!$D:$D,"SPO",'caseload data'!$C:$C,'community caseload'!$B$50,'caseload data'!$B:$B,{"licence","community"}))</f>
        <v>0</v>
      </c>
      <c r="H55" s="204">
        <f>SUM(SUMIFS('caseload data'!J:J,'caseload data'!$D:$D,"SPO",'caseload data'!$C:$C,'community caseload'!$B$50,'caseload data'!$B:$B,{"licence","community"}))</f>
        <v>0</v>
      </c>
      <c r="I55" s="204">
        <f>SUM(SUMIFS('caseload data'!K:K,'caseload data'!$D:$D,"SPO",'caseload data'!$C:$C,'community caseload'!$B$50,'caseload data'!$B:$B,{"licence","community"}))</f>
        <v>0</v>
      </c>
      <c r="J55" s="204">
        <f>SUM(SUMIFS('caseload data'!L:L,'caseload data'!$D:$D,"SPO",'caseload data'!$C:$C,'community caseload'!$B$50,'caseload data'!$B:$B,{"licence","community"}))</f>
        <v>0</v>
      </c>
      <c r="K55" s="204">
        <f>SUM(SUMIFS('caseload data'!M:M,'caseload data'!$D:$D,"SPO",'caseload data'!$C:$C,'community caseload'!$B$50,'caseload data'!$B:$B,{"licence","community"}))</f>
        <v>0</v>
      </c>
      <c r="L55" s="204">
        <f>SUM(SUMIFS('caseload data'!N:N,'caseload data'!$D:$D,"SPO",'caseload data'!$C:$C,'community caseload'!$B$50,'caseload data'!$B:$B,{"licence","community"}))</f>
        <v>0</v>
      </c>
      <c r="M55" s="204">
        <f>SUM(SUMIFS('caseload data'!O:O,'caseload data'!$D:$D,"SPO",'caseload data'!$C:$C,'community caseload'!$B$50,'caseload data'!$B:$B,{"licence","community"}))</f>
        <v>0</v>
      </c>
      <c r="N55" s="204">
        <f>SUM(SUMIFS('caseload data'!P:P,'caseload data'!$D:$D,"SPO",'caseload data'!$C:$C,'community caseload'!$B$50,'caseload data'!$B:$B,{"licence","community"}))</f>
        <v>0</v>
      </c>
      <c r="O55" s="204">
        <f>SUM(SUMIFS('caseload data'!Q:Q,'caseload data'!$D:$D,"SPO",'caseload data'!$C:$C,'community caseload'!$B$50,'caseload data'!$B:$B,{"licence","community"}))</f>
        <v>0</v>
      </c>
      <c r="P55" s="204">
        <f>SUM(SUMIFS('caseload data'!R:R,'caseload data'!$D:$D,"SPO",'caseload data'!$C:$C,'community caseload'!$B$50,'caseload data'!$B:$B,{"licence","community"}))</f>
        <v>0</v>
      </c>
      <c r="Q55" s="204">
        <f>SUM(SUMIFS('caseload data'!S:S,'caseload data'!$D:$D,"SPO",'caseload data'!$C:$C,'community caseload'!$B$50,'caseload data'!$B:$B,{"licence","community"}))</f>
        <v>0</v>
      </c>
      <c r="R55" s="204">
        <f>SUM(SUMIFS('caseload data'!T:T,'caseload data'!$D:$D,"SPO",'caseload data'!$C:$C,'community caseload'!$B$50,'caseload data'!$B:$B,{"licence","community"}))</f>
        <v>0</v>
      </c>
      <c r="S55" s="95"/>
      <c r="T55" s="131" t="s">
        <v>187</v>
      </c>
      <c r="U55" s="204">
        <f>SUM(SUMIFS('caseload data'!E:E,'caseload data'!$D:$D,"SPO",'caseload data'!$C:$C,'community caseload'!$T$50,'caseload data'!$B:$B,{"licence","community"}))</f>
        <v>0</v>
      </c>
      <c r="V55" s="204">
        <f>SUM(SUMIFS('caseload data'!F:F,'caseload data'!$D:$D,"SPO",'caseload data'!$C:$C,'community caseload'!$T$50,'caseload data'!$B:$B,{"licence","community"}))</f>
        <v>0</v>
      </c>
      <c r="W55" s="204">
        <f>SUM(SUMIFS('caseload data'!G:G,'caseload data'!$D:$D,"SPO",'caseload data'!$C:$C,'community caseload'!$T$50,'caseload data'!$B:$B,{"licence","community"}))</f>
        <v>0</v>
      </c>
      <c r="X55" s="204">
        <f>SUM(SUMIFS('caseload data'!H:H,'caseload data'!$D:$D,"SPO",'caseload data'!$C:$C,'community caseload'!$T$50,'caseload data'!$B:$B,{"licence","community"}))</f>
        <v>0</v>
      </c>
      <c r="Y55" s="204">
        <f>SUM(SUMIFS('caseload data'!I:I,'caseload data'!$D:$D,"SPO",'caseload data'!$C:$C,'community caseload'!$T$50,'caseload data'!$B:$B,{"licence","community"}))</f>
        <v>0</v>
      </c>
      <c r="Z55" s="204">
        <f>SUM(SUMIFS('caseload data'!J:J,'caseload data'!$D:$D,"SPO",'caseload data'!$C:$C,'community caseload'!$T$50,'caseload data'!$B:$B,{"licence","community"}))</f>
        <v>0</v>
      </c>
      <c r="AA55" s="204">
        <f>SUM(SUMIFS('caseload data'!K:K,'caseload data'!$D:$D,"SPO",'caseload data'!$C:$C,'community caseload'!$T$50,'caseload data'!$B:$B,{"licence","community"}))</f>
        <v>0</v>
      </c>
      <c r="AB55" s="204">
        <f>SUM(SUMIFS('caseload data'!L:L,'caseload data'!$D:$D,"SPO",'caseload data'!$C:$C,'community caseload'!$T$50,'caseload data'!$B:$B,{"licence","community"}))</f>
        <v>0</v>
      </c>
      <c r="AC55" s="204">
        <f>SUM(SUMIFS('caseload data'!M:M,'caseload data'!$D:$D,"SPO",'caseload data'!$C:$C,'community caseload'!$T$50,'caseload data'!$B:$B,{"licence","community"}))</f>
        <v>0</v>
      </c>
      <c r="AD55" s="204">
        <f>SUM(SUMIFS('caseload data'!N:N,'caseload data'!$D:$D,"SPO",'caseload data'!$C:$C,'community caseload'!$T$50,'caseload data'!$B:$B,{"licence","community"}))</f>
        <v>0</v>
      </c>
      <c r="AE55" s="204">
        <f>SUM(SUMIFS('caseload data'!O:O,'caseload data'!$D:$D,"SPO",'caseload data'!$C:$C,'community caseload'!$T$50,'caseload data'!$B:$B,{"licence","community"}))</f>
        <v>0</v>
      </c>
      <c r="AF55" s="204">
        <f>SUM(SUMIFS('caseload data'!P:P,'caseload data'!$D:$D,"SPO",'caseload data'!$C:$C,'community caseload'!$T$50,'caseload data'!$B:$B,{"licence","community"}))</f>
        <v>0</v>
      </c>
      <c r="AG55" s="204">
        <f>SUM(SUMIFS('caseload data'!Q:Q,'caseload data'!$D:$D,"SPO",'caseload data'!$C:$C,'community caseload'!$T$50,'caseload data'!$B:$B,{"licence","community"}))</f>
        <v>0</v>
      </c>
      <c r="AH55" s="204">
        <f>SUM(SUMIFS('caseload data'!R:R,'caseload data'!$D:$D,"SPO",'caseload data'!$C:$C,'community caseload'!$T$50,'caseload data'!$B:$B,{"licence","community"}))</f>
        <v>0</v>
      </c>
      <c r="AI55" s="204">
        <f>SUM(SUMIFS('caseload data'!S:S,'caseload data'!$D:$D,"SPO",'caseload data'!$C:$C,'community caseload'!$T$50,'caseload data'!$B:$B,{"licence","community"}))</f>
        <v>0</v>
      </c>
      <c r="AJ55" s="204">
        <f>SUM(SUMIFS('caseload data'!T:T,'caseload data'!$D:$D,"SPO",'caseload data'!$C:$C,'community caseload'!$T$50,'caseload data'!$B:$B,{"licence","community"}))</f>
        <v>0</v>
      </c>
    </row>
    <row r="56" spans="2:36" x14ac:dyDescent="0.15">
      <c r="B56" s="183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183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</row>
    <row r="57" spans="2:36" ht="41.25" customHeight="1" x14ac:dyDescent="0.15">
      <c r="B57" s="182">
        <f>HLOOKUP($B$5,Region_Table,16,0)</f>
        <v>0</v>
      </c>
      <c r="C57" s="359" t="s">
        <v>368</v>
      </c>
      <c r="D57" s="365"/>
      <c r="E57" s="365"/>
      <c r="F57" s="365"/>
      <c r="G57" s="365"/>
      <c r="H57" s="365"/>
      <c r="I57" s="365"/>
      <c r="J57" s="365"/>
      <c r="K57" s="365"/>
      <c r="L57" s="365"/>
      <c r="M57" s="368"/>
      <c r="N57" s="368"/>
      <c r="O57" s="369"/>
      <c r="P57" s="362" cm="1">
        <f t="array" ref="P57">SUM(SUMIFS('caseload data'!V:V,'caseload data'!B:B,{"licence","community"},'caseload data'!$C:$C,'community caseload'!B57))</f>
        <v>0</v>
      </c>
      <c r="Q57" s="370"/>
      <c r="R57" s="371"/>
      <c r="S57" s="95"/>
      <c r="T57" s="182">
        <f>HLOOKUP($B$5,Region_Table,17,0)</f>
        <v>0</v>
      </c>
      <c r="U57" s="359" t="s">
        <v>368</v>
      </c>
      <c r="V57" s="365"/>
      <c r="W57" s="365"/>
      <c r="X57" s="365"/>
      <c r="Y57" s="365"/>
      <c r="Z57" s="365"/>
      <c r="AA57" s="365"/>
      <c r="AB57" s="365"/>
      <c r="AC57" s="365"/>
      <c r="AD57" s="365"/>
      <c r="AE57" s="368"/>
      <c r="AF57" s="368"/>
      <c r="AG57" s="369"/>
      <c r="AH57" s="362" cm="1">
        <f t="array" ref="AH57">SUM(SUMIFS('caseload data'!V:V,'caseload data'!B:B,{"licence","community"},'caseload data'!$C:$C,'community caseload'!T57))</f>
        <v>0</v>
      </c>
      <c r="AI57" s="370"/>
      <c r="AJ57" s="371"/>
    </row>
    <row r="58" spans="2:36" x14ac:dyDescent="0.15">
      <c r="B58" s="127" t="s">
        <v>324</v>
      </c>
      <c r="C58" s="58" t="s">
        <v>504</v>
      </c>
      <c r="D58" s="58" t="s">
        <v>503</v>
      </c>
      <c r="E58" s="58" t="s">
        <v>502</v>
      </c>
      <c r="F58" s="58" t="s">
        <v>501</v>
      </c>
      <c r="G58" s="58" t="s">
        <v>510</v>
      </c>
      <c r="H58" s="58" t="s">
        <v>176</v>
      </c>
      <c r="I58" s="58" t="s">
        <v>177</v>
      </c>
      <c r="J58" s="58" t="s">
        <v>505</v>
      </c>
      <c r="K58" s="58" t="s">
        <v>507</v>
      </c>
      <c r="L58" s="58" t="s">
        <v>178</v>
      </c>
      <c r="M58" s="58" t="s">
        <v>179</v>
      </c>
      <c r="N58" s="58" t="s">
        <v>506</v>
      </c>
      <c r="O58" s="58" t="s">
        <v>508</v>
      </c>
      <c r="P58" s="58" t="s">
        <v>180</v>
      </c>
      <c r="Q58" s="58" t="s">
        <v>181</v>
      </c>
      <c r="R58" s="58" t="s">
        <v>509</v>
      </c>
      <c r="S58" s="95"/>
      <c r="T58" s="127" t="s">
        <v>324</v>
      </c>
      <c r="U58" s="58" t="s">
        <v>504</v>
      </c>
      <c r="V58" s="58" t="s">
        <v>503</v>
      </c>
      <c r="W58" s="58" t="s">
        <v>502</v>
      </c>
      <c r="X58" s="58" t="s">
        <v>501</v>
      </c>
      <c r="Y58" s="58" t="s">
        <v>510</v>
      </c>
      <c r="Z58" s="58" t="s">
        <v>176</v>
      </c>
      <c r="AA58" s="58" t="s">
        <v>177</v>
      </c>
      <c r="AB58" s="58" t="s">
        <v>505</v>
      </c>
      <c r="AC58" s="58" t="s">
        <v>507</v>
      </c>
      <c r="AD58" s="58" t="s">
        <v>178</v>
      </c>
      <c r="AE58" s="58" t="s">
        <v>179</v>
      </c>
      <c r="AF58" s="58" t="s">
        <v>506</v>
      </c>
      <c r="AG58" s="58" t="s">
        <v>508</v>
      </c>
      <c r="AH58" s="58" t="s">
        <v>180</v>
      </c>
      <c r="AI58" s="58" t="s">
        <v>181</v>
      </c>
      <c r="AJ58" s="58" t="s">
        <v>509</v>
      </c>
    </row>
    <row r="59" spans="2:36" x14ac:dyDescent="0.15">
      <c r="B59" s="129" t="s">
        <v>184</v>
      </c>
      <c r="C59" s="204">
        <f>SUM(SUMIFS('caseload data'!E:E,'caseload data'!$D:$D,"PO",'caseload data'!$C:$C,'community caseload'!$B$57,'caseload data'!$B:$B,{"licence","community"}))</f>
        <v>0</v>
      </c>
      <c r="D59" s="204">
        <f>SUM(SUMIFS('caseload data'!F:F,'caseload data'!$D:$D,"PO",'caseload data'!$C:$C,'community caseload'!$B$57,'caseload data'!$B:$B,{"licence","community"}))</f>
        <v>0</v>
      </c>
      <c r="E59" s="204">
        <f>SUM(SUMIFS('caseload data'!G:G,'caseload data'!$D:$D,"PO",'caseload data'!$C:$C,'community caseload'!$B$57,'caseload data'!$B:$B,{"licence","community"}))</f>
        <v>0</v>
      </c>
      <c r="F59" s="204">
        <f>SUM(SUMIFS('caseload data'!H:H,'caseload data'!$D:$D,"PO",'caseload data'!$C:$C,'community caseload'!$B$57,'caseload data'!$B:$B,{"licence","community"}))</f>
        <v>0</v>
      </c>
      <c r="G59" s="204">
        <f>SUM(SUMIFS('caseload data'!I:I,'caseload data'!$D:$D,"PO",'caseload data'!$C:$C,'community caseload'!$B$57,'caseload data'!$B:$B,{"licence","community"}))</f>
        <v>0</v>
      </c>
      <c r="H59" s="204">
        <f>SUM(SUMIFS('caseload data'!J:J,'caseload data'!$D:$D,"PO",'caseload data'!$C:$C,'community caseload'!$B$57,'caseload data'!$B:$B,{"licence","community"}))</f>
        <v>0</v>
      </c>
      <c r="I59" s="204">
        <f>SUM(SUMIFS('caseload data'!K:K,'caseload data'!$D:$D,"PO",'caseload data'!$C:$C,'community caseload'!$B$57,'caseload data'!$B:$B,{"licence","community"}))</f>
        <v>0</v>
      </c>
      <c r="J59" s="204">
        <f>SUM(SUMIFS('caseload data'!L:L,'caseload data'!$D:$D,"PO",'caseload data'!$C:$C,'community caseload'!$B$57,'caseload data'!$B:$B,{"licence","community"}))</f>
        <v>0</v>
      </c>
      <c r="K59" s="204">
        <f>SUM(SUMIFS('caseload data'!M:M,'caseload data'!$D:$D,"PO",'caseload data'!$C:$C,'community caseload'!$B$57,'caseload data'!$B:$B,{"licence","community"}))</f>
        <v>0</v>
      </c>
      <c r="L59" s="204">
        <f>SUM(SUMIFS('caseload data'!N:N,'caseload data'!$D:$D,"PO",'caseload data'!$C:$C,'community caseload'!$B$57,'caseload data'!$B:$B,{"licence","community"}))</f>
        <v>0</v>
      </c>
      <c r="M59" s="204">
        <f>SUM(SUMIFS('caseload data'!O:O,'caseload data'!$D:$D,"PO",'caseload data'!$C:$C,'community caseload'!$B$57,'caseload data'!$B:$B,{"licence","community"}))</f>
        <v>0</v>
      </c>
      <c r="N59" s="204">
        <f>SUM(SUMIFS('caseload data'!P:P,'caseload data'!$D:$D,"PO",'caseload data'!$C:$C,'community caseload'!$B$57,'caseload data'!$B:$B,{"licence","community"}))</f>
        <v>0</v>
      </c>
      <c r="O59" s="204">
        <f>SUM(SUMIFS('caseload data'!Q:Q,'caseload data'!$D:$D,"PO",'caseload data'!$C:$C,'community caseload'!$B$57,'caseload data'!$B:$B,{"licence","community"}))</f>
        <v>0</v>
      </c>
      <c r="P59" s="204">
        <f>SUM(SUMIFS('caseload data'!R:R,'caseload data'!$D:$D,"PO",'caseload data'!$C:$C,'community caseload'!$B$57,'caseload data'!$B:$B,{"licence","community"}))</f>
        <v>0</v>
      </c>
      <c r="Q59" s="204">
        <f>SUM(SUMIFS('caseload data'!S:S,'caseload data'!$D:$D,"PO",'caseload data'!$C:$C,'community caseload'!$B$57,'caseload data'!$B:$B,{"licence","community"}))</f>
        <v>0</v>
      </c>
      <c r="R59" s="204">
        <f>SUM(SUMIFS('caseload data'!T:T,'caseload data'!$D:$D,"PO",'caseload data'!$C:$C,'community caseload'!$B$57,'caseload data'!$B:$B,{"licence","community"}))</f>
        <v>0</v>
      </c>
      <c r="S59" s="95"/>
      <c r="T59" s="129" t="s">
        <v>184</v>
      </c>
      <c r="U59" s="204">
        <f>SUM(SUMIFS('caseload data'!E:E,'caseload data'!$D:$D,"PO",'caseload data'!$C:$C,'community caseload'!$T$57,'caseload data'!$B:$B,{"licence","community"}))</f>
        <v>0</v>
      </c>
      <c r="V59" s="204">
        <f>SUM(SUMIFS('caseload data'!F:F,'caseload data'!$D:$D,"PO",'caseload data'!$C:$C,'community caseload'!$T$57,'caseload data'!$B:$B,{"licence","community"}))</f>
        <v>0</v>
      </c>
      <c r="W59" s="204">
        <f>SUM(SUMIFS('caseload data'!G:G,'caseload data'!$D:$D,"PO",'caseload data'!$C:$C,'community caseload'!$T$57,'caseload data'!$B:$B,{"licence","community"}))</f>
        <v>0</v>
      </c>
      <c r="X59" s="204">
        <f>SUM(SUMIFS('caseload data'!H:H,'caseload data'!$D:$D,"PO",'caseload data'!$C:$C,'community caseload'!$T$57,'caseload data'!$B:$B,{"licence","community"}))</f>
        <v>0</v>
      </c>
      <c r="Y59" s="204">
        <f>SUM(SUMIFS('caseload data'!I:I,'caseload data'!$D:$D,"PO",'caseload data'!$C:$C,'community caseload'!$T$57,'caseload data'!$B:$B,{"licence","community"}))</f>
        <v>0</v>
      </c>
      <c r="Z59" s="204">
        <f>SUM(SUMIFS('caseload data'!J:J,'caseload data'!$D:$D,"PO",'caseload data'!$C:$C,'community caseload'!$T$57,'caseload data'!$B:$B,{"licence","community"}))</f>
        <v>0</v>
      </c>
      <c r="AA59" s="204">
        <f>SUM(SUMIFS('caseload data'!K:K,'caseload data'!$D:$D,"PO",'caseload data'!$C:$C,'community caseload'!$T$57,'caseload data'!$B:$B,{"licence","community"}))</f>
        <v>0</v>
      </c>
      <c r="AB59" s="204">
        <f>SUM(SUMIFS('caseload data'!L:L,'caseload data'!$D:$D,"PO",'caseload data'!$C:$C,'community caseload'!$T$57,'caseload data'!$B:$B,{"licence","community"}))</f>
        <v>0</v>
      </c>
      <c r="AC59" s="204">
        <f>SUM(SUMIFS('caseload data'!M:M,'caseload data'!$D:$D,"PO",'caseload data'!$C:$C,'community caseload'!$T$57,'caseload data'!$B:$B,{"licence","community"}))</f>
        <v>0</v>
      </c>
      <c r="AD59" s="204">
        <f>SUM(SUMIFS('caseload data'!N:N,'caseload data'!$D:$D,"PO",'caseload data'!$C:$C,'community caseload'!$T$57,'caseload data'!$B:$B,{"licence","community"}))</f>
        <v>0</v>
      </c>
      <c r="AE59" s="204">
        <f>SUM(SUMIFS('caseload data'!O:O,'caseload data'!$D:$D,"PO",'caseload data'!$C:$C,'community caseload'!$T$57,'caseload data'!$B:$B,{"licence","community"}))</f>
        <v>0</v>
      </c>
      <c r="AF59" s="204">
        <f>SUM(SUMIFS('caseload data'!P:P,'caseload data'!$D:$D,"PO",'caseload data'!$C:$C,'community caseload'!$T$57,'caseload data'!$B:$B,{"licence","community"}))</f>
        <v>0</v>
      </c>
      <c r="AG59" s="204">
        <f>SUM(SUMIFS('caseload data'!Q:Q,'caseload data'!$D:$D,"PO",'caseload data'!$C:$C,'community caseload'!$T$57,'caseload data'!$B:$B,{"licence","community"}))</f>
        <v>0</v>
      </c>
      <c r="AH59" s="204">
        <f>SUM(SUMIFS('caseload data'!R:R,'caseload data'!$D:$D,"PO",'caseload data'!$C:$C,'community caseload'!$T$57,'caseload data'!$B:$B,{"licence","community"}))</f>
        <v>0</v>
      </c>
      <c r="AI59" s="204">
        <f>SUM(SUMIFS('caseload data'!S:S,'caseload data'!$D:$D,"PO",'caseload data'!$C:$C,'community caseload'!$T$57,'caseload data'!$B:$B,{"licence","community"}))</f>
        <v>0</v>
      </c>
      <c r="AJ59" s="204">
        <f>SUM(SUMIFS('caseload data'!T:T,'caseload data'!$D:$D,"PO",'caseload data'!$C:$C,'community caseload'!$T$57,'caseload data'!$B:$B,{"licence","community"}))</f>
        <v>0</v>
      </c>
    </row>
    <row r="60" spans="2:36" x14ac:dyDescent="0.15">
      <c r="B60" s="130" t="s">
        <v>185</v>
      </c>
      <c r="C60" s="204">
        <f>SUM(SUMIFS('caseload data'!E:E,'caseload data'!$D:$D,"PSO",'caseload data'!$C:$C,'community caseload'!$B$57,'caseload data'!$B:$B,{"licence","community"}))</f>
        <v>0</v>
      </c>
      <c r="D60" s="204">
        <f>SUM(SUMIFS('caseload data'!F:F,'caseload data'!$D:$D,"PSO",'caseload data'!$C:$C,'community caseload'!$B$57,'caseload data'!$B:$B,{"licence","community"}))</f>
        <v>0</v>
      </c>
      <c r="E60" s="204">
        <f>SUM(SUMIFS('caseload data'!G:G,'caseload data'!$D:$D,"PSO",'caseload data'!$C:$C,'community caseload'!$B$57,'caseload data'!$B:$B,{"licence","community"}))</f>
        <v>0</v>
      </c>
      <c r="F60" s="204">
        <f>SUM(SUMIFS('caseload data'!H:H,'caseload data'!$D:$D,"PSO",'caseload data'!$C:$C,'community caseload'!$B$57,'caseload data'!$B:$B,{"licence","community"}))</f>
        <v>0</v>
      </c>
      <c r="G60" s="204">
        <f>SUM(SUMIFS('caseload data'!I:I,'caseload data'!$D:$D,"PSO",'caseload data'!$C:$C,'community caseload'!$B$57,'caseload data'!$B:$B,{"licence","community"}))</f>
        <v>0</v>
      </c>
      <c r="H60" s="204">
        <f>SUM(SUMIFS('caseload data'!J:J,'caseload data'!$D:$D,"PSO",'caseload data'!$C:$C,'community caseload'!$B$57,'caseload data'!$B:$B,{"licence","community"}))</f>
        <v>0</v>
      </c>
      <c r="I60" s="204">
        <f>SUM(SUMIFS('caseload data'!K:K,'caseload data'!$D:$D,"PSO",'caseload data'!$C:$C,'community caseload'!$B$57,'caseload data'!$B:$B,{"licence","community"}))</f>
        <v>0</v>
      </c>
      <c r="J60" s="204">
        <f>SUM(SUMIFS('caseload data'!L:L,'caseload data'!$D:$D,"PSO",'caseload data'!$C:$C,'community caseload'!$B$57,'caseload data'!$B:$B,{"licence","community"}))</f>
        <v>0</v>
      </c>
      <c r="K60" s="204">
        <f>SUM(SUMIFS('caseload data'!M:M,'caseload data'!$D:$D,"PSO",'caseload data'!$C:$C,'community caseload'!$B$57,'caseload data'!$B:$B,{"licence","community"}))</f>
        <v>0</v>
      </c>
      <c r="L60" s="204">
        <f>SUM(SUMIFS('caseload data'!N:N,'caseload data'!$D:$D,"PSO",'caseload data'!$C:$C,'community caseload'!$B$57,'caseload data'!$B:$B,{"licence","community"}))</f>
        <v>0</v>
      </c>
      <c r="M60" s="204">
        <f>SUM(SUMIFS('caseload data'!O:O,'caseload data'!$D:$D,"PSO",'caseload data'!$C:$C,'community caseload'!$B$57,'caseload data'!$B:$B,{"licence","community"}))</f>
        <v>0</v>
      </c>
      <c r="N60" s="204">
        <f>SUM(SUMIFS('caseload data'!P:P,'caseload data'!$D:$D,"PSO",'caseload data'!$C:$C,'community caseload'!$B$57,'caseload data'!$B:$B,{"licence","community"}))</f>
        <v>0</v>
      </c>
      <c r="O60" s="204">
        <f>SUM(SUMIFS('caseload data'!Q:Q,'caseload data'!$D:$D,"PSO",'caseload data'!$C:$C,'community caseload'!$B$57,'caseload data'!$B:$B,{"licence","community"}))</f>
        <v>0</v>
      </c>
      <c r="P60" s="204">
        <f>SUM(SUMIFS('caseload data'!R:R,'caseload data'!$D:$D,"PSO",'caseload data'!$C:$C,'community caseload'!$B$57,'caseload data'!$B:$B,{"licence","community"}))</f>
        <v>0</v>
      </c>
      <c r="Q60" s="204">
        <f>SUM(SUMIFS('caseload data'!S:S,'caseload data'!$D:$D,"PSO",'caseload data'!$C:$C,'community caseload'!$B$57,'caseload data'!$B:$B,{"licence","community"}))</f>
        <v>0</v>
      </c>
      <c r="R60" s="204">
        <f>SUM(SUMIFS('caseload data'!T:T,'caseload data'!$D:$D,"PSO",'caseload data'!$C:$C,'community caseload'!$B$57,'caseload data'!$B:$B,{"licence","community"}))</f>
        <v>0</v>
      </c>
      <c r="S60" s="95"/>
      <c r="T60" s="130" t="s">
        <v>185</v>
      </c>
      <c r="U60" s="204">
        <f>SUM(SUMIFS('caseload data'!E:E,'caseload data'!$D:$D,"PSO",'caseload data'!$C:$C,'community caseload'!$T$57,'caseload data'!$B:$B,{"licence","community"}))</f>
        <v>0</v>
      </c>
      <c r="V60" s="204">
        <f>SUM(SUMIFS('caseload data'!F:F,'caseload data'!$D:$D,"PSO",'caseload data'!$C:$C,'community caseload'!$T$57,'caseload data'!$B:$B,{"licence","community"}))</f>
        <v>0</v>
      </c>
      <c r="W60" s="204">
        <f>SUM(SUMIFS('caseload data'!G:G,'caseload data'!$D:$D,"PSO",'caseload data'!$C:$C,'community caseload'!$T$57,'caseload data'!$B:$B,{"licence","community"}))</f>
        <v>0</v>
      </c>
      <c r="X60" s="204">
        <f>SUM(SUMIFS('caseload data'!H:H,'caseload data'!$D:$D,"PSO",'caseload data'!$C:$C,'community caseload'!$T$57,'caseload data'!$B:$B,{"licence","community"}))</f>
        <v>0</v>
      </c>
      <c r="Y60" s="204">
        <f>SUM(SUMIFS('caseload data'!I:I,'caseload data'!$D:$D,"PSO",'caseload data'!$C:$C,'community caseload'!$T$57,'caseload data'!$B:$B,{"licence","community"}))</f>
        <v>0</v>
      </c>
      <c r="Z60" s="204">
        <f>SUM(SUMIFS('caseload data'!J:J,'caseload data'!$D:$D,"PSO",'caseload data'!$C:$C,'community caseload'!$T$57,'caseload data'!$B:$B,{"licence","community"}))</f>
        <v>0</v>
      </c>
      <c r="AA60" s="204">
        <f>SUM(SUMIFS('caseload data'!K:K,'caseload data'!$D:$D,"PSO",'caseload data'!$C:$C,'community caseload'!$T$57,'caseload data'!$B:$B,{"licence","community"}))</f>
        <v>0</v>
      </c>
      <c r="AB60" s="204">
        <f>SUM(SUMIFS('caseload data'!L:L,'caseload data'!$D:$D,"PSO",'caseload data'!$C:$C,'community caseload'!$T$57,'caseload data'!$B:$B,{"licence","community"}))</f>
        <v>0</v>
      </c>
      <c r="AC60" s="204">
        <f>SUM(SUMIFS('caseload data'!M:M,'caseload data'!$D:$D,"PSO",'caseload data'!$C:$C,'community caseload'!$T$57,'caseload data'!$B:$B,{"licence","community"}))</f>
        <v>0</v>
      </c>
      <c r="AD60" s="204">
        <f>SUM(SUMIFS('caseload data'!N:N,'caseload data'!$D:$D,"PSO",'caseload data'!$C:$C,'community caseload'!$T$57,'caseload data'!$B:$B,{"licence","community"}))</f>
        <v>0</v>
      </c>
      <c r="AE60" s="204">
        <f>SUM(SUMIFS('caseload data'!O:O,'caseload data'!$D:$D,"PSO",'caseload data'!$C:$C,'community caseload'!$T$57,'caseload data'!$B:$B,{"licence","community"}))</f>
        <v>0</v>
      </c>
      <c r="AF60" s="204">
        <f>SUM(SUMIFS('caseload data'!P:P,'caseload data'!$D:$D,"PSO",'caseload data'!$C:$C,'community caseload'!$T$57,'caseload data'!$B:$B,{"licence","community"}))</f>
        <v>0</v>
      </c>
      <c r="AG60" s="204">
        <f>SUM(SUMIFS('caseload data'!Q:Q,'caseload data'!$D:$D,"PSO",'caseload data'!$C:$C,'community caseload'!$T$57,'caseload data'!$B:$B,{"licence","community"}))</f>
        <v>0</v>
      </c>
      <c r="AH60" s="204">
        <f>SUM(SUMIFS('caseload data'!R:R,'caseload data'!$D:$D,"PSO",'caseload data'!$C:$C,'community caseload'!$T$57,'caseload data'!$B:$B,{"licence","community"}))</f>
        <v>0</v>
      </c>
      <c r="AI60" s="204">
        <f>SUM(SUMIFS('caseload data'!S:S,'caseload data'!$D:$D,"PSO",'caseload data'!$C:$C,'community caseload'!$T$57,'caseload data'!$B:$B,{"licence","community"}))</f>
        <v>0</v>
      </c>
      <c r="AJ60" s="204">
        <f>SUM(SUMIFS('caseload data'!T:T,'caseload data'!$D:$D,"PSO",'caseload data'!$C:$C,'community caseload'!$T$57,'caseload data'!$B:$B,{"licence","community"}))</f>
        <v>0</v>
      </c>
    </row>
    <row r="61" spans="2:36" x14ac:dyDescent="0.15">
      <c r="B61" s="130" t="s">
        <v>186</v>
      </c>
      <c r="C61" s="204">
        <f>SUM(SUMIFS('caseload data'!E:E,'caseload data'!$D:$D,"TPO",'caseload data'!$C:$C,'community caseload'!$B$57,'caseload data'!$B:$B,{"licence","community"}))</f>
        <v>0</v>
      </c>
      <c r="D61" s="204">
        <f>SUM(SUMIFS('caseload data'!F:F,'caseload data'!$D:$D,"TPO",'caseload data'!$C:$C,'community caseload'!$B$57,'caseload data'!$B:$B,{"licence","community"}))</f>
        <v>0</v>
      </c>
      <c r="E61" s="204">
        <f>SUM(SUMIFS('caseload data'!G:G,'caseload data'!$D:$D,"TPO",'caseload data'!$C:$C,'community caseload'!$B$57,'caseload data'!$B:$B,{"licence","community"}))</f>
        <v>0</v>
      </c>
      <c r="F61" s="204">
        <f>SUM(SUMIFS('caseload data'!H:H,'caseload data'!$D:$D,"TPO",'caseload data'!$C:$C,'community caseload'!$B$57,'caseload data'!$B:$B,{"licence","community"}))</f>
        <v>0</v>
      </c>
      <c r="G61" s="204">
        <f>SUM(SUMIFS('caseload data'!I:I,'caseload data'!$D:$D,"TPO",'caseload data'!$C:$C,'community caseload'!$B$57,'caseload data'!$B:$B,{"licence","community"}))</f>
        <v>0</v>
      </c>
      <c r="H61" s="204">
        <f>SUM(SUMIFS('caseload data'!J:J,'caseload data'!$D:$D,"TPO",'caseload data'!$C:$C,'community caseload'!$B$57,'caseload data'!$B:$B,{"licence","community"}))</f>
        <v>0</v>
      </c>
      <c r="I61" s="204">
        <f>SUM(SUMIFS('caseload data'!K:K,'caseload data'!$D:$D,"TPO",'caseload data'!$C:$C,'community caseload'!$B$57,'caseload data'!$B:$B,{"licence","community"}))</f>
        <v>0</v>
      </c>
      <c r="J61" s="204">
        <f>SUM(SUMIFS('caseload data'!L:L,'caseload data'!$D:$D,"TPO",'caseload data'!$C:$C,'community caseload'!$B$57,'caseload data'!$B:$B,{"licence","community"}))</f>
        <v>0</v>
      </c>
      <c r="K61" s="204">
        <f>SUM(SUMIFS('caseload data'!M:M,'caseload data'!$D:$D,"TPO",'caseload data'!$C:$C,'community caseload'!$B$57,'caseload data'!$B:$B,{"licence","community"}))</f>
        <v>0</v>
      </c>
      <c r="L61" s="204">
        <f>SUM(SUMIFS('caseload data'!N:N,'caseload data'!$D:$D,"TPO",'caseload data'!$C:$C,'community caseload'!$B$57,'caseload data'!$B:$B,{"licence","community"}))</f>
        <v>0</v>
      </c>
      <c r="M61" s="204">
        <f>SUM(SUMIFS('caseload data'!O:O,'caseload data'!$D:$D,"TPO",'caseload data'!$C:$C,'community caseload'!$B$57,'caseload data'!$B:$B,{"licence","community"}))</f>
        <v>0</v>
      </c>
      <c r="N61" s="204">
        <f>SUM(SUMIFS('caseload data'!P:P,'caseload data'!$D:$D,"TPO",'caseload data'!$C:$C,'community caseload'!$B$57,'caseload data'!$B:$B,{"licence","community"}))</f>
        <v>0</v>
      </c>
      <c r="O61" s="204">
        <f>SUM(SUMIFS('caseload data'!Q:Q,'caseload data'!$D:$D,"TPO",'caseload data'!$C:$C,'community caseload'!$B$57,'caseload data'!$B:$B,{"licence","community"}))</f>
        <v>0</v>
      </c>
      <c r="P61" s="204">
        <f>SUM(SUMIFS('caseload data'!R:R,'caseload data'!$D:$D,"TPO",'caseload data'!$C:$C,'community caseload'!$B$57,'caseload data'!$B:$B,{"licence","community"}))</f>
        <v>0</v>
      </c>
      <c r="Q61" s="204">
        <f>SUM(SUMIFS('caseload data'!S:S,'caseload data'!$D:$D,"TPO",'caseload data'!$C:$C,'community caseload'!$B$57,'caseload data'!$B:$B,{"licence","community"}))</f>
        <v>0</v>
      </c>
      <c r="R61" s="204">
        <f>SUM(SUMIFS('caseload data'!T:T,'caseload data'!$D:$D,"TPO",'caseload data'!$C:$C,'community caseload'!$B$57,'caseload data'!$B:$B,{"licence","community"}))</f>
        <v>0</v>
      </c>
      <c r="S61" s="95"/>
      <c r="T61" s="130" t="s">
        <v>186</v>
      </c>
      <c r="U61" s="204">
        <f>SUM(SUMIFS('caseload data'!E:E,'caseload data'!$D:$D,"TPO",'caseload data'!$C:$C,'community caseload'!$T$57,'caseload data'!$B:$B,{"licence","community"}))</f>
        <v>0</v>
      </c>
      <c r="V61" s="204">
        <f>SUM(SUMIFS('caseload data'!F:F,'caseload data'!$D:$D,"TPO",'caseload data'!$C:$C,'community caseload'!$T$57,'caseload data'!$B:$B,{"licence","community"}))</f>
        <v>0</v>
      </c>
      <c r="W61" s="204">
        <f>SUM(SUMIFS('caseload data'!G:G,'caseload data'!$D:$D,"TPO",'caseload data'!$C:$C,'community caseload'!$T$57,'caseload data'!$B:$B,{"licence","community"}))</f>
        <v>0</v>
      </c>
      <c r="X61" s="204">
        <f>SUM(SUMIFS('caseload data'!H:H,'caseload data'!$D:$D,"TPO",'caseload data'!$C:$C,'community caseload'!$T$57,'caseload data'!$B:$B,{"licence","community"}))</f>
        <v>0</v>
      </c>
      <c r="Y61" s="204">
        <f>SUM(SUMIFS('caseload data'!I:I,'caseload data'!$D:$D,"TPO",'caseload data'!$C:$C,'community caseload'!$T$57,'caseload data'!$B:$B,{"licence","community"}))</f>
        <v>0</v>
      </c>
      <c r="Z61" s="204">
        <f>SUM(SUMIFS('caseload data'!J:J,'caseload data'!$D:$D,"TPO",'caseload data'!$C:$C,'community caseload'!$T$57,'caseload data'!$B:$B,{"licence","community"}))</f>
        <v>0</v>
      </c>
      <c r="AA61" s="204">
        <f>SUM(SUMIFS('caseload data'!K:K,'caseload data'!$D:$D,"TPO",'caseload data'!$C:$C,'community caseload'!$T$57,'caseload data'!$B:$B,{"licence","community"}))</f>
        <v>0</v>
      </c>
      <c r="AB61" s="204">
        <f>SUM(SUMIFS('caseload data'!L:L,'caseload data'!$D:$D,"TPO",'caseload data'!$C:$C,'community caseload'!$T$57,'caseload data'!$B:$B,{"licence","community"}))</f>
        <v>0</v>
      </c>
      <c r="AC61" s="204">
        <f>SUM(SUMIFS('caseload data'!M:M,'caseload data'!$D:$D,"TPO",'caseload data'!$C:$C,'community caseload'!$T$57,'caseload data'!$B:$B,{"licence","community"}))</f>
        <v>0</v>
      </c>
      <c r="AD61" s="204">
        <f>SUM(SUMIFS('caseload data'!N:N,'caseload data'!$D:$D,"TPO",'caseload data'!$C:$C,'community caseload'!$T$57,'caseload data'!$B:$B,{"licence","community"}))</f>
        <v>0</v>
      </c>
      <c r="AE61" s="204">
        <f>SUM(SUMIFS('caseload data'!O:O,'caseload data'!$D:$D,"TPO",'caseload data'!$C:$C,'community caseload'!$T$57,'caseload data'!$B:$B,{"licence","community"}))</f>
        <v>0</v>
      </c>
      <c r="AF61" s="204">
        <f>SUM(SUMIFS('caseload data'!P:P,'caseload data'!$D:$D,"TPO",'caseload data'!$C:$C,'community caseload'!$T$57,'caseload data'!$B:$B,{"licence","community"}))</f>
        <v>0</v>
      </c>
      <c r="AG61" s="204">
        <f>SUM(SUMIFS('caseload data'!Q:Q,'caseload data'!$D:$D,"TPO",'caseload data'!$C:$C,'community caseload'!$T$57,'caseload data'!$B:$B,{"licence","community"}))</f>
        <v>0</v>
      </c>
      <c r="AH61" s="204">
        <f>SUM(SUMIFS('caseload data'!R:R,'caseload data'!$D:$D,"TPO",'caseload data'!$C:$C,'community caseload'!$T$57,'caseload data'!$B:$B,{"licence","community"}))</f>
        <v>0</v>
      </c>
      <c r="AI61" s="204">
        <f>SUM(SUMIFS('caseload data'!S:S,'caseload data'!$D:$D,"TPO",'caseload data'!$C:$C,'community caseload'!$T$57,'caseload data'!$B:$B,{"licence","community"}))</f>
        <v>0</v>
      </c>
      <c r="AJ61" s="204">
        <f>SUM(SUMIFS('caseload data'!T:T,'caseload data'!$D:$D,"TPO",'caseload data'!$C:$C,'community caseload'!$T$57,'caseload data'!$B:$B,{"licence","community"}))</f>
        <v>0</v>
      </c>
    </row>
    <row r="62" spans="2:36" x14ac:dyDescent="0.15">
      <c r="B62" s="131" t="s">
        <v>187</v>
      </c>
      <c r="C62" s="204">
        <f>SUM(SUMIFS('caseload data'!E:E,'caseload data'!$D:$D,"SPO",'caseload data'!$C:$C,'community caseload'!$B$57,'caseload data'!$B:$B,{"licence","community"}))</f>
        <v>0</v>
      </c>
      <c r="D62" s="204">
        <f>SUM(SUMIFS('caseload data'!F:F,'caseload data'!$D:$D,"SPO",'caseload data'!$C:$C,'community caseload'!$B$57,'caseload data'!$B:$B,{"licence","community"}))</f>
        <v>0</v>
      </c>
      <c r="E62" s="204">
        <f>SUM(SUMIFS('caseload data'!G:G,'caseload data'!$D:$D,"SPO",'caseload data'!$C:$C,'community caseload'!$B$57,'caseload data'!$B:$B,{"licence","community"}))</f>
        <v>0</v>
      </c>
      <c r="F62" s="204">
        <f>SUM(SUMIFS('caseload data'!H:H,'caseload data'!$D:$D,"SPO",'caseload data'!$C:$C,'community caseload'!$B$57,'caseload data'!$B:$B,{"licence","community"}))</f>
        <v>0</v>
      </c>
      <c r="G62" s="204">
        <f>SUM(SUMIFS('caseload data'!I:I,'caseload data'!$D:$D,"SPO",'caseload data'!$C:$C,'community caseload'!$B$57,'caseload data'!$B:$B,{"licence","community"}))</f>
        <v>0</v>
      </c>
      <c r="H62" s="204">
        <f>SUM(SUMIFS('caseload data'!J:J,'caseload data'!$D:$D,"SPO",'caseload data'!$C:$C,'community caseload'!$B$57,'caseload data'!$B:$B,{"licence","community"}))</f>
        <v>0</v>
      </c>
      <c r="I62" s="204">
        <f>SUM(SUMIFS('caseload data'!K:K,'caseload data'!$D:$D,"SPO",'caseload data'!$C:$C,'community caseload'!$B$57,'caseload data'!$B:$B,{"licence","community"}))</f>
        <v>0</v>
      </c>
      <c r="J62" s="204">
        <f>SUM(SUMIFS('caseload data'!L:L,'caseload data'!$D:$D,"SPO",'caseload data'!$C:$C,'community caseload'!$B$57,'caseload data'!$B:$B,{"licence","community"}))</f>
        <v>0</v>
      </c>
      <c r="K62" s="204">
        <f>SUM(SUMIFS('caseload data'!M:M,'caseload data'!$D:$D,"SPO",'caseload data'!$C:$C,'community caseload'!$B$57,'caseload data'!$B:$B,{"licence","community"}))</f>
        <v>0</v>
      </c>
      <c r="L62" s="204">
        <f>SUM(SUMIFS('caseload data'!N:N,'caseload data'!$D:$D,"SPO",'caseload data'!$C:$C,'community caseload'!$B$57,'caseload data'!$B:$B,{"licence","community"}))</f>
        <v>0</v>
      </c>
      <c r="M62" s="204">
        <f>SUM(SUMIFS('caseload data'!O:O,'caseload data'!$D:$D,"SPO",'caseload data'!$C:$C,'community caseload'!$B$57,'caseload data'!$B:$B,{"licence","community"}))</f>
        <v>0</v>
      </c>
      <c r="N62" s="204">
        <f>SUM(SUMIFS('caseload data'!P:P,'caseload data'!$D:$D,"SPO",'caseload data'!$C:$C,'community caseload'!$B$57,'caseload data'!$B:$B,{"licence","community"}))</f>
        <v>0</v>
      </c>
      <c r="O62" s="204">
        <f>SUM(SUMIFS('caseload data'!Q:Q,'caseload data'!$D:$D,"SPO",'caseload data'!$C:$C,'community caseload'!$B$57,'caseload data'!$B:$B,{"licence","community"}))</f>
        <v>0</v>
      </c>
      <c r="P62" s="204">
        <f>SUM(SUMIFS('caseload data'!R:R,'caseload data'!$D:$D,"SPO",'caseload data'!$C:$C,'community caseload'!$B$57,'caseload data'!$B:$B,{"licence","community"}))</f>
        <v>0</v>
      </c>
      <c r="Q62" s="204">
        <f>SUM(SUMIFS('caseload data'!S:S,'caseload data'!$D:$D,"SPO",'caseload data'!$C:$C,'community caseload'!$B$57,'caseload data'!$B:$B,{"licence","community"}))</f>
        <v>0</v>
      </c>
      <c r="R62" s="204">
        <f>SUM(SUMIFS('caseload data'!T:T,'caseload data'!$D:$D,"SPO",'caseload data'!$C:$C,'community caseload'!$B$57,'caseload data'!$B:$B,{"licence","community"}))</f>
        <v>0</v>
      </c>
      <c r="S62" s="95"/>
      <c r="T62" s="131" t="s">
        <v>187</v>
      </c>
      <c r="U62" s="204">
        <f>SUM(SUMIFS('caseload data'!E:E,'caseload data'!$D:$D,"SPO",'caseload data'!$C:$C,'community caseload'!$T$57,'caseload data'!$B:$B,{"licence","community"}))</f>
        <v>0</v>
      </c>
      <c r="V62" s="204">
        <f>SUM(SUMIFS('caseload data'!F:F,'caseload data'!$D:$D,"SPO",'caseload data'!$C:$C,'community caseload'!$T$57,'caseload data'!$B:$B,{"licence","community"}))</f>
        <v>0</v>
      </c>
      <c r="W62" s="204">
        <f>SUM(SUMIFS('caseload data'!G:G,'caseload data'!$D:$D,"SPO",'caseload data'!$C:$C,'community caseload'!$T$57,'caseload data'!$B:$B,{"licence","community"}))</f>
        <v>0</v>
      </c>
      <c r="X62" s="204">
        <f>SUM(SUMIFS('caseload data'!H:H,'caseload data'!$D:$D,"SPO",'caseload data'!$C:$C,'community caseload'!$T$57,'caseload data'!$B:$B,{"licence","community"}))</f>
        <v>0</v>
      </c>
      <c r="Y62" s="204">
        <f>SUM(SUMIFS('caseload data'!I:I,'caseload data'!$D:$D,"SPO",'caseload data'!$C:$C,'community caseload'!$T$57,'caseload data'!$B:$B,{"licence","community"}))</f>
        <v>0</v>
      </c>
      <c r="Z62" s="204">
        <f>SUM(SUMIFS('caseload data'!J:J,'caseload data'!$D:$D,"SPO",'caseload data'!$C:$C,'community caseload'!$T$57,'caseload data'!$B:$B,{"licence","community"}))</f>
        <v>0</v>
      </c>
      <c r="AA62" s="204">
        <f>SUM(SUMIFS('caseload data'!K:K,'caseload data'!$D:$D,"SPO",'caseload data'!$C:$C,'community caseload'!$T$57,'caseload data'!$B:$B,{"licence","community"}))</f>
        <v>0</v>
      </c>
      <c r="AB62" s="204">
        <f>SUM(SUMIFS('caseload data'!L:L,'caseload data'!$D:$D,"SPO",'caseload data'!$C:$C,'community caseload'!$T$57,'caseload data'!$B:$B,{"licence","community"}))</f>
        <v>0</v>
      </c>
      <c r="AC62" s="204">
        <f>SUM(SUMIFS('caseload data'!M:M,'caseload data'!$D:$D,"SPO",'caseload data'!$C:$C,'community caseload'!$T$57,'caseload data'!$B:$B,{"licence","community"}))</f>
        <v>0</v>
      </c>
      <c r="AD62" s="204">
        <f>SUM(SUMIFS('caseload data'!N:N,'caseload data'!$D:$D,"SPO",'caseload data'!$C:$C,'community caseload'!$T$57,'caseload data'!$B:$B,{"licence","community"}))</f>
        <v>0</v>
      </c>
      <c r="AE62" s="204">
        <f>SUM(SUMIFS('caseload data'!O:O,'caseload data'!$D:$D,"SPO",'caseload data'!$C:$C,'community caseload'!$T$57,'caseload data'!$B:$B,{"licence","community"}))</f>
        <v>0</v>
      </c>
      <c r="AF62" s="204">
        <f>SUM(SUMIFS('caseload data'!P:P,'caseload data'!$D:$D,"SPO",'caseload data'!$C:$C,'community caseload'!$T$57,'caseload data'!$B:$B,{"licence","community"}))</f>
        <v>0</v>
      </c>
      <c r="AG62" s="204">
        <f>SUM(SUMIFS('caseload data'!Q:Q,'caseload data'!$D:$D,"SPO",'caseload data'!$C:$C,'community caseload'!$T$57,'caseload data'!$B:$B,{"licence","community"}))</f>
        <v>0</v>
      </c>
      <c r="AH62" s="204">
        <f>SUM(SUMIFS('caseload data'!R:R,'caseload data'!$D:$D,"SPO",'caseload data'!$C:$C,'community caseload'!$T$57,'caseload data'!$B:$B,{"licence","community"}))</f>
        <v>0</v>
      </c>
      <c r="AI62" s="204">
        <f>SUM(SUMIFS('caseload data'!S:S,'caseload data'!$D:$D,"SPO",'caseload data'!$C:$C,'community caseload'!$T$57,'caseload data'!$B:$B,{"licence","community"}))</f>
        <v>0</v>
      </c>
      <c r="AJ62" s="204">
        <f>SUM(SUMIFS('caseload data'!T:T,'caseload data'!$D:$D,"SPO",'caseload data'!$C:$C,'community caseload'!$T$57,'caseload data'!$B:$B,{"licence","community"}))</f>
        <v>0</v>
      </c>
    </row>
    <row r="64" spans="2:36" x14ac:dyDescent="0.15">
      <c r="B64" s="182">
        <f>HLOOKUP($B$5,Region_Table,18,0)</f>
        <v>0</v>
      </c>
      <c r="C64" s="359" t="s">
        <v>368</v>
      </c>
      <c r="D64" s="365"/>
      <c r="E64" s="365"/>
      <c r="F64" s="365"/>
      <c r="G64" s="365"/>
      <c r="H64" s="365"/>
      <c r="I64" s="365"/>
      <c r="J64" s="365"/>
      <c r="K64" s="365"/>
      <c r="L64" s="365"/>
      <c r="M64" s="368"/>
      <c r="N64" s="368"/>
      <c r="O64" s="369"/>
      <c r="P64" s="362" cm="1">
        <f t="array" ref="P64">SUM(SUMIFS('caseload data'!V:V,'caseload data'!B:B,{"licence","community"},'caseload data'!$C:$C,'community caseload'!B64))</f>
        <v>0</v>
      </c>
      <c r="Q64" s="370"/>
      <c r="R64" s="371"/>
      <c r="S64" s="95"/>
      <c r="T64" s="182">
        <f>HLOOKUP($B$5,Region_Table,19,0)</f>
        <v>0</v>
      </c>
      <c r="U64" s="359" t="s">
        <v>368</v>
      </c>
      <c r="V64" s="365"/>
      <c r="W64" s="365"/>
      <c r="X64" s="365"/>
      <c r="Y64" s="365"/>
      <c r="Z64" s="365"/>
      <c r="AA64" s="365"/>
      <c r="AB64" s="365"/>
      <c r="AC64" s="365"/>
      <c r="AD64" s="365"/>
      <c r="AE64" s="368"/>
      <c r="AF64" s="368"/>
      <c r="AG64" s="369"/>
      <c r="AH64" s="362" cm="1">
        <f t="array" ref="AH64">SUM(SUMIFS('caseload data'!V:V,'caseload data'!B:B,{"licence","community"},'caseload data'!$C:$C,'community caseload'!T64))</f>
        <v>0</v>
      </c>
      <c r="AI64" s="370"/>
      <c r="AJ64" s="371"/>
    </row>
    <row r="65" spans="2:36" x14ac:dyDescent="0.15">
      <c r="B65" s="127" t="s">
        <v>324</v>
      </c>
      <c r="C65" s="58" t="s">
        <v>504</v>
      </c>
      <c r="D65" s="58" t="s">
        <v>503</v>
      </c>
      <c r="E65" s="58" t="s">
        <v>502</v>
      </c>
      <c r="F65" s="58" t="s">
        <v>501</v>
      </c>
      <c r="G65" s="58" t="s">
        <v>510</v>
      </c>
      <c r="H65" s="58" t="s">
        <v>176</v>
      </c>
      <c r="I65" s="58" t="s">
        <v>177</v>
      </c>
      <c r="J65" s="58" t="s">
        <v>505</v>
      </c>
      <c r="K65" s="58" t="s">
        <v>507</v>
      </c>
      <c r="L65" s="58" t="s">
        <v>178</v>
      </c>
      <c r="M65" s="58" t="s">
        <v>179</v>
      </c>
      <c r="N65" s="58" t="s">
        <v>506</v>
      </c>
      <c r="O65" s="58" t="s">
        <v>508</v>
      </c>
      <c r="P65" s="58" t="s">
        <v>180</v>
      </c>
      <c r="Q65" s="58" t="s">
        <v>181</v>
      </c>
      <c r="R65" s="58" t="s">
        <v>509</v>
      </c>
      <c r="S65" s="95"/>
      <c r="T65" s="127" t="s">
        <v>324</v>
      </c>
      <c r="U65" s="58" t="s">
        <v>504</v>
      </c>
      <c r="V65" s="58" t="s">
        <v>503</v>
      </c>
      <c r="W65" s="58" t="s">
        <v>502</v>
      </c>
      <c r="X65" s="58" t="s">
        <v>501</v>
      </c>
      <c r="Y65" s="58" t="s">
        <v>510</v>
      </c>
      <c r="Z65" s="58" t="s">
        <v>176</v>
      </c>
      <c r="AA65" s="58" t="s">
        <v>177</v>
      </c>
      <c r="AB65" s="58" t="s">
        <v>505</v>
      </c>
      <c r="AC65" s="58" t="s">
        <v>507</v>
      </c>
      <c r="AD65" s="58" t="s">
        <v>178</v>
      </c>
      <c r="AE65" s="58" t="s">
        <v>179</v>
      </c>
      <c r="AF65" s="58" t="s">
        <v>506</v>
      </c>
      <c r="AG65" s="58" t="s">
        <v>508</v>
      </c>
      <c r="AH65" s="58" t="s">
        <v>180</v>
      </c>
      <c r="AI65" s="58" t="s">
        <v>181</v>
      </c>
      <c r="AJ65" s="58" t="s">
        <v>509</v>
      </c>
    </row>
    <row r="66" spans="2:36" x14ac:dyDescent="0.15">
      <c r="B66" s="129" t="s">
        <v>184</v>
      </c>
      <c r="C66" s="204">
        <f>SUM(SUMIFS('caseload data'!E:E,'caseload data'!$D:$D,"PO",'caseload data'!$C:$C,'community caseload'!$B$64,'caseload data'!$B:$B,{"licence","community"}))</f>
        <v>0</v>
      </c>
      <c r="D66" s="204">
        <f>SUM(SUMIFS('caseload data'!F:F,'caseload data'!$D:$D,"PO",'caseload data'!$C:$C,'community caseload'!$B$64,'caseload data'!$B:$B,{"licence","community"}))</f>
        <v>0</v>
      </c>
      <c r="E66" s="204">
        <f>SUM(SUMIFS('caseload data'!G:G,'caseload data'!$D:$D,"PO",'caseload data'!$C:$C,'community caseload'!$B$64,'caseload data'!$B:$B,{"licence","community"}))</f>
        <v>0</v>
      </c>
      <c r="F66" s="204">
        <f>SUM(SUMIFS('caseload data'!H:H,'caseload data'!$D:$D,"PO",'caseload data'!$C:$C,'community caseload'!$B$64,'caseload data'!$B:$B,{"licence","community"}))</f>
        <v>0</v>
      </c>
      <c r="G66" s="204">
        <f>SUM(SUMIFS('caseload data'!I:I,'caseload data'!$D:$D,"PO",'caseload data'!$C:$C,'community caseload'!$B$64,'caseload data'!$B:$B,{"licence","community"}))</f>
        <v>0</v>
      </c>
      <c r="H66" s="204">
        <f>SUM(SUMIFS('caseload data'!J:J,'caseload data'!$D:$D,"PO",'caseload data'!$C:$C,'community caseload'!$B$64,'caseload data'!$B:$B,{"licence","community"}))</f>
        <v>0</v>
      </c>
      <c r="I66" s="204">
        <f>SUM(SUMIFS('caseload data'!K:K,'caseload data'!$D:$D,"PO",'caseload data'!$C:$C,'community caseload'!$B$64,'caseload data'!$B:$B,{"licence","community"}))</f>
        <v>0</v>
      </c>
      <c r="J66" s="204">
        <f>SUM(SUMIFS('caseload data'!L:L,'caseload data'!$D:$D,"PO",'caseload data'!$C:$C,'community caseload'!$B$64,'caseload data'!$B:$B,{"licence","community"}))</f>
        <v>0</v>
      </c>
      <c r="K66" s="204">
        <f>SUM(SUMIFS('caseload data'!M:M,'caseload data'!$D:$D,"PO",'caseload data'!$C:$C,'community caseload'!$B$64,'caseload data'!$B:$B,{"licence","community"}))</f>
        <v>0</v>
      </c>
      <c r="L66" s="204">
        <f>SUM(SUMIFS('caseload data'!N:N,'caseload data'!$D:$D,"PO",'caseload data'!$C:$C,'community caseload'!$B$64,'caseload data'!$B:$B,{"licence","community"}))</f>
        <v>0</v>
      </c>
      <c r="M66" s="204">
        <f>SUM(SUMIFS('caseload data'!O:O,'caseload data'!$D:$D,"PO",'caseload data'!$C:$C,'community caseload'!$B$64,'caseload data'!$B:$B,{"licence","community"}))</f>
        <v>0</v>
      </c>
      <c r="N66" s="204">
        <f>SUM(SUMIFS('caseload data'!P:P,'caseload data'!$D:$D,"PO",'caseload data'!$C:$C,'community caseload'!$B$64,'caseload data'!$B:$B,{"licence","community"}))</f>
        <v>0</v>
      </c>
      <c r="O66" s="204">
        <f>SUM(SUMIFS('caseload data'!Q:Q,'caseload data'!$D:$D,"PO",'caseload data'!$C:$C,'community caseload'!$B$64,'caseload data'!$B:$B,{"licence","community"}))</f>
        <v>0</v>
      </c>
      <c r="P66" s="204">
        <f>SUM(SUMIFS('caseload data'!R:R,'caseload data'!$D:$D,"PO",'caseload data'!$C:$C,'community caseload'!$B$64,'caseload data'!$B:$B,{"licence","community"}))</f>
        <v>0</v>
      </c>
      <c r="Q66" s="204">
        <f>SUM(SUMIFS('caseload data'!S:S,'caseload data'!$D:$D,"PO",'caseload data'!$C:$C,'community caseload'!$B$64,'caseload data'!$B:$B,{"licence","community"}))</f>
        <v>0</v>
      </c>
      <c r="R66" s="204">
        <f>SUM(SUMIFS('caseload data'!T:T,'caseload data'!$D:$D,"PO",'caseload data'!$C:$C,'community caseload'!$B$64,'caseload data'!$B:$B,{"licence","community"}))</f>
        <v>0</v>
      </c>
      <c r="S66" s="95"/>
      <c r="T66" s="129" t="s">
        <v>184</v>
      </c>
      <c r="U66" s="204">
        <f>SUM(SUMIFS('caseload data'!E:E,'caseload data'!$D:$D,"PO",'caseload data'!$C:$C,'community caseload'!$T$64,'caseload data'!$B:$B,{"licence","community"}))</f>
        <v>0</v>
      </c>
      <c r="V66" s="204">
        <f>SUM(SUMIFS('caseload data'!F:F,'caseload data'!$D:$D,"PO",'caseload data'!$C:$C,'community caseload'!$T$64,'caseload data'!$B:$B,{"licence","community"}))</f>
        <v>0</v>
      </c>
      <c r="W66" s="204">
        <f>SUM(SUMIFS('caseload data'!G:G,'caseload data'!$D:$D,"PO",'caseload data'!$C:$C,'community caseload'!$T$64,'caseload data'!$B:$B,{"licence","community"}))</f>
        <v>0</v>
      </c>
      <c r="X66" s="204">
        <f>SUM(SUMIFS('caseload data'!H:H,'caseload data'!$D:$D,"PO",'caseload data'!$C:$C,'community caseload'!$T$64,'caseload data'!$B:$B,{"licence","community"}))</f>
        <v>0</v>
      </c>
      <c r="Y66" s="204">
        <f>SUM(SUMIFS('caseload data'!I:I,'caseload data'!$D:$D,"PO",'caseload data'!$C:$C,'community caseload'!$T$64,'caseload data'!$B:$B,{"licence","community"}))</f>
        <v>0</v>
      </c>
      <c r="Z66" s="204">
        <f>SUM(SUMIFS('caseload data'!J:J,'caseload data'!$D:$D,"PO",'caseload data'!$C:$C,'community caseload'!$T$64,'caseload data'!$B:$B,{"licence","community"}))</f>
        <v>0</v>
      </c>
      <c r="AA66" s="204">
        <f>SUM(SUMIFS('caseload data'!K:K,'caseload data'!$D:$D,"PO",'caseload data'!$C:$C,'community caseload'!$T$64,'caseload data'!$B:$B,{"licence","community"}))</f>
        <v>0</v>
      </c>
      <c r="AB66" s="204">
        <f>SUM(SUMIFS('caseload data'!L:L,'caseload data'!$D:$D,"PO",'caseload data'!$C:$C,'community caseload'!$T$64,'caseload data'!$B:$B,{"licence","community"}))</f>
        <v>0</v>
      </c>
      <c r="AC66" s="204">
        <f>SUM(SUMIFS('caseload data'!M:M,'caseload data'!$D:$D,"PO",'caseload data'!$C:$C,'community caseload'!$T$64,'caseload data'!$B:$B,{"licence","community"}))</f>
        <v>0</v>
      </c>
      <c r="AD66" s="204">
        <f>SUM(SUMIFS('caseload data'!N:N,'caseload data'!$D:$D,"PO",'caseload data'!$C:$C,'community caseload'!$T$64,'caseload data'!$B:$B,{"licence","community"}))</f>
        <v>0</v>
      </c>
      <c r="AE66" s="204">
        <f>SUM(SUMIFS('caseload data'!O:O,'caseload data'!$D:$D,"PO",'caseload data'!$C:$C,'community caseload'!$T$64,'caseload data'!$B:$B,{"licence","community"}))</f>
        <v>0</v>
      </c>
      <c r="AF66" s="204">
        <f>SUM(SUMIFS('caseload data'!P:P,'caseload data'!$D:$D,"PO",'caseload data'!$C:$C,'community caseload'!$T$64,'caseload data'!$B:$B,{"licence","community"}))</f>
        <v>0</v>
      </c>
      <c r="AG66" s="204">
        <f>SUM(SUMIFS('caseload data'!Q:Q,'caseload data'!$D:$D,"PO",'caseload data'!$C:$C,'community caseload'!$T$64,'caseload data'!$B:$B,{"licence","community"}))</f>
        <v>0</v>
      </c>
      <c r="AH66" s="204">
        <f>SUM(SUMIFS('caseload data'!R:R,'caseload data'!$D:$D,"PO",'caseload data'!$C:$C,'community caseload'!$T$64,'caseload data'!$B:$B,{"licence","community"}))</f>
        <v>0</v>
      </c>
      <c r="AI66" s="204">
        <f>SUM(SUMIFS('caseload data'!S:S,'caseload data'!$D:$D,"PO",'caseload data'!$C:$C,'community caseload'!$T$64,'caseload data'!$B:$B,{"licence","community"}))</f>
        <v>0</v>
      </c>
      <c r="AJ66" s="204">
        <f>SUM(SUMIFS('caseload data'!T:T,'caseload data'!$D:$D,"PO",'caseload data'!$C:$C,'community caseload'!$T$64,'caseload data'!$B:$B,{"licence","community"}))</f>
        <v>0</v>
      </c>
    </row>
    <row r="67" spans="2:36" x14ac:dyDescent="0.15">
      <c r="B67" s="130" t="s">
        <v>185</v>
      </c>
      <c r="C67" s="204">
        <f>SUM(SUMIFS('caseload data'!E:E,'caseload data'!$D:$D,"PSO",'caseload data'!$C:$C,'community caseload'!$B$64,'caseload data'!$B:$B,{"licence","community"}))</f>
        <v>0</v>
      </c>
      <c r="D67" s="204">
        <f>SUM(SUMIFS('caseload data'!F:F,'caseload data'!$D:$D,"PSO",'caseload data'!$C:$C,'community caseload'!$B$64,'caseload data'!$B:$B,{"licence","community"}))</f>
        <v>0</v>
      </c>
      <c r="E67" s="204">
        <f>SUM(SUMIFS('caseload data'!G:G,'caseload data'!$D:$D,"PSO",'caseload data'!$C:$C,'community caseload'!$B$64,'caseload data'!$B:$B,{"licence","community"}))</f>
        <v>0</v>
      </c>
      <c r="F67" s="204">
        <f>SUM(SUMIFS('caseload data'!H:H,'caseload data'!$D:$D,"PSO",'caseload data'!$C:$C,'community caseload'!$B$64,'caseload data'!$B:$B,{"licence","community"}))</f>
        <v>0</v>
      </c>
      <c r="G67" s="204">
        <f>SUM(SUMIFS('caseload data'!I:I,'caseload data'!$D:$D,"PSO",'caseload data'!$C:$C,'community caseload'!$B$64,'caseload data'!$B:$B,{"licence","community"}))</f>
        <v>0</v>
      </c>
      <c r="H67" s="204">
        <f>SUM(SUMIFS('caseload data'!J:J,'caseload data'!$D:$D,"PSO",'caseload data'!$C:$C,'community caseload'!$B$64,'caseload data'!$B:$B,{"licence","community"}))</f>
        <v>0</v>
      </c>
      <c r="I67" s="204">
        <f>SUM(SUMIFS('caseload data'!K:K,'caseload data'!$D:$D,"PSO",'caseload data'!$C:$C,'community caseload'!$B$64,'caseload data'!$B:$B,{"licence","community"}))</f>
        <v>0</v>
      </c>
      <c r="J67" s="204">
        <f>SUM(SUMIFS('caseload data'!L:L,'caseload data'!$D:$D,"PSO",'caseload data'!$C:$C,'community caseload'!$B$64,'caseload data'!$B:$B,{"licence","community"}))</f>
        <v>0</v>
      </c>
      <c r="K67" s="204">
        <f>SUM(SUMIFS('caseload data'!M:M,'caseload data'!$D:$D,"PSO",'caseload data'!$C:$C,'community caseload'!$B$64,'caseload data'!$B:$B,{"licence","community"}))</f>
        <v>0</v>
      </c>
      <c r="L67" s="204">
        <f>SUM(SUMIFS('caseload data'!N:N,'caseload data'!$D:$D,"PSO",'caseload data'!$C:$C,'community caseload'!$B$64,'caseload data'!$B:$B,{"licence","community"}))</f>
        <v>0</v>
      </c>
      <c r="M67" s="204">
        <f>SUM(SUMIFS('caseload data'!O:O,'caseload data'!$D:$D,"PSO",'caseload data'!$C:$C,'community caseload'!$B$64,'caseload data'!$B:$B,{"licence","community"}))</f>
        <v>0</v>
      </c>
      <c r="N67" s="204">
        <f>SUM(SUMIFS('caseload data'!P:P,'caseload data'!$D:$D,"PSO",'caseload data'!$C:$C,'community caseload'!$B$64,'caseload data'!$B:$B,{"licence","community"}))</f>
        <v>0</v>
      </c>
      <c r="O67" s="204">
        <f>SUM(SUMIFS('caseload data'!Q:Q,'caseload data'!$D:$D,"PSO",'caseload data'!$C:$C,'community caseload'!$B$64,'caseload data'!$B:$B,{"licence","community"}))</f>
        <v>0</v>
      </c>
      <c r="P67" s="204">
        <f>SUM(SUMIFS('caseload data'!R:R,'caseload data'!$D:$D,"PSO",'caseload data'!$C:$C,'community caseload'!$B$64,'caseload data'!$B:$B,{"licence","community"}))</f>
        <v>0</v>
      </c>
      <c r="Q67" s="204">
        <f>SUM(SUMIFS('caseload data'!S:S,'caseload data'!$D:$D,"PSO",'caseload data'!$C:$C,'community caseload'!$B$64,'caseload data'!$B:$B,{"licence","community"}))</f>
        <v>0</v>
      </c>
      <c r="R67" s="204">
        <f>SUM(SUMIFS('caseload data'!T:T,'caseload data'!$D:$D,"PSO",'caseload data'!$C:$C,'community caseload'!$B$64,'caseload data'!$B:$B,{"licence","community"}))</f>
        <v>0</v>
      </c>
      <c r="S67" s="95"/>
      <c r="T67" s="130" t="s">
        <v>185</v>
      </c>
      <c r="U67" s="204">
        <f>SUM(SUMIFS('caseload data'!E:E,'caseload data'!$D:$D,"PSO",'caseload data'!$C:$C,'community caseload'!$T$64,'caseload data'!$B:$B,{"licence","community"}))</f>
        <v>0</v>
      </c>
      <c r="V67" s="204">
        <f>SUM(SUMIFS('caseload data'!F:F,'caseload data'!$D:$D,"PSO",'caseload data'!$C:$C,'community caseload'!$T$64,'caseload data'!$B:$B,{"licence","community"}))</f>
        <v>0</v>
      </c>
      <c r="W67" s="204">
        <f>SUM(SUMIFS('caseload data'!G:G,'caseload data'!$D:$D,"PSO",'caseload data'!$C:$C,'community caseload'!$T$64,'caseload data'!$B:$B,{"licence","community"}))</f>
        <v>0</v>
      </c>
      <c r="X67" s="204">
        <f>SUM(SUMIFS('caseload data'!H:H,'caseload data'!$D:$D,"PSO",'caseload data'!$C:$C,'community caseload'!$T$64,'caseload data'!$B:$B,{"licence","community"}))</f>
        <v>0</v>
      </c>
      <c r="Y67" s="204">
        <f>SUM(SUMIFS('caseload data'!I:I,'caseload data'!$D:$D,"PSO",'caseload data'!$C:$C,'community caseload'!$T$64,'caseload data'!$B:$B,{"licence","community"}))</f>
        <v>0</v>
      </c>
      <c r="Z67" s="204">
        <f>SUM(SUMIFS('caseload data'!J:J,'caseload data'!$D:$D,"PSO",'caseload data'!$C:$C,'community caseload'!$T$64,'caseload data'!$B:$B,{"licence","community"}))</f>
        <v>0</v>
      </c>
      <c r="AA67" s="204">
        <f>SUM(SUMIFS('caseload data'!K:K,'caseload data'!$D:$D,"PSO",'caseload data'!$C:$C,'community caseload'!$T$64,'caseload data'!$B:$B,{"licence","community"}))</f>
        <v>0</v>
      </c>
      <c r="AB67" s="204">
        <f>SUM(SUMIFS('caseload data'!L:L,'caseload data'!$D:$D,"PSO",'caseload data'!$C:$C,'community caseload'!$T$64,'caseload data'!$B:$B,{"licence","community"}))</f>
        <v>0</v>
      </c>
      <c r="AC67" s="204">
        <f>SUM(SUMIFS('caseload data'!M:M,'caseload data'!$D:$D,"PSO",'caseload data'!$C:$C,'community caseload'!$T$64,'caseload data'!$B:$B,{"licence","community"}))</f>
        <v>0</v>
      </c>
      <c r="AD67" s="204">
        <f>SUM(SUMIFS('caseload data'!N:N,'caseload data'!$D:$D,"PSO",'caseload data'!$C:$C,'community caseload'!$T$64,'caseload data'!$B:$B,{"licence","community"}))</f>
        <v>0</v>
      </c>
      <c r="AE67" s="204">
        <f>SUM(SUMIFS('caseload data'!O:O,'caseload data'!$D:$D,"PSO",'caseload data'!$C:$C,'community caseload'!$T$64,'caseload data'!$B:$B,{"licence","community"}))</f>
        <v>0</v>
      </c>
      <c r="AF67" s="204">
        <f>SUM(SUMIFS('caseload data'!P:P,'caseload data'!$D:$D,"PSO",'caseload data'!$C:$C,'community caseload'!$T$64,'caseload data'!$B:$B,{"licence","community"}))</f>
        <v>0</v>
      </c>
      <c r="AG67" s="204">
        <f>SUM(SUMIFS('caseload data'!Q:Q,'caseload data'!$D:$D,"PSO",'caseload data'!$C:$C,'community caseload'!$T$64,'caseload data'!$B:$B,{"licence","community"}))</f>
        <v>0</v>
      </c>
      <c r="AH67" s="204">
        <f>SUM(SUMIFS('caseload data'!R:R,'caseload data'!$D:$D,"PSO",'caseload data'!$C:$C,'community caseload'!$T$64,'caseload data'!$B:$B,{"licence","community"}))</f>
        <v>0</v>
      </c>
      <c r="AI67" s="204">
        <f>SUM(SUMIFS('caseload data'!S:S,'caseload data'!$D:$D,"PSO",'caseload data'!$C:$C,'community caseload'!$T$64,'caseload data'!$B:$B,{"licence","community"}))</f>
        <v>0</v>
      </c>
      <c r="AJ67" s="204">
        <f>SUM(SUMIFS('caseload data'!T:T,'caseload data'!$D:$D,"PSO",'caseload data'!$C:$C,'community caseload'!$T$64,'caseload data'!$B:$B,{"licence","community"}))</f>
        <v>0</v>
      </c>
    </row>
    <row r="68" spans="2:36" x14ac:dyDescent="0.15">
      <c r="B68" s="130" t="s">
        <v>186</v>
      </c>
      <c r="C68" s="204">
        <f>SUM(SUMIFS('caseload data'!E:E,'caseload data'!$D:$D,"TPO",'caseload data'!$C:$C,'community caseload'!$B$64,'caseload data'!$B:$B,{"licence","community"}))</f>
        <v>0</v>
      </c>
      <c r="D68" s="204">
        <f>SUM(SUMIFS('caseload data'!F:F,'caseload data'!$D:$D,"TPO",'caseload data'!$C:$C,'community caseload'!$B$64,'caseload data'!$B:$B,{"licence","community"}))</f>
        <v>0</v>
      </c>
      <c r="E68" s="204">
        <f>SUM(SUMIFS('caseload data'!G:G,'caseload data'!$D:$D,"TPO",'caseload data'!$C:$C,'community caseload'!$B$64,'caseload data'!$B:$B,{"licence","community"}))</f>
        <v>0</v>
      </c>
      <c r="F68" s="204">
        <f>SUM(SUMIFS('caseload data'!H:H,'caseload data'!$D:$D,"TPO",'caseload data'!$C:$C,'community caseload'!$B$64,'caseload data'!$B:$B,{"licence","community"}))</f>
        <v>0</v>
      </c>
      <c r="G68" s="204">
        <f>SUM(SUMIFS('caseload data'!I:I,'caseload data'!$D:$D,"TPO",'caseload data'!$C:$C,'community caseload'!$B$64,'caseload data'!$B:$B,{"licence","community"}))</f>
        <v>0</v>
      </c>
      <c r="H68" s="204">
        <f>SUM(SUMIFS('caseload data'!J:J,'caseload data'!$D:$D,"TPO",'caseload data'!$C:$C,'community caseload'!$B$64,'caseload data'!$B:$B,{"licence","community"}))</f>
        <v>0</v>
      </c>
      <c r="I68" s="204">
        <f>SUM(SUMIFS('caseload data'!K:K,'caseload data'!$D:$D,"TPO",'caseload data'!$C:$C,'community caseload'!$B$64,'caseload data'!$B:$B,{"licence","community"}))</f>
        <v>0</v>
      </c>
      <c r="J68" s="204">
        <f>SUM(SUMIFS('caseload data'!L:L,'caseload data'!$D:$D,"TPO",'caseload data'!$C:$C,'community caseload'!$B$64,'caseload data'!$B:$B,{"licence","community"}))</f>
        <v>0</v>
      </c>
      <c r="K68" s="204">
        <f>SUM(SUMIFS('caseload data'!M:M,'caseload data'!$D:$D,"TPO",'caseload data'!$C:$C,'community caseload'!$B$64,'caseload data'!$B:$B,{"licence","community"}))</f>
        <v>0</v>
      </c>
      <c r="L68" s="204">
        <f>SUM(SUMIFS('caseload data'!N:N,'caseload data'!$D:$D,"TPO",'caseload data'!$C:$C,'community caseload'!$B$64,'caseload data'!$B:$B,{"licence","community"}))</f>
        <v>0</v>
      </c>
      <c r="M68" s="204">
        <f>SUM(SUMIFS('caseload data'!O:O,'caseload data'!$D:$D,"TPO",'caseload data'!$C:$C,'community caseload'!$B$64,'caseload data'!$B:$B,{"licence","community"}))</f>
        <v>0</v>
      </c>
      <c r="N68" s="204">
        <f>SUM(SUMIFS('caseload data'!P:P,'caseload data'!$D:$D,"TPO",'caseload data'!$C:$C,'community caseload'!$B$64,'caseload data'!$B:$B,{"licence","community"}))</f>
        <v>0</v>
      </c>
      <c r="O68" s="204">
        <f>SUM(SUMIFS('caseload data'!Q:Q,'caseload data'!$D:$D,"TPO",'caseload data'!$C:$C,'community caseload'!$B$64,'caseload data'!$B:$B,{"licence","community"}))</f>
        <v>0</v>
      </c>
      <c r="P68" s="204">
        <f>SUM(SUMIFS('caseload data'!R:R,'caseload data'!$D:$D,"TPO",'caseload data'!$C:$C,'community caseload'!$B$64,'caseload data'!$B:$B,{"licence","community"}))</f>
        <v>0</v>
      </c>
      <c r="Q68" s="204">
        <f>SUM(SUMIFS('caseload data'!S:S,'caseload data'!$D:$D,"TPO",'caseload data'!$C:$C,'community caseload'!$B$64,'caseload data'!$B:$B,{"licence","community"}))</f>
        <v>0</v>
      </c>
      <c r="R68" s="204">
        <f>SUM(SUMIFS('caseload data'!T:T,'caseload data'!$D:$D,"TPO",'caseload data'!$C:$C,'community caseload'!$B$64,'caseload data'!$B:$B,{"licence","community"}))</f>
        <v>0</v>
      </c>
      <c r="S68" s="95"/>
      <c r="T68" s="130" t="s">
        <v>186</v>
      </c>
      <c r="U68" s="204">
        <f>SUM(SUMIFS('caseload data'!E:E,'caseload data'!$D:$D,"TPO",'caseload data'!$C:$C,'community caseload'!$T$64,'caseload data'!$B:$B,{"licence","community"}))</f>
        <v>0</v>
      </c>
      <c r="V68" s="204">
        <f>SUM(SUMIFS('caseload data'!F:F,'caseload data'!$D:$D,"TPO",'caseload data'!$C:$C,'community caseload'!$T$64,'caseload data'!$B:$B,{"licence","community"}))</f>
        <v>0</v>
      </c>
      <c r="W68" s="204">
        <f>SUM(SUMIFS('caseload data'!G:G,'caseload data'!$D:$D,"TPO",'caseload data'!$C:$C,'community caseload'!$T$64,'caseload data'!$B:$B,{"licence","community"}))</f>
        <v>0</v>
      </c>
      <c r="X68" s="204">
        <f>SUM(SUMIFS('caseload data'!H:H,'caseload data'!$D:$D,"TPO",'caseload data'!$C:$C,'community caseload'!$T$64,'caseload data'!$B:$B,{"licence","community"}))</f>
        <v>0</v>
      </c>
      <c r="Y68" s="204">
        <f>SUM(SUMIFS('caseload data'!I:I,'caseload data'!$D:$D,"TPO",'caseload data'!$C:$C,'community caseload'!$T$64,'caseload data'!$B:$B,{"licence","community"}))</f>
        <v>0</v>
      </c>
      <c r="Z68" s="204">
        <f>SUM(SUMIFS('caseload data'!J:J,'caseload data'!$D:$D,"TPO",'caseload data'!$C:$C,'community caseload'!$T$64,'caseload data'!$B:$B,{"licence","community"}))</f>
        <v>0</v>
      </c>
      <c r="AA68" s="204">
        <f>SUM(SUMIFS('caseload data'!K:K,'caseload data'!$D:$D,"TPO",'caseload data'!$C:$C,'community caseload'!$T$64,'caseload data'!$B:$B,{"licence","community"}))</f>
        <v>0</v>
      </c>
      <c r="AB68" s="204">
        <f>SUM(SUMIFS('caseload data'!L:L,'caseload data'!$D:$D,"TPO",'caseload data'!$C:$C,'community caseload'!$T$64,'caseload data'!$B:$B,{"licence","community"}))</f>
        <v>0</v>
      </c>
      <c r="AC68" s="204">
        <f>SUM(SUMIFS('caseload data'!M:M,'caseload data'!$D:$D,"TPO",'caseload data'!$C:$C,'community caseload'!$T$64,'caseload data'!$B:$B,{"licence","community"}))</f>
        <v>0</v>
      </c>
      <c r="AD68" s="204">
        <f>SUM(SUMIFS('caseload data'!N:N,'caseload data'!$D:$D,"TPO",'caseload data'!$C:$C,'community caseload'!$T$64,'caseload data'!$B:$B,{"licence","community"}))</f>
        <v>0</v>
      </c>
      <c r="AE68" s="204">
        <f>SUM(SUMIFS('caseload data'!O:O,'caseload data'!$D:$D,"TPO",'caseload data'!$C:$C,'community caseload'!$T$64,'caseload data'!$B:$B,{"licence","community"}))</f>
        <v>0</v>
      </c>
      <c r="AF68" s="204">
        <f>SUM(SUMIFS('caseload data'!P:P,'caseload data'!$D:$D,"TPO",'caseload data'!$C:$C,'community caseload'!$T$64,'caseload data'!$B:$B,{"licence","community"}))</f>
        <v>0</v>
      </c>
      <c r="AG68" s="204">
        <f>SUM(SUMIFS('caseload data'!Q:Q,'caseload data'!$D:$D,"TPO",'caseload data'!$C:$C,'community caseload'!$T$64,'caseload data'!$B:$B,{"licence","community"}))</f>
        <v>0</v>
      </c>
      <c r="AH68" s="204">
        <f>SUM(SUMIFS('caseload data'!R:R,'caseload data'!$D:$D,"TPO",'caseload data'!$C:$C,'community caseload'!$T$64,'caseload data'!$B:$B,{"licence","community"}))</f>
        <v>0</v>
      </c>
      <c r="AI68" s="204">
        <f>SUM(SUMIFS('caseload data'!S:S,'caseload data'!$D:$D,"TPO",'caseload data'!$C:$C,'community caseload'!$T$64,'caseload data'!$B:$B,{"licence","community"}))</f>
        <v>0</v>
      </c>
      <c r="AJ68" s="204">
        <f>SUM(SUMIFS('caseload data'!T:T,'caseload data'!$D:$D,"TPO",'caseload data'!$C:$C,'community caseload'!$T$64,'caseload data'!$B:$B,{"licence","community"}))</f>
        <v>0</v>
      </c>
    </row>
    <row r="69" spans="2:36" x14ac:dyDescent="0.15">
      <c r="B69" s="131" t="s">
        <v>187</v>
      </c>
      <c r="C69" s="204">
        <f>SUM(SUMIFS('caseload data'!E:E,'caseload data'!$D:$D,"SPO",'caseload data'!$C:$C,'community caseload'!$B$64,'caseload data'!$B:$B,{"licence","community"}))</f>
        <v>0</v>
      </c>
      <c r="D69" s="204">
        <f>SUM(SUMIFS('caseload data'!F:F,'caseload data'!$D:$D,"SPO",'caseload data'!$C:$C,'community caseload'!$B$64,'caseload data'!$B:$B,{"licence","community"}))</f>
        <v>0</v>
      </c>
      <c r="E69" s="204">
        <f>SUM(SUMIFS('caseload data'!G:G,'caseload data'!$D:$D,"SPO",'caseload data'!$C:$C,'community caseload'!$B$64,'caseload data'!$B:$B,{"licence","community"}))</f>
        <v>0</v>
      </c>
      <c r="F69" s="204">
        <f>SUM(SUMIFS('caseload data'!H:H,'caseload data'!$D:$D,"SPO",'caseload data'!$C:$C,'community caseload'!$B$64,'caseload data'!$B:$B,{"licence","community"}))</f>
        <v>0</v>
      </c>
      <c r="G69" s="204">
        <f>SUM(SUMIFS('caseload data'!I:I,'caseload data'!$D:$D,"SPO",'caseload data'!$C:$C,'community caseload'!$B$64,'caseload data'!$B:$B,{"licence","community"}))</f>
        <v>0</v>
      </c>
      <c r="H69" s="204">
        <f>SUM(SUMIFS('caseload data'!J:J,'caseload data'!$D:$D,"SPO",'caseload data'!$C:$C,'community caseload'!$B$64,'caseload data'!$B:$B,{"licence","community"}))</f>
        <v>0</v>
      </c>
      <c r="I69" s="204">
        <f>SUM(SUMIFS('caseload data'!K:K,'caseload data'!$D:$D,"SPO",'caseload data'!$C:$C,'community caseload'!$B$64,'caseload data'!$B:$B,{"licence","community"}))</f>
        <v>0</v>
      </c>
      <c r="J69" s="204">
        <f>SUM(SUMIFS('caseload data'!L:L,'caseload data'!$D:$D,"SPO",'caseload data'!$C:$C,'community caseload'!$B$64,'caseload data'!$B:$B,{"licence","community"}))</f>
        <v>0</v>
      </c>
      <c r="K69" s="204">
        <f>SUM(SUMIFS('caseload data'!M:M,'caseload data'!$D:$D,"SPO",'caseload data'!$C:$C,'community caseload'!$B$64,'caseload data'!$B:$B,{"licence","community"}))</f>
        <v>0</v>
      </c>
      <c r="L69" s="204">
        <f>SUM(SUMIFS('caseload data'!N:N,'caseload data'!$D:$D,"SPO",'caseload data'!$C:$C,'community caseload'!$B$64,'caseload data'!$B:$B,{"licence","community"}))</f>
        <v>0</v>
      </c>
      <c r="M69" s="204">
        <f>SUM(SUMIFS('caseload data'!O:O,'caseload data'!$D:$D,"SPO",'caseload data'!$C:$C,'community caseload'!$B$64,'caseload data'!$B:$B,{"licence","community"}))</f>
        <v>0</v>
      </c>
      <c r="N69" s="204">
        <f>SUM(SUMIFS('caseload data'!P:P,'caseload data'!$D:$D,"SPO",'caseload data'!$C:$C,'community caseload'!$B$64,'caseload data'!$B:$B,{"licence","community"}))</f>
        <v>0</v>
      </c>
      <c r="O69" s="204">
        <f>SUM(SUMIFS('caseload data'!Q:Q,'caseload data'!$D:$D,"SPO",'caseload data'!$C:$C,'community caseload'!$B$64,'caseload data'!$B:$B,{"licence","community"}))</f>
        <v>0</v>
      </c>
      <c r="P69" s="204">
        <f>SUM(SUMIFS('caseload data'!R:R,'caseload data'!$D:$D,"SPO",'caseload data'!$C:$C,'community caseload'!$B$64,'caseload data'!$B:$B,{"licence","community"}))</f>
        <v>0</v>
      </c>
      <c r="Q69" s="204">
        <f>SUM(SUMIFS('caseload data'!S:S,'caseload data'!$D:$D,"SPO",'caseload data'!$C:$C,'community caseload'!$B$64,'caseload data'!$B:$B,{"licence","community"}))</f>
        <v>0</v>
      </c>
      <c r="R69" s="204">
        <f>SUM(SUMIFS('caseload data'!T:T,'caseload data'!$D:$D,"SPO",'caseload data'!$C:$C,'community caseload'!$B$64,'caseload data'!$B:$B,{"licence","community"}))</f>
        <v>0</v>
      </c>
      <c r="S69" s="95"/>
      <c r="T69" s="131" t="s">
        <v>187</v>
      </c>
      <c r="U69" s="204">
        <f>SUM(SUMIFS('caseload data'!E:E,'caseload data'!$D:$D,"SPO",'caseload data'!$C:$C,'community caseload'!$T$64,'caseload data'!$B:$B,{"licence","community"}))</f>
        <v>0</v>
      </c>
      <c r="V69" s="204">
        <f>SUM(SUMIFS('caseload data'!F:F,'caseload data'!$D:$D,"SPO",'caseload data'!$C:$C,'community caseload'!$T$64,'caseload data'!$B:$B,{"licence","community"}))</f>
        <v>0</v>
      </c>
      <c r="W69" s="204">
        <f>SUM(SUMIFS('caseload data'!G:G,'caseload data'!$D:$D,"SPO",'caseload data'!$C:$C,'community caseload'!$T$64,'caseload data'!$B:$B,{"licence","community"}))</f>
        <v>0</v>
      </c>
      <c r="X69" s="204">
        <f>SUM(SUMIFS('caseload data'!H:H,'caseload data'!$D:$D,"SPO",'caseload data'!$C:$C,'community caseload'!$T$64,'caseload data'!$B:$B,{"licence","community"}))</f>
        <v>0</v>
      </c>
      <c r="Y69" s="204">
        <f>SUM(SUMIFS('caseload data'!I:I,'caseload data'!$D:$D,"SPO",'caseload data'!$C:$C,'community caseload'!$T$64,'caseload data'!$B:$B,{"licence","community"}))</f>
        <v>0</v>
      </c>
      <c r="Z69" s="204">
        <f>SUM(SUMIFS('caseload data'!J:J,'caseload data'!$D:$D,"SPO",'caseload data'!$C:$C,'community caseload'!$T$64,'caseload data'!$B:$B,{"licence","community"}))</f>
        <v>0</v>
      </c>
      <c r="AA69" s="204">
        <f>SUM(SUMIFS('caseload data'!K:K,'caseload data'!$D:$D,"SPO",'caseload data'!$C:$C,'community caseload'!$T$64,'caseload data'!$B:$B,{"licence","community"}))</f>
        <v>0</v>
      </c>
      <c r="AB69" s="204">
        <f>SUM(SUMIFS('caseload data'!L:L,'caseload data'!$D:$D,"SPO",'caseload data'!$C:$C,'community caseload'!$T$64,'caseload data'!$B:$B,{"licence","community"}))</f>
        <v>0</v>
      </c>
      <c r="AC69" s="204">
        <f>SUM(SUMIFS('caseload data'!M:M,'caseload data'!$D:$D,"SPO",'caseload data'!$C:$C,'community caseload'!$T$64,'caseload data'!$B:$B,{"licence","community"}))</f>
        <v>0</v>
      </c>
      <c r="AD69" s="204">
        <f>SUM(SUMIFS('caseload data'!N:N,'caseload data'!$D:$D,"SPO",'caseload data'!$C:$C,'community caseload'!$T$64,'caseload data'!$B:$B,{"licence","community"}))</f>
        <v>0</v>
      </c>
      <c r="AE69" s="204">
        <f>SUM(SUMIFS('caseload data'!O:O,'caseload data'!$D:$D,"SPO",'caseload data'!$C:$C,'community caseload'!$T$64,'caseload data'!$B:$B,{"licence","community"}))</f>
        <v>0</v>
      </c>
      <c r="AF69" s="204">
        <f>SUM(SUMIFS('caseload data'!P:P,'caseload data'!$D:$D,"SPO",'caseload data'!$C:$C,'community caseload'!$T$64,'caseload data'!$B:$B,{"licence","community"}))</f>
        <v>0</v>
      </c>
      <c r="AG69" s="204">
        <f>SUM(SUMIFS('caseload data'!Q:Q,'caseload data'!$D:$D,"SPO",'caseload data'!$C:$C,'community caseload'!$T$64,'caseload data'!$B:$B,{"licence","community"}))</f>
        <v>0</v>
      </c>
      <c r="AH69" s="204">
        <f>SUM(SUMIFS('caseload data'!R:R,'caseload data'!$D:$D,"SPO",'caseload data'!$C:$C,'community caseload'!$T$64,'caseload data'!$B:$B,{"licence","community"}))</f>
        <v>0</v>
      </c>
      <c r="AI69" s="204">
        <f>SUM(SUMIFS('caseload data'!S:S,'caseload data'!$D:$D,"SPO",'caseload data'!$C:$C,'community caseload'!$T$64,'caseload data'!$B:$B,{"licence","community"}))</f>
        <v>0</v>
      </c>
      <c r="AJ69" s="204">
        <f>SUM(SUMIFS('caseload data'!T:T,'caseload data'!$D:$D,"SPO",'caseload data'!$C:$C,'community caseload'!$T$64,'caseload data'!$B:$B,{"licence","community"}))</f>
        <v>0</v>
      </c>
    </row>
    <row r="71" spans="2:36" x14ac:dyDescent="0.15">
      <c r="B71" s="182">
        <f>HLOOKUP($B$5,Region_Table,20,0)</f>
        <v>0</v>
      </c>
      <c r="C71" s="359" t="s">
        <v>368</v>
      </c>
      <c r="D71" s="365"/>
      <c r="E71" s="365"/>
      <c r="F71" s="365"/>
      <c r="G71" s="365"/>
      <c r="H71" s="365"/>
      <c r="I71" s="365"/>
      <c r="J71" s="365"/>
      <c r="K71" s="365"/>
      <c r="L71" s="365"/>
      <c r="M71" s="368"/>
      <c r="N71" s="368"/>
      <c r="O71" s="369"/>
      <c r="P71" s="362" cm="1">
        <f t="array" ref="P71">SUM(SUMIFS('caseload data'!V:V,'caseload data'!B:B,{"licence","community"},'caseload data'!$C:$C,'community caseload'!B71))</f>
        <v>0</v>
      </c>
      <c r="Q71" s="370"/>
      <c r="R71" s="371"/>
    </row>
    <row r="72" spans="2:36" x14ac:dyDescent="0.15">
      <c r="B72" s="127" t="s">
        <v>324</v>
      </c>
      <c r="C72" s="58" t="s">
        <v>504</v>
      </c>
      <c r="D72" s="58" t="s">
        <v>503</v>
      </c>
      <c r="E72" s="58" t="s">
        <v>502</v>
      </c>
      <c r="F72" s="58" t="s">
        <v>501</v>
      </c>
      <c r="G72" s="58" t="s">
        <v>510</v>
      </c>
      <c r="H72" s="58" t="s">
        <v>176</v>
      </c>
      <c r="I72" s="58" t="s">
        <v>177</v>
      </c>
      <c r="J72" s="58" t="s">
        <v>505</v>
      </c>
      <c r="K72" s="58" t="s">
        <v>507</v>
      </c>
      <c r="L72" s="58" t="s">
        <v>178</v>
      </c>
      <c r="M72" s="58" t="s">
        <v>179</v>
      </c>
      <c r="N72" s="58" t="s">
        <v>506</v>
      </c>
      <c r="O72" s="58" t="s">
        <v>508</v>
      </c>
      <c r="P72" s="58" t="s">
        <v>180</v>
      </c>
      <c r="Q72" s="58" t="s">
        <v>181</v>
      </c>
      <c r="R72" s="58" t="s">
        <v>509</v>
      </c>
    </row>
    <row r="73" spans="2:36" x14ac:dyDescent="0.15">
      <c r="B73" s="129" t="s">
        <v>184</v>
      </c>
      <c r="C73" s="204">
        <f>SUM(SUMIFS('caseload data'!E:E,'caseload data'!$D:$D,"PO",'caseload data'!$C:$C,'community caseload'!$B$71,'caseload data'!$B:$B,{"licence","community"}))</f>
        <v>0</v>
      </c>
      <c r="D73" s="204">
        <f>SUM(SUMIFS('caseload data'!F:F,'caseload data'!$D:$D,"PO",'caseload data'!$C:$C,'community caseload'!$B$71,'caseload data'!$B:$B,{"licence","community"}))</f>
        <v>0</v>
      </c>
      <c r="E73" s="204">
        <f>SUM(SUMIFS('caseload data'!G:G,'caseload data'!$D:$D,"PO",'caseload data'!$C:$C,'community caseload'!$B$71,'caseload data'!$B:$B,{"licence","community"}))</f>
        <v>0</v>
      </c>
      <c r="F73" s="204">
        <f>SUM(SUMIFS('caseload data'!H:H,'caseload data'!$D:$D,"PO",'caseload data'!$C:$C,'community caseload'!$B$71,'caseload data'!$B:$B,{"licence","community"}))</f>
        <v>0</v>
      </c>
      <c r="G73" s="204">
        <f>SUM(SUMIFS('caseload data'!I:I,'caseload data'!$D:$D,"PO",'caseload data'!$C:$C,'community caseload'!$B$71,'caseload data'!$B:$B,{"licence","community"}))</f>
        <v>0</v>
      </c>
      <c r="H73" s="204">
        <f>SUM(SUMIFS('caseload data'!J:J,'caseload data'!$D:$D,"PO",'caseload data'!$C:$C,'community caseload'!$B$71,'caseload data'!$B:$B,{"licence","community"}))</f>
        <v>0</v>
      </c>
      <c r="I73" s="204">
        <f>SUM(SUMIFS('caseload data'!K:K,'caseload data'!$D:$D,"PO",'caseload data'!$C:$C,'community caseload'!$B$71,'caseload data'!$B:$B,{"licence","community"}))</f>
        <v>0</v>
      </c>
      <c r="J73" s="204">
        <f>SUM(SUMIFS('caseload data'!L:L,'caseload data'!$D:$D,"PO",'caseload data'!$C:$C,'community caseload'!$B$71,'caseload data'!$B:$B,{"licence","community"}))</f>
        <v>0</v>
      </c>
      <c r="K73" s="204">
        <f>SUM(SUMIFS('caseload data'!M:M,'caseload data'!$D:$D,"PO",'caseload data'!$C:$C,'community caseload'!$B$71,'caseload data'!$B:$B,{"licence","community"}))</f>
        <v>0</v>
      </c>
      <c r="L73" s="204">
        <f>SUM(SUMIFS('caseload data'!N:N,'caseload data'!$D:$D,"PO",'caseload data'!$C:$C,'community caseload'!$B$71,'caseload data'!$B:$B,{"licence","community"}))</f>
        <v>0</v>
      </c>
      <c r="M73" s="204">
        <f>SUM(SUMIFS('caseload data'!O:O,'caseload data'!$D:$D,"PO",'caseload data'!$C:$C,'community caseload'!$B$71,'caseload data'!$B:$B,{"licence","community"}))</f>
        <v>0</v>
      </c>
      <c r="N73" s="204">
        <f>SUM(SUMIFS('caseload data'!P:P,'caseload data'!$D:$D,"PO",'caseload data'!$C:$C,'community caseload'!$B$71,'caseload data'!$B:$B,{"licence","community"}))</f>
        <v>0</v>
      </c>
      <c r="O73" s="204">
        <f>SUM(SUMIFS('caseload data'!Q:Q,'caseload data'!$D:$D,"PO",'caseload data'!$C:$C,'community caseload'!$B$71,'caseload data'!$B:$B,{"licence","community"}))</f>
        <v>0</v>
      </c>
      <c r="P73" s="204">
        <f>SUM(SUMIFS('caseload data'!R:R,'caseload data'!$D:$D,"PO",'caseload data'!$C:$C,'community caseload'!$B$71,'caseload data'!$B:$B,{"licence","community"}))</f>
        <v>0</v>
      </c>
      <c r="Q73" s="204">
        <f>SUM(SUMIFS('caseload data'!S:S,'caseload data'!$D:$D,"PO",'caseload data'!$C:$C,'community caseload'!$B$71,'caseload data'!$B:$B,{"licence","community"}))</f>
        <v>0</v>
      </c>
      <c r="R73" s="204">
        <f>SUM(SUMIFS('caseload data'!T:T,'caseload data'!$D:$D,"PO",'caseload data'!$C:$C,'community caseload'!$B$71,'caseload data'!$B:$B,{"licence","community"}))</f>
        <v>0</v>
      </c>
    </row>
    <row r="74" spans="2:36" x14ac:dyDescent="0.15">
      <c r="B74" s="130" t="s">
        <v>185</v>
      </c>
      <c r="C74" s="204">
        <f>SUM(SUMIFS('caseload data'!E:E,'caseload data'!$D:$D,"PSO",'caseload data'!$C:$C,'community caseload'!$B$71,'caseload data'!$B:$B,{"licence","community"}))</f>
        <v>0</v>
      </c>
      <c r="D74" s="204">
        <f>SUM(SUMIFS('caseload data'!F:F,'caseload data'!$D:$D,"PSO",'caseload data'!$C:$C,'community caseload'!$B$71,'caseload data'!$B:$B,{"licence","community"}))</f>
        <v>0</v>
      </c>
      <c r="E74" s="204">
        <f>SUM(SUMIFS('caseload data'!G:G,'caseload data'!$D:$D,"PSO",'caseload data'!$C:$C,'community caseload'!$B$71,'caseload data'!$B:$B,{"licence","community"}))</f>
        <v>0</v>
      </c>
      <c r="F74" s="204">
        <f>SUM(SUMIFS('caseload data'!H:H,'caseload data'!$D:$D,"PSO",'caseload data'!$C:$C,'community caseload'!$B$71,'caseload data'!$B:$B,{"licence","community"}))</f>
        <v>0</v>
      </c>
      <c r="G74" s="204">
        <f>SUM(SUMIFS('caseload data'!I:I,'caseload data'!$D:$D,"PSO",'caseload data'!$C:$C,'community caseload'!$B$71,'caseload data'!$B:$B,{"licence","community"}))</f>
        <v>0</v>
      </c>
      <c r="H74" s="204">
        <f>SUM(SUMIFS('caseload data'!J:J,'caseload data'!$D:$D,"PSO",'caseload data'!$C:$C,'community caseload'!$B$71,'caseload data'!$B:$B,{"licence","community"}))</f>
        <v>0</v>
      </c>
      <c r="I74" s="204">
        <f>SUM(SUMIFS('caseload data'!K:K,'caseload data'!$D:$D,"PSO",'caseload data'!$C:$C,'community caseload'!$B$71,'caseload data'!$B:$B,{"licence","community"}))</f>
        <v>0</v>
      </c>
      <c r="J74" s="204">
        <f>SUM(SUMIFS('caseload data'!L:L,'caseload data'!$D:$D,"PSO",'caseload data'!$C:$C,'community caseload'!$B$71,'caseload data'!$B:$B,{"licence","community"}))</f>
        <v>0</v>
      </c>
      <c r="K74" s="204">
        <f>SUM(SUMIFS('caseload data'!M:M,'caseload data'!$D:$D,"PSO",'caseload data'!$C:$C,'community caseload'!$B$71,'caseload data'!$B:$B,{"licence","community"}))</f>
        <v>0</v>
      </c>
      <c r="L74" s="204">
        <f>SUM(SUMIFS('caseload data'!N:N,'caseload data'!$D:$D,"PSO",'caseload data'!$C:$C,'community caseload'!$B$71,'caseload data'!$B:$B,{"licence","community"}))</f>
        <v>0</v>
      </c>
      <c r="M74" s="204">
        <f>SUM(SUMIFS('caseload data'!O:O,'caseload data'!$D:$D,"PSO",'caseload data'!$C:$C,'community caseload'!$B$71,'caseload data'!$B:$B,{"licence","community"}))</f>
        <v>0</v>
      </c>
      <c r="N74" s="204">
        <f>SUM(SUMIFS('caseload data'!P:P,'caseload data'!$D:$D,"PSO",'caseload data'!$C:$C,'community caseload'!$B$71,'caseload data'!$B:$B,{"licence","community"}))</f>
        <v>0</v>
      </c>
      <c r="O74" s="204">
        <f>SUM(SUMIFS('caseload data'!Q:Q,'caseload data'!$D:$D,"PSO",'caseload data'!$C:$C,'community caseload'!$B$71,'caseload data'!$B:$B,{"licence","community"}))</f>
        <v>0</v>
      </c>
      <c r="P74" s="204">
        <f>SUM(SUMIFS('caseload data'!R:R,'caseload data'!$D:$D,"PSO",'caseload data'!$C:$C,'community caseload'!$B$71,'caseload data'!$B:$B,{"licence","community"}))</f>
        <v>0</v>
      </c>
      <c r="Q74" s="204">
        <f>SUM(SUMIFS('caseload data'!S:S,'caseload data'!$D:$D,"PSO",'caseload data'!$C:$C,'community caseload'!$B$71,'caseload data'!$B:$B,{"licence","community"}))</f>
        <v>0</v>
      </c>
      <c r="R74" s="204">
        <f>SUM(SUMIFS('caseload data'!T:T,'caseload data'!$D:$D,"PSO",'caseload data'!$C:$C,'community caseload'!$B$71,'caseload data'!$B:$B,{"licence","community"}))</f>
        <v>0</v>
      </c>
    </row>
    <row r="75" spans="2:36" x14ac:dyDescent="0.15">
      <c r="B75" s="130" t="s">
        <v>186</v>
      </c>
      <c r="C75" s="204">
        <f>SUM(SUMIFS('caseload data'!E:E,'caseload data'!$D:$D,"TPO",'caseload data'!$C:$C,'community caseload'!$B$71,'caseload data'!$B:$B,{"licence","community"}))</f>
        <v>0</v>
      </c>
      <c r="D75" s="204">
        <f>SUM(SUMIFS('caseload data'!F:F,'caseload data'!$D:$D,"TPO",'caseload data'!$C:$C,'community caseload'!$B$71,'caseload data'!$B:$B,{"licence","community"}))</f>
        <v>0</v>
      </c>
      <c r="E75" s="204">
        <f>SUM(SUMIFS('caseload data'!G:G,'caseload data'!$D:$D,"TPO",'caseload data'!$C:$C,'community caseload'!$B$71,'caseload data'!$B:$B,{"licence","community"}))</f>
        <v>0</v>
      </c>
      <c r="F75" s="204">
        <f>SUM(SUMIFS('caseload data'!H:H,'caseload data'!$D:$D,"TPO",'caseload data'!$C:$C,'community caseload'!$B$71,'caseload data'!$B:$B,{"licence","community"}))</f>
        <v>0</v>
      </c>
      <c r="G75" s="204">
        <f>SUM(SUMIFS('caseload data'!I:I,'caseload data'!$D:$D,"TPO",'caseload data'!$C:$C,'community caseload'!$B$71,'caseload data'!$B:$B,{"licence","community"}))</f>
        <v>0</v>
      </c>
      <c r="H75" s="204">
        <f>SUM(SUMIFS('caseload data'!J:J,'caseload data'!$D:$D,"TPO",'caseload data'!$C:$C,'community caseload'!$B$71,'caseload data'!$B:$B,{"licence","community"}))</f>
        <v>0</v>
      </c>
      <c r="I75" s="204">
        <f>SUM(SUMIFS('caseload data'!K:K,'caseload data'!$D:$D,"TPO",'caseload data'!$C:$C,'community caseload'!$B$71,'caseload data'!$B:$B,{"licence","community"}))</f>
        <v>0</v>
      </c>
      <c r="J75" s="204">
        <f>SUM(SUMIFS('caseload data'!L:L,'caseload data'!$D:$D,"TPO",'caseload data'!$C:$C,'community caseload'!$B$71,'caseload data'!$B:$B,{"licence","community"}))</f>
        <v>0</v>
      </c>
      <c r="K75" s="204">
        <f>SUM(SUMIFS('caseload data'!M:M,'caseload data'!$D:$D,"TPO",'caseload data'!$C:$C,'community caseload'!$B$71,'caseload data'!$B:$B,{"licence","community"}))</f>
        <v>0</v>
      </c>
      <c r="L75" s="204">
        <f>SUM(SUMIFS('caseload data'!N:N,'caseload data'!$D:$D,"TPO",'caseload data'!$C:$C,'community caseload'!$B$71,'caseload data'!$B:$B,{"licence","community"}))</f>
        <v>0</v>
      </c>
      <c r="M75" s="204">
        <f>SUM(SUMIFS('caseload data'!O:O,'caseload data'!$D:$D,"TPO",'caseload data'!$C:$C,'community caseload'!$B$71,'caseload data'!$B:$B,{"licence","community"}))</f>
        <v>0</v>
      </c>
      <c r="N75" s="204">
        <f>SUM(SUMIFS('caseload data'!P:P,'caseload data'!$D:$D,"TPO",'caseload data'!$C:$C,'community caseload'!$B$71,'caseload data'!$B:$B,{"licence","community"}))</f>
        <v>0</v>
      </c>
      <c r="O75" s="204">
        <f>SUM(SUMIFS('caseload data'!Q:Q,'caseload data'!$D:$D,"TPO",'caseload data'!$C:$C,'community caseload'!$B$71,'caseload data'!$B:$B,{"licence","community"}))</f>
        <v>0</v>
      </c>
      <c r="P75" s="204">
        <f>SUM(SUMIFS('caseload data'!R:R,'caseload data'!$D:$D,"TPO",'caseload data'!$C:$C,'community caseload'!$B$71,'caseload data'!$B:$B,{"licence","community"}))</f>
        <v>0</v>
      </c>
      <c r="Q75" s="204">
        <f>SUM(SUMIFS('caseload data'!S:S,'caseload data'!$D:$D,"TPO",'caseload data'!$C:$C,'community caseload'!$B$71,'caseload data'!$B:$B,{"licence","community"}))</f>
        <v>0</v>
      </c>
      <c r="R75" s="204">
        <f>SUM(SUMIFS('caseload data'!T:T,'caseload data'!$D:$D,"TPO",'caseload data'!$C:$C,'community caseload'!$B$71,'caseload data'!$B:$B,{"licence","community"}))</f>
        <v>0</v>
      </c>
    </row>
    <row r="76" spans="2:36" x14ac:dyDescent="0.15">
      <c r="B76" s="131" t="s">
        <v>187</v>
      </c>
      <c r="C76" s="204">
        <f>SUM(SUMIFS('caseload data'!E:E,'caseload data'!$D:$D,"SPO",'caseload data'!$C:$C,'community caseload'!$B$71,'caseload data'!$B:$B,{"licence","community"}))</f>
        <v>0</v>
      </c>
      <c r="D76" s="204">
        <f>SUM(SUMIFS('caseload data'!F:F,'caseload data'!$D:$D,"SPO",'caseload data'!$C:$C,'community caseload'!$B$71,'caseload data'!$B:$B,{"licence","community"}))</f>
        <v>0</v>
      </c>
      <c r="E76" s="204">
        <f>SUM(SUMIFS('caseload data'!G:G,'caseload data'!$D:$D,"SPO",'caseload data'!$C:$C,'community caseload'!$B$71,'caseload data'!$B:$B,{"licence","community"}))</f>
        <v>0</v>
      </c>
      <c r="F76" s="204">
        <f>SUM(SUMIFS('caseload data'!H:H,'caseload data'!$D:$D,"SPO",'caseload data'!$C:$C,'community caseload'!$B$71,'caseload data'!$B:$B,{"licence","community"}))</f>
        <v>0</v>
      </c>
      <c r="G76" s="204">
        <f>SUM(SUMIFS('caseload data'!I:I,'caseload data'!$D:$D,"SPO",'caseload data'!$C:$C,'community caseload'!$B$71,'caseload data'!$B:$B,{"licence","community"}))</f>
        <v>0</v>
      </c>
      <c r="H76" s="204">
        <f>SUM(SUMIFS('caseload data'!J:J,'caseload data'!$D:$D,"SPO",'caseload data'!$C:$C,'community caseload'!$B$71,'caseload data'!$B:$B,{"licence","community"}))</f>
        <v>0</v>
      </c>
      <c r="I76" s="204">
        <f>SUM(SUMIFS('caseload data'!K:K,'caseload data'!$D:$D,"SPO",'caseload data'!$C:$C,'community caseload'!$B$71,'caseload data'!$B:$B,{"licence","community"}))</f>
        <v>0</v>
      </c>
      <c r="J76" s="204">
        <f>SUM(SUMIFS('caseload data'!L:L,'caseload data'!$D:$D,"SPO",'caseload data'!$C:$C,'community caseload'!$B$71,'caseload data'!$B:$B,{"licence","community"}))</f>
        <v>0</v>
      </c>
      <c r="K76" s="204">
        <f>SUM(SUMIFS('caseload data'!M:M,'caseload data'!$D:$D,"SPO",'caseload data'!$C:$C,'community caseload'!$B$71,'caseload data'!$B:$B,{"licence","community"}))</f>
        <v>0</v>
      </c>
      <c r="L76" s="204">
        <f>SUM(SUMIFS('caseload data'!N:N,'caseload data'!$D:$D,"SPO",'caseload data'!$C:$C,'community caseload'!$B$71,'caseload data'!$B:$B,{"licence","community"}))</f>
        <v>0</v>
      </c>
      <c r="M76" s="204">
        <f>SUM(SUMIFS('caseload data'!O:O,'caseload data'!$D:$D,"SPO",'caseload data'!$C:$C,'community caseload'!$B$71,'caseload data'!$B:$B,{"licence","community"}))</f>
        <v>0</v>
      </c>
      <c r="N76" s="204">
        <f>SUM(SUMIFS('caseload data'!P:P,'caseload data'!$D:$D,"SPO",'caseload data'!$C:$C,'community caseload'!$B$71,'caseload data'!$B:$B,{"licence","community"}))</f>
        <v>0</v>
      </c>
      <c r="O76" s="204">
        <f>SUM(SUMIFS('caseload data'!Q:Q,'caseload data'!$D:$D,"SPO",'caseload data'!$C:$C,'community caseload'!$B$71,'caseload data'!$B:$B,{"licence","community"}))</f>
        <v>0</v>
      </c>
      <c r="P76" s="204">
        <f>SUM(SUMIFS('caseload data'!R:R,'caseload data'!$D:$D,"SPO",'caseload data'!$C:$C,'community caseload'!$B$71,'caseload data'!$B:$B,{"licence","community"}))</f>
        <v>0</v>
      </c>
      <c r="Q76" s="204">
        <f>SUM(SUMIFS('caseload data'!S:S,'caseload data'!$D:$D,"SPO",'caseload data'!$C:$C,'community caseload'!$B$71,'caseload data'!$B:$B,{"licence","community"}))</f>
        <v>0</v>
      </c>
      <c r="R76" s="204">
        <f>SUM(SUMIFS('caseload data'!T:T,'caseload data'!$D:$D,"SPO",'caseload data'!$C:$C,'community caseload'!$B$71,'caseload data'!$B:$B,{"licence","community"}))</f>
        <v>0</v>
      </c>
    </row>
  </sheetData>
  <mergeCells count="40">
    <mergeCell ref="C71:O71"/>
    <mergeCell ref="P71:R71"/>
    <mergeCell ref="C64:O64"/>
    <mergeCell ref="P64:R64"/>
    <mergeCell ref="U64:AG64"/>
    <mergeCell ref="AH64:AJ64"/>
    <mergeCell ref="B1:AX1"/>
    <mergeCell ref="B2:AX2"/>
    <mergeCell ref="C8:O8"/>
    <mergeCell ref="P8:R8"/>
    <mergeCell ref="U8:AG8"/>
    <mergeCell ref="AH8:AJ8"/>
    <mergeCell ref="C15:O15"/>
    <mergeCell ref="P15:R15"/>
    <mergeCell ref="U15:AG15"/>
    <mergeCell ref="AH15:AJ15"/>
    <mergeCell ref="C22:O22"/>
    <mergeCell ref="P22:R22"/>
    <mergeCell ref="U22:AG22"/>
    <mergeCell ref="AH22:AJ22"/>
    <mergeCell ref="C29:O29"/>
    <mergeCell ref="P29:R29"/>
    <mergeCell ref="U29:AG29"/>
    <mergeCell ref="AH29:AJ29"/>
    <mergeCell ref="C36:O36"/>
    <mergeCell ref="P36:R36"/>
    <mergeCell ref="U36:AG36"/>
    <mergeCell ref="AH36:AJ36"/>
    <mergeCell ref="C57:O57"/>
    <mergeCell ref="P57:R57"/>
    <mergeCell ref="U57:AG57"/>
    <mergeCell ref="AH57:AJ57"/>
    <mergeCell ref="C43:O43"/>
    <mergeCell ref="P43:R43"/>
    <mergeCell ref="U43:AG43"/>
    <mergeCell ref="AH43:AJ43"/>
    <mergeCell ref="C50:O50"/>
    <mergeCell ref="P50:R50"/>
    <mergeCell ref="U50:AG50"/>
    <mergeCell ref="AH50:AJ50"/>
  </mergeCells>
  <conditionalFormatting sqref="C11:C12">
    <cfRule type="cellIs" dxfId="917" priority="455" operator="equal">
      <formula>0</formula>
    </cfRule>
    <cfRule type="cellIs" dxfId="916" priority="456" operator="notEqual">
      <formula>0</formula>
    </cfRule>
  </conditionalFormatting>
  <conditionalFormatting sqref="D11:D12">
    <cfRule type="cellIs" dxfId="915" priority="453" operator="equal">
      <formula>0</formula>
    </cfRule>
    <cfRule type="cellIs" dxfId="914" priority="454" operator="notEqual">
      <formula>0</formula>
    </cfRule>
  </conditionalFormatting>
  <conditionalFormatting sqref="E11:E12">
    <cfRule type="cellIs" dxfId="913" priority="451" operator="equal">
      <formula>0</formula>
    </cfRule>
    <cfRule type="cellIs" dxfId="912" priority="452" operator="notEqual">
      <formula>0</formula>
    </cfRule>
  </conditionalFormatting>
  <conditionalFormatting sqref="F11:F12">
    <cfRule type="cellIs" dxfId="911" priority="449" operator="equal">
      <formula>0</formula>
    </cfRule>
    <cfRule type="cellIs" dxfId="910" priority="450" operator="notEqual">
      <formula>0</formula>
    </cfRule>
  </conditionalFormatting>
  <conditionalFormatting sqref="G11:G12">
    <cfRule type="cellIs" dxfId="909" priority="447" operator="equal">
      <formula>0</formula>
    </cfRule>
    <cfRule type="cellIs" dxfId="908" priority="448" operator="notEqual">
      <formula>0</formula>
    </cfRule>
  </conditionalFormatting>
  <conditionalFormatting sqref="H11:H12">
    <cfRule type="cellIs" dxfId="907" priority="445" operator="equal">
      <formula>0</formula>
    </cfRule>
    <cfRule type="cellIs" dxfId="906" priority="446" operator="notEqual">
      <formula>0</formula>
    </cfRule>
  </conditionalFormatting>
  <conditionalFormatting sqref="I11:I12">
    <cfRule type="cellIs" dxfId="905" priority="443" operator="equal">
      <formula>0</formula>
    </cfRule>
    <cfRule type="cellIs" dxfId="904" priority="444" operator="notEqual">
      <formula>0</formula>
    </cfRule>
  </conditionalFormatting>
  <conditionalFormatting sqref="J11:J12">
    <cfRule type="cellIs" dxfId="903" priority="441" operator="equal">
      <formula>0</formula>
    </cfRule>
    <cfRule type="cellIs" dxfId="902" priority="442" operator="notEqual">
      <formula>0</formula>
    </cfRule>
  </conditionalFormatting>
  <conditionalFormatting sqref="O10">
    <cfRule type="cellIs" dxfId="901" priority="439" operator="equal">
      <formula>0</formula>
    </cfRule>
    <cfRule type="cellIs" dxfId="900" priority="440" operator="notEqual">
      <formula>0</formula>
    </cfRule>
  </conditionalFormatting>
  <conditionalFormatting sqref="P10">
    <cfRule type="cellIs" dxfId="899" priority="437" operator="equal">
      <formula>0</formula>
    </cfRule>
    <cfRule type="cellIs" dxfId="898" priority="438" operator="notEqual">
      <formula>0</formula>
    </cfRule>
  </conditionalFormatting>
  <conditionalFormatting sqref="Q10">
    <cfRule type="cellIs" dxfId="897" priority="435" operator="equal">
      <formula>0</formula>
    </cfRule>
    <cfRule type="cellIs" dxfId="896" priority="436" operator="notEqual">
      <formula>0</formula>
    </cfRule>
  </conditionalFormatting>
  <conditionalFormatting sqref="R10">
    <cfRule type="cellIs" dxfId="895" priority="433" operator="equal">
      <formula>0</formula>
    </cfRule>
    <cfRule type="cellIs" dxfId="894" priority="434" operator="notEqual">
      <formula>0</formula>
    </cfRule>
  </conditionalFormatting>
  <conditionalFormatting sqref="C18:C19">
    <cfRule type="cellIs" dxfId="893" priority="431" operator="equal">
      <formula>0</formula>
    </cfRule>
    <cfRule type="cellIs" dxfId="892" priority="432" operator="notEqual">
      <formula>0</formula>
    </cfRule>
  </conditionalFormatting>
  <conditionalFormatting sqref="D18:D19">
    <cfRule type="cellIs" dxfId="891" priority="429" operator="equal">
      <formula>0</formula>
    </cfRule>
    <cfRule type="cellIs" dxfId="890" priority="430" operator="notEqual">
      <formula>0</formula>
    </cfRule>
  </conditionalFormatting>
  <conditionalFormatting sqref="E18:E19">
    <cfRule type="cellIs" dxfId="889" priority="427" operator="equal">
      <formula>0</formula>
    </cfRule>
    <cfRule type="cellIs" dxfId="888" priority="428" operator="notEqual">
      <formula>0</formula>
    </cfRule>
  </conditionalFormatting>
  <conditionalFormatting sqref="F18:F19">
    <cfRule type="cellIs" dxfId="887" priority="425" operator="equal">
      <formula>0</formula>
    </cfRule>
    <cfRule type="cellIs" dxfId="886" priority="426" operator="notEqual">
      <formula>0</formula>
    </cfRule>
  </conditionalFormatting>
  <conditionalFormatting sqref="G18:G19">
    <cfRule type="cellIs" dxfId="885" priority="423" operator="equal">
      <formula>0</formula>
    </cfRule>
    <cfRule type="cellIs" dxfId="884" priority="424" operator="notEqual">
      <formula>0</formula>
    </cfRule>
  </conditionalFormatting>
  <conditionalFormatting sqref="H18:H19">
    <cfRule type="cellIs" dxfId="883" priority="421" operator="equal">
      <formula>0</formula>
    </cfRule>
    <cfRule type="cellIs" dxfId="882" priority="422" operator="notEqual">
      <formula>0</formula>
    </cfRule>
  </conditionalFormatting>
  <conditionalFormatting sqref="I18:I19">
    <cfRule type="cellIs" dxfId="881" priority="419" operator="equal">
      <formula>0</formula>
    </cfRule>
    <cfRule type="cellIs" dxfId="880" priority="420" operator="notEqual">
      <formula>0</formula>
    </cfRule>
  </conditionalFormatting>
  <conditionalFormatting sqref="J18:J19">
    <cfRule type="cellIs" dxfId="879" priority="417" operator="equal">
      <formula>0</formula>
    </cfRule>
    <cfRule type="cellIs" dxfId="878" priority="418" operator="notEqual">
      <formula>0</formula>
    </cfRule>
  </conditionalFormatting>
  <conditionalFormatting sqref="O17">
    <cfRule type="cellIs" dxfId="877" priority="415" operator="equal">
      <formula>0</formula>
    </cfRule>
    <cfRule type="cellIs" dxfId="876" priority="416" operator="notEqual">
      <formula>0</formula>
    </cfRule>
  </conditionalFormatting>
  <conditionalFormatting sqref="P17">
    <cfRule type="cellIs" dxfId="875" priority="413" operator="equal">
      <formula>0</formula>
    </cfRule>
    <cfRule type="cellIs" dxfId="874" priority="414" operator="notEqual">
      <formula>0</formula>
    </cfRule>
  </conditionalFormatting>
  <conditionalFormatting sqref="Q17">
    <cfRule type="cellIs" dxfId="873" priority="411" operator="equal">
      <formula>0</formula>
    </cfRule>
    <cfRule type="cellIs" dxfId="872" priority="412" operator="notEqual">
      <formula>0</formula>
    </cfRule>
  </conditionalFormatting>
  <conditionalFormatting sqref="R17">
    <cfRule type="cellIs" dxfId="871" priority="409" operator="equal">
      <formula>0</formula>
    </cfRule>
    <cfRule type="cellIs" dxfId="870" priority="410" operator="notEqual">
      <formula>0</formula>
    </cfRule>
  </conditionalFormatting>
  <conditionalFormatting sqref="C25:C26">
    <cfRule type="cellIs" dxfId="869" priority="407" operator="equal">
      <formula>0</formula>
    </cfRule>
    <cfRule type="cellIs" dxfId="868" priority="408" operator="notEqual">
      <formula>0</formula>
    </cfRule>
  </conditionalFormatting>
  <conditionalFormatting sqref="D25:D26">
    <cfRule type="cellIs" dxfId="867" priority="405" operator="equal">
      <formula>0</formula>
    </cfRule>
    <cfRule type="cellIs" dxfId="866" priority="406" operator="notEqual">
      <formula>0</formula>
    </cfRule>
  </conditionalFormatting>
  <conditionalFormatting sqref="E25:E26">
    <cfRule type="cellIs" dxfId="865" priority="403" operator="equal">
      <formula>0</formula>
    </cfRule>
    <cfRule type="cellIs" dxfId="864" priority="404" operator="notEqual">
      <formula>0</formula>
    </cfRule>
  </conditionalFormatting>
  <conditionalFormatting sqref="F25:F26">
    <cfRule type="cellIs" dxfId="863" priority="401" operator="equal">
      <formula>0</formula>
    </cfRule>
    <cfRule type="cellIs" dxfId="862" priority="402" operator="notEqual">
      <formula>0</formula>
    </cfRule>
  </conditionalFormatting>
  <conditionalFormatting sqref="G25:G26">
    <cfRule type="cellIs" dxfId="861" priority="399" operator="equal">
      <formula>0</formula>
    </cfRule>
    <cfRule type="cellIs" dxfId="860" priority="400" operator="notEqual">
      <formula>0</formula>
    </cfRule>
  </conditionalFormatting>
  <conditionalFormatting sqref="H25:H26">
    <cfRule type="cellIs" dxfId="859" priority="397" operator="equal">
      <formula>0</formula>
    </cfRule>
    <cfRule type="cellIs" dxfId="858" priority="398" operator="notEqual">
      <formula>0</formula>
    </cfRule>
  </conditionalFormatting>
  <conditionalFormatting sqref="I25:I26">
    <cfRule type="cellIs" dxfId="857" priority="395" operator="equal">
      <formula>0</formula>
    </cfRule>
    <cfRule type="cellIs" dxfId="856" priority="396" operator="notEqual">
      <formula>0</formula>
    </cfRule>
  </conditionalFormatting>
  <conditionalFormatting sqref="J25:J26">
    <cfRule type="cellIs" dxfId="855" priority="393" operator="equal">
      <formula>0</formula>
    </cfRule>
    <cfRule type="cellIs" dxfId="854" priority="394" operator="notEqual">
      <formula>0</formula>
    </cfRule>
  </conditionalFormatting>
  <conditionalFormatting sqref="O24">
    <cfRule type="cellIs" dxfId="853" priority="391" operator="equal">
      <formula>0</formula>
    </cfRule>
    <cfRule type="cellIs" dxfId="852" priority="392" operator="notEqual">
      <formula>0</formula>
    </cfRule>
  </conditionalFormatting>
  <conditionalFormatting sqref="P24">
    <cfRule type="cellIs" dxfId="851" priority="389" operator="equal">
      <formula>0</formula>
    </cfRule>
    <cfRule type="cellIs" dxfId="850" priority="390" operator="notEqual">
      <formula>0</formula>
    </cfRule>
  </conditionalFormatting>
  <conditionalFormatting sqref="Q24">
    <cfRule type="cellIs" dxfId="849" priority="387" operator="equal">
      <formula>0</formula>
    </cfRule>
    <cfRule type="cellIs" dxfId="848" priority="388" operator="notEqual">
      <formula>0</formula>
    </cfRule>
  </conditionalFormatting>
  <conditionalFormatting sqref="R24">
    <cfRule type="cellIs" dxfId="847" priority="385" operator="equal">
      <formula>0</formula>
    </cfRule>
    <cfRule type="cellIs" dxfId="846" priority="386" operator="notEqual">
      <formula>0</formula>
    </cfRule>
  </conditionalFormatting>
  <conditionalFormatting sqref="C32:C33">
    <cfRule type="cellIs" dxfId="845" priority="383" operator="equal">
      <formula>0</formula>
    </cfRule>
    <cfRule type="cellIs" dxfId="844" priority="384" operator="notEqual">
      <formula>0</formula>
    </cfRule>
  </conditionalFormatting>
  <conditionalFormatting sqref="D32:D33">
    <cfRule type="cellIs" dxfId="843" priority="381" operator="equal">
      <formula>0</formula>
    </cfRule>
    <cfRule type="cellIs" dxfId="842" priority="382" operator="notEqual">
      <formula>0</formula>
    </cfRule>
  </conditionalFormatting>
  <conditionalFormatting sqref="E32:E33">
    <cfRule type="cellIs" dxfId="841" priority="379" operator="equal">
      <formula>0</formula>
    </cfRule>
    <cfRule type="cellIs" dxfId="840" priority="380" operator="notEqual">
      <formula>0</formula>
    </cfRule>
  </conditionalFormatting>
  <conditionalFormatting sqref="F32:F33">
    <cfRule type="cellIs" dxfId="839" priority="377" operator="equal">
      <formula>0</formula>
    </cfRule>
    <cfRule type="cellIs" dxfId="838" priority="378" operator="notEqual">
      <formula>0</formula>
    </cfRule>
  </conditionalFormatting>
  <conditionalFormatting sqref="G32:G33">
    <cfRule type="cellIs" dxfId="837" priority="375" operator="equal">
      <formula>0</formula>
    </cfRule>
    <cfRule type="cellIs" dxfId="836" priority="376" operator="notEqual">
      <formula>0</formula>
    </cfRule>
  </conditionalFormatting>
  <conditionalFormatting sqref="H32:H33">
    <cfRule type="cellIs" dxfId="835" priority="373" operator="equal">
      <formula>0</formula>
    </cfRule>
    <cfRule type="cellIs" dxfId="834" priority="374" operator="notEqual">
      <formula>0</formula>
    </cfRule>
  </conditionalFormatting>
  <conditionalFormatting sqref="I32:I33">
    <cfRule type="cellIs" dxfId="833" priority="371" operator="equal">
      <formula>0</formula>
    </cfRule>
    <cfRule type="cellIs" dxfId="832" priority="372" operator="notEqual">
      <formula>0</formula>
    </cfRule>
  </conditionalFormatting>
  <conditionalFormatting sqref="J32:J33">
    <cfRule type="cellIs" dxfId="831" priority="369" operator="equal">
      <formula>0</formula>
    </cfRule>
    <cfRule type="cellIs" dxfId="830" priority="370" operator="notEqual">
      <formula>0</formula>
    </cfRule>
  </conditionalFormatting>
  <conditionalFormatting sqref="O31">
    <cfRule type="cellIs" dxfId="829" priority="367" operator="equal">
      <formula>0</formula>
    </cfRule>
    <cfRule type="cellIs" dxfId="828" priority="368" operator="notEqual">
      <formula>0</formula>
    </cfRule>
  </conditionalFormatting>
  <conditionalFormatting sqref="P31">
    <cfRule type="cellIs" dxfId="827" priority="365" operator="equal">
      <formula>0</formula>
    </cfRule>
    <cfRule type="cellIs" dxfId="826" priority="366" operator="notEqual">
      <formula>0</formula>
    </cfRule>
  </conditionalFormatting>
  <conditionalFormatting sqref="Q31">
    <cfRule type="cellIs" dxfId="825" priority="363" operator="equal">
      <formula>0</formula>
    </cfRule>
    <cfRule type="cellIs" dxfId="824" priority="364" operator="notEqual">
      <formula>0</formula>
    </cfRule>
  </conditionalFormatting>
  <conditionalFormatting sqref="R31">
    <cfRule type="cellIs" dxfId="823" priority="361" operator="equal">
      <formula>0</formula>
    </cfRule>
    <cfRule type="cellIs" dxfId="822" priority="362" operator="notEqual">
      <formula>0</formula>
    </cfRule>
  </conditionalFormatting>
  <conditionalFormatting sqref="C39:C40">
    <cfRule type="cellIs" dxfId="821" priority="359" operator="equal">
      <formula>0</formula>
    </cfRule>
    <cfRule type="cellIs" dxfId="820" priority="360" operator="notEqual">
      <formula>0</formula>
    </cfRule>
  </conditionalFormatting>
  <conditionalFormatting sqref="D39:D40">
    <cfRule type="cellIs" dxfId="819" priority="357" operator="equal">
      <formula>0</formula>
    </cfRule>
    <cfRule type="cellIs" dxfId="818" priority="358" operator="notEqual">
      <formula>0</formula>
    </cfRule>
  </conditionalFormatting>
  <conditionalFormatting sqref="E39:E40">
    <cfRule type="cellIs" dxfId="817" priority="355" operator="equal">
      <formula>0</formula>
    </cfRule>
    <cfRule type="cellIs" dxfId="816" priority="356" operator="notEqual">
      <formula>0</formula>
    </cfRule>
  </conditionalFormatting>
  <conditionalFormatting sqref="F39:F40">
    <cfRule type="cellIs" dxfId="815" priority="353" operator="equal">
      <formula>0</formula>
    </cfRule>
    <cfRule type="cellIs" dxfId="814" priority="354" operator="notEqual">
      <formula>0</formula>
    </cfRule>
  </conditionalFormatting>
  <conditionalFormatting sqref="G39:G40">
    <cfRule type="cellIs" dxfId="813" priority="351" operator="equal">
      <formula>0</formula>
    </cfRule>
    <cfRule type="cellIs" dxfId="812" priority="352" operator="notEqual">
      <formula>0</formula>
    </cfRule>
  </conditionalFormatting>
  <conditionalFormatting sqref="H39:H40">
    <cfRule type="cellIs" dxfId="811" priority="349" operator="equal">
      <formula>0</formula>
    </cfRule>
    <cfRule type="cellIs" dxfId="810" priority="350" operator="notEqual">
      <formula>0</formula>
    </cfRule>
  </conditionalFormatting>
  <conditionalFormatting sqref="I39:I40">
    <cfRule type="cellIs" dxfId="809" priority="347" operator="equal">
      <formula>0</formula>
    </cfRule>
    <cfRule type="cellIs" dxfId="808" priority="348" operator="notEqual">
      <formula>0</formula>
    </cfRule>
  </conditionalFormatting>
  <conditionalFormatting sqref="J39:J40">
    <cfRule type="cellIs" dxfId="807" priority="345" operator="equal">
      <formula>0</formula>
    </cfRule>
    <cfRule type="cellIs" dxfId="806" priority="346" operator="notEqual">
      <formula>0</formula>
    </cfRule>
  </conditionalFormatting>
  <conditionalFormatting sqref="O38">
    <cfRule type="cellIs" dxfId="805" priority="343" operator="equal">
      <formula>0</formula>
    </cfRule>
    <cfRule type="cellIs" dxfId="804" priority="344" operator="notEqual">
      <formula>0</formula>
    </cfRule>
  </conditionalFormatting>
  <conditionalFormatting sqref="P38">
    <cfRule type="cellIs" dxfId="803" priority="341" operator="equal">
      <formula>0</formula>
    </cfRule>
    <cfRule type="cellIs" dxfId="802" priority="342" operator="notEqual">
      <formula>0</formula>
    </cfRule>
  </conditionalFormatting>
  <conditionalFormatting sqref="Q38">
    <cfRule type="cellIs" dxfId="801" priority="339" operator="equal">
      <formula>0</formula>
    </cfRule>
    <cfRule type="cellIs" dxfId="800" priority="340" operator="notEqual">
      <formula>0</formula>
    </cfRule>
  </conditionalFormatting>
  <conditionalFormatting sqref="R38">
    <cfRule type="cellIs" dxfId="799" priority="337" operator="equal">
      <formula>0</formula>
    </cfRule>
    <cfRule type="cellIs" dxfId="798" priority="338" operator="notEqual">
      <formula>0</formula>
    </cfRule>
  </conditionalFormatting>
  <conditionalFormatting sqref="C46:C47">
    <cfRule type="cellIs" dxfId="797" priority="335" operator="equal">
      <formula>0</formula>
    </cfRule>
    <cfRule type="cellIs" dxfId="796" priority="336" operator="notEqual">
      <formula>0</formula>
    </cfRule>
  </conditionalFormatting>
  <conditionalFormatting sqref="D46:D47">
    <cfRule type="cellIs" dxfId="795" priority="333" operator="equal">
      <formula>0</formula>
    </cfRule>
    <cfRule type="cellIs" dxfId="794" priority="334" operator="notEqual">
      <formula>0</formula>
    </cfRule>
  </conditionalFormatting>
  <conditionalFormatting sqref="E46:E47">
    <cfRule type="cellIs" dxfId="793" priority="331" operator="equal">
      <formula>0</formula>
    </cfRule>
    <cfRule type="cellIs" dxfId="792" priority="332" operator="notEqual">
      <formula>0</formula>
    </cfRule>
  </conditionalFormatting>
  <conditionalFormatting sqref="F46:F47">
    <cfRule type="cellIs" dxfId="791" priority="329" operator="equal">
      <formula>0</formula>
    </cfRule>
    <cfRule type="cellIs" dxfId="790" priority="330" operator="notEqual">
      <formula>0</formula>
    </cfRule>
  </conditionalFormatting>
  <conditionalFormatting sqref="G46:G47">
    <cfRule type="cellIs" dxfId="789" priority="327" operator="equal">
      <formula>0</formula>
    </cfRule>
    <cfRule type="cellIs" dxfId="788" priority="328" operator="notEqual">
      <formula>0</formula>
    </cfRule>
  </conditionalFormatting>
  <conditionalFormatting sqref="H46:H47">
    <cfRule type="cellIs" dxfId="787" priority="325" operator="equal">
      <formula>0</formula>
    </cfRule>
    <cfRule type="cellIs" dxfId="786" priority="326" operator="notEqual">
      <formula>0</formula>
    </cfRule>
  </conditionalFormatting>
  <conditionalFormatting sqref="I46:I47">
    <cfRule type="cellIs" dxfId="785" priority="323" operator="equal">
      <formula>0</formula>
    </cfRule>
    <cfRule type="cellIs" dxfId="784" priority="324" operator="notEqual">
      <formula>0</formula>
    </cfRule>
  </conditionalFormatting>
  <conditionalFormatting sqref="J46:J47">
    <cfRule type="cellIs" dxfId="783" priority="321" operator="equal">
      <formula>0</formula>
    </cfRule>
    <cfRule type="cellIs" dxfId="782" priority="322" operator="notEqual">
      <formula>0</formula>
    </cfRule>
  </conditionalFormatting>
  <conditionalFormatting sqref="O45">
    <cfRule type="cellIs" dxfId="781" priority="319" operator="equal">
      <formula>0</formula>
    </cfRule>
    <cfRule type="cellIs" dxfId="780" priority="320" operator="notEqual">
      <formula>0</formula>
    </cfRule>
  </conditionalFormatting>
  <conditionalFormatting sqref="P45">
    <cfRule type="cellIs" dxfId="779" priority="317" operator="equal">
      <formula>0</formula>
    </cfRule>
    <cfRule type="cellIs" dxfId="778" priority="318" operator="notEqual">
      <formula>0</formula>
    </cfRule>
  </conditionalFormatting>
  <conditionalFormatting sqref="Q45">
    <cfRule type="cellIs" dxfId="777" priority="315" operator="equal">
      <formula>0</formula>
    </cfRule>
    <cfRule type="cellIs" dxfId="776" priority="316" operator="notEqual">
      <formula>0</formula>
    </cfRule>
  </conditionalFormatting>
  <conditionalFormatting sqref="R45">
    <cfRule type="cellIs" dxfId="775" priority="313" operator="equal">
      <formula>0</formula>
    </cfRule>
    <cfRule type="cellIs" dxfId="774" priority="314" operator="notEqual">
      <formula>0</formula>
    </cfRule>
  </conditionalFormatting>
  <conditionalFormatting sqref="C53:C54">
    <cfRule type="cellIs" dxfId="773" priority="311" operator="equal">
      <formula>0</formula>
    </cfRule>
    <cfRule type="cellIs" dxfId="772" priority="312" operator="notEqual">
      <formula>0</formula>
    </cfRule>
  </conditionalFormatting>
  <conditionalFormatting sqref="D53:D54">
    <cfRule type="cellIs" dxfId="771" priority="309" operator="equal">
      <formula>0</formula>
    </cfRule>
    <cfRule type="cellIs" dxfId="770" priority="310" operator="notEqual">
      <formula>0</formula>
    </cfRule>
  </conditionalFormatting>
  <conditionalFormatting sqref="E53:E54">
    <cfRule type="cellIs" dxfId="769" priority="307" operator="equal">
      <formula>0</formula>
    </cfRule>
    <cfRule type="cellIs" dxfId="768" priority="308" operator="notEqual">
      <formula>0</formula>
    </cfRule>
  </conditionalFormatting>
  <conditionalFormatting sqref="F53:F54">
    <cfRule type="cellIs" dxfId="767" priority="305" operator="equal">
      <formula>0</formula>
    </cfRule>
    <cfRule type="cellIs" dxfId="766" priority="306" operator="notEqual">
      <formula>0</formula>
    </cfRule>
  </conditionalFormatting>
  <conditionalFormatting sqref="G53:G54">
    <cfRule type="cellIs" dxfId="765" priority="303" operator="equal">
      <formula>0</formula>
    </cfRule>
    <cfRule type="cellIs" dxfId="764" priority="304" operator="notEqual">
      <formula>0</formula>
    </cfRule>
  </conditionalFormatting>
  <conditionalFormatting sqref="H53:H54">
    <cfRule type="cellIs" dxfId="763" priority="301" operator="equal">
      <formula>0</formula>
    </cfRule>
    <cfRule type="cellIs" dxfId="762" priority="302" operator="notEqual">
      <formula>0</formula>
    </cfRule>
  </conditionalFormatting>
  <conditionalFormatting sqref="I53:I54">
    <cfRule type="cellIs" dxfId="761" priority="299" operator="equal">
      <formula>0</formula>
    </cfRule>
    <cfRule type="cellIs" dxfId="760" priority="300" operator="notEqual">
      <formula>0</formula>
    </cfRule>
  </conditionalFormatting>
  <conditionalFormatting sqref="J53:J54">
    <cfRule type="cellIs" dxfId="759" priority="297" operator="equal">
      <formula>0</formula>
    </cfRule>
    <cfRule type="cellIs" dxfId="758" priority="298" operator="notEqual">
      <formula>0</formula>
    </cfRule>
  </conditionalFormatting>
  <conditionalFormatting sqref="O52">
    <cfRule type="cellIs" dxfId="757" priority="295" operator="equal">
      <formula>0</formula>
    </cfRule>
    <cfRule type="cellIs" dxfId="756" priority="296" operator="notEqual">
      <formula>0</formula>
    </cfRule>
  </conditionalFormatting>
  <conditionalFormatting sqref="P52">
    <cfRule type="cellIs" dxfId="755" priority="293" operator="equal">
      <formula>0</formula>
    </cfRule>
    <cfRule type="cellIs" dxfId="754" priority="294" operator="notEqual">
      <formula>0</formula>
    </cfRule>
  </conditionalFormatting>
  <conditionalFormatting sqref="Q52">
    <cfRule type="cellIs" dxfId="753" priority="291" operator="equal">
      <formula>0</formula>
    </cfRule>
    <cfRule type="cellIs" dxfId="752" priority="292" operator="notEqual">
      <formula>0</formula>
    </cfRule>
  </conditionalFormatting>
  <conditionalFormatting sqref="R52">
    <cfRule type="cellIs" dxfId="751" priority="289" operator="equal">
      <formula>0</formula>
    </cfRule>
    <cfRule type="cellIs" dxfId="750" priority="290" operator="notEqual">
      <formula>0</formula>
    </cfRule>
  </conditionalFormatting>
  <conditionalFormatting sqref="C60:C61">
    <cfRule type="cellIs" dxfId="749" priority="287" operator="equal">
      <formula>0</formula>
    </cfRule>
    <cfRule type="cellIs" dxfId="748" priority="288" operator="notEqual">
      <formula>0</formula>
    </cfRule>
  </conditionalFormatting>
  <conditionalFormatting sqref="D60:D61">
    <cfRule type="cellIs" dxfId="747" priority="285" operator="equal">
      <formula>0</formula>
    </cfRule>
    <cfRule type="cellIs" dxfId="746" priority="286" operator="notEqual">
      <formula>0</formula>
    </cfRule>
  </conditionalFormatting>
  <conditionalFormatting sqref="E60:E61">
    <cfRule type="cellIs" dxfId="745" priority="283" operator="equal">
      <formula>0</formula>
    </cfRule>
    <cfRule type="cellIs" dxfId="744" priority="284" operator="notEqual">
      <formula>0</formula>
    </cfRule>
  </conditionalFormatting>
  <conditionalFormatting sqref="F60:F61">
    <cfRule type="cellIs" dxfId="743" priority="281" operator="equal">
      <formula>0</formula>
    </cfRule>
    <cfRule type="cellIs" dxfId="742" priority="282" operator="notEqual">
      <formula>0</formula>
    </cfRule>
  </conditionalFormatting>
  <conditionalFormatting sqref="G60:G61">
    <cfRule type="cellIs" dxfId="741" priority="279" operator="equal">
      <formula>0</formula>
    </cfRule>
    <cfRule type="cellIs" dxfId="740" priority="280" operator="notEqual">
      <formula>0</formula>
    </cfRule>
  </conditionalFormatting>
  <conditionalFormatting sqref="H60:H61">
    <cfRule type="cellIs" dxfId="739" priority="277" operator="equal">
      <formula>0</formula>
    </cfRule>
    <cfRule type="cellIs" dxfId="738" priority="278" operator="notEqual">
      <formula>0</formula>
    </cfRule>
  </conditionalFormatting>
  <conditionalFormatting sqref="I60:I61">
    <cfRule type="cellIs" dxfId="737" priority="275" operator="equal">
      <formula>0</formula>
    </cfRule>
    <cfRule type="cellIs" dxfId="736" priority="276" operator="notEqual">
      <formula>0</formula>
    </cfRule>
  </conditionalFormatting>
  <conditionalFormatting sqref="J60:J61">
    <cfRule type="cellIs" dxfId="735" priority="273" operator="equal">
      <formula>0</formula>
    </cfRule>
    <cfRule type="cellIs" dxfId="734" priority="274" operator="notEqual">
      <formula>0</formula>
    </cfRule>
  </conditionalFormatting>
  <conditionalFormatting sqref="O59">
    <cfRule type="cellIs" dxfId="733" priority="271" operator="equal">
      <formula>0</formula>
    </cfRule>
    <cfRule type="cellIs" dxfId="732" priority="272" operator="notEqual">
      <formula>0</formula>
    </cfRule>
  </conditionalFormatting>
  <conditionalFormatting sqref="P59">
    <cfRule type="cellIs" dxfId="731" priority="269" operator="equal">
      <formula>0</formula>
    </cfRule>
    <cfRule type="cellIs" dxfId="730" priority="270" operator="notEqual">
      <formula>0</formula>
    </cfRule>
  </conditionalFormatting>
  <conditionalFormatting sqref="Q59">
    <cfRule type="cellIs" dxfId="729" priority="267" operator="equal">
      <formula>0</formula>
    </cfRule>
    <cfRule type="cellIs" dxfId="728" priority="268" operator="notEqual">
      <formula>0</formula>
    </cfRule>
  </conditionalFormatting>
  <conditionalFormatting sqref="R59">
    <cfRule type="cellIs" dxfId="727" priority="265" operator="equal">
      <formula>0</formula>
    </cfRule>
    <cfRule type="cellIs" dxfId="726" priority="266" operator="notEqual">
      <formula>0</formula>
    </cfRule>
  </conditionalFormatting>
  <conditionalFormatting sqref="C67:C68">
    <cfRule type="cellIs" dxfId="725" priority="263" operator="equal">
      <formula>0</formula>
    </cfRule>
    <cfRule type="cellIs" dxfId="724" priority="264" operator="notEqual">
      <formula>0</formula>
    </cfRule>
  </conditionalFormatting>
  <conditionalFormatting sqref="D67:D68">
    <cfRule type="cellIs" dxfId="723" priority="261" operator="equal">
      <formula>0</formula>
    </cfRule>
    <cfRule type="cellIs" dxfId="722" priority="262" operator="notEqual">
      <formula>0</formula>
    </cfRule>
  </conditionalFormatting>
  <conditionalFormatting sqref="E67:E68">
    <cfRule type="cellIs" dxfId="721" priority="259" operator="equal">
      <formula>0</formula>
    </cfRule>
    <cfRule type="cellIs" dxfId="720" priority="260" operator="notEqual">
      <formula>0</formula>
    </cfRule>
  </conditionalFormatting>
  <conditionalFormatting sqref="F67:F68">
    <cfRule type="cellIs" dxfId="719" priority="257" operator="equal">
      <formula>0</formula>
    </cfRule>
    <cfRule type="cellIs" dxfId="718" priority="258" operator="notEqual">
      <formula>0</formula>
    </cfRule>
  </conditionalFormatting>
  <conditionalFormatting sqref="G67:G68">
    <cfRule type="cellIs" dxfId="717" priority="255" operator="equal">
      <formula>0</formula>
    </cfRule>
    <cfRule type="cellIs" dxfId="716" priority="256" operator="notEqual">
      <formula>0</formula>
    </cfRule>
  </conditionalFormatting>
  <conditionalFormatting sqref="H67:H68">
    <cfRule type="cellIs" dxfId="715" priority="253" operator="equal">
      <formula>0</formula>
    </cfRule>
    <cfRule type="cellIs" dxfId="714" priority="254" operator="notEqual">
      <formula>0</formula>
    </cfRule>
  </conditionalFormatting>
  <conditionalFormatting sqref="I67:I68">
    <cfRule type="cellIs" dxfId="713" priority="251" operator="equal">
      <formula>0</formula>
    </cfRule>
    <cfRule type="cellIs" dxfId="712" priority="252" operator="notEqual">
      <formula>0</formula>
    </cfRule>
  </conditionalFormatting>
  <conditionalFormatting sqref="J67:J68">
    <cfRule type="cellIs" dxfId="711" priority="249" operator="equal">
      <formula>0</formula>
    </cfRule>
    <cfRule type="cellIs" dxfId="710" priority="250" operator="notEqual">
      <formula>0</formula>
    </cfRule>
  </conditionalFormatting>
  <conditionalFormatting sqref="O66">
    <cfRule type="cellIs" dxfId="709" priority="247" operator="equal">
      <formula>0</formula>
    </cfRule>
    <cfRule type="cellIs" dxfId="708" priority="248" operator="notEqual">
      <formula>0</formula>
    </cfRule>
  </conditionalFormatting>
  <conditionalFormatting sqref="P66">
    <cfRule type="cellIs" dxfId="707" priority="245" operator="equal">
      <formula>0</formula>
    </cfRule>
    <cfRule type="cellIs" dxfId="706" priority="246" operator="notEqual">
      <formula>0</formula>
    </cfRule>
  </conditionalFormatting>
  <conditionalFormatting sqref="Q66">
    <cfRule type="cellIs" dxfId="705" priority="243" operator="equal">
      <formula>0</formula>
    </cfRule>
    <cfRule type="cellIs" dxfId="704" priority="244" operator="notEqual">
      <formula>0</formula>
    </cfRule>
  </conditionalFormatting>
  <conditionalFormatting sqref="R66">
    <cfRule type="cellIs" dxfId="703" priority="241" operator="equal">
      <formula>0</formula>
    </cfRule>
    <cfRule type="cellIs" dxfId="702" priority="242" operator="notEqual">
      <formula>0</formula>
    </cfRule>
  </conditionalFormatting>
  <conditionalFormatting sqref="C74:C75">
    <cfRule type="cellIs" dxfId="701" priority="239" operator="equal">
      <formula>0</formula>
    </cfRule>
    <cfRule type="cellIs" dxfId="700" priority="240" operator="notEqual">
      <formula>0</formula>
    </cfRule>
  </conditionalFormatting>
  <conditionalFormatting sqref="D74:D75">
    <cfRule type="cellIs" dxfId="699" priority="237" operator="equal">
      <formula>0</formula>
    </cfRule>
    <cfRule type="cellIs" dxfId="698" priority="238" operator="notEqual">
      <formula>0</formula>
    </cfRule>
  </conditionalFormatting>
  <conditionalFormatting sqref="E74:E75">
    <cfRule type="cellIs" dxfId="697" priority="235" operator="equal">
      <formula>0</formula>
    </cfRule>
    <cfRule type="cellIs" dxfId="696" priority="236" operator="notEqual">
      <formula>0</formula>
    </cfRule>
  </conditionalFormatting>
  <conditionalFormatting sqref="F74:F75">
    <cfRule type="cellIs" dxfId="695" priority="233" operator="equal">
      <formula>0</formula>
    </cfRule>
    <cfRule type="cellIs" dxfId="694" priority="234" operator="notEqual">
      <formula>0</formula>
    </cfRule>
  </conditionalFormatting>
  <conditionalFormatting sqref="G74:G75">
    <cfRule type="cellIs" dxfId="693" priority="231" operator="equal">
      <formula>0</formula>
    </cfRule>
    <cfRule type="cellIs" dxfId="692" priority="232" operator="notEqual">
      <formula>0</formula>
    </cfRule>
  </conditionalFormatting>
  <conditionalFormatting sqref="H74:H75">
    <cfRule type="cellIs" dxfId="691" priority="229" operator="equal">
      <formula>0</formula>
    </cfRule>
    <cfRule type="cellIs" dxfId="690" priority="230" operator="notEqual">
      <formula>0</formula>
    </cfRule>
  </conditionalFormatting>
  <conditionalFormatting sqref="I74:I75">
    <cfRule type="cellIs" dxfId="689" priority="227" operator="equal">
      <formula>0</formula>
    </cfRule>
    <cfRule type="cellIs" dxfId="688" priority="228" operator="notEqual">
      <formula>0</formula>
    </cfRule>
  </conditionalFormatting>
  <conditionalFormatting sqref="J74:J75">
    <cfRule type="cellIs" dxfId="687" priority="225" operator="equal">
      <formula>0</formula>
    </cfRule>
    <cfRule type="cellIs" dxfId="686" priority="226" operator="notEqual">
      <formula>0</formula>
    </cfRule>
  </conditionalFormatting>
  <conditionalFormatting sqref="O73">
    <cfRule type="cellIs" dxfId="685" priority="223" operator="equal">
      <formula>0</formula>
    </cfRule>
    <cfRule type="cellIs" dxfId="684" priority="224" operator="notEqual">
      <formula>0</formula>
    </cfRule>
  </conditionalFormatting>
  <conditionalFormatting sqref="P73">
    <cfRule type="cellIs" dxfId="683" priority="221" operator="equal">
      <formula>0</formula>
    </cfRule>
    <cfRule type="cellIs" dxfId="682" priority="222" operator="notEqual">
      <formula>0</formula>
    </cfRule>
  </conditionalFormatting>
  <conditionalFormatting sqref="Q73">
    <cfRule type="cellIs" dxfId="681" priority="219" operator="equal">
      <formula>0</formula>
    </cfRule>
    <cfRule type="cellIs" dxfId="680" priority="220" operator="notEqual">
      <formula>0</formula>
    </cfRule>
  </conditionalFormatting>
  <conditionalFormatting sqref="R73">
    <cfRule type="cellIs" dxfId="679" priority="217" operator="equal">
      <formula>0</formula>
    </cfRule>
    <cfRule type="cellIs" dxfId="678" priority="218" operator="notEqual">
      <formula>0</formula>
    </cfRule>
  </conditionalFormatting>
  <conditionalFormatting sqref="U67:U68">
    <cfRule type="cellIs" dxfId="677" priority="215" operator="equal">
      <formula>0</formula>
    </cfRule>
    <cfRule type="cellIs" dxfId="676" priority="216" operator="notEqual">
      <formula>0</formula>
    </cfRule>
  </conditionalFormatting>
  <conditionalFormatting sqref="V67:V68">
    <cfRule type="cellIs" dxfId="675" priority="213" operator="equal">
      <formula>0</formula>
    </cfRule>
    <cfRule type="cellIs" dxfId="674" priority="214" operator="notEqual">
      <formula>0</formula>
    </cfRule>
  </conditionalFormatting>
  <conditionalFormatting sqref="W67:W68">
    <cfRule type="cellIs" dxfId="673" priority="211" operator="equal">
      <formula>0</formula>
    </cfRule>
    <cfRule type="cellIs" dxfId="672" priority="212" operator="notEqual">
      <formula>0</formula>
    </cfRule>
  </conditionalFormatting>
  <conditionalFormatting sqref="X67:X68">
    <cfRule type="cellIs" dxfId="671" priority="209" operator="equal">
      <formula>0</formula>
    </cfRule>
    <cfRule type="cellIs" dxfId="670" priority="210" operator="notEqual">
      <formula>0</formula>
    </cfRule>
  </conditionalFormatting>
  <conditionalFormatting sqref="Y67:Y68">
    <cfRule type="cellIs" dxfId="669" priority="207" operator="equal">
      <formula>0</formula>
    </cfRule>
    <cfRule type="cellIs" dxfId="668" priority="208" operator="notEqual">
      <formula>0</formula>
    </cfRule>
  </conditionalFormatting>
  <conditionalFormatting sqref="Z67:Z68">
    <cfRule type="cellIs" dxfId="667" priority="205" operator="equal">
      <formula>0</formula>
    </cfRule>
    <cfRule type="cellIs" dxfId="666" priority="206" operator="notEqual">
      <formula>0</formula>
    </cfRule>
  </conditionalFormatting>
  <conditionalFormatting sqref="AA67:AA68">
    <cfRule type="cellIs" dxfId="665" priority="203" operator="equal">
      <formula>0</formula>
    </cfRule>
    <cfRule type="cellIs" dxfId="664" priority="204" operator="notEqual">
      <formula>0</formula>
    </cfRule>
  </conditionalFormatting>
  <conditionalFormatting sqref="AB67:AB68">
    <cfRule type="cellIs" dxfId="663" priority="201" operator="equal">
      <formula>0</formula>
    </cfRule>
    <cfRule type="cellIs" dxfId="662" priority="202" operator="notEqual">
      <formula>0</formula>
    </cfRule>
  </conditionalFormatting>
  <conditionalFormatting sqref="AG66">
    <cfRule type="cellIs" dxfId="661" priority="199" operator="equal">
      <formula>0</formula>
    </cfRule>
    <cfRule type="cellIs" dxfId="660" priority="200" operator="notEqual">
      <formula>0</formula>
    </cfRule>
  </conditionalFormatting>
  <conditionalFormatting sqref="AH66">
    <cfRule type="cellIs" dxfId="659" priority="197" operator="equal">
      <formula>0</formula>
    </cfRule>
    <cfRule type="cellIs" dxfId="658" priority="198" operator="notEqual">
      <formula>0</formula>
    </cfRule>
  </conditionalFormatting>
  <conditionalFormatting sqref="AI66">
    <cfRule type="cellIs" dxfId="657" priority="195" operator="equal">
      <formula>0</formula>
    </cfRule>
    <cfRule type="cellIs" dxfId="656" priority="196" operator="notEqual">
      <formula>0</formula>
    </cfRule>
  </conditionalFormatting>
  <conditionalFormatting sqref="AJ66">
    <cfRule type="cellIs" dxfId="655" priority="193" operator="equal">
      <formula>0</formula>
    </cfRule>
    <cfRule type="cellIs" dxfId="654" priority="194" operator="notEqual">
      <formula>0</formula>
    </cfRule>
  </conditionalFormatting>
  <conditionalFormatting sqref="U60:U61">
    <cfRule type="cellIs" dxfId="653" priority="191" operator="equal">
      <formula>0</formula>
    </cfRule>
    <cfRule type="cellIs" dxfId="652" priority="192" operator="notEqual">
      <formula>0</formula>
    </cfRule>
  </conditionalFormatting>
  <conditionalFormatting sqref="V60:V61">
    <cfRule type="cellIs" dxfId="651" priority="189" operator="equal">
      <formula>0</formula>
    </cfRule>
    <cfRule type="cellIs" dxfId="650" priority="190" operator="notEqual">
      <formula>0</formula>
    </cfRule>
  </conditionalFormatting>
  <conditionalFormatting sqref="W60:W61">
    <cfRule type="cellIs" dxfId="649" priority="187" operator="equal">
      <formula>0</formula>
    </cfRule>
    <cfRule type="cellIs" dxfId="648" priority="188" operator="notEqual">
      <formula>0</formula>
    </cfRule>
  </conditionalFormatting>
  <conditionalFormatting sqref="X60:X61">
    <cfRule type="cellIs" dxfId="647" priority="185" operator="equal">
      <formula>0</formula>
    </cfRule>
    <cfRule type="cellIs" dxfId="646" priority="186" operator="notEqual">
      <formula>0</formula>
    </cfRule>
  </conditionalFormatting>
  <conditionalFormatting sqref="Y60:Y61">
    <cfRule type="cellIs" dxfId="645" priority="183" operator="equal">
      <formula>0</formula>
    </cfRule>
    <cfRule type="cellIs" dxfId="644" priority="184" operator="notEqual">
      <formula>0</formula>
    </cfRule>
  </conditionalFormatting>
  <conditionalFormatting sqref="Z60:Z61">
    <cfRule type="cellIs" dxfId="643" priority="181" operator="equal">
      <formula>0</formula>
    </cfRule>
    <cfRule type="cellIs" dxfId="642" priority="182" operator="notEqual">
      <formula>0</formula>
    </cfRule>
  </conditionalFormatting>
  <conditionalFormatting sqref="AA60:AA61">
    <cfRule type="cellIs" dxfId="641" priority="179" operator="equal">
      <formula>0</formula>
    </cfRule>
    <cfRule type="cellIs" dxfId="640" priority="180" operator="notEqual">
      <formula>0</formula>
    </cfRule>
  </conditionalFormatting>
  <conditionalFormatting sqref="AB60:AB61">
    <cfRule type="cellIs" dxfId="639" priority="177" operator="equal">
      <formula>0</formula>
    </cfRule>
    <cfRule type="cellIs" dxfId="638" priority="178" operator="notEqual">
      <formula>0</formula>
    </cfRule>
  </conditionalFormatting>
  <conditionalFormatting sqref="AG59">
    <cfRule type="cellIs" dxfId="637" priority="175" operator="equal">
      <formula>0</formula>
    </cfRule>
    <cfRule type="cellIs" dxfId="636" priority="176" operator="notEqual">
      <formula>0</formula>
    </cfRule>
  </conditionalFormatting>
  <conditionalFormatting sqref="AH59">
    <cfRule type="cellIs" dxfId="635" priority="173" operator="equal">
      <formula>0</formula>
    </cfRule>
    <cfRule type="cellIs" dxfId="634" priority="174" operator="notEqual">
      <formula>0</formula>
    </cfRule>
  </conditionalFormatting>
  <conditionalFormatting sqref="AI59">
    <cfRule type="cellIs" dxfId="633" priority="171" operator="equal">
      <formula>0</formula>
    </cfRule>
    <cfRule type="cellIs" dxfId="632" priority="172" operator="notEqual">
      <formula>0</formula>
    </cfRule>
  </conditionalFormatting>
  <conditionalFormatting sqref="AJ59">
    <cfRule type="cellIs" dxfId="631" priority="169" operator="equal">
      <formula>0</formula>
    </cfRule>
    <cfRule type="cellIs" dxfId="630" priority="170" operator="notEqual">
      <formula>0</formula>
    </cfRule>
  </conditionalFormatting>
  <conditionalFormatting sqref="U53:U54">
    <cfRule type="cellIs" dxfId="629" priority="167" operator="equal">
      <formula>0</formula>
    </cfRule>
    <cfRule type="cellIs" dxfId="628" priority="168" operator="notEqual">
      <formula>0</formula>
    </cfRule>
  </conditionalFormatting>
  <conditionalFormatting sqref="V53:V54">
    <cfRule type="cellIs" dxfId="627" priority="165" operator="equal">
      <formula>0</formula>
    </cfRule>
    <cfRule type="cellIs" dxfId="626" priority="166" operator="notEqual">
      <formula>0</formula>
    </cfRule>
  </conditionalFormatting>
  <conditionalFormatting sqref="W53:W54">
    <cfRule type="cellIs" dxfId="625" priority="163" operator="equal">
      <formula>0</formula>
    </cfRule>
    <cfRule type="cellIs" dxfId="624" priority="164" operator="notEqual">
      <formula>0</formula>
    </cfRule>
  </conditionalFormatting>
  <conditionalFormatting sqref="X53:X54">
    <cfRule type="cellIs" dxfId="623" priority="161" operator="equal">
      <formula>0</formula>
    </cfRule>
    <cfRule type="cellIs" dxfId="622" priority="162" operator="notEqual">
      <formula>0</formula>
    </cfRule>
  </conditionalFormatting>
  <conditionalFormatting sqref="Y53:Y54">
    <cfRule type="cellIs" dxfId="621" priority="159" operator="equal">
      <formula>0</formula>
    </cfRule>
    <cfRule type="cellIs" dxfId="620" priority="160" operator="notEqual">
      <formula>0</formula>
    </cfRule>
  </conditionalFormatting>
  <conditionalFormatting sqref="Z53:Z54">
    <cfRule type="cellIs" dxfId="619" priority="157" operator="equal">
      <formula>0</formula>
    </cfRule>
    <cfRule type="cellIs" dxfId="618" priority="158" operator="notEqual">
      <formula>0</formula>
    </cfRule>
  </conditionalFormatting>
  <conditionalFormatting sqref="AA53:AA54">
    <cfRule type="cellIs" dxfId="617" priority="155" operator="equal">
      <formula>0</formula>
    </cfRule>
    <cfRule type="cellIs" dxfId="616" priority="156" operator="notEqual">
      <formula>0</formula>
    </cfRule>
  </conditionalFormatting>
  <conditionalFormatting sqref="AB53:AB54">
    <cfRule type="cellIs" dxfId="615" priority="153" operator="equal">
      <formula>0</formula>
    </cfRule>
    <cfRule type="cellIs" dxfId="614" priority="154" operator="notEqual">
      <formula>0</formula>
    </cfRule>
  </conditionalFormatting>
  <conditionalFormatting sqref="AG52">
    <cfRule type="cellIs" dxfId="613" priority="151" operator="equal">
      <formula>0</formula>
    </cfRule>
    <cfRule type="cellIs" dxfId="612" priority="152" operator="notEqual">
      <formula>0</formula>
    </cfRule>
  </conditionalFormatting>
  <conditionalFormatting sqref="AH52">
    <cfRule type="cellIs" dxfId="611" priority="149" operator="equal">
      <formula>0</formula>
    </cfRule>
    <cfRule type="cellIs" dxfId="610" priority="150" operator="notEqual">
      <formula>0</formula>
    </cfRule>
  </conditionalFormatting>
  <conditionalFormatting sqref="AI52">
    <cfRule type="cellIs" dxfId="609" priority="147" operator="equal">
      <formula>0</formula>
    </cfRule>
    <cfRule type="cellIs" dxfId="608" priority="148" operator="notEqual">
      <formula>0</formula>
    </cfRule>
  </conditionalFormatting>
  <conditionalFormatting sqref="AJ52">
    <cfRule type="cellIs" dxfId="607" priority="145" operator="equal">
      <formula>0</formula>
    </cfRule>
    <cfRule type="cellIs" dxfId="606" priority="146" operator="notEqual">
      <formula>0</formula>
    </cfRule>
  </conditionalFormatting>
  <conditionalFormatting sqref="U46:U47">
    <cfRule type="cellIs" dxfId="605" priority="143" operator="equal">
      <formula>0</formula>
    </cfRule>
    <cfRule type="cellIs" dxfId="604" priority="144" operator="notEqual">
      <formula>0</formula>
    </cfRule>
  </conditionalFormatting>
  <conditionalFormatting sqref="V46:V47">
    <cfRule type="cellIs" dxfId="603" priority="141" operator="equal">
      <formula>0</formula>
    </cfRule>
    <cfRule type="cellIs" dxfId="602" priority="142" operator="notEqual">
      <formula>0</formula>
    </cfRule>
  </conditionalFormatting>
  <conditionalFormatting sqref="W46:W47">
    <cfRule type="cellIs" dxfId="601" priority="139" operator="equal">
      <formula>0</formula>
    </cfRule>
    <cfRule type="cellIs" dxfId="600" priority="140" operator="notEqual">
      <formula>0</formula>
    </cfRule>
  </conditionalFormatting>
  <conditionalFormatting sqref="X46:X47">
    <cfRule type="cellIs" dxfId="599" priority="137" operator="equal">
      <formula>0</formula>
    </cfRule>
    <cfRule type="cellIs" dxfId="598" priority="138" operator="notEqual">
      <formula>0</formula>
    </cfRule>
  </conditionalFormatting>
  <conditionalFormatting sqref="Y46:Y47">
    <cfRule type="cellIs" dxfId="597" priority="135" operator="equal">
      <formula>0</formula>
    </cfRule>
    <cfRule type="cellIs" dxfId="596" priority="136" operator="notEqual">
      <formula>0</formula>
    </cfRule>
  </conditionalFormatting>
  <conditionalFormatting sqref="Z46:Z47">
    <cfRule type="cellIs" dxfId="595" priority="133" operator="equal">
      <formula>0</formula>
    </cfRule>
    <cfRule type="cellIs" dxfId="594" priority="134" operator="notEqual">
      <formula>0</formula>
    </cfRule>
  </conditionalFormatting>
  <conditionalFormatting sqref="AA46:AA47">
    <cfRule type="cellIs" dxfId="593" priority="131" operator="equal">
      <formula>0</formula>
    </cfRule>
    <cfRule type="cellIs" dxfId="592" priority="132" operator="notEqual">
      <formula>0</formula>
    </cfRule>
  </conditionalFormatting>
  <conditionalFormatting sqref="AB46:AB47">
    <cfRule type="cellIs" dxfId="591" priority="129" operator="equal">
      <formula>0</formula>
    </cfRule>
    <cfRule type="cellIs" dxfId="590" priority="130" operator="notEqual">
      <formula>0</formula>
    </cfRule>
  </conditionalFormatting>
  <conditionalFormatting sqref="AG45">
    <cfRule type="cellIs" dxfId="589" priority="127" operator="equal">
      <formula>0</formula>
    </cfRule>
    <cfRule type="cellIs" dxfId="588" priority="128" operator="notEqual">
      <formula>0</formula>
    </cfRule>
  </conditionalFormatting>
  <conditionalFormatting sqref="AH45">
    <cfRule type="cellIs" dxfId="587" priority="125" operator="equal">
      <formula>0</formula>
    </cfRule>
    <cfRule type="cellIs" dxfId="586" priority="126" operator="notEqual">
      <formula>0</formula>
    </cfRule>
  </conditionalFormatting>
  <conditionalFormatting sqref="AI45">
    <cfRule type="cellIs" dxfId="585" priority="123" operator="equal">
      <formula>0</formula>
    </cfRule>
    <cfRule type="cellIs" dxfId="584" priority="124" operator="notEqual">
      <formula>0</formula>
    </cfRule>
  </conditionalFormatting>
  <conditionalFormatting sqref="AJ45">
    <cfRule type="cellIs" dxfId="583" priority="121" operator="equal">
      <formula>0</formula>
    </cfRule>
    <cfRule type="cellIs" dxfId="582" priority="122" operator="notEqual">
      <formula>0</formula>
    </cfRule>
  </conditionalFormatting>
  <conditionalFormatting sqref="U39:U40">
    <cfRule type="cellIs" dxfId="581" priority="119" operator="equal">
      <formula>0</formula>
    </cfRule>
    <cfRule type="cellIs" dxfId="580" priority="120" operator="notEqual">
      <formula>0</formula>
    </cfRule>
  </conditionalFormatting>
  <conditionalFormatting sqref="V39:V40">
    <cfRule type="cellIs" dxfId="579" priority="117" operator="equal">
      <formula>0</formula>
    </cfRule>
    <cfRule type="cellIs" dxfId="578" priority="118" operator="notEqual">
      <formula>0</formula>
    </cfRule>
  </conditionalFormatting>
  <conditionalFormatting sqref="W39:W40">
    <cfRule type="cellIs" dxfId="577" priority="115" operator="equal">
      <formula>0</formula>
    </cfRule>
    <cfRule type="cellIs" dxfId="576" priority="116" operator="notEqual">
      <formula>0</formula>
    </cfRule>
  </conditionalFormatting>
  <conditionalFormatting sqref="X39:X40">
    <cfRule type="cellIs" dxfId="575" priority="113" operator="equal">
      <formula>0</formula>
    </cfRule>
    <cfRule type="cellIs" dxfId="574" priority="114" operator="notEqual">
      <formula>0</formula>
    </cfRule>
  </conditionalFormatting>
  <conditionalFormatting sqref="Y39:Y40">
    <cfRule type="cellIs" dxfId="573" priority="111" operator="equal">
      <formula>0</formula>
    </cfRule>
    <cfRule type="cellIs" dxfId="572" priority="112" operator="notEqual">
      <formula>0</formula>
    </cfRule>
  </conditionalFormatting>
  <conditionalFormatting sqref="Z39:Z40">
    <cfRule type="cellIs" dxfId="571" priority="109" operator="equal">
      <formula>0</formula>
    </cfRule>
    <cfRule type="cellIs" dxfId="570" priority="110" operator="notEqual">
      <formula>0</formula>
    </cfRule>
  </conditionalFormatting>
  <conditionalFormatting sqref="AA39:AA40">
    <cfRule type="cellIs" dxfId="569" priority="107" operator="equal">
      <formula>0</formula>
    </cfRule>
    <cfRule type="cellIs" dxfId="568" priority="108" operator="notEqual">
      <formula>0</formula>
    </cfRule>
  </conditionalFormatting>
  <conditionalFormatting sqref="AB39:AB40">
    <cfRule type="cellIs" dxfId="567" priority="105" operator="equal">
      <formula>0</formula>
    </cfRule>
    <cfRule type="cellIs" dxfId="566" priority="106" operator="notEqual">
      <formula>0</formula>
    </cfRule>
  </conditionalFormatting>
  <conditionalFormatting sqref="AG38">
    <cfRule type="cellIs" dxfId="565" priority="103" operator="equal">
      <formula>0</formula>
    </cfRule>
    <cfRule type="cellIs" dxfId="564" priority="104" operator="notEqual">
      <formula>0</formula>
    </cfRule>
  </conditionalFormatting>
  <conditionalFormatting sqref="AH38">
    <cfRule type="cellIs" dxfId="563" priority="101" operator="equal">
      <formula>0</formula>
    </cfRule>
    <cfRule type="cellIs" dxfId="562" priority="102" operator="notEqual">
      <formula>0</formula>
    </cfRule>
  </conditionalFormatting>
  <conditionalFormatting sqref="AI38">
    <cfRule type="cellIs" dxfId="561" priority="99" operator="equal">
      <formula>0</formula>
    </cfRule>
    <cfRule type="cellIs" dxfId="560" priority="100" operator="notEqual">
      <formula>0</formula>
    </cfRule>
  </conditionalFormatting>
  <conditionalFormatting sqref="AJ38">
    <cfRule type="cellIs" dxfId="559" priority="97" operator="equal">
      <formula>0</formula>
    </cfRule>
    <cfRule type="cellIs" dxfId="558" priority="98" operator="notEqual">
      <formula>0</formula>
    </cfRule>
  </conditionalFormatting>
  <conditionalFormatting sqref="U32:U33">
    <cfRule type="cellIs" dxfId="557" priority="95" operator="equal">
      <formula>0</formula>
    </cfRule>
    <cfRule type="cellIs" dxfId="556" priority="96" operator="notEqual">
      <formula>0</formula>
    </cfRule>
  </conditionalFormatting>
  <conditionalFormatting sqref="V32:V33">
    <cfRule type="cellIs" dxfId="555" priority="93" operator="equal">
      <formula>0</formula>
    </cfRule>
    <cfRule type="cellIs" dxfId="554" priority="94" operator="notEqual">
      <formula>0</formula>
    </cfRule>
  </conditionalFormatting>
  <conditionalFormatting sqref="W32:W33">
    <cfRule type="cellIs" dxfId="553" priority="91" operator="equal">
      <formula>0</formula>
    </cfRule>
    <cfRule type="cellIs" dxfId="552" priority="92" operator="notEqual">
      <formula>0</formula>
    </cfRule>
  </conditionalFormatting>
  <conditionalFormatting sqref="X32:X33">
    <cfRule type="cellIs" dxfId="551" priority="89" operator="equal">
      <formula>0</formula>
    </cfRule>
    <cfRule type="cellIs" dxfId="550" priority="90" operator="notEqual">
      <formula>0</formula>
    </cfRule>
  </conditionalFormatting>
  <conditionalFormatting sqref="Y32:Y33">
    <cfRule type="cellIs" dxfId="549" priority="87" operator="equal">
      <formula>0</formula>
    </cfRule>
    <cfRule type="cellIs" dxfId="548" priority="88" operator="notEqual">
      <formula>0</formula>
    </cfRule>
  </conditionalFormatting>
  <conditionalFormatting sqref="Z32:Z33">
    <cfRule type="cellIs" dxfId="547" priority="85" operator="equal">
      <formula>0</formula>
    </cfRule>
    <cfRule type="cellIs" dxfId="546" priority="86" operator="notEqual">
      <formula>0</formula>
    </cfRule>
  </conditionalFormatting>
  <conditionalFormatting sqref="AA32:AA33">
    <cfRule type="cellIs" dxfId="545" priority="83" operator="equal">
      <formula>0</formula>
    </cfRule>
    <cfRule type="cellIs" dxfId="544" priority="84" operator="notEqual">
      <formula>0</formula>
    </cfRule>
  </conditionalFormatting>
  <conditionalFormatting sqref="AB32:AB33">
    <cfRule type="cellIs" dxfId="543" priority="81" operator="equal">
      <formula>0</formula>
    </cfRule>
    <cfRule type="cellIs" dxfId="542" priority="82" operator="notEqual">
      <formula>0</formula>
    </cfRule>
  </conditionalFormatting>
  <conditionalFormatting sqref="AG31">
    <cfRule type="cellIs" dxfId="541" priority="79" operator="equal">
      <formula>0</formula>
    </cfRule>
    <cfRule type="cellIs" dxfId="540" priority="80" operator="notEqual">
      <formula>0</formula>
    </cfRule>
  </conditionalFormatting>
  <conditionalFormatting sqref="AH31">
    <cfRule type="cellIs" dxfId="539" priority="77" operator="equal">
      <formula>0</formula>
    </cfRule>
    <cfRule type="cellIs" dxfId="538" priority="78" operator="notEqual">
      <formula>0</formula>
    </cfRule>
  </conditionalFormatting>
  <conditionalFormatting sqref="AI31">
    <cfRule type="cellIs" dxfId="537" priority="75" operator="equal">
      <formula>0</formula>
    </cfRule>
    <cfRule type="cellIs" dxfId="536" priority="76" operator="notEqual">
      <formula>0</formula>
    </cfRule>
  </conditionalFormatting>
  <conditionalFormatting sqref="AJ31">
    <cfRule type="cellIs" dxfId="535" priority="73" operator="equal">
      <formula>0</formula>
    </cfRule>
    <cfRule type="cellIs" dxfId="534" priority="74" operator="notEqual">
      <formula>0</formula>
    </cfRule>
  </conditionalFormatting>
  <conditionalFormatting sqref="U25:U26">
    <cfRule type="cellIs" dxfId="533" priority="71" operator="equal">
      <formula>0</formula>
    </cfRule>
    <cfRule type="cellIs" dxfId="532" priority="72" operator="notEqual">
      <formula>0</formula>
    </cfRule>
  </conditionalFormatting>
  <conditionalFormatting sqref="V25:V26">
    <cfRule type="cellIs" dxfId="531" priority="69" operator="equal">
      <formula>0</formula>
    </cfRule>
    <cfRule type="cellIs" dxfId="530" priority="70" operator="notEqual">
      <formula>0</formula>
    </cfRule>
  </conditionalFormatting>
  <conditionalFormatting sqref="W25:W26">
    <cfRule type="cellIs" dxfId="529" priority="67" operator="equal">
      <formula>0</formula>
    </cfRule>
    <cfRule type="cellIs" dxfId="528" priority="68" operator="notEqual">
      <formula>0</formula>
    </cfRule>
  </conditionalFormatting>
  <conditionalFormatting sqref="X25:X26">
    <cfRule type="cellIs" dxfId="527" priority="65" operator="equal">
      <formula>0</formula>
    </cfRule>
    <cfRule type="cellIs" dxfId="526" priority="66" operator="notEqual">
      <formula>0</formula>
    </cfRule>
  </conditionalFormatting>
  <conditionalFormatting sqref="Y25:Y26">
    <cfRule type="cellIs" dxfId="525" priority="63" operator="equal">
      <formula>0</formula>
    </cfRule>
    <cfRule type="cellIs" dxfId="524" priority="64" operator="notEqual">
      <formula>0</formula>
    </cfRule>
  </conditionalFormatting>
  <conditionalFormatting sqref="Z25:Z26">
    <cfRule type="cellIs" dxfId="523" priority="61" operator="equal">
      <formula>0</formula>
    </cfRule>
    <cfRule type="cellIs" dxfId="522" priority="62" operator="notEqual">
      <formula>0</formula>
    </cfRule>
  </conditionalFormatting>
  <conditionalFormatting sqref="AA25:AA26">
    <cfRule type="cellIs" dxfId="521" priority="59" operator="equal">
      <formula>0</formula>
    </cfRule>
    <cfRule type="cellIs" dxfId="520" priority="60" operator="notEqual">
      <formula>0</formula>
    </cfRule>
  </conditionalFormatting>
  <conditionalFormatting sqref="AB25:AB26">
    <cfRule type="cellIs" dxfId="519" priority="57" operator="equal">
      <formula>0</formula>
    </cfRule>
    <cfRule type="cellIs" dxfId="518" priority="58" operator="notEqual">
      <formula>0</formula>
    </cfRule>
  </conditionalFormatting>
  <conditionalFormatting sqref="AG24">
    <cfRule type="cellIs" dxfId="517" priority="55" operator="equal">
      <formula>0</formula>
    </cfRule>
    <cfRule type="cellIs" dxfId="516" priority="56" operator="notEqual">
      <formula>0</formula>
    </cfRule>
  </conditionalFormatting>
  <conditionalFormatting sqref="AH24">
    <cfRule type="cellIs" dxfId="515" priority="53" operator="equal">
      <formula>0</formula>
    </cfRule>
    <cfRule type="cellIs" dxfId="514" priority="54" operator="notEqual">
      <formula>0</formula>
    </cfRule>
  </conditionalFormatting>
  <conditionalFormatting sqref="AI24">
    <cfRule type="cellIs" dxfId="513" priority="51" operator="equal">
      <formula>0</formula>
    </cfRule>
    <cfRule type="cellIs" dxfId="512" priority="52" operator="notEqual">
      <formula>0</formula>
    </cfRule>
  </conditionalFormatting>
  <conditionalFormatting sqref="AJ24">
    <cfRule type="cellIs" dxfId="511" priority="49" operator="equal">
      <formula>0</formula>
    </cfRule>
    <cfRule type="cellIs" dxfId="510" priority="50" operator="notEqual">
      <formula>0</formula>
    </cfRule>
  </conditionalFormatting>
  <conditionalFormatting sqref="U18:U19">
    <cfRule type="cellIs" dxfId="509" priority="47" operator="equal">
      <formula>0</formula>
    </cfRule>
    <cfRule type="cellIs" dxfId="508" priority="48" operator="notEqual">
      <formula>0</formula>
    </cfRule>
  </conditionalFormatting>
  <conditionalFormatting sqref="V18:V19">
    <cfRule type="cellIs" dxfId="507" priority="45" operator="equal">
      <formula>0</formula>
    </cfRule>
    <cfRule type="cellIs" dxfId="506" priority="46" operator="notEqual">
      <formula>0</formula>
    </cfRule>
  </conditionalFormatting>
  <conditionalFormatting sqref="W18:W19">
    <cfRule type="cellIs" dxfId="505" priority="43" operator="equal">
      <formula>0</formula>
    </cfRule>
    <cfRule type="cellIs" dxfId="504" priority="44" operator="notEqual">
      <formula>0</formula>
    </cfRule>
  </conditionalFormatting>
  <conditionalFormatting sqref="X18:X19">
    <cfRule type="cellIs" dxfId="503" priority="41" operator="equal">
      <formula>0</formula>
    </cfRule>
    <cfRule type="cellIs" dxfId="502" priority="42" operator="notEqual">
      <formula>0</formula>
    </cfRule>
  </conditionalFormatting>
  <conditionalFormatting sqref="Y18:Y19">
    <cfRule type="cellIs" dxfId="501" priority="39" operator="equal">
      <formula>0</formula>
    </cfRule>
    <cfRule type="cellIs" dxfId="500" priority="40" operator="notEqual">
      <formula>0</formula>
    </cfRule>
  </conditionalFormatting>
  <conditionalFormatting sqref="Z18:Z19">
    <cfRule type="cellIs" dxfId="499" priority="37" operator="equal">
      <formula>0</formula>
    </cfRule>
    <cfRule type="cellIs" dxfId="498" priority="38" operator="notEqual">
      <formula>0</formula>
    </cfRule>
  </conditionalFormatting>
  <conditionalFormatting sqref="AA18:AA19">
    <cfRule type="cellIs" dxfId="497" priority="35" operator="equal">
      <formula>0</formula>
    </cfRule>
    <cfRule type="cellIs" dxfId="496" priority="36" operator="notEqual">
      <formula>0</formula>
    </cfRule>
  </conditionalFormatting>
  <conditionalFormatting sqref="AB18:AB19">
    <cfRule type="cellIs" dxfId="495" priority="33" operator="equal">
      <formula>0</formula>
    </cfRule>
    <cfRule type="cellIs" dxfId="494" priority="34" operator="notEqual">
      <formula>0</formula>
    </cfRule>
  </conditionalFormatting>
  <conditionalFormatting sqref="AG17">
    <cfRule type="cellIs" dxfId="493" priority="31" operator="equal">
      <formula>0</formula>
    </cfRule>
    <cfRule type="cellIs" dxfId="492" priority="32" operator="notEqual">
      <formula>0</formula>
    </cfRule>
  </conditionalFormatting>
  <conditionalFormatting sqref="AH17">
    <cfRule type="cellIs" dxfId="491" priority="29" operator="equal">
      <formula>0</formula>
    </cfRule>
    <cfRule type="cellIs" dxfId="490" priority="30" operator="notEqual">
      <formula>0</formula>
    </cfRule>
  </conditionalFormatting>
  <conditionalFormatting sqref="AI17">
    <cfRule type="cellIs" dxfId="489" priority="27" operator="equal">
      <formula>0</formula>
    </cfRule>
    <cfRule type="cellIs" dxfId="488" priority="28" operator="notEqual">
      <formula>0</formula>
    </cfRule>
  </conditionalFormatting>
  <conditionalFormatting sqref="AJ17">
    <cfRule type="cellIs" dxfId="487" priority="25" operator="equal">
      <formula>0</formula>
    </cfRule>
    <cfRule type="cellIs" dxfId="486" priority="26" operator="notEqual">
      <formula>0</formula>
    </cfRule>
  </conditionalFormatting>
  <conditionalFormatting sqref="U11:U12">
    <cfRule type="cellIs" dxfId="485" priority="23" operator="equal">
      <formula>0</formula>
    </cfRule>
    <cfRule type="cellIs" dxfId="484" priority="24" operator="notEqual">
      <formula>0</formula>
    </cfRule>
  </conditionalFormatting>
  <conditionalFormatting sqref="V11:V12">
    <cfRule type="cellIs" dxfId="483" priority="21" operator="equal">
      <formula>0</formula>
    </cfRule>
    <cfRule type="cellIs" dxfId="482" priority="22" operator="notEqual">
      <formula>0</formula>
    </cfRule>
  </conditionalFormatting>
  <conditionalFormatting sqref="W11:W12">
    <cfRule type="cellIs" dxfId="481" priority="19" operator="equal">
      <formula>0</formula>
    </cfRule>
    <cfRule type="cellIs" dxfId="480" priority="20" operator="notEqual">
      <formula>0</formula>
    </cfRule>
  </conditionalFormatting>
  <conditionalFormatting sqref="X11:X12">
    <cfRule type="cellIs" dxfId="479" priority="17" operator="equal">
      <formula>0</formula>
    </cfRule>
    <cfRule type="cellIs" dxfId="478" priority="18" operator="notEqual">
      <formula>0</formula>
    </cfRule>
  </conditionalFormatting>
  <conditionalFormatting sqref="Y11:Y12">
    <cfRule type="cellIs" dxfId="477" priority="15" operator="equal">
      <formula>0</formula>
    </cfRule>
    <cfRule type="cellIs" dxfId="476" priority="16" operator="notEqual">
      <formula>0</formula>
    </cfRule>
  </conditionalFormatting>
  <conditionalFormatting sqref="Z11:Z12">
    <cfRule type="cellIs" dxfId="475" priority="13" operator="equal">
      <formula>0</formula>
    </cfRule>
    <cfRule type="cellIs" dxfId="474" priority="14" operator="notEqual">
      <formula>0</formula>
    </cfRule>
  </conditionalFormatting>
  <conditionalFormatting sqref="AA11:AA12">
    <cfRule type="cellIs" dxfId="473" priority="11" operator="equal">
      <formula>0</formula>
    </cfRule>
    <cfRule type="cellIs" dxfId="472" priority="12" operator="notEqual">
      <formula>0</formula>
    </cfRule>
  </conditionalFormatting>
  <conditionalFormatting sqref="AB11:AB12">
    <cfRule type="cellIs" dxfId="471" priority="9" operator="equal">
      <formula>0</formula>
    </cfRule>
    <cfRule type="cellIs" dxfId="470" priority="10" operator="notEqual">
      <formula>0</formula>
    </cfRule>
  </conditionalFormatting>
  <conditionalFormatting sqref="AG10">
    <cfRule type="cellIs" dxfId="469" priority="7" operator="equal">
      <formula>0</formula>
    </cfRule>
    <cfRule type="cellIs" dxfId="468" priority="8" operator="notEqual">
      <formula>0</formula>
    </cfRule>
  </conditionalFormatting>
  <conditionalFormatting sqref="AH10">
    <cfRule type="cellIs" dxfId="467" priority="5" operator="equal">
      <formula>0</formula>
    </cfRule>
    <cfRule type="cellIs" dxfId="466" priority="6" operator="notEqual">
      <formula>0</formula>
    </cfRule>
  </conditionalFormatting>
  <conditionalFormatting sqref="AI10">
    <cfRule type="cellIs" dxfId="465" priority="3" operator="equal">
      <formula>0</formula>
    </cfRule>
    <cfRule type="cellIs" dxfId="464" priority="4" operator="notEqual">
      <formula>0</formula>
    </cfRule>
  </conditionalFormatting>
  <conditionalFormatting sqref="AJ10">
    <cfRule type="cellIs" dxfId="463" priority="1" operator="equal">
      <formula>0</formula>
    </cfRule>
    <cfRule type="cellIs" dxfId="462" priority="2" operator="notEqual">
      <formula>0</formula>
    </cfRule>
  </conditionalFormatting>
  <dataValidations count="1">
    <dataValidation type="list" allowBlank="1" showInputMessage="1" showErrorMessage="1" sqref="B5" xr:uid="{06BFA5DE-4C4E-45B5-8AA6-1CDB4F7763C4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8"/>
  <dimension ref="A1:AX76"/>
  <sheetViews>
    <sheetView showGridLines="0" zoomScale="70" zoomScaleNormal="70" workbookViewId="0">
      <selection sqref="A1:AX1"/>
    </sheetView>
  </sheetViews>
  <sheetFormatPr baseColWidth="10" defaultColWidth="9.1640625" defaultRowHeight="14" x14ac:dyDescent="0.15"/>
  <cols>
    <col min="1" max="1" width="2.5" style="30" customWidth="1"/>
    <col min="2" max="2" width="36.1640625" style="30" customWidth="1"/>
    <col min="3" max="19" width="9.1640625" style="30"/>
    <col min="20" max="20" width="33" style="30" customWidth="1"/>
    <col min="21" max="16384" width="9.1640625" style="30"/>
  </cols>
  <sheetData>
    <row r="1" spans="1:50" ht="101.25" customHeight="1" x14ac:dyDescent="0.15">
      <c r="A1" s="380" t="s">
        <v>448</v>
      </c>
      <c r="B1" s="380"/>
      <c r="C1" s="380"/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/>
      <c r="AS1" s="380"/>
      <c r="AT1" s="380"/>
      <c r="AU1" s="380"/>
      <c r="AV1" s="380"/>
      <c r="AW1" s="380"/>
      <c r="AX1" s="380"/>
    </row>
    <row r="2" spans="1:50" ht="66" customHeight="1" x14ac:dyDescent="0.15">
      <c r="A2" s="381"/>
      <c r="B2" s="381"/>
      <c r="C2" s="381"/>
      <c r="D2" s="381"/>
      <c r="E2" s="381"/>
      <c r="F2" s="381"/>
      <c r="G2" s="381"/>
      <c r="H2" s="381"/>
      <c r="I2" s="381"/>
      <c r="J2" s="381"/>
      <c r="K2" s="381"/>
      <c r="L2" s="381"/>
      <c r="M2" s="381"/>
      <c r="N2" s="381"/>
      <c r="O2" s="381"/>
      <c r="P2" s="381"/>
      <c r="Q2" s="381"/>
      <c r="R2" s="381"/>
      <c r="S2" s="381"/>
      <c r="T2" s="381"/>
      <c r="U2" s="381"/>
      <c r="V2" s="381"/>
      <c r="W2" s="381"/>
      <c r="X2" s="381"/>
      <c r="Y2" s="381"/>
      <c r="Z2" s="381"/>
      <c r="AA2" s="381"/>
      <c r="AB2" s="381"/>
      <c r="AC2" s="381"/>
      <c r="AD2" s="381"/>
      <c r="AE2" s="381"/>
      <c r="AF2" s="381"/>
      <c r="AG2" s="381"/>
      <c r="AH2" s="381"/>
      <c r="AI2" s="381"/>
      <c r="AJ2" s="381"/>
      <c r="AK2" s="381"/>
      <c r="AL2" s="381"/>
      <c r="AM2" s="381"/>
      <c r="AN2" s="381"/>
      <c r="AO2" s="381"/>
      <c r="AP2" s="381"/>
      <c r="AQ2" s="381"/>
      <c r="AR2" s="381"/>
      <c r="AS2" s="381"/>
      <c r="AT2" s="381"/>
      <c r="AU2" s="381"/>
      <c r="AV2" s="381"/>
      <c r="AW2" s="381"/>
      <c r="AX2" s="381"/>
    </row>
    <row r="3" spans="1:50" s="72" customFormat="1" ht="16" x14ac:dyDescent="0.15"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</row>
    <row r="4" spans="1:50" ht="30" x14ac:dyDescent="0.15">
      <c r="B4" s="56" t="s">
        <v>470</v>
      </c>
    </row>
    <row r="5" spans="1:50" ht="15" x14ac:dyDescent="0.15">
      <c r="B5" s="78" t="s">
        <v>376</v>
      </c>
      <c r="P5" s="61"/>
    </row>
    <row r="6" spans="1:50" x14ac:dyDescent="0.15">
      <c r="B6" s="70"/>
    </row>
    <row r="8" spans="1:50" ht="44.25" customHeight="1" x14ac:dyDescent="0.15">
      <c r="B8" s="182" t="str">
        <f>HLOOKUP($B$5,Region_Table,2,0)</f>
        <v>Accredited Programmes and Structured Interventions - N07</v>
      </c>
      <c r="C8" s="359" t="s">
        <v>370</v>
      </c>
      <c r="D8" s="365"/>
      <c r="E8" s="365"/>
      <c r="F8" s="365"/>
      <c r="G8" s="365"/>
      <c r="H8" s="365"/>
      <c r="I8" s="365"/>
      <c r="J8" s="365"/>
      <c r="K8" s="365"/>
      <c r="L8" s="365"/>
      <c r="M8" s="368"/>
      <c r="N8" s="368"/>
      <c r="O8" s="369"/>
      <c r="P8" s="362">
        <f>SUM(SUMIFS('caseload data'!V:V,'caseload data'!B:B,{"licence","community"},'caseload data'!C:C,B8))</f>
        <v>0</v>
      </c>
      <c r="Q8" s="370"/>
      <c r="R8" s="371"/>
      <c r="S8" s="95"/>
      <c r="T8" s="182" t="str">
        <f>HLOOKUP($B$5,Region_Table,3,0)</f>
        <v>All London</v>
      </c>
      <c r="U8" s="359" t="s">
        <v>370</v>
      </c>
      <c r="V8" s="365"/>
      <c r="W8" s="365"/>
      <c r="X8" s="365"/>
      <c r="Y8" s="365"/>
      <c r="Z8" s="365"/>
      <c r="AA8" s="365"/>
      <c r="AB8" s="365"/>
      <c r="AC8" s="365"/>
      <c r="AD8" s="365"/>
      <c r="AE8" s="368"/>
      <c r="AF8" s="368"/>
      <c r="AG8" s="369"/>
      <c r="AH8" s="362">
        <f>SUM(SUMIFS('caseload data'!V:V,'caseload data'!B:B,{"licence","community"},'caseload data'!C:C,T8))</f>
        <v>0</v>
      </c>
      <c r="AI8" s="370"/>
      <c r="AJ8" s="371"/>
    </row>
    <row r="9" spans="1:50" x14ac:dyDescent="0.15">
      <c r="B9" s="127" t="s">
        <v>324</v>
      </c>
      <c r="C9" s="58" t="s">
        <v>504</v>
      </c>
      <c r="D9" s="58" t="s">
        <v>503</v>
      </c>
      <c r="E9" s="58" t="s">
        <v>502</v>
      </c>
      <c r="F9" s="58" t="s">
        <v>501</v>
      </c>
      <c r="G9" s="58" t="s">
        <v>510</v>
      </c>
      <c r="H9" s="58" t="s">
        <v>176</v>
      </c>
      <c r="I9" s="58" t="s">
        <v>177</v>
      </c>
      <c r="J9" s="58" t="s">
        <v>505</v>
      </c>
      <c r="K9" s="58" t="s">
        <v>507</v>
      </c>
      <c r="L9" s="58" t="s">
        <v>178</v>
      </c>
      <c r="M9" s="58" t="s">
        <v>179</v>
      </c>
      <c r="N9" s="58" t="s">
        <v>506</v>
      </c>
      <c r="O9" s="58" t="s">
        <v>508</v>
      </c>
      <c r="P9" s="58" t="s">
        <v>180</v>
      </c>
      <c r="Q9" s="58" t="s">
        <v>181</v>
      </c>
      <c r="R9" s="58" t="s">
        <v>509</v>
      </c>
      <c r="S9" s="95"/>
      <c r="T9" s="127" t="s">
        <v>324</v>
      </c>
      <c r="U9" s="58" t="s">
        <v>504</v>
      </c>
      <c r="V9" s="58" t="s">
        <v>503</v>
      </c>
      <c r="W9" s="58" t="s">
        <v>502</v>
      </c>
      <c r="X9" s="58" t="s">
        <v>501</v>
      </c>
      <c r="Y9" s="58" t="s">
        <v>510</v>
      </c>
      <c r="Z9" s="58" t="s">
        <v>176</v>
      </c>
      <c r="AA9" s="58" t="s">
        <v>177</v>
      </c>
      <c r="AB9" s="58" t="s">
        <v>505</v>
      </c>
      <c r="AC9" s="58" t="s">
        <v>507</v>
      </c>
      <c r="AD9" s="58" t="s">
        <v>178</v>
      </c>
      <c r="AE9" s="58" t="s">
        <v>179</v>
      </c>
      <c r="AF9" s="58" t="s">
        <v>506</v>
      </c>
      <c r="AG9" s="58" t="s">
        <v>508</v>
      </c>
      <c r="AH9" s="58" t="s">
        <v>180</v>
      </c>
      <c r="AI9" s="58" t="s">
        <v>181</v>
      </c>
      <c r="AJ9" s="58" t="s">
        <v>509</v>
      </c>
    </row>
    <row r="10" spans="1:50" x14ac:dyDescent="0.15">
      <c r="B10" s="129" t="s">
        <v>184</v>
      </c>
      <c r="C10" s="209" t="str">
        <f>IFERROR(SUM(SUMIFS('caseload data'!E:E,'caseload data'!$C:$C,'community %'!$B$8,'caseload data'!$D:$D,"PO",'caseload data'!$B:$B,{"licence","community"}))/SUM(SUMIFS('caseload data'!E:E,'caseload data'!$B:$B,{"licence","community"},'caseload data'!$C:$C,'community %'!$B$8)),"")</f>
        <v/>
      </c>
      <c r="D10" s="209" t="str">
        <f>IFERROR(SUM(SUMIFS('caseload data'!F:F,'caseload data'!$C:$C,'community %'!$B$8,'caseload data'!$D:$D,"PO",'caseload data'!$B:$B,{"licence","community"}))/SUM(SUMIFS('caseload data'!F:F,'caseload data'!$B:$B,{"licence","community"},'caseload data'!$C:$C,'community %'!$B$8)),"")</f>
        <v/>
      </c>
      <c r="E10" s="209" t="str">
        <f>IFERROR(SUM(SUMIFS('caseload data'!G:G,'caseload data'!$C:$C,'community %'!$B$8,'caseload data'!$D:$D,"PO",'caseload data'!$B:$B,{"licence","community"}))/SUM(SUMIFS('caseload data'!G:G,'caseload data'!$B:$B,{"licence","community"},'caseload data'!$C:$C,'community %'!$B$8)),"")</f>
        <v/>
      </c>
      <c r="F10" s="209" t="str">
        <f>IFERROR(SUM(SUMIFS('caseload data'!H:H,'caseload data'!$C:$C,'community %'!$B$8,'caseload data'!$D:$D,"PO",'caseload data'!$B:$B,{"licence","community"}))/SUM(SUMIFS('caseload data'!H:H,'caseload data'!$B:$B,{"licence","community"},'caseload data'!$C:$C,'community %'!$B$8)),"")</f>
        <v/>
      </c>
      <c r="G10" s="209" t="str">
        <f>IFERROR(SUM(SUMIFS('caseload data'!I:I,'caseload data'!$C:$C,'community %'!$B$8,'caseload data'!$D:$D,"PO",'caseload data'!$B:$B,{"licence","community"}))/SUM(SUMIFS('caseload data'!I:I,'caseload data'!$B:$B,{"licence","community"},'caseload data'!$C:$C,'community %'!$B$8)),"")</f>
        <v/>
      </c>
      <c r="H10" s="209" t="str">
        <f>IFERROR(SUM(SUMIFS('caseload data'!J:J,'caseload data'!$C:$C,'community %'!$B$8,'caseload data'!$D:$D,"PO",'caseload data'!$B:$B,{"licence","community"}))/SUM(SUMIFS('caseload data'!J:J,'caseload data'!$B:$B,{"licence","community"},'caseload data'!$C:$C,'community %'!$B$8)),"")</f>
        <v/>
      </c>
      <c r="I10" s="209" t="str">
        <f>IFERROR(SUM(SUMIFS('caseload data'!K:K,'caseload data'!$C:$C,'community %'!$B$8,'caseload data'!$D:$D,"PO",'caseload data'!$B:$B,{"licence","community"}))/SUM(SUMIFS('caseload data'!K:K,'caseload data'!$B:$B,{"licence","community"},'caseload data'!$C:$C,'community %'!$B$8)),"")</f>
        <v/>
      </c>
      <c r="J10" s="209" t="str">
        <f>IFERROR(SUM(SUMIFS('caseload data'!L:L,'caseload data'!$C:$C,'community %'!$B$8,'caseload data'!$D:$D,"PO",'caseload data'!$B:$B,{"licence","community"}))/SUM(SUMIFS('caseload data'!L:L,'caseload data'!$B:$B,{"licence","community"},'caseload data'!$C:$C,'community %'!$B$8)),"")</f>
        <v/>
      </c>
      <c r="K10" s="209" t="str">
        <f>IFERROR(SUM(SUMIFS('caseload data'!M:M,'caseload data'!$C:$C,'community %'!$B$8,'caseload data'!$D:$D,"PO",'caseload data'!$B:$B,{"licence","community"}))/SUM(SUMIFS('caseload data'!M:M,'caseload data'!$B:$B,{"licence","community"},'caseload data'!$C:$C,'community %'!$B$8)),"")</f>
        <v/>
      </c>
      <c r="L10" s="209" t="str">
        <f>IFERROR(SUM(SUMIFS('caseload data'!N:N,'caseload data'!$C:$C,'community %'!$B$8,'caseload data'!$D:$D,"PO",'caseload data'!$B:$B,{"licence","community"}))/SUM(SUMIFS('caseload data'!N:N,'caseload data'!$B:$B,{"licence","community"},'caseload data'!$C:$C,'community %'!$B$8)),"")</f>
        <v/>
      </c>
      <c r="M10" s="209" t="str">
        <f>IFERROR(SUM(SUMIFS('caseload data'!O:O,'caseload data'!$C:$C,'community %'!$B$8,'caseload data'!$D:$D,"PO",'caseload data'!$B:$B,{"licence","community"}))/SUM(SUMIFS('caseload data'!O:O,'caseload data'!$B:$B,{"licence","community"},'caseload data'!$C:$C,'community %'!$B$8)),"")</f>
        <v/>
      </c>
      <c r="N10" s="209" t="str">
        <f>IFERROR(SUM(SUMIFS('caseload data'!P:P,'caseload data'!$C:$C,'community %'!$B$8,'caseload data'!$D:$D,"PO",'caseload data'!$B:$B,{"licence","community"}))/SUM(SUMIFS('caseload data'!P:P,'caseload data'!$B:$B,{"licence","community"},'caseload data'!$C:$C,'community %'!$B$8)),"")</f>
        <v/>
      </c>
      <c r="O10" s="209" t="str">
        <f>IFERROR(SUM(SUMIFS('caseload data'!Q:Q,'caseload data'!$C:$C,'community %'!$B$8,'caseload data'!$D:$D,"PO",'caseload data'!$B:$B,{"licence","community"}))/SUM(SUMIFS('caseload data'!Q:Q,'caseload data'!$B:$B,{"licence","community"},'caseload data'!$C:$C,'community %'!$B$8)),"")</f>
        <v/>
      </c>
      <c r="P10" s="209" t="str">
        <f>IFERROR(SUM(SUMIFS('caseload data'!R:R,'caseload data'!$C:$C,'community %'!$B$8,'caseload data'!$D:$D,"PO",'caseload data'!$B:$B,{"licence","community"}))/SUM(SUMIFS('caseload data'!R:R,'caseload data'!$B:$B,{"licence","community"},'caseload data'!$C:$C,'community %'!$B$8)),"")</f>
        <v/>
      </c>
      <c r="Q10" s="209" t="str">
        <f>IFERROR(SUM(SUMIFS('caseload data'!S:S,'caseload data'!$C:$C,'community %'!$B$8,'caseload data'!$D:$D,"PO",'caseload data'!$B:$B,{"licence","community"}))/SUM(SUMIFS('caseload data'!S:S,'caseload data'!$B:$B,{"licence","community"},'caseload data'!$C:$C,'community %'!$B$8)),"")</f>
        <v/>
      </c>
      <c r="R10" s="209" t="str">
        <f>IFERROR(SUM(SUMIFS('caseload data'!T:T,'caseload data'!$C:$C,'community %'!$B$8,'caseload data'!$D:$D,"PO",'caseload data'!$B:$B,{"licence","community"}))/SUM(SUMIFS('caseload data'!T:T,'caseload data'!$B:$B,{"licence","community"},'caseload data'!$C:$C,'community %'!$B$8)),"")</f>
        <v/>
      </c>
      <c r="S10" s="95"/>
      <c r="T10" s="129" t="s">
        <v>184</v>
      </c>
      <c r="U10" s="209" t="str">
        <f>IFERROR(SUM(SUMIFS('caseload data'!E:E,'caseload data'!$C:$C,'community %'!$T$8,'caseload data'!$D:$D,"PO",'caseload data'!$B:$B,{"licence","community"}))/SUM(SUMIFS('caseload data'!E:E,'caseload data'!$B:$B,{"licence","community"},'caseload data'!$C:$C,'community %'!$T$8)),"")</f>
        <v/>
      </c>
      <c r="V10" s="209" t="str">
        <f>IFERROR(SUM(SUMIFS('caseload data'!F:F,'caseload data'!$C:$C,'community %'!$T$8,'caseload data'!$D:$D,"PO",'caseload data'!$B:$B,{"licence","community"}))/SUM(SUMIFS('caseload data'!F:F,'caseload data'!$B:$B,{"licence","community"},'caseload data'!$C:$C,'community %'!$T$8)),"")</f>
        <v/>
      </c>
      <c r="W10" s="209" t="str">
        <f>IFERROR(SUM(SUMIFS('caseload data'!G:G,'caseload data'!$C:$C,'community %'!$T$8,'caseload data'!$D:$D,"PO",'caseload data'!$B:$B,{"licence","community"}))/SUM(SUMIFS('caseload data'!G:G,'caseload data'!$B:$B,{"licence","community"},'caseload data'!$C:$C,'community %'!$T$8)),"")</f>
        <v/>
      </c>
      <c r="X10" s="209" t="str">
        <f>IFERROR(SUM(SUMIFS('caseload data'!H:H,'caseload data'!$C:$C,'community %'!$T$8,'caseload data'!$D:$D,"PO",'caseload data'!$B:$B,{"licence","community"}))/SUM(SUMIFS('caseload data'!H:H,'caseload data'!$B:$B,{"licence","community"},'caseload data'!$C:$C,'community %'!$T$8)),"")</f>
        <v/>
      </c>
      <c r="Y10" s="209" t="str">
        <f>IFERROR(SUM(SUMIFS('caseload data'!I:I,'caseload data'!$C:$C,'community %'!$T$8,'caseload data'!$D:$D,"PO",'caseload data'!$B:$B,{"licence","community"}))/SUM(SUMIFS('caseload data'!I:I,'caseload data'!$B:$B,{"licence","community"},'caseload data'!$C:$C,'community %'!$T$8)),"")</f>
        <v/>
      </c>
      <c r="Z10" s="209" t="str">
        <f>IFERROR(SUM(SUMIFS('caseload data'!J:J,'caseload data'!$C:$C,'community %'!$T$8,'caseload data'!$D:$D,"PO",'caseload data'!$B:$B,{"licence","community"}))/SUM(SUMIFS('caseload data'!J:J,'caseload data'!$B:$B,{"licence","community"},'caseload data'!$C:$C,'community %'!$T$8)),"")</f>
        <v/>
      </c>
      <c r="AA10" s="209" t="str">
        <f>IFERROR(SUM(SUMIFS('caseload data'!K:K,'caseload data'!$C:$C,'community %'!$T$8,'caseload data'!$D:$D,"PO",'caseload data'!$B:$B,{"licence","community"}))/SUM(SUMIFS('caseload data'!K:K,'caseload data'!$B:$B,{"licence","community"},'caseload data'!$C:$C,'community %'!$T$8)),"")</f>
        <v/>
      </c>
      <c r="AB10" s="209" t="str">
        <f>IFERROR(SUM(SUMIFS('caseload data'!L:L,'caseload data'!$C:$C,'community %'!$T$8,'caseload data'!$D:$D,"PO",'caseload data'!$B:$B,{"licence","community"}))/SUM(SUMIFS('caseload data'!L:L,'caseload data'!$B:$B,{"licence","community"},'caseload data'!$C:$C,'community %'!$T$8)),"")</f>
        <v/>
      </c>
      <c r="AC10" s="209" t="str">
        <f>IFERROR(SUM(SUMIFS('caseload data'!M:M,'caseload data'!$C:$C,'community %'!$T$8,'caseload data'!$D:$D,"PO",'caseload data'!$B:$B,{"licence","community"}))/SUM(SUMIFS('caseload data'!M:M,'caseload data'!$B:$B,{"licence","community"},'caseload data'!$C:$C,'community %'!$T$8)),"")</f>
        <v/>
      </c>
      <c r="AD10" s="209" t="str">
        <f>IFERROR(SUM(SUMIFS('caseload data'!N:N,'caseload data'!$C:$C,'community %'!$T$8,'caseload data'!$D:$D,"PO",'caseload data'!$B:$B,{"licence","community"}))/SUM(SUMIFS('caseload data'!N:N,'caseload data'!$B:$B,{"licence","community"},'caseload data'!$C:$C,'community %'!$T$8)),"")</f>
        <v/>
      </c>
      <c r="AE10" s="209" t="str">
        <f>IFERROR(SUM(SUMIFS('caseload data'!O:O,'caseload data'!$C:$C,'community %'!$T$8,'caseload data'!$D:$D,"PO",'caseload data'!$B:$B,{"licence","community"}))/SUM(SUMIFS('caseload data'!O:O,'caseload data'!$B:$B,{"licence","community"},'caseload data'!$C:$C,'community %'!$T$8)),"")</f>
        <v/>
      </c>
      <c r="AF10" s="209" t="str">
        <f>IFERROR(SUM(SUMIFS('caseload data'!P:P,'caseload data'!$C:$C,'community %'!$T$8,'caseload data'!$D:$D,"PO",'caseload data'!$B:$B,{"licence","community"}))/SUM(SUMIFS('caseload data'!P:P,'caseload data'!$B:$B,{"licence","community"},'caseload data'!$C:$C,'community %'!$T$8)),"")</f>
        <v/>
      </c>
      <c r="AG10" s="209" t="str">
        <f>IFERROR(SUM(SUMIFS('caseload data'!Q:Q,'caseload data'!$C:$C,'community %'!$T$8,'caseload data'!$D:$D,"PO",'caseload data'!$B:$B,{"licence","community"}))/SUM(SUMIFS('caseload data'!Q:Q,'caseload data'!$B:$B,{"licence","community"},'caseload data'!$C:$C,'community %'!$T$8)),"")</f>
        <v/>
      </c>
      <c r="AH10" s="209" t="str">
        <f>IFERROR(SUM(SUMIFS('caseload data'!R:R,'caseload data'!$C:$C,'community %'!$T$8,'caseload data'!$D:$D,"PO",'caseload data'!$B:$B,{"licence","community"}))/SUM(SUMIFS('caseload data'!R:R,'caseload data'!$B:$B,{"licence","community"},'caseload data'!$C:$C,'community %'!$T$8)),"")</f>
        <v/>
      </c>
      <c r="AI10" s="209" t="str">
        <f>IFERROR(SUM(SUMIFS('caseload data'!S:S,'caseload data'!$C:$C,'community %'!$T$8,'caseload data'!$D:$D,"PO",'caseload data'!$B:$B,{"licence","community"}))/SUM(SUMIFS('caseload data'!S:S,'caseload data'!$B:$B,{"licence","community"},'caseload data'!$C:$C,'community %'!$T$8)),"")</f>
        <v/>
      </c>
      <c r="AJ10" s="209" t="str">
        <f>IFERROR(SUM(SUMIFS('caseload data'!T:T,'caseload data'!$C:$C,'community %'!$T$8,'caseload data'!$D:$D,"PO",'caseload data'!$B:$B,{"licence","community"}))/SUM(SUMIFS('caseload data'!T:T,'caseload data'!$B:$B,{"licence","community"},'caseload data'!$C:$C,'community %'!$T$8)),"")</f>
        <v/>
      </c>
    </row>
    <row r="11" spans="1:50" x14ac:dyDescent="0.15">
      <c r="B11" s="130" t="s">
        <v>185</v>
      </c>
      <c r="C11" s="209" t="str">
        <f>IFERROR(SUM(SUMIFS('caseload data'!E:E,'caseload data'!$C:$C,'community %'!$B$8,'caseload data'!$D:$D,"PSO",'caseload data'!$B:$B,{"licence","community"}))/SUM(SUMIFS('caseload data'!E:E,'caseload data'!$B:$B,{"licence","community"},'caseload data'!$C:$C,'community %'!$B$8)),"")</f>
        <v/>
      </c>
      <c r="D11" s="209" t="str">
        <f>IFERROR(SUM(SUMIFS('caseload data'!F:F,'caseload data'!$C:$C,'community %'!$B$8,'caseload data'!$D:$D,"PSO",'caseload data'!$B:$B,{"licence","community"}))/SUM(SUMIFS('caseload data'!F:F,'caseload data'!$B:$B,{"licence","community"},'caseload data'!$C:$C,'community %'!$B$8)),"")</f>
        <v/>
      </c>
      <c r="E11" s="209" t="str">
        <f>IFERROR(SUM(SUMIFS('caseload data'!G:G,'caseload data'!$C:$C,'community %'!$B$8,'caseload data'!$D:$D,"PSO",'caseload data'!$B:$B,{"licence","community"}))/SUM(SUMIFS('caseload data'!G:G,'caseload data'!$B:$B,{"licence","community"},'caseload data'!$C:$C,'community %'!$B$8)),"")</f>
        <v/>
      </c>
      <c r="F11" s="209" t="str">
        <f>IFERROR(SUM(SUMIFS('caseload data'!H:H,'caseload data'!$C:$C,'community %'!$B$8,'caseload data'!$D:$D,"PSO",'caseload data'!$B:$B,{"licence","community"}))/SUM(SUMIFS('caseload data'!H:H,'caseload data'!$B:$B,{"licence","community"},'caseload data'!$C:$C,'community %'!$B$8)),"")</f>
        <v/>
      </c>
      <c r="G11" s="209" t="str">
        <f>IFERROR(SUM(SUMIFS('caseload data'!I:I,'caseload data'!$C:$C,'community %'!$B$8,'caseload data'!$D:$D,"PSO",'caseload data'!$B:$B,{"licence","community"}))/SUM(SUMIFS('caseload data'!I:I,'caseload data'!$B:$B,{"licence","community"},'caseload data'!$C:$C,'community %'!$B$8)),"")</f>
        <v/>
      </c>
      <c r="H11" s="209" t="str">
        <f>IFERROR(SUM(SUMIFS('caseload data'!J:J,'caseload data'!$C:$C,'community %'!$B$8,'caseload data'!$D:$D,"PSO",'caseload data'!$B:$B,{"licence","community"}))/SUM(SUMIFS('caseload data'!J:J,'caseload data'!$B:$B,{"licence","community"},'caseload data'!$C:$C,'community %'!$B$8)),"")</f>
        <v/>
      </c>
      <c r="I11" s="209" t="str">
        <f>IFERROR(SUM(SUMIFS('caseload data'!K:K,'caseload data'!$C:$C,'community %'!$B$8,'caseload data'!$D:$D,"PSO",'caseload data'!$B:$B,{"licence","community"}))/SUM(SUMIFS('caseload data'!K:K,'caseload data'!$B:$B,{"licence","community"},'caseload data'!$C:$C,'community %'!$B$8)),"")</f>
        <v/>
      </c>
      <c r="J11" s="209" t="str">
        <f>IFERROR(SUM(SUMIFS('caseload data'!L:L,'caseload data'!$C:$C,'community %'!$B$8,'caseload data'!$D:$D,"PSO",'caseload data'!$B:$B,{"licence","community"}))/SUM(SUMIFS('caseload data'!L:L,'caseload data'!$B:$B,{"licence","community"},'caseload data'!$C:$C,'community %'!$B$8)),"")</f>
        <v/>
      </c>
      <c r="K11" s="209" t="str">
        <f>IFERROR(SUM(SUMIFS('caseload data'!M:M,'caseload data'!$C:$C,'community %'!$B$8,'caseload data'!$D:$D,"PSO",'caseload data'!$B:$B,{"licence","community"}))/SUM(SUMIFS('caseload data'!M:M,'caseload data'!$B:$B,{"licence","community"},'caseload data'!$C:$C,'community %'!$B$8)),"")</f>
        <v/>
      </c>
      <c r="L11" s="209" t="str">
        <f>IFERROR(SUM(SUMIFS('caseload data'!N:N,'caseload data'!$C:$C,'community %'!$B$8,'caseload data'!$D:$D,"PSO",'caseload data'!$B:$B,{"licence","community"}))/SUM(SUMIFS('caseload data'!N:N,'caseload data'!$B:$B,{"licence","community"},'caseload data'!$C:$C,'community %'!$B$8)),"")</f>
        <v/>
      </c>
      <c r="M11" s="209" t="str">
        <f>IFERROR(SUM(SUMIFS('caseload data'!O:O,'caseload data'!$C:$C,'community %'!$B$8,'caseload data'!$D:$D,"PSO",'caseload data'!$B:$B,{"licence","community"}))/SUM(SUMIFS('caseload data'!O:O,'caseload data'!$B:$B,{"licence","community"},'caseload data'!$C:$C,'community %'!$B$8)),"")</f>
        <v/>
      </c>
      <c r="N11" s="209" t="str">
        <f>IFERROR(SUM(SUMIFS('caseload data'!P:P,'caseload data'!$C:$C,'community %'!$B$8,'caseload data'!$D:$D,"PSO",'caseload data'!$B:$B,{"licence","community"}))/SUM(SUMIFS('caseload data'!P:P,'caseload data'!$B:$B,{"licence","community"},'caseload data'!$C:$C,'community %'!$B$8)),"")</f>
        <v/>
      </c>
      <c r="O11" s="209" t="str">
        <f>IFERROR(SUM(SUMIFS('caseload data'!Q:Q,'caseload data'!$C:$C,'community %'!$B$8,'caseload data'!$D:$D,"PSO",'caseload data'!$B:$B,{"licence","community"}))/SUM(SUMIFS('caseload data'!Q:Q,'caseload data'!$B:$B,{"licence","community"},'caseload data'!$C:$C,'community %'!$B$8)),"")</f>
        <v/>
      </c>
      <c r="P11" s="209" t="str">
        <f>IFERROR(SUM(SUMIFS('caseload data'!R:R,'caseload data'!$C:$C,'community %'!$B$8,'caseload data'!$D:$D,"PSO",'caseload data'!$B:$B,{"licence","community"}))/SUM(SUMIFS('caseload data'!R:R,'caseload data'!$B:$B,{"licence","community"},'caseload data'!$C:$C,'community %'!$B$8)),"")</f>
        <v/>
      </c>
      <c r="Q11" s="209" t="str">
        <f>IFERROR(SUM(SUMIFS('caseload data'!S:S,'caseload data'!$C:$C,'community %'!$B$8,'caseload data'!$D:$D,"PSO",'caseload data'!$B:$B,{"licence","community"}))/SUM(SUMIFS('caseload data'!S:S,'caseload data'!$B:$B,{"licence","community"},'caseload data'!$C:$C,'community %'!$B$8)),"")</f>
        <v/>
      </c>
      <c r="R11" s="209" t="str">
        <f>IFERROR(SUM(SUMIFS('caseload data'!T:T,'caseload data'!$C:$C,'community %'!$B$8,'caseload data'!$D:$D,"PSO",'caseload data'!$B:$B,{"licence","community"}))/SUM(SUMIFS('caseload data'!T:T,'caseload data'!$B:$B,{"licence","community"},'caseload data'!$C:$C,'community %'!$B$8)),"")</f>
        <v/>
      </c>
      <c r="S11" s="95"/>
      <c r="T11" s="130" t="s">
        <v>185</v>
      </c>
      <c r="U11" s="209" t="str">
        <f>IFERROR(SUM(SUMIFS('caseload data'!E:E,'caseload data'!$C:$C,'community %'!$T$8,'caseload data'!$D:$D,"PSO",'caseload data'!$B:$B,{"licence","community"}))/SUM(SUMIFS('caseload data'!E:E,'caseload data'!$B:$B,{"licence","community"},'caseload data'!$C:$C,'community %'!$T$8)),"")</f>
        <v/>
      </c>
      <c r="V11" s="209" t="str">
        <f>IFERROR(SUM(SUMIFS('caseload data'!F:F,'caseload data'!$C:$C,'community %'!$T$8,'caseload data'!$D:$D,"PSO",'caseload data'!$B:$B,{"licence","community"}))/SUM(SUMIFS('caseload data'!F:F,'caseload data'!$B:$B,{"licence","community"},'caseload data'!$C:$C,'community %'!$T$8)),"")</f>
        <v/>
      </c>
      <c r="W11" s="209" t="str">
        <f>IFERROR(SUM(SUMIFS('caseload data'!G:G,'caseload data'!$C:$C,'community %'!$T$8,'caseload data'!$D:$D,"PSO",'caseload data'!$B:$B,{"licence","community"}))/SUM(SUMIFS('caseload data'!G:G,'caseload data'!$B:$B,{"licence","community"},'caseload data'!$C:$C,'community %'!$T$8)),"")</f>
        <v/>
      </c>
      <c r="X11" s="209" t="str">
        <f>IFERROR(SUM(SUMIFS('caseload data'!H:H,'caseload data'!$C:$C,'community %'!$T$8,'caseload data'!$D:$D,"PSO",'caseload data'!$B:$B,{"licence","community"}))/SUM(SUMIFS('caseload data'!H:H,'caseload data'!$B:$B,{"licence","community"},'caseload data'!$C:$C,'community %'!$T$8)),"")</f>
        <v/>
      </c>
      <c r="Y11" s="209" t="str">
        <f>IFERROR(SUM(SUMIFS('caseload data'!I:I,'caseload data'!$C:$C,'community %'!$T$8,'caseload data'!$D:$D,"PSO",'caseload data'!$B:$B,{"licence","community"}))/SUM(SUMIFS('caseload data'!I:I,'caseload data'!$B:$B,{"licence","community"},'caseload data'!$C:$C,'community %'!$T$8)),"")</f>
        <v/>
      </c>
      <c r="Z11" s="209" t="str">
        <f>IFERROR(SUM(SUMIFS('caseload data'!J:J,'caseload data'!$C:$C,'community %'!$T$8,'caseload data'!$D:$D,"PSO",'caseload data'!$B:$B,{"licence","community"}))/SUM(SUMIFS('caseload data'!J:J,'caseload data'!$B:$B,{"licence","community"},'caseload data'!$C:$C,'community %'!$T$8)),"")</f>
        <v/>
      </c>
      <c r="AA11" s="209" t="str">
        <f>IFERROR(SUM(SUMIFS('caseload data'!K:K,'caseload data'!$C:$C,'community %'!$T$8,'caseload data'!$D:$D,"PSO",'caseload data'!$B:$B,{"licence","community"}))/SUM(SUMIFS('caseload data'!K:K,'caseload data'!$B:$B,{"licence","community"},'caseload data'!$C:$C,'community %'!$T$8)),"")</f>
        <v/>
      </c>
      <c r="AB11" s="209" t="str">
        <f>IFERROR(SUM(SUMIFS('caseload data'!L:L,'caseload data'!$C:$C,'community %'!$T$8,'caseload data'!$D:$D,"PSO",'caseload data'!$B:$B,{"licence","community"}))/SUM(SUMIFS('caseload data'!L:L,'caseload data'!$B:$B,{"licence","community"},'caseload data'!$C:$C,'community %'!$T$8)),"")</f>
        <v/>
      </c>
      <c r="AC11" s="209" t="str">
        <f>IFERROR(SUM(SUMIFS('caseload data'!M:M,'caseload data'!$C:$C,'community %'!$T$8,'caseload data'!$D:$D,"PSO",'caseload data'!$B:$B,{"licence","community"}))/SUM(SUMIFS('caseload data'!M:M,'caseload data'!$B:$B,{"licence","community"},'caseload data'!$C:$C,'community %'!$T$8)),"")</f>
        <v/>
      </c>
      <c r="AD11" s="209" t="str">
        <f>IFERROR(SUM(SUMIFS('caseload data'!N:N,'caseload data'!$C:$C,'community %'!$T$8,'caseload data'!$D:$D,"PSO",'caseload data'!$B:$B,{"licence","community"}))/SUM(SUMIFS('caseload data'!N:N,'caseload data'!$B:$B,{"licence","community"},'caseload data'!$C:$C,'community %'!$T$8)),"")</f>
        <v/>
      </c>
      <c r="AE11" s="209" t="str">
        <f>IFERROR(SUM(SUMIFS('caseload data'!O:O,'caseload data'!$C:$C,'community %'!$T$8,'caseload data'!$D:$D,"PSO",'caseload data'!$B:$B,{"licence","community"}))/SUM(SUMIFS('caseload data'!O:O,'caseload data'!$B:$B,{"licence","community"},'caseload data'!$C:$C,'community %'!$T$8)),"")</f>
        <v/>
      </c>
      <c r="AF11" s="209" t="str">
        <f>IFERROR(SUM(SUMIFS('caseload data'!P:P,'caseload data'!$C:$C,'community %'!$T$8,'caseload data'!$D:$D,"PSO",'caseload data'!$B:$B,{"licence","community"}))/SUM(SUMIFS('caseload data'!P:P,'caseload data'!$B:$B,{"licence","community"},'caseload data'!$C:$C,'community %'!$T$8)),"")</f>
        <v/>
      </c>
      <c r="AG11" s="209" t="str">
        <f>IFERROR(SUM(SUMIFS('caseload data'!Q:Q,'caseload data'!$C:$C,'community %'!$T$8,'caseload data'!$D:$D,"PSO",'caseload data'!$B:$B,{"licence","community"}))/SUM(SUMIFS('caseload data'!Q:Q,'caseload data'!$B:$B,{"licence","community"},'caseload data'!$C:$C,'community %'!$T$8)),"")</f>
        <v/>
      </c>
      <c r="AH11" s="209" t="str">
        <f>IFERROR(SUM(SUMIFS('caseload data'!R:R,'caseload data'!$C:$C,'community %'!$T$8,'caseload data'!$D:$D,"PSO",'caseload data'!$B:$B,{"licence","community"}))/SUM(SUMIFS('caseload data'!R:R,'caseload data'!$B:$B,{"licence","community"},'caseload data'!$C:$C,'community %'!$T$8)),"")</f>
        <v/>
      </c>
      <c r="AI11" s="209" t="str">
        <f>IFERROR(SUM(SUMIFS('caseload data'!S:S,'caseload data'!$C:$C,'community %'!$T$8,'caseload data'!$D:$D,"PSO",'caseload data'!$B:$B,{"licence","community"}))/SUM(SUMIFS('caseload data'!S:S,'caseload data'!$B:$B,{"licence","community"},'caseload data'!$C:$C,'community %'!$T$8)),"")</f>
        <v/>
      </c>
      <c r="AJ11" s="209" t="str">
        <f>IFERROR(SUM(SUMIFS('caseload data'!T:T,'caseload data'!$C:$C,'community %'!$T$8,'caseload data'!$D:$D,"PSO",'caseload data'!$B:$B,{"licence","community"}))/SUM(SUMIFS('caseload data'!T:T,'caseload data'!$B:$B,{"licence","community"},'caseload data'!$C:$C,'community %'!$T$8)),"")</f>
        <v/>
      </c>
    </row>
    <row r="12" spans="1:50" x14ac:dyDescent="0.15">
      <c r="B12" s="130" t="s">
        <v>186</v>
      </c>
      <c r="C12" s="209" t="str">
        <f>IFERROR(SUM(SUMIFS('caseload data'!E:E,'caseload data'!$C:$C,'community %'!$B$8,'caseload data'!$D:$D,"TPO",'caseload data'!$B:$B,{"licence","community"}))/SUM(SUMIFS('caseload data'!E:E,'caseload data'!$B:$B,{"licence","community"},'caseload data'!$C:$C,'community %'!$B$8)),"")</f>
        <v/>
      </c>
      <c r="D12" s="209" t="str">
        <f>IFERROR(SUM(SUMIFS('caseload data'!F:F,'caseload data'!$C:$C,'community %'!$B$8,'caseload data'!$D:$D,"TPO",'caseload data'!$B:$B,{"licence","community"}))/SUM(SUMIFS('caseload data'!F:F,'caseload data'!$B:$B,{"licence","community"},'caseload data'!$C:$C,'community %'!$B$8)),"")</f>
        <v/>
      </c>
      <c r="E12" s="209" t="str">
        <f>IFERROR(SUM(SUMIFS('caseload data'!G:G,'caseload data'!$C:$C,'community %'!$B$8,'caseload data'!$D:$D,"TPO",'caseload data'!$B:$B,{"licence","community"}))/SUM(SUMIFS('caseload data'!G:G,'caseload data'!$B:$B,{"licence","community"},'caseload data'!$C:$C,'community %'!$B$8)),"")</f>
        <v/>
      </c>
      <c r="F12" s="209" t="str">
        <f>IFERROR(SUM(SUMIFS('caseload data'!H:H,'caseload data'!$C:$C,'community %'!$B$8,'caseload data'!$D:$D,"TPO",'caseload data'!$B:$B,{"licence","community"}))/SUM(SUMIFS('caseload data'!H:H,'caseload data'!$B:$B,{"licence","community"},'caseload data'!$C:$C,'community %'!$B$8)),"")</f>
        <v/>
      </c>
      <c r="G12" s="209" t="str">
        <f>IFERROR(SUM(SUMIFS('caseload data'!I:I,'caseload data'!$C:$C,'community %'!$B$8,'caseload data'!$D:$D,"TPO",'caseload data'!$B:$B,{"licence","community"}))/SUM(SUMIFS('caseload data'!I:I,'caseload data'!$B:$B,{"licence","community"},'caseload data'!$C:$C,'community %'!$B$8)),"")</f>
        <v/>
      </c>
      <c r="H12" s="209" t="str">
        <f>IFERROR(SUM(SUMIFS('caseload data'!J:J,'caseload data'!$C:$C,'community %'!$B$8,'caseload data'!$D:$D,"TPO",'caseload data'!$B:$B,{"licence","community"}))/SUM(SUMIFS('caseload data'!J:J,'caseload data'!$B:$B,{"licence","community"},'caseload data'!$C:$C,'community %'!$B$8)),"")</f>
        <v/>
      </c>
      <c r="I12" s="209" t="str">
        <f>IFERROR(SUM(SUMIFS('caseload data'!K:K,'caseload data'!$C:$C,'community %'!$B$8,'caseload data'!$D:$D,"TPO",'caseload data'!$B:$B,{"licence","community"}))/SUM(SUMIFS('caseload data'!K:K,'caseload data'!$B:$B,{"licence","community"},'caseload data'!$C:$C,'community %'!$B$8)),"")</f>
        <v/>
      </c>
      <c r="J12" s="209" t="str">
        <f>IFERROR(SUM(SUMIFS('caseload data'!L:L,'caseload data'!$C:$C,'community %'!$B$8,'caseload data'!$D:$D,"TPO",'caseload data'!$B:$B,{"licence","community"}))/SUM(SUMIFS('caseload data'!L:L,'caseload data'!$B:$B,{"licence","community"},'caseload data'!$C:$C,'community %'!$B$8)),"")</f>
        <v/>
      </c>
      <c r="K12" s="209" t="str">
        <f>IFERROR(SUM(SUMIFS('caseload data'!M:M,'caseload data'!$C:$C,'community %'!$B$8,'caseload data'!$D:$D,"TPO",'caseload data'!$B:$B,{"licence","community"}))/SUM(SUMIFS('caseload data'!M:M,'caseload data'!$B:$B,{"licence","community"},'caseload data'!$C:$C,'community %'!$B$8)),"")</f>
        <v/>
      </c>
      <c r="L12" s="209" t="str">
        <f>IFERROR(SUM(SUMIFS('caseload data'!N:N,'caseload data'!$C:$C,'community %'!$B$8,'caseload data'!$D:$D,"TPO",'caseload data'!$B:$B,{"licence","community"}))/SUM(SUMIFS('caseload data'!N:N,'caseload data'!$B:$B,{"licence","community"},'caseload data'!$C:$C,'community %'!$B$8)),"")</f>
        <v/>
      </c>
      <c r="M12" s="209" t="str">
        <f>IFERROR(SUM(SUMIFS('caseload data'!O:O,'caseload data'!$C:$C,'community %'!$B$8,'caseload data'!$D:$D,"TPO",'caseload data'!$B:$B,{"licence","community"}))/SUM(SUMIFS('caseload data'!O:O,'caseload data'!$B:$B,{"licence","community"},'caseload data'!$C:$C,'community %'!$B$8)),"")</f>
        <v/>
      </c>
      <c r="N12" s="209" t="str">
        <f>IFERROR(SUM(SUMIFS('caseload data'!P:P,'caseload data'!$C:$C,'community %'!$B$8,'caseload data'!$D:$D,"TPO",'caseload data'!$B:$B,{"licence","community"}))/SUM(SUMIFS('caseload data'!P:P,'caseload data'!$B:$B,{"licence","community"},'caseload data'!$C:$C,'community %'!$B$8)),"")</f>
        <v/>
      </c>
      <c r="O12" s="209" t="str">
        <f>IFERROR(SUM(SUMIFS('caseload data'!Q:Q,'caseload data'!$C:$C,'community %'!$B$8,'caseload data'!$D:$D,"TPO",'caseload data'!$B:$B,{"licence","community"}))/SUM(SUMIFS('caseload data'!Q:Q,'caseload data'!$B:$B,{"licence","community"},'caseload data'!$C:$C,'community %'!$B$8)),"")</f>
        <v/>
      </c>
      <c r="P12" s="209" t="str">
        <f>IFERROR(SUM(SUMIFS('caseload data'!R:R,'caseload data'!$C:$C,'community %'!$B$8,'caseload data'!$D:$D,"TPO",'caseload data'!$B:$B,{"licence","community"}))/SUM(SUMIFS('caseload data'!R:R,'caseload data'!$B:$B,{"licence","community"},'caseload data'!$C:$C,'community %'!$B$8)),"")</f>
        <v/>
      </c>
      <c r="Q12" s="209" t="str">
        <f>IFERROR(SUM(SUMIFS('caseload data'!S:S,'caseload data'!$C:$C,'community %'!$B$8,'caseload data'!$D:$D,"TPO",'caseload data'!$B:$B,{"licence","community"}))/SUM(SUMIFS('caseload data'!S:S,'caseload data'!$B:$B,{"licence","community"},'caseload data'!$C:$C,'community %'!$B$8)),"")</f>
        <v/>
      </c>
      <c r="R12" s="209" t="str">
        <f>IFERROR(SUM(SUMIFS('caseload data'!T:T,'caseload data'!$C:$C,'community %'!$B$8,'caseload data'!$D:$D,"TPO",'caseload data'!$B:$B,{"licence","community"}))/SUM(SUMIFS('caseload data'!T:T,'caseload data'!$B:$B,{"licence","community"},'caseload data'!$C:$C,'community %'!$B$8)),"")</f>
        <v/>
      </c>
      <c r="S12" s="95"/>
      <c r="T12" s="130" t="s">
        <v>186</v>
      </c>
      <c r="U12" s="209" t="str">
        <f>IFERROR(SUM(SUMIFS('caseload data'!E:E,'caseload data'!$C:$C,'community %'!$T$8,'caseload data'!$D:$D,"TPO",'caseload data'!$B:$B,{"licence","community"}))/SUM(SUMIFS('caseload data'!E:E,'caseload data'!$B:$B,{"licence","community"},'caseload data'!$C:$C,'community %'!$T$8)),"")</f>
        <v/>
      </c>
      <c r="V12" s="209" t="str">
        <f>IFERROR(SUM(SUMIFS('caseload data'!F:F,'caseload data'!$C:$C,'community %'!$T$8,'caseload data'!$D:$D,"TPO",'caseload data'!$B:$B,{"licence","community"}))/SUM(SUMIFS('caseload data'!F:F,'caseload data'!$B:$B,{"licence","community"},'caseload data'!$C:$C,'community %'!$T$8)),"")</f>
        <v/>
      </c>
      <c r="W12" s="209" t="str">
        <f>IFERROR(SUM(SUMIFS('caseload data'!G:G,'caseload data'!$C:$C,'community %'!$T$8,'caseload data'!$D:$D,"TPO",'caseload data'!$B:$B,{"licence","community"}))/SUM(SUMIFS('caseload data'!G:G,'caseload data'!$B:$B,{"licence","community"},'caseload data'!$C:$C,'community %'!$T$8)),"")</f>
        <v/>
      </c>
      <c r="X12" s="209" t="str">
        <f>IFERROR(SUM(SUMIFS('caseload data'!H:H,'caseload data'!$C:$C,'community %'!$T$8,'caseload data'!$D:$D,"TPO",'caseload data'!$B:$B,{"licence","community"}))/SUM(SUMIFS('caseload data'!H:H,'caseload data'!$B:$B,{"licence","community"},'caseload data'!$C:$C,'community %'!$T$8)),"")</f>
        <v/>
      </c>
      <c r="Y12" s="209" t="str">
        <f>IFERROR(SUM(SUMIFS('caseload data'!I:I,'caseload data'!$C:$C,'community %'!$T$8,'caseload data'!$D:$D,"TPO",'caseload data'!$B:$B,{"licence","community"}))/SUM(SUMIFS('caseload data'!I:I,'caseload data'!$B:$B,{"licence","community"},'caseload data'!$C:$C,'community %'!$T$8)),"")</f>
        <v/>
      </c>
      <c r="Z12" s="209" t="str">
        <f>IFERROR(SUM(SUMIFS('caseload data'!J:J,'caseload data'!$C:$C,'community %'!$T$8,'caseload data'!$D:$D,"TPO",'caseload data'!$B:$B,{"licence","community"}))/SUM(SUMIFS('caseload data'!J:J,'caseload data'!$B:$B,{"licence","community"},'caseload data'!$C:$C,'community %'!$T$8)),"")</f>
        <v/>
      </c>
      <c r="AA12" s="209" t="str">
        <f>IFERROR(SUM(SUMIFS('caseload data'!K:K,'caseload data'!$C:$C,'community %'!$T$8,'caseload data'!$D:$D,"TPO",'caseload data'!$B:$B,{"licence","community"}))/SUM(SUMIFS('caseload data'!K:K,'caseload data'!$B:$B,{"licence","community"},'caseload data'!$C:$C,'community %'!$T$8)),"")</f>
        <v/>
      </c>
      <c r="AB12" s="209" t="str">
        <f>IFERROR(SUM(SUMIFS('caseload data'!L:L,'caseload data'!$C:$C,'community %'!$T$8,'caseload data'!$D:$D,"TPO",'caseload data'!$B:$B,{"licence","community"}))/SUM(SUMIFS('caseload data'!L:L,'caseload data'!$B:$B,{"licence","community"},'caseload data'!$C:$C,'community %'!$T$8)),"")</f>
        <v/>
      </c>
      <c r="AC12" s="209" t="str">
        <f>IFERROR(SUM(SUMIFS('caseload data'!M:M,'caseload data'!$C:$C,'community %'!$T$8,'caseload data'!$D:$D,"TPO",'caseload data'!$B:$B,{"licence","community"}))/SUM(SUMIFS('caseload data'!M:M,'caseload data'!$B:$B,{"licence","community"},'caseload data'!$C:$C,'community %'!$T$8)),"")</f>
        <v/>
      </c>
      <c r="AD12" s="209" t="str">
        <f>IFERROR(SUM(SUMIFS('caseload data'!N:N,'caseload data'!$C:$C,'community %'!$T$8,'caseload data'!$D:$D,"TPO",'caseload data'!$B:$B,{"licence","community"}))/SUM(SUMIFS('caseload data'!N:N,'caseload data'!$B:$B,{"licence","community"},'caseload data'!$C:$C,'community %'!$T$8)),"")</f>
        <v/>
      </c>
      <c r="AE12" s="209" t="str">
        <f>IFERROR(SUM(SUMIFS('caseload data'!O:O,'caseload data'!$C:$C,'community %'!$T$8,'caseload data'!$D:$D,"TPO",'caseload data'!$B:$B,{"licence","community"}))/SUM(SUMIFS('caseload data'!O:O,'caseload data'!$B:$B,{"licence","community"},'caseload data'!$C:$C,'community %'!$T$8)),"")</f>
        <v/>
      </c>
      <c r="AF12" s="209" t="str">
        <f>IFERROR(SUM(SUMIFS('caseload data'!P:P,'caseload data'!$C:$C,'community %'!$T$8,'caseload data'!$D:$D,"TPO",'caseload data'!$B:$B,{"licence","community"}))/SUM(SUMIFS('caseload data'!P:P,'caseload data'!$B:$B,{"licence","community"},'caseload data'!$C:$C,'community %'!$T$8)),"")</f>
        <v/>
      </c>
      <c r="AG12" s="209" t="str">
        <f>IFERROR(SUM(SUMIFS('caseload data'!Q:Q,'caseload data'!$C:$C,'community %'!$T$8,'caseload data'!$D:$D,"TPO",'caseload data'!$B:$B,{"licence","community"}))/SUM(SUMIFS('caseload data'!Q:Q,'caseload data'!$B:$B,{"licence","community"},'caseload data'!$C:$C,'community %'!$T$8)),"")</f>
        <v/>
      </c>
      <c r="AH12" s="209" t="str">
        <f>IFERROR(SUM(SUMIFS('caseload data'!R:R,'caseload data'!$C:$C,'community %'!$T$8,'caseload data'!$D:$D,"TPO",'caseload data'!$B:$B,{"licence","community"}))/SUM(SUMIFS('caseload data'!R:R,'caseload data'!$B:$B,{"licence","community"},'caseload data'!$C:$C,'community %'!$T$8)),"")</f>
        <v/>
      </c>
      <c r="AI12" s="209" t="str">
        <f>IFERROR(SUM(SUMIFS('caseload data'!S:S,'caseload data'!$C:$C,'community %'!$T$8,'caseload data'!$D:$D,"TPO",'caseload data'!$B:$B,{"licence","community"}))/SUM(SUMIFS('caseload data'!S:S,'caseload data'!$B:$B,{"licence","community"},'caseload data'!$C:$C,'community %'!$T$8)),"")</f>
        <v/>
      </c>
      <c r="AJ12" s="209" t="str">
        <f>IFERROR(SUM(SUMIFS('caseload data'!T:T,'caseload data'!$C:$C,'community %'!$T$8,'caseload data'!$D:$D,"TPO",'caseload data'!$B:$B,{"licence","community"}))/SUM(SUMIFS('caseload data'!T:T,'caseload data'!$B:$B,{"licence","community"},'caseload data'!$C:$C,'community %'!$T$8)),"")</f>
        <v/>
      </c>
    </row>
    <row r="13" spans="1:50" x14ac:dyDescent="0.15">
      <c r="B13" s="131" t="s">
        <v>187</v>
      </c>
      <c r="C13" s="209" t="str">
        <f>IFERROR(SUM(SUMIFS('caseload data'!E:E,'caseload data'!$C:$C,'community %'!$B$8,'caseload data'!$D:$D,"SPO",'caseload data'!$B:$B,{"licence","community"}))/SUM(SUMIFS('caseload data'!E:E,'caseload data'!$B:$B,{"licence","community"},'caseload data'!$C:$C,'community %'!$B$8)),"")</f>
        <v/>
      </c>
      <c r="D13" s="209" t="str">
        <f>IFERROR(SUM(SUMIFS('caseload data'!F:F,'caseload data'!$C:$C,'community %'!$B$8,'caseload data'!$D:$D,"SPO",'caseload data'!$B:$B,{"licence","community"}))/SUM(SUMIFS('caseload data'!F:F,'caseload data'!$B:$B,{"licence","community"},'caseload data'!$C:$C,'community %'!$B$8)),"")</f>
        <v/>
      </c>
      <c r="E13" s="209" t="str">
        <f>IFERROR(SUM(SUMIFS('caseload data'!G:G,'caseload data'!$C:$C,'community %'!$B$8,'caseload data'!$D:$D,"SPO",'caseload data'!$B:$B,{"licence","community"}))/SUM(SUMIFS('caseload data'!G:G,'caseload data'!$B:$B,{"licence","community"},'caseload data'!$C:$C,'community %'!$B$8)),"")</f>
        <v/>
      </c>
      <c r="F13" s="209" t="str">
        <f>IFERROR(SUM(SUMIFS('caseload data'!H:H,'caseload data'!$C:$C,'community %'!$B$8,'caseload data'!$D:$D,"SPO",'caseload data'!$B:$B,{"licence","community"}))/SUM(SUMIFS('caseload data'!H:H,'caseload data'!$B:$B,{"licence","community"},'caseload data'!$C:$C,'community %'!$B$8)),"")</f>
        <v/>
      </c>
      <c r="G13" s="209" t="str">
        <f>IFERROR(SUM(SUMIFS('caseload data'!I:I,'caseload data'!$C:$C,'community %'!$B$8,'caseload data'!$D:$D,"SPO",'caseload data'!$B:$B,{"licence","community"}))/SUM(SUMIFS('caseload data'!I:I,'caseload data'!$B:$B,{"licence","community"},'caseload data'!$C:$C,'community %'!$B$8)),"")</f>
        <v/>
      </c>
      <c r="H13" s="209" t="str">
        <f>IFERROR(SUM(SUMIFS('caseload data'!J:J,'caseload data'!$C:$C,'community %'!$B$8,'caseload data'!$D:$D,"SPO",'caseload data'!$B:$B,{"licence","community"}))/SUM(SUMIFS('caseload data'!J:J,'caseload data'!$B:$B,{"licence","community"},'caseload data'!$C:$C,'community %'!$B$8)),"")</f>
        <v/>
      </c>
      <c r="I13" s="209" t="str">
        <f>IFERROR(SUM(SUMIFS('caseload data'!K:K,'caseload data'!$C:$C,'community %'!$B$8,'caseload data'!$D:$D,"SPO",'caseload data'!$B:$B,{"licence","community"}))/SUM(SUMIFS('caseload data'!K:K,'caseload data'!$B:$B,{"licence","community"},'caseload data'!$C:$C,'community %'!$B$8)),"")</f>
        <v/>
      </c>
      <c r="J13" s="209" t="str">
        <f>IFERROR(SUM(SUMIFS('caseload data'!L:L,'caseload data'!$C:$C,'community %'!$B$8,'caseload data'!$D:$D,"SPO",'caseload data'!$B:$B,{"licence","community"}))/SUM(SUMIFS('caseload data'!L:L,'caseload data'!$B:$B,{"licence","community"},'caseload data'!$C:$C,'community %'!$B$8)),"")</f>
        <v/>
      </c>
      <c r="K13" s="209" t="str">
        <f>IFERROR(SUM(SUMIFS('caseload data'!M:M,'caseload data'!$C:$C,'community %'!$B$8,'caseload data'!$D:$D,"SPO",'caseload data'!$B:$B,{"licence","community"}))/SUM(SUMIFS('caseload data'!M:M,'caseload data'!$B:$B,{"licence","community"},'caseload data'!$C:$C,'community %'!$B$8)),"")</f>
        <v/>
      </c>
      <c r="L13" s="209" t="str">
        <f>IFERROR(SUM(SUMIFS('caseload data'!N:N,'caseload data'!$C:$C,'community %'!$B$8,'caseload data'!$D:$D,"SPO",'caseload data'!$B:$B,{"licence","community"}))/SUM(SUMIFS('caseload data'!N:N,'caseload data'!$B:$B,{"licence","community"},'caseload data'!$C:$C,'community %'!$B$8)),"")</f>
        <v/>
      </c>
      <c r="M13" s="209" t="str">
        <f>IFERROR(SUM(SUMIFS('caseload data'!O:O,'caseload data'!$C:$C,'community %'!$B$8,'caseload data'!$D:$D,"SPO",'caseload data'!$B:$B,{"licence","community"}))/SUM(SUMIFS('caseload data'!O:O,'caseload data'!$B:$B,{"licence","community"},'caseload data'!$C:$C,'community %'!$B$8)),"")</f>
        <v/>
      </c>
      <c r="N13" s="209" t="str">
        <f>IFERROR(SUM(SUMIFS('caseload data'!P:P,'caseload data'!$C:$C,'community %'!$B$8,'caseload data'!$D:$D,"SPO",'caseload data'!$B:$B,{"licence","community"}))/SUM(SUMIFS('caseload data'!P:P,'caseload data'!$B:$B,{"licence","community"},'caseload data'!$C:$C,'community %'!$B$8)),"")</f>
        <v/>
      </c>
      <c r="O13" s="209" t="str">
        <f>IFERROR(SUM(SUMIFS('caseload data'!Q:Q,'caseload data'!$C:$C,'community %'!$B$8,'caseload data'!$D:$D,"SPO",'caseload data'!$B:$B,{"licence","community"}))/SUM(SUMIFS('caseload data'!Q:Q,'caseload data'!$B:$B,{"licence","community"},'caseload data'!$C:$C,'community %'!$B$8)),"")</f>
        <v/>
      </c>
      <c r="P13" s="209" t="str">
        <f>IFERROR(SUM(SUMIFS('caseload data'!R:R,'caseload data'!$C:$C,'community %'!$B$8,'caseload data'!$D:$D,"SPO",'caseload data'!$B:$B,{"licence","community"}))/SUM(SUMIFS('caseload data'!R:R,'caseload data'!$B:$B,{"licence","community"},'caseload data'!$C:$C,'community %'!$B$8)),"")</f>
        <v/>
      </c>
      <c r="Q13" s="209" t="str">
        <f>IFERROR(SUM(SUMIFS('caseload data'!S:S,'caseload data'!$C:$C,'community %'!$B$8,'caseload data'!$D:$D,"SPO",'caseload data'!$B:$B,{"licence","community"}))/SUM(SUMIFS('caseload data'!S:S,'caseload data'!$B:$B,{"licence","community"},'caseload data'!$C:$C,'community %'!$B$8)),"")</f>
        <v/>
      </c>
      <c r="R13" s="209" t="str">
        <f>IFERROR(SUM(SUMIFS('caseload data'!T:T,'caseload data'!$C:$C,'community %'!$B$8,'caseload data'!$D:$D,"SPO",'caseload data'!$B:$B,{"licence","community"}))/SUM(SUMIFS('caseload data'!T:T,'caseload data'!$B:$B,{"licence","community"},'caseload data'!$C:$C,'community %'!$B$8)),"")</f>
        <v/>
      </c>
      <c r="S13" s="95"/>
      <c r="T13" s="131" t="s">
        <v>187</v>
      </c>
      <c r="U13" s="209" t="str">
        <f>IFERROR(SUM(SUMIFS('caseload data'!E:E,'caseload data'!$C:$C,'community %'!$T$8,'caseload data'!$D:$D,"SPO",'caseload data'!$B:$B,{"licence","community"}))/SUM(SUMIFS('caseload data'!E:E,'caseload data'!$B:$B,{"licence","community"},'caseload data'!$C:$C,'community %'!$T$8)),"")</f>
        <v/>
      </c>
      <c r="V13" s="209" t="str">
        <f>IFERROR(SUM(SUMIFS('caseload data'!F:F,'caseload data'!$C:$C,'community %'!$T$8,'caseload data'!$D:$D,"SPO",'caseload data'!$B:$B,{"licence","community"}))/SUM(SUMIFS('caseload data'!F:F,'caseload data'!$B:$B,{"licence","community"},'caseload data'!$C:$C,'community %'!$T$8)),"")</f>
        <v/>
      </c>
      <c r="W13" s="209" t="str">
        <f>IFERROR(SUM(SUMIFS('caseload data'!G:G,'caseload data'!$C:$C,'community %'!$T$8,'caseload data'!$D:$D,"SPO",'caseload data'!$B:$B,{"licence","community"}))/SUM(SUMIFS('caseload data'!G:G,'caseload data'!$B:$B,{"licence","community"},'caseload data'!$C:$C,'community %'!$T$8)),"")</f>
        <v/>
      </c>
      <c r="X13" s="209" t="str">
        <f>IFERROR(SUM(SUMIFS('caseload data'!H:H,'caseload data'!$C:$C,'community %'!$T$8,'caseload data'!$D:$D,"SPO",'caseload data'!$B:$B,{"licence","community"}))/SUM(SUMIFS('caseload data'!H:H,'caseload data'!$B:$B,{"licence","community"},'caseload data'!$C:$C,'community %'!$T$8)),"")</f>
        <v/>
      </c>
      <c r="Y13" s="209" t="str">
        <f>IFERROR(SUM(SUMIFS('caseload data'!I:I,'caseload data'!$C:$C,'community %'!$T$8,'caseload data'!$D:$D,"SPO",'caseload data'!$B:$B,{"licence","community"}))/SUM(SUMIFS('caseload data'!I:I,'caseload data'!$B:$B,{"licence","community"},'caseload data'!$C:$C,'community %'!$T$8)),"")</f>
        <v/>
      </c>
      <c r="Z13" s="209" t="str">
        <f>IFERROR(SUM(SUMIFS('caseload data'!J:J,'caseload data'!$C:$C,'community %'!$T$8,'caseload data'!$D:$D,"SPO",'caseload data'!$B:$B,{"licence","community"}))/SUM(SUMIFS('caseload data'!J:J,'caseload data'!$B:$B,{"licence","community"},'caseload data'!$C:$C,'community %'!$T$8)),"")</f>
        <v/>
      </c>
      <c r="AA13" s="209" t="str">
        <f>IFERROR(SUM(SUMIFS('caseload data'!K:K,'caseload data'!$C:$C,'community %'!$T$8,'caseload data'!$D:$D,"SPO",'caseload data'!$B:$B,{"licence","community"}))/SUM(SUMIFS('caseload data'!K:K,'caseload data'!$B:$B,{"licence","community"},'caseload data'!$C:$C,'community %'!$T$8)),"")</f>
        <v/>
      </c>
      <c r="AB13" s="209" t="str">
        <f>IFERROR(SUM(SUMIFS('caseload data'!L:L,'caseload data'!$C:$C,'community %'!$T$8,'caseload data'!$D:$D,"SPO",'caseload data'!$B:$B,{"licence","community"}))/SUM(SUMIFS('caseload data'!L:L,'caseload data'!$B:$B,{"licence","community"},'caseload data'!$C:$C,'community %'!$T$8)),"")</f>
        <v/>
      </c>
      <c r="AC13" s="209" t="str">
        <f>IFERROR(SUM(SUMIFS('caseload data'!M:M,'caseload data'!$C:$C,'community %'!$T$8,'caseload data'!$D:$D,"SPO",'caseload data'!$B:$B,{"licence","community"}))/SUM(SUMIFS('caseload data'!M:M,'caseload data'!$B:$B,{"licence","community"},'caseload data'!$C:$C,'community %'!$T$8)),"")</f>
        <v/>
      </c>
      <c r="AD13" s="209" t="str">
        <f>IFERROR(SUM(SUMIFS('caseload data'!N:N,'caseload data'!$C:$C,'community %'!$T$8,'caseload data'!$D:$D,"SPO",'caseload data'!$B:$B,{"licence","community"}))/SUM(SUMIFS('caseload data'!N:N,'caseload data'!$B:$B,{"licence","community"},'caseload data'!$C:$C,'community %'!$T$8)),"")</f>
        <v/>
      </c>
      <c r="AE13" s="209" t="str">
        <f>IFERROR(SUM(SUMIFS('caseload data'!O:O,'caseload data'!$C:$C,'community %'!$T$8,'caseload data'!$D:$D,"SPO",'caseload data'!$B:$B,{"licence","community"}))/SUM(SUMIFS('caseload data'!O:O,'caseload data'!$B:$B,{"licence","community"},'caseload data'!$C:$C,'community %'!$T$8)),"")</f>
        <v/>
      </c>
      <c r="AF13" s="209" t="str">
        <f>IFERROR(SUM(SUMIFS('caseload data'!P:P,'caseload data'!$C:$C,'community %'!$T$8,'caseload data'!$D:$D,"SPO",'caseload data'!$B:$B,{"licence","community"}))/SUM(SUMIFS('caseload data'!P:P,'caseload data'!$B:$B,{"licence","community"},'caseload data'!$C:$C,'community %'!$T$8)),"")</f>
        <v/>
      </c>
      <c r="AG13" s="209" t="str">
        <f>IFERROR(SUM(SUMIFS('caseload data'!Q:Q,'caseload data'!$C:$C,'community %'!$T$8,'caseload data'!$D:$D,"SPO",'caseload data'!$B:$B,{"licence","community"}))/SUM(SUMIFS('caseload data'!Q:Q,'caseload data'!$B:$B,{"licence","community"},'caseload data'!$C:$C,'community %'!$T$8)),"")</f>
        <v/>
      </c>
      <c r="AH13" s="209" t="str">
        <f>IFERROR(SUM(SUMIFS('caseload data'!R:R,'caseload data'!$C:$C,'community %'!$T$8,'caseload data'!$D:$D,"SPO",'caseload data'!$B:$B,{"licence","community"}))/SUM(SUMIFS('caseload data'!R:R,'caseload data'!$B:$B,{"licence","community"},'caseload data'!$C:$C,'community %'!$T$8)),"")</f>
        <v/>
      </c>
      <c r="AI13" s="209" t="str">
        <f>IFERROR(SUM(SUMIFS('caseload data'!S:S,'caseload data'!$C:$C,'community %'!$T$8,'caseload data'!$D:$D,"SPO",'caseload data'!$B:$B,{"licence","community"}))/SUM(SUMIFS('caseload data'!S:S,'caseload data'!$B:$B,{"licence","community"},'caseload data'!$C:$C,'community %'!$T$8)),"")</f>
        <v/>
      </c>
      <c r="AJ13" s="209" t="str">
        <f>IFERROR(SUM(SUMIFS('caseload data'!T:T,'caseload data'!$C:$C,'community %'!$T$8,'caseload data'!$D:$D,"SPO",'caseload data'!$B:$B,{"licence","community"}))/SUM(SUMIFS('caseload data'!T:T,'caseload data'!$B:$B,{"licence","community"},'caseload data'!$C:$C,'community %'!$T$8)),"")</f>
        <v/>
      </c>
    </row>
    <row r="14" spans="1:50" x14ac:dyDescent="0.15">
      <c r="B14" s="183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183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</row>
    <row r="15" spans="1:50" ht="41.25" customHeight="1" x14ac:dyDescent="0.15">
      <c r="B15" s="182" t="str">
        <f>HLOOKUP($B$5,Region_Table,4,0)</f>
        <v>Barking and Dagenham and Havering</v>
      </c>
      <c r="C15" s="359" t="s">
        <v>370</v>
      </c>
      <c r="D15" s="365"/>
      <c r="E15" s="365"/>
      <c r="F15" s="365"/>
      <c r="G15" s="365"/>
      <c r="H15" s="365"/>
      <c r="I15" s="365"/>
      <c r="J15" s="365"/>
      <c r="K15" s="365"/>
      <c r="L15" s="365"/>
      <c r="M15" s="368"/>
      <c r="N15" s="368"/>
      <c r="O15" s="369"/>
      <c r="P15" s="362" cm="1">
        <f t="array" ref="P15">SUM(SUMIFS('caseload data'!V:V,'caseload data'!B:B,{"licence","community"},'caseload data'!$C:$C,B15))</f>
        <v>0</v>
      </c>
      <c r="Q15" s="370"/>
      <c r="R15" s="371"/>
      <c r="S15" s="95"/>
      <c r="T15" s="182" t="str">
        <f>HLOOKUP($B$5,Region_Table,5,0)</f>
        <v>Brent - N07</v>
      </c>
      <c r="U15" s="359" t="s">
        <v>370</v>
      </c>
      <c r="V15" s="365"/>
      <c r="W15" s="365"/>
      <c r="X15" s="365"/>
      <c r="Y15" s="365"/>
      <c r="Z15" s="365"/>
      <c r="AA15" s="365"/>
      <c r="AB15" s="365"/>
      <c r="AC15" s="365"/>
      <c r="AD15" s="365"/>
      <c r="AE15" s="368"/>
      <c r="AF15" s="368"/>
      <c r="AG15" s="369"/>
      <c r="AH15" s="362" cm="1">
        <f t="array" ref="AH15">SUM(SUMIFS('caseload data'!V:V,'caseload data'!B:B,{"licence","community"},'caseload data'!$C:$C,T15))</f>
        <v>0</v>
      </c>
      <c r="AI15" s="370"/>
      <c r="AJ15" s="371"/>
    </row>
    <row r="16" spans="1:50" x14ac:dyDescent="0.15">
      <c r="B16" s="127" t="s">
        <v>324</v>
      </c>
      <c r="C16" s="58" t="s">
        <v>504</v>
      </c>
      <c r="D16" s="58" t="s">
        <v>503</v>
      </c>
      <c r="E16" s="58" t="s">
        <v>502</v>
      </c>
      <c r="F16" s="58" t="s">
        <v>501</v>
      </c>
      <c r="G16" s="58" t="s">
        <v>510</v>
      </c>
      <c r="H16" s="58" t="s">
        <v>176</v>
      </c>
      <c r="I16" s="58" t="s">
        <v>177</v>
      </c>
      <c r="J16" s="58" t="s">
        <v>505</v>
      </c>
      <c r="K16" s="58" t="s">
        <v>507</v>
      </c>
      <c r="L16" s="58" t="s">
        <v>178</v>
      </c>
      <c r="M16" s="58" t="s">
        <v>179</v>
      </c>
      <c r="N16" s="58" t="s">
        <v>506</v>
      </c>
      <c r="O16" s="58" t="s">
        <v>508</v>
      </c>
      <c r="P16" s="58" t="s">
        <v>180</v>
      </c>
      <c r="Q16" s="58" t="s">
        <v>181</v>
      </c>
      <c r="R16" s="58" t="s">
        <v>509</v>
      </c>
      <c r="S16" s="95"/>
      <c r="T16" s="127" t="s">
        <v>324</v>
      </c>
      <c r="U16" s="58" t="s">
        <v>504</v>
      </c>
      <c r="V16" s="58" t="s">
        <v>503</v>
      </c>
      <c r="W16" s="58" t="s">
        <v>502</v>
      </c>
      <c r="X16" s="58" t="s">
        <v>501</v>
      </c>
      <c r="Y16" s="58" t="s">
        <v>510</v>
      </c>
      <c r="Z16" s="58" t="s">
        <v>176</v>
      </c>
      <c r="AA16" s="58" t="s">
        <v>177</v>
      </c>
      <c r="AB16" s="58" t="s">
        <v>505</v>
      </c>
      <c r="AC16" s="58" t="s">
        <v>507</v>
      </c>
      <c r="AD16" s="58" t="s">
        <v>178</v>
      </c>
      <c r="AE16" s="58" t="s">
        <v>179</v>
      </c>
      <c r="AF16" s="58" t="s">
        <v>506</v>
      </c>
      <c r="AG16" s="58" t="s">
        <v>508</v>
      </c>
      <c r="AH16" s="58" t="s">
        <v>180</v>
      </c>
      <c r="AI16" s="58" t="s">
        <v>181</v>
      </c>
      <c r="AJ16" s="58" t="s">
        <v>509</v>
      </c>
    </row>
    <row r="17" spans="2:36" x14ac:dyDescent="0.15">
      <c r="B17" s="129" t="s">
        <v>184</v>
      </c>
      <c r="C17" s="209" t="str">
        <f>IFERROR(SUM(SUMIFS('caseload data'!E:E,'caseload data'!$C:$C,'community %'!$B$15,'caseload data'!$D:$D,"PO",'caseload data'!$B:$B,{"licence","community"}))/SUM(SUMIFS('caseload data'!E:E,'caseload data'!$B:$B,{"licence","community"},'caseload data'!$C:$C,'community %'!$B$15)),"")</f>
        <v/>
      </c>
      <c r="D17" s="209" t="str">
        <f>IFERROR(SUM(SUMIFS('caseload data'!F:F,'caseload data'!$C:$C,'community %'!$B$15,'caseload data'!$D:$D,"PO",'caseload data'!$B:$B,{"licence","community"}))/SUM(SUMIFS('caseload data'!F:F,'caseload data'!$B:$B,{"licence","community"},'caseload data'!$C:$C,'community %'!$B$15)),"")</f>
        <v/>
      </c>
      <c r="E17" s="209" t="str">
        <f>IFERROR(SUM(SUMIFS('caseload data'!G:G,'caseload data'!$C:$C,'community %'!$B$15,'caseload data'!$D:$D,"PO",'caseload data'!$B:$B,{"licence","community"}))/SUM(SUMIFS('caseload data'!G:G,'caseload data'!$B:$B,{"licence","community"},'caseload data'!$C:$C,'community %'!$B$15)),"")</f>
        <v/>
      </c>
      <c r="F17" s="209" t="str">
        <f>IFERROR(SUM(SUMIFS('caseload data'!H:H,'caseload data'!$C:$C,'community %'!$B$15,'caseload data'!$D:$D,"PO",'caseload data'!$B:$B,{"licence","community"}))/SUM(SUMIFS('caseload data'!H:H,'caseload data'!$B:$B,{"licence","community"},'caseload data'!$C:$C,'community %'!$B$15)),"")</f>
        <v/>
      </c>
      <c r="G17" s="209" t="str">
        <f>IFERROR(SUM(SUMIFS('caseload data'!I:I,'caseload data'!$C:$C,'community %'!$B$15,'caseload data'!$D:$D,"PO",'caseload data'!$B:$B,{"licence","community"}))/SUM(SUMIFS('caseload data'!I:I,'caseload data'!$B:$B,{"licence","community"},'caseload data'!$C:$C,'community %'!$B$15)),"")</f>
        <v/>
      </c>
      <c r="H17" s="209" t="str">
        <f>IFERROR(SUM(SUMIFS('caseload data'!J:J,'caseload data'!$C:$C,'community %'!$B$15,'caseload data'!$D:$D,"PO",'caseload data'!$B:$B,{"licence","community"}))/SUM(SUMIFS('caseload data'!J:J,'caseload data'!$B:$B,{"licence","community"},'caseload data'!$C:$C,'community %'!$B$15)),"")</f>
        <v/>
      </c>
      <c r="I17" s="209" t="str">
        <f>IFERROR(SUM(SUMIFS('caseload data'!K:K,'caseload data'!$C:$C,'community %'!$B$15,'caseload data'!$D:$D,"PO",'caseload data'!$B:$B,{"licence","community"}))/SUM(SUMIFS('caseload data'!K:K,'caseload data'!$B:$B,{"licence","community"},'caseload data'!$C:$C,'community %'!$B$15)),"")</f>
        <v/>
      </c>
      <c r="J17" s="209" t="str">
        <f>IFERROR(SUM(SUMIFS('caseload data'!L:L,'caseload data'!$C:$C,'community %'!$B$15,'caseload data'!$D:$D,"PO",'caseload data'!$B:$B,{"licence","community"}))/SUM(SUMIFS('caseload data'!L:L,'caseload data'!$B:$B,{"licence","community"},'caseload data'!$C:$C,'community %'!$B$15)),"")</f>
        <v/>
      </c>
      <c r="K17" s="209" t="str">
        <f>IFERROR(SUM(SUMIFS('caseload data'!M:M,'caseload data'!$C:$C,'community %'!$B$15,'caseload data'!$D:$D,"PO",'caseload data'!$B:$B,{"licence","community"}))/SUM(SUMIFS('caseload data'!M:M,'caseload data'!$B:$B,{"licence","community"},'caseload data'!$C:$C,'community %'!$B$15)),"")</f>
        <v/>
      </c>
      <c r="L17" s="209" t="str">
        <f>IFERROR(SUM(SUMIFS('caseload data'!N:N,'caseload data'!$C:$C,'community %'!$B$15,'caseload data'!$D:$D,"PO",'caseload data'!$B:$B,{"licence","community"}))/SUM(SUMIFS('caseload data'!N:N,'caseload data'!$B:$B,{"licence","community"},'caseload data'!$C:$C,'community %'!$B$15)),"")</f>
        <v/>
      </c>
      <c r="M17" s="209" t="str">
        <f>IFERROR(SUM(SUMIFS('caseload data'!O:O,'caseload data'!$C:$C,'community %'!$B$15,'caseload data'!$D:$D,"PO",'caseload data'!$B:$B,{"licence","community"}))/SUM(SUMIFS('caseload data'!O:O,'caseload data'!$B:$B,{"licence","community"},'caseload data'!$C:$C,'community %'!$B$15)),"")</f>
        <v/>
      </c>
      <c r="N17" s="209" t="str">
        <f>IFERROR(SUM(SUMIFS('caseload data'!P:P,'caseload data'!$C:$C,'community %'!$B$15,'caseload data'!$D:$D,"PO",'caseload data'!$B:$B,{"licence","community"}))/SUM(SUMIFS('caseload data'!P:P,'caseload data'!$B:$B,{"licence","community"},'caseload data'!$C:$C,'community %'!$B$15)),"")</f>
        <v/>
      </c>
      <c r="O17" s="209" t="str">
        <f>IFERROR(SUM(SUMIFS('caseload data'!Q:Q,'caseload data'!$C:$C,'community %'!$B$15,'caseload data'!$D:$D,"PO",'caseload data'!$B:$B,{"licence","community"}))/SUM(SUMIFS('caseload data'!Q:Q,'caseload data'!$B:$B,{"licence","community"},'caseload data'!$C:$C,'community %'!$B$15)),"")</f>
        <v/>
      </c>
      <c r="P17" s="209" t="str">
        <f>IFERROR(SUM(SUMIFS('caseload data'!R:R,'caseload data'!$C:$C,'community %'!$B$15,'caseload data'!$D:$D,"PO",'caseload data'!$B:$B,{"licence","community"}))/SUM(SUMIFS('caseload data'!R:R,'caseload data'!$B:$B,{"licence","community"},'caseload data'!$C:$C,'community %'!$B$15)),"")</f>
        <v/>
      </c>
      <c r="Q17" s="209" t="str">
        <f>IFERROR(SUM(SUMIFS('caseload data'!S:S,'caseload data'!$C:$C,'community %'!$B$15,'caseload data'!$D:$D,"PO",'caseload data'!$B:$B,{"licence","community"}))/SUM(SUMIFS('caseload data'!S:S,'caseload data'!$B:$B,{"licence","community"},'caseload data'!$C:$C,'community %'!$B$15)),"")</f>
        <v/>
      </c>
      <c r="R17" s="209" t="str">
        <f>IFERROR(SUM(SUMIFS('caseload data'!T:T,'caseload data'!$C:$C,'community %'!$B$15,'caseload data'!$D:$D,"PO",'caseload data'!$B:$B,{"licence","community"}))/SUM(SUMIFS('caseload data'!T:T,'caseload data'!$B:$B,{"licence","community"},'caseload data'!$C:$C,'community %'!$B$15)),"")</f>
        <v/>
      </c>
      <c r="S17" s="95"/>
      <c r="T17" s="129" t="s">
        <v>184</v>
      </c>
      <c r="U17" s="209" t="str">
        <f>IFERROR(SUM(SUMIFS('caseload data'!E:E,'caseload data'!$C:$C,'community %'!$T$15,'caseload data'!$D:$D,"PO",'caseload data'!$B:$B,{"licence","community"}))/SUM(SUMIFS('caseload data'!E:E,'caseload data'!$B:$B,{"licence","community"},'caseload data'!$C:$C,'community %'!$T$15)),"")</f>
        <v/>
      </c>
      <c r="V17" s="209" t="str">
        <f>IFERROR(SUM(SUMIFS('caseload data'!F:F,'caseload data'!$C:$C,'community %'!$T$15,'caseload data'!$D:$D,"PO",'caseload data'!$B:$B,{"licence","community"}))/SUM(SUMIFS('caseload data'!F:F,'caseload data'!$B:$B,{"licence","community"},'caseload data'!$C:$C,'community %'!$T$15)),"")</f>
        <v/>
      </c>
      <c r="W17" s="209" t="str">
        <f>IFERROR(SUM(SUMIFS('caseload data'!G:G,'caseload data'!$C:$C,'community %'!$T$15,'caseload data'!$D:$D,"PO",'caseload data'!$B:$B,{"licence","community"}))/SUM(SUMIFS('caseload data'!G:G,'caseload data'!$B:$B,{"licence","community"},'caseload data'!$C:$C,'community %'!$T$15)),"")</f>
        <v/>
      </c>
      <c r="X17" s="209" t="str">
        <f>IFERROR(SUM(SUMIFS('caseload data'!H:H,'caseload data'!$C:$C,'community %'!$T$15,'caseload data'!$D:$D,"PO",'caseload data'!$B:$B,{"licence","community"}))/SUM(SUMIFS('caseload data'!H:H,'caseload data'!$B:$B,{"licence","community"},'caseload data'!$C:$C,'community %'!$T$15)),"")</f>
        <v/>
      </c>
      <c r="Y17" s="209" t="str">
        <f>IFERROR(SUM(SUMIFS('caseload data'!I:I,'caseload data'!$C:$C,'community %'!$T$15,'caseload data'!$D:$D,"PO",'caseload data'!$B:$B,{"licence","community"}))/SUM(SUMIFS('caseload data'!I:I,'caseload data'!$B:$B,{"licence","community"},'caseload data'!$C:$C,'community %'!$T$15)),"")</f>
        <v/>
      </c>
      <c r="Z17" s="209" t="str">
        <f>IFERROR(SUM(SUMIFS('caseload data'!J:J,'caseload data'!$C:$C,'community %'!$T$15,'caseload data'!$D:$D,"PO",'caseload data'!$B:$B,{"licence","community"}))/SUM(SUMIFS('caseload data'!J:J,'caseload data'!$B:$B,{"licence","community"},'caseload data'!$C:$C,'community %'!$T$15)),"")</f>
        <v/>
      </c>
      <c r="AA17" s="209" t="str">
        <f>IFERROR(SUM(SUMIFS('caseload data'!K:K,'caseload data'!$C:$C,'community %'!$T$15,'caseload data'!$D:$D,"PO",'caseload data'!$B:$B,{"licence","community"}))/SUM(SUMIFS('caseload data'!K:K,'caseload data'!$B:$B,{"licence","community"},'caseload data'!$C:$C,'community %'!$T$15)),"")</f>
        <v/>
      </c>
      <c r="AB17" s="209" t="str">
        <f>IFERROR(SUM(SUMIFS('caseload data'!L:L,'caseload data'!$C:$C,'community %'!$T$15,'caseload data'!$D:$D,"PO",'caseload data'!$B:$B,{"licence","community"}))/SUM(SUMIFS('caseload data'!L:L,'caseload data'!$B:$B,{"licence","community"},'caseload data'!$C:$C,'community %'!$T$15)),"")</f>
        <v/>
      </c>
      <c r="AC17" s="209" t="str">
        <f>IFERROR(SUM(SUMIFS('caseload data'!M:M,'caseload data'!$C:$C,'community %'!$T$15,'caseload data'!$D:$D,"PO",'caseload data'!$B:$B,{"licence","community"}))/SUM(SUMIFS('caseload data'!M:M,'caseload data'!$B:$B,{"licence","community"},'caseload data'!$C:$C,'community %'!$T$15)),"")</f>
        <v/>
      </c>
      <c r="AD17" s="209" t="str">
        <f>IFERROR(SUM(SUMIFS('caseload data'!N:N,'caseload data'!$C:$C,'community %'!$T$15,'caseload data'!$D:$D,"PO",'caseload data'!$B:$B,{"licence","community"}))/SUM(SUMIFS('caseload data'!N:N,'caseload data'!$B:$B,{"licence","community"},'caseload data'!$C:$C,'community %'!$T$15)),"")</f>
        <v/>
      </c>
      <c r="AE17" s="209" t="str">
        <f>IFERROR(SUM(SUMIFS('caseload data'!O:O,'caseload data'!$C:$C,'community %'!$T$15,'caseload data'!$D:$D,"PO",'caseload data'!$B:$B,{"licence","community"}))/SUM(SUMIFS('caseload data'!O:O,'caseload data'!$B:$B,{"licence","community"},'caseload data'!$C:$C,'community %'!$T$15)),"")</f>
        <v/>
      </c>
      <c r="AF17" s="209" t="str">
        <f>IFERROR(SUM(SUMIFS('caseload data'!P:P,'caseload data'!$C:$C,'community %'!$T$15,'caseload data'!$D:$D,"PO",'caseload data'!$B:$B,{"licence","community"}))/SUM(SUMIFS('caseload data'!P:P,'caseload data'!$B:$B,{"licence","community"},'caseload data'!$C:$C,'community %'!$T$15)),"")</f>
        <v/>
      </c>
      <c r="AG17" s="209" t="str">
        <f>IFERROR(SUM(SUMIFS('caseload data'!Q:Q,'caseload data'!$C:$C,'community %'!$T$15,'caseload data'!$D:$D,"PO",'caseload data'!$B:$B,{"licence","community"}))/SUM(SUMIFS('caseload data'!Q:Q,'caseload data'!$B:$B,{"licence","community"},'caseload data'!$C:$C,'community %'!$T$15)),"")</f>
        <v/>
      </c>
      <c r="AH17" s="209" t="str">
        <f>IFERROR(SUM(SUMIFS('caseload data'!R:R,'caseload data'!$C:$C,'community %'!$T$15,'caseload data'!$D:$D,"PO",'caseload data'!$B:$B,{"licence","community"}))/SUM(SUMIFS('caseload data'!R:R,'caseload data'!$B:$B,{"licence","community"},'caseload data'!$C:$C,'community %'!$T$15)),"")</f>
        <v/>
      </c>
      <c r="AI17" s="209" t="str">
        <f>IFERROR(SUM(SUMIFS('caseload data'!S:S,'caseload data'!$C:$C,'community %'!$T$15,'caseload data'!$D:$D,"PO",'caseload data'!$B:$B,{"licence","community"}))/SUM(SUMIFS('caseload data'!S:S,'caseload data'!$B:$B,{"licence","community"},'caseload data'!$C:$C,'community %'!$T$15)),"")</f>
        <v/>
      </c>
      <c r="AJ17" s="209" t="str">
        <f>IFERROR(SUM(SUMIFS('caseload data'!T:T,'caseload data'!$C:$C,'community %'!$T$15,'caseload data'!$D:$D,"PO",'caseload data'!$B:$B,{"licence","community"}))/SUM(SUMIFS('caseload data'!T:T,'caseload data'!$B:$B,{"licence","community"},'caseload data'!$C:$C,'community %'!$T$15)),"")</f>
        <v/>
      </c>
    </row>
    <row r="18" spans="2:36" x14ac:dyDescent="0.15">
      <c r="B18" s="130" t="s">
        <v>185</v>
      </c>
      <c r="C18" s="209" t="str">
        <f>IFERROR(SUM(SUMIFS('caseload data'!E:E,'caseload data'!$C:$C,'community %'!$B$15,'caseload data'!$D:$D,"PSO",'caseload data'!$B:$B,{"licence","community"}))/SUM(SUMIFS('caseload data'!E:E,'caseload data'!$B:$B,{"licence","community"},'caseload data'!$C:$C,'community %'!$B$15)),"")</f>
        <v/>
      </c>
      <c r="D18" s="209" t="str">
        <f>IFERROR(SUM(SUMIFS('caseload data'!F:F,'caseload data'!$C:$C,'community %'!$B$15,'caseload data'!$D:$D,"PSO",'caseload data'!$B:$B,{"licence","community"}))/SUM(SUMIFS('caseload data'!F:F,'caseload data'!$B:$B,{"licence","community"},'caseload data'!$C:$C,'community %'!$B$15)),"")</f>
        <v/>
      </c>
      <c r="E18" s="209" t="str">
        <f>IFERROR(SUM(SUMIFS('caseload data'!G:G,'caseload data'!$C:$C,'community %'!$B$15,'caseload data'!$D:$D,"PSO",'caseload data'!$B:$B,{"licence","community"}))/SUM(SUMIFS('caseload data'!G:G,'caseload data'!$B:$B,{"licence","community"},'caseload data'!$C:$C,'community %'!$B$15)),"")</f>
        <v/>
      </c>
      <c r="F18" s="209" t="str">
        <f>IFERROR(SUM(SUMIFS('caseload data'!H:H,'caseload data'!$C:$C,'community %'!$B$15,'caseload data'!$D:$D,"PSO",'caseload data'!$B:$B,{"licence","community"}))/SUM(SUMIFS('caseload data'!H:H,'caseload data'!$B:$B,{"licence","community"},'caseload data'!$C:$C,'community %'!$B$15)),"")</f>
        <v/>
      </c>
      <c r="G18" s="209" t="str">
        <f>IFERROR(SUM(SUMIFS('caseload data'!I:I,'caseload data'!$C:$C,'community %'!$B$15,'caseload data'!$D:$D,"PSO",'caseload data'!$B:$B,{"licence","community"}))/SUM(SUMIFS('caseload data'!I:I,'caseload data'!$B:$B,{"licence","community"},'caseload data'!$C:$C,'community %'!$B$15)),"")</f>
        <v/>
      </c>
      <c r="H18" s="209" t="str">
        <f>IFERROR(SUM(SUMIFS('caseload data'!J:J,'caseload data'!$C:$C,'community %'!$B$15,'caseload data'!$D:$D,"PSO",'caseload data'!$B:$B,{"licence","community"}))/SUM(SUMIFS('caseload data'!J:J,'caseload data'!$B:$B,{"licence","community"},'caseload data'!$C:$C,'community %'!$B$15)),"")</f>
        <v/>
      </c>
      <c r="I18" s="209" t="str">
        <f>IFERROR(SUM(SUMIFS('caseload data'!K:K,'caseload data'!$C:$C,'community %'!$B$15,'caseload data'!$D:$D,"PSO",'caseload data'!$B:$B,{"licence","community"}))/SUM(SUMIFS('caseload data'!K:K,'caseload data'!$B:$B,{"licence","community"},'caseload data'!$C:$C,'community %'!$B$15)),"")</f>
        <v/>
      </c>
      <c r="J18" s="209" t="str">
        <f>IFERROR(SUM(SUMIFS('caseload data'!L:L,'caseload data'!$C:$C,'community %'!$B$15,'caseload data'!$D:$D,"PSO",'caseload data'!$B:$B,{"licence","community"}))/SUM(SUMIFS('caseload data'!L:L,'caseload data'!$B:$B,{"licence","community"},'caseload data'!$C:$C,'community %'!$B$15)),"")</f>
        <v/>
      </c>
      <c r="K18" s="209" t="str">
        <f>IFERROR(SUM(SUMIFS('caseload data'!M:M,'caseload data'!$C:$C,'community %'!$B$15,'caseload data'!$D:$D,"PSO",'caseload data'!$B:$B,{"licence","community"}))/SUM(SUMIFS('caseload data'!M:M,'caseload data'!$B:$B,{"licence","community"},'caseload data'!$C:$C,'community %'!$B$15)),"")</f>
        <v/>
      </c>
      <c r="L18" s="209" t="str">
        <f>IFERROR(SUM(SUMIFS('caseload data'!N:N,'caseload data'!$C:$C,'community %'!$B$15,'caseload data'!$D:$D,"PSO",'caseload data'!$B:$B,{"licence","community"}))/SUM(SUMIFS('caseload data'!N:N,'caseload data'!$B:$B,{"licence","community"},'caseload data'!$C:$C,'community %'!$B$15)),"")</f>
        <v/>
      </c>
      <c r="M18" s="209" t="str">
        <f>IFERROR(SUM(SUMIFS('caseload data'!O:O,'caseload data'!$C:$C,'community %'!$B$15,'caseload data'!$D:$D,"PSO",'caseload data'!$B:$B,{"licence","community"}))/SUM(SUMIFS('caseload data'!O:O,'caseload data'!$B:$B,{"licence","community"},'caseload data'!$C:$C,'community %'!$B$15)),"")</f>
        <v/>
      </c>
      <c r="N18" s="209" t="str">
        <f>IFERROR(SUM(SUMIFS('caseload data'!P:P,'caseload data'!$C:$C,'community %'!$B$15,'caseload data'!$D:$D,"PSO",'caseload data'!$B:$B,{"licence","community"}))/SUM(SUMIFS('caseload data'!P:P,'caseload data'!$B:$B,{"licence","community"},'caseload data'!$C:$C,'community %'!$B$15)),"")</f>
        <v/>
      </c>
      <c r="O18" s="209" t="str">
        <f>IFERROR(SUM(SUMIFS('caseload data'!Q:Q,'caseload data'!$C:$C,'community %'!$B$15,'caseload data'!$D:$D,"PSO",'caseload data'!$B:$B,{"licence","community"}))/SUM(SUMIFS('caseload data'!Q:Q,'caseload data'!$B:$B,{"licence","community"},'caseload data'!$C:$C,'community %'!$B$15)),"")</f>
        <v/>
      </c>
      <c r="P18" s="209" t="str">
        <f>IFERROR(SUM(SUMIFS('caseload data'!R:R,'caseload data'!$C:$C,'community %'!$B$15,'caseload data'!$D:$D,"PSO",'caseload data'!$B:$B,{"licence","community"}))/SUM(SUMIFS('caseload data'!R:R,'caseload data'!$B:$B,{"licence","community"},'caseload data'!$C:$C,'community %'!$B$15)),"")</f>
        <v/>
      </c>
      <c r="Q18" s="209" t="str">
        <f>IFERROR(SUM(SUMIFS('caseload data'!S:S,'caseload data'!$C:$C,'community %'!$B$15,'caseload data'!$D:$D,"PSO",'caseload data'!$B:$B,{"licence","community"}))/SUM(SUMIFS('caseload data'!S:S,'caseload data'!$B:$B,{"licence","community"},'caseload data'!$C:$C,'community %'!$B$15)),"")</f>
        <v/>
      </c>
      <c r="R18" s="209" t="str">
        <f>IFERROR(SUM(SUMIFS('caseload data'!T:T,'caseload data'!$C:$C,'community %'!$B$15,'caseload data'!$D:$D,"PSO",'caseload data'!$B:$B,{"licence","community"}))/SUM(SUMIFS('caseload data'!T:T,'caseload data'!$B:$B,{"licence","community"},'caseload data'!$C:$C,'community %'!$B$15)),"")</f>
        <v/>
      </c>
      <c r="S18" s="95"/>
      <c r="T18" s="130" t="s">
        <v>185</v>
      </c>
      <c r="U18" s="209" t="str">
        <f>IFERROR(SUM(SUMIFS('caseload data'!E:E,'caseload data'!$C:$C,'community %'!$T$15,'caseload data'!$D:$D,"PSO",'caseload data'!$B:$B,{"licence","community"}))/SUM(SUMIFS('caseload data'!E:E,'caseload data'!$B:$B,{"licence","community"},'caseload data'!$C:$C,'community %'!$T$15)),"")</f>
        <v/>
      </c>
      <c r="V18" s="209" t="str">
        <f>IFERROR(SUM(SUMIFS('caseload data'!F:F,'caseload data'!$C:$C,'community %'!$T$15,'caseload data'!$D:$D,"PSO",'caseload data'!$B:$B,{"licence","community"}))/SUM(SUMIFS('caseload data'!F:F,'caseload data'!$B:$B,{"licence","community"},'caseload data'!$C:$C,'community %'!$T$15)),"")</f>
        <v/>
      </c>
      <c r="W18" s="209" t="str">
        <f>IFERROR(SUM(SUMIFS('caseload data'!G:G,'caseload data'!$C:$C,'community %'!$T$15,'caseload data'!$D:$D,"PSO",'caseload data'!$B:$B,{"licence","community"}))/SUM(SUMIFS('caseload data'!G:G,'caseload data'!$B:$B,{"licence","community"},'caseload data'!$C:$C,'community %'!$T$15)),"")</f>
        <v/>
      </c>
      <c r="X18" s="209" t="str">
        <f>IFERROR(SUM(SUMIFS('caseload data'!H:H,'caseload data'!$C:$C,'community %'!$T$15,'caseload data'!$D:$D,"PSO",'caseload data'!$B:$B,{"licence","community"}))/SUM(SUMIFS('caseload data'!H:H,'caseload data'!$B:$B,{"licence","community"},'caseload data'!$C:$C,'community %'!$T$15)),"")</f>
        <v/>
      </c>
      <c r="Y18" s="209" t="str">
        <f>IFERROR(SUM(SUMIFS('caseload data'!I:I,'caseload data'!$C:$C,'community %'!$T$15,'caseload data'!$D:$D,"PSO",'caseload data'!$B:$B,{"licence","community"}))/SUM(SUMIFS('caseload data'!I:I,'caseload data'!$B:$B,{"licence","community"},'caseload data'!$C:$C,'community %'!$T$15)),"")</f>
        <v/>
      </c>
      <c r="Z18" s="209" t="str">
        <f>IFERROR(SUM(SUMIFS('caseload data'!J:J,'caseload data'!$C:$C,'community %'!$T$15,'caseload data'!$D:$D,"PSO",'caseload data'!$B:$B,{"licence","community"}))/SUM(SUMIFS('caseload data'!J:J,'caseload data'!$B:$B,{"licence","community"},'caseload data'!$C:$C,'community %'!$T$15)),"")</f>
        <v/>
      </c>
      <c r="AA18" s="209" t="str">
        <f>IFERROR(SUM(SUMIFS('caseload data'!K:K,'caseload data'!$C:$C,'community %'!$T$15,'caseload data'!$D:$D,"PSO",'caseload data'!$B:$B,{"licence","community"}))/SUM(SUMIFS('caseload data'!K:K,'caseload data'!$B:$B,{"licence","community"},'caseload data'!$C:$C,'community %'!$T$15)),"")</f>
        <v/>
      </c>
      <c r="AB18" s="209" t="str">
        <f>IFERROR(SUM(SUMIFS('caseload data'!L:L,'caseload data'!$C:$C,'community %'!$T$15,'caseload data'!$D:$D,"PSO",'caseload data'!$B:$B,{"licence","community"}))/SUM(SUMIFS('caseload data'!L:L,'caseload data'!$B:$B,{"licence","community"},'caseload data'!$C:$C,'community %'!$T$15)),"")</f>
        <v/>
      </c>
      <c r="AC18" s="209" t="str">
        <f>IFERROR(SUM(SUMIFS('caseload data'!M:M,'caseload data'!$C:$C,'community %'!$T$15,'caseload data'!$D:$D,"PSO",'caseload data'!$B:$B,{"licence","community"}))/SUM(SUMIFS('caseload data'!M:M,'caseload data'!$B:$B,{"licence","community"},'caseload data'!$C:$C,'community %'!$T$15)),"")</f>
        <v/>
      </c>
      <c r="AD18" s="209" t="str">
        <f>IFERROR(SUM(SUMIFS('caseload data'!N:N,'caseload data'!$C:$C,'community %'!$T$15,'caseload data'!$D:$D,"PSO",'caseload data'!$B:$B,{"licence","community"}))/SUM(SUMIFS('caseload data'!N:N,'caseload data'!$B:$B,{"licence","community"},'caseload data'!$C:$C,'community %'!$T$15)),"")</f>
        <v/>
      </c>
      <c r="AE18" s="209" t="str">
        <f>IFERROR(SUM(SUMIFS('caseload data'!O:O,'caseload data'!$C:$C,'community %'!$T$15,'caseload data'!$D:$D,"PSO",'caseload data'!$B:$B,{"licence","community"}))/SUM(SUMIFS('caseload data'!O:O,'caseload data'!$B:$B,{"licence","community"},'caseload data'!$C:$C,'community %'!$T$15)),"")</f>
        <v/>
      </c>
      <c r="AF18" s="209" t="str">
        <f>IFERROR(SUM(SUMIFS('caseload data'!P:P,'caseload data'!$C:$C,'community %'!$T$15,'caseload data'!$D:$D,"PSO",'caseload data'!$B:$B,{"licence","community"}))/SUM(SUMIFS('caseload data'!P:P,'caseload data'!$B:$B,{"licence","community"},'caseload data'!$C:$C,'community %'!$T$15)),"")</f>
        <v/>
      </c>
      <c r="AG18" s="209" t="str">
        <f>IFERROR(SUM(SUMIFS('caseload data'!Q:Q,'caseload data'!$C:$C,'community %'!$T$15,'caseload data'!$D:$D,"PSO",'caseload data'!$B:$B,{"licence","community"}))/SUM(SUMIFS('caseload data'!Q:Q,'caseload data'!$B:$B,{"licence","community"},'caseload data'!$C:$C,'community %'!$T$15)),"")</f>
        <v/>
      </c>
      <c r="AH18" s="209" t="str">
        <f>IFERROR(SUM(SUMIFS('caseload data'!R:R,'caseload data'!$C:$C,'community %'!$T$15,'caseload data'!$D:$D,"PSO",'caseload data'!$B:$B,{"licence","community"}))/SUM(SUMIFS('caseload data'!R:R,'caseload data'!$B:$B,{"licence","community"},'caseload data'!$C:$C,'community %'!$T$15)),"")</f>
        <v/>
      </c>
      <c r="AI18" s="209" t="str">
        <f>IFERROR(SUM(SUMIFS('caseload data'!S:S,'caseload data'!$C:$C,'community %'!$T$15,'caseload data'!$D:$D,"PSO",'caseload data'!$B:$B,{"licence","community"}))/SUM(SUMIFS('caseload data'!S:S,'caseload data'!$B:$B,{"licence","community"},'caseload data'!$C:$C,'community %'!$T$15)),"")</f>
        <v/>
      </c>
      <c r="AJ18" s="209" t="str">
        <f>IFERROR(SUM(SUMIFS('caseload data'!T:T,'caseload data'!$C:$C,'community %'!$T$15,'caseload data'!$D:$D,"PSO",'caseload data'!$B:$B,{"licence","community"}))/SUM(SUMIFS('caseload data'!T:T,'caseload data'!$B:$B,{"licence","community"},'caseload data'!$C:$C,'community %'!$T$15)),"")</f>
        <v/>
      </c>
    </row>
    <row r="19" spans="2:36" x14ac:dyDescent="0.15">
      <c r="B19" s="130" t="s">
        <v>186</v>
      </c>
      <c r="C19" s="209" t="str">
        <f>IFERROR(SUM(SUMIFS('caseload data'!E:E,'caseload data'!$C:$C,'community %'!$B$15,'caseload data'!$D:$D,"TPO",'caseload data'!$B:$B,{"licence","community"}))/SUM(SUMIFS('caseload data'!E:E,'caseload data'!$B:$B,{"licence","community"},'caseload data'!$C:$C,'community %'!$B$15)),"")</f>
        <v/>
      </c>
      <c r="D19" s="209" t="str">
        <f>IFERROR(SUM(SUMIFS('caseload data'!F:F,'caseload data'!$C:$C,'community %'!$B$15,'caseload data'!$D:$D,"TPO",'caseload data'!$B:$B,{"licence","community"}))/SUM(SUMIFS('caseload data'!F:F,'caseload data'!$B:$B,{"licence","community"},'caseload data'!$C:$C,'community %'!$B$15)),"")</f>
        <v/>
      </c>
      <c r="E19" s="209" t="str">
        <f>IFERROR(SUM(SUMIFS('caseload data'!G:G,'caseload data'!$C:$C,'community %'!$B$15,'caseload data'!$D:$D,"TPO",'caseload data'!$B:$B,{"licence","community"}))/SUM(SUMIFS('caseload data'!G:G,'caseload data'!$B:$B,{"licence","community"},'caseload data'!$C:$C,'community %'!$B$15)),"")</f>
        <v/>
      </c>
      <c r="F19" s="209" t="str">
        <f>IFERROR(SUM(SUMIFS('caseload data'!H:H,'caseload data'!$C:$C,'community %'!$B$15,'caseload data'!$D:$D,"TPO",'caseload data'!$B:$B,{"licence","community"}))/SUM(SUMIFS('caseload data'!H:H,'caseload data'!$B:$B,{"licence","community"},'caseload data'!$C:$C,'community %'!$B$15)),"")</f>
        <v/>
      </c>
      <c r="G19" s="209" t="str">
        <f>IFERROR(SUM(SUMIFS('caseload data'!I:I,'caseload data'!$C:$C,'community %'!$B$15,'caseload data'!$D:$D,"TPO",'caseload data'!$B:$B,{"licence","community"}))/SUM(SUMIFS('caseload data'!I:I,'caseload data'!$B:$B,{"licence","community"},'caseload data'!$C:$C,'community %'!$B$15)),"")</f>
        <v/>
      </c>
      <c r="H19" s="209" t="str">
        <f>IFERROR(SUM(SUMIFS('caseload data'!J:J,'caseload data'!$C:$C,'community %'!$B$15,'caseload data'!$D:$D,"TPO",'caseload data'!$B:$B,{"licence","community"}))/SUM(SUMIFS('caseload data'!J:J,'caseload data'!$B:$B,{"licence","community"},'caseload data'!$C:$C,'community %'!$B$15)),"")</f>
        <v/>
      </c>
      <c r="I19" s="209" t="str">
        <f>IFERROR(SUM(SUMIFS('caseload data'!K:K,'caseload data'!$C:$C,'community %'!$B$15,'caseload data'!$D:$D,"TPO",'caseload data'!$B:$B,{"licence","community"}))/SUM(SUMIFS('caseload data'!K:K,'caseload data'!$B:$B,{"licence","community"},'caseload data'!$C:$C,'community %'!$B$15)),"")</f>
        <v/>
      </c>
      <c r="J19" s="209" t="str">
        <f>IFERROR(SUM(SUMIFS('caseload data'!L:L,'caseload data'!$C:$C,'community %'!$B$15,'caseload data'!$D:$D,"TPO",'caseload data'!$B:$B,{"licence","community"}))/SUM(SUMIFS('caseload data'!L:L,'caseload data'!$B:$B,{"licence","community"},'caseload data'!$C:$C,'community %'!$B$15)),"")</f>
        <v/>
      </c>
      <c r="K19" s="209" t="str">
        <f>IFERROR(SUM(SUMIFS('caseload data'!M:M,'caseload data'!$C:$C,'community %'!$B$15,'caseload data'!$D:$D,"TPO",'caseload data'!$B:$B,{"licence","community"}))/SUM(SUMIFS('caseload data'!M:M,'caseload data'!$B:$B,{"licence","community"},'caseload data'!$C:$C,'community %'!$B$15)),"")</f>
        <v/>
      </c>
      <c r="L19" s="209" t="str">
        <f>IFERROR(SUM(SUMIFS('caseload data'!N:N,'caseload data'!$C:$C,'community %'!$B$15,'caseload data'!$D:$D,"TPO",'caseload data'!$B:$B,{"licence","community"}))/SUM(SUMIFS('caseload data'!N:N,'caseload data'!$B:$B,{"licence","community"},'caseload data'!$C:$C,'community %'!$B$15)),"")</f>
        <v/>
      </c>
      <c r="M19" s="209" t="str">
        <f>IFERROR(SUM(SUMIFS('caseload data'!O:O,'caseload data'!$C:$C,'community %'!$B$15,'caseload data'!$D:$D,"TPO",'caseload data'!$B:$B,{"licence","community"}))/SUM(SUMIFS('caseload data'!O:O,'caseload data'!$B:$B,{"licence","community"},'caseload data'!$C:$C,'community %'!$B$15)),"")</f>
        <v/>
      </c>
      <c r="N19" s="209" t="str">
        <f>IFERROR(SUM(SUMIFS('caseload data'!P:P,'caseload data'!$C:$C,'community %'!$B$15,'caseload data'!$D:$D,"TPO",'caseload data'!$B:$B,{"licence","community"}))/SUM(SUMIFS('caseload data'!P:P,'caseload data'!$B:$B,{"licence","community"},'caseload data'!$C:$C,'community %'!$B$15)),"")</f>
        <v/>
      </c>
      <c r="O19" s="209" t="str">
        <f>IFERROR(SUM(SUMIFS('caseload data'!Q:Q,'caseload data'!$C:$C,'community %'!$B$15,'caseload data'!$D:$D,"TPO",'caseload data'!$B:$B,{"licence","community"}))/SUM(SUMIFS('caseload data'!Q:Q,'caseload data'!$B:$B,{"licence","community"},'caseload data'!$C:$C,'community %'!$B$15)),"")</f>
        <v/>
      </c>
      <c r="P19" s="209" t="str">
        <f>IFERROR(SUM(SUMIFS('caseload data'!R:R,'caseload data'!$C:$C,'community %'!$B$15,'caseload data'!$D:$D,"TPO",'caseload data'!$B:$B,{"licence","community"}))/SUM(SUMIFS('caseload data'!R:R,'caseload data'!$B:$B,{"licence","community"},'caseload data'!$C:$C,'community %'!$B$15)),"")</f>
        <v/>
      </c>
      <c r="Q19" s="209" t="str">
        <f>IFERROR(SUM(SUMIFS('caseload data'!S:S,'caseload data'!$C:$C,'community %'!$B$15,'caseload data'!$D:$D,"TPO",'caseload data'!$B:$B,{"licence","community"}))/SUM(SUMIFS('caseload data'!S:S,'caseload data'!$B:$B,{"licence","community"},'caseload data'!$C:$C,'community %'!$B$15)),"")</f>
        <v/>
      </c>
      <c r="R19" s="209" t="str">
        <f>IFERROR(SUM(SUMIFS('caseload data'!T:T,'caseload data'!$C:$C,'community %'!$B$15,'caseload data'!$D:$D,"TPO",'caseload data'!$B:$B,{"licence","community"}))/SUM(SUMIFS('caseload data'!T:T,'caseload data'!$B:$B,{"licence","community"},'caseload data'!$C:$C,'community %'!$B$15)),"")</f>
        <v/>
      </c>
      <c r="S19" s="95"/>
      <c r="T19" s="130" t="s">
        <v>186</v>
      </c>
      <c r="U19" s="209" t="str">
        <f>IFERROR(SUM(SUMIFS('caseload data'!E:E,'caseload data'!$C:$C,'community %'!$T$15,'caseload data'!$D:$D,"TPO",'caseload data'!$B:$B,{"licence","community"}))/SUM(SUMIFS('caseload data'!E:E,'caseload data'!$B:$B,{"licence","community"},'caseload data'!$C:$C,'community %'!$T$15)),"")</f>
        <v/>
      </c>
      <c r="V19" s="209" t="str">
        <f>IFERROR(SUM(SUMIFS('caseload data'!F:F,'caseload data'!$C:$C,'community %'!$T$15,'caseload data'!$D:$D,"TPO",'caseload data'!$B:$B,{"licence","community"}))/SUM(SUMIFS('caseload data'!F:F,'caseload data'!$B:$B,{"licence","community"},'caseload data'!$C:$C,'community %'!$T$15)),"")</f>
        <v/>
      </c>
      <c r="W19" s="209" t="str">
        <f>IFERROR(SUM(SUMIFS('caseload data'!G:G,'caseload data'!$C:$C,'community %'!$T$15,'caseload data'!$D:$D,"TPO",'caseload data'!$B:$B,{"licence","community"}))/SUM(SUMIFS('caseload data'!G:G,'caseload data'!$B:$B,{"licence","community"},'caseload data'!$C:$C,'community %'!$T$15)),"")</f>
        <v/>
      </c>
      <c r="X19" s="209" t="str">
        <f>IFERROR(SUM(SUMIFS('caseload data'!H:H,'caseload data'!$C:$C,'community %'!$T$15,'caseload data'!$D:$D,"TPO",'caseload data'!$B:$B,{"licence","community"}))/SUM(SUMIFS('caseload data'!H:H,'caseload data'!$B:$B,{"licence","community"},'caseload data'!$C:$C,'community %'!$T$15)),"")</f>
        <v/>
      </c>
      <c r="Y19" s="209" t="str">
        <f>IFERROR(SUM(SUMIFS('caseload data'!I:I,'caseload data'!$C:$C,'community %'!$T$15,'caseload data'!$D:$D,"TPO",'caseload data'!$B:$B,{"licence","community"}))/SUM(SUMIFS('caseload data'!I:I,'caseload data'!$B:$B,{"licence","community"},'caseload data'!$C:$C,'community %'!$T$15)),"")</f>
        <v/>
      </c>
      <c r="Z19" s="209" t="str">
        <f>IFERROR(SUM(SUMIFS('caseload data'!J:J,'caseload data'!$C:$C,'community %'!$T$15,'caseload data'!$D:$D,"TPO",'caseload data'!$B:$B,{"licence","community"}))/SUM(SUMIFS('caseload data'!J:J,'caseload data'!$B:$B,{"licence","community"},'caseload data'!$C:$C,'community %'!$T$15)),"")</f>
        <v/>
      </c>
      <c r="AA19" s="209" t="str">
        <f>IFERROR(SUM(SUMIFS('caseload data'!K:K,'caseload data'!$C:$C,'community %'!$T$15,'caseload data'!$D:$D,"TPO",'caseload data'!$B:$B,{"licence","community"}))/SUM(SUMIFS('caseload data'!K:K,'caseload data'!$B:$B,{"licence","community"},'caseload data'!$C:$C,'community %'!$T$15)),"")</f>
        <v/>
      </c>
      <c r="AB19" s="209" t="str">
        <f>IFERROR(SUM(SUMIFS('caseload data'!L:L,'caseload data'!$C:$C,'community %'!$T$15,'caseload data'!$D:$D,"TPO",'caseload data'!$B:$B,{"licence","community"}))/SUM(SUMIFS('caseload data'!L:L,'caseload data'!$B:$B,{"licence","community"},'caseload data'!$C:$C,'community %'!$T$15)),"")</f>
        <v/>
      </c>
      <c r="AC19" s="209" t="str">
        <f>IFERROR(SUM(SUMIFS('caseload data'!M:M,'caseload data'!$C:$C,'community %'!$T$15,'caseload data'!$D:$D,"TPO",'caseload data'!$B:$B,{"licence","community"}))/SUM(SUMIFS('caseload data'!M:M,'caseload data'!$B:$B,{"licence","community"},'caseload data'!$C:$C,'community %'!$T$15)),"")</f>
        <v/>
      </c>
      <c r="AD19" s="209" t="str">
        <f>IFERROR(SUM(SUMIFS('caseload data'!N:N,'caseload data'!$C:$C,'community %'!$T$15,'caseload data'!$D:$D,"TPO",'caseload data'!$B:$B,{"licence","community"}))/SUM(SUMIFS('caseload data'!N:N,'caseload data'!$B:$B,{"licence","community"},'caseload data'!$C:$C,'community %'!$T$15)),"")</f>
        <v/>
      </c>
      <c r="AE19" s="209" t="str">
        <f>IFERROR(SUM(SUMIFS('caseload data'!O:O,'caseload data'!$C:$C,'community %'!$T$15,'caseload data'!$D:$D,"TPO",'caseload data'!$B:$B,{"licence","community"}))/SUM(SUMIFS('caseload data'!O:O,'caseload data'!$B:$B,{"licence","community"},'caseload data'!$C:$C,'community %'!$T$15)),"")</f>
        <v/>
      </c>
      <c r="AF19" s="209" t="str">
        <f>IFERROR(SUM(SUMIFS('caseload data'!P:P,'caseload data'!$C:$C,'community %'!$T$15,'caseload data'!$D:$D,"TPO",'caseload data'!$B:$B,{"licence","community"}))/SUM(SUMIFS('caseload data'!P:P,'caseload data'!$B:$B,{"licence","community"},'caseload data'!$C:$C,'community %'!$T$15)),"")</f>
        <v/>
      </c>
      <c r="AG19" s="209" t="str">
        <f>IFERROR(SUM(SUMIFS('caseload data'!Q:Q,'caseload data'!$C:$C,'community %'!$T$15,'caseload data'!$D:$D,"TPO",'caseload data'!$B:$B,{"licence","community"}))/SUM(SUMIFS('caseload data'!Q:Q,'caseload data'!$B:$B,{"licence","community"},'caseload data'!$C:$C,'community %'!$T$15)),"")</f>
        <v/>
      </c>
      <c r="AH19" s="209" t="str">
        <f>IFERROR(SUM(SUMIFS('caseload data'!R:R,'caseload data'!$C:$C,'community %'!$T$15,'caseload data'!$D:$D,"TPO",'caseload data'!$B:$B,{"licence","community"}))/SUM(SUMIFS('caseload data'!R:R,'caseload data'!$B:$B,{"licence","community"},'caseload data'!$C:$C,'community %'!$T$15)),"")</f>
        <v/>
      </c>
      <c r="AI19" s="209" t="str">
        <f>IFERROR(SUM(SUMIFS('caseload data'!S:S,'caseload data'!$C:$C,'community %'!$T$15,'caseload data'!$D:$D,"TPO",'caseload data'!$B:$B,{"licence","community"}))/SUM(SUMIFS('caseload data'!S:S,'caseload data'!$B:$B,{"licence","community"},'caseload data'!$C:$C,'community %'!$T$15)),"")</f>
        <v/>
      </c>
      <c r="AJ19" s="209" t="str">
        <f>IFERROR(SUM(SUMIFS('caseload data'!T:T,'caseload data'!$C:$C,'community %'!$T$15,'caseload data'!$D:$D,"TPO",'caseload data'!$B:$B,{"licence","community"}))/SUM(SUMIFS('caseload data'!T:T,'caseload data'!$B:$B,{"licence","community"},'caseload data'!$C:$C,'community %'!$T$15)),"")</f>
        <v/>
      </c>
    </row>
    <row r="20" spans="2:36" x14ac:dyDescent="0.15">
      <c r="B20" s="131" t="s">
        <v>187</v>
      </c>
      <c r="C20" s="209" t="str">
        <f>IFERROR(SUM(SUMIFS('caseload data'!E:E,'caseload data'!$C:$C,'community %'!$B$15,'caseload data'!$D:$D,"SPO",'caseload data'!$B:$B,{"licence","community"}))/SUM(SUMIFS('caseload data'!E:E,'caseload data'!$B:$B,{"licence","community"},'caseload data'!$C:$C,'community %'!$B$15)),"")</f>
        <v/>
      </c>
      <c r="D20" s="209" t="str">
        <f>IFERROR(SUM(SUMIFS('caseload data'!F:F,'caseload data'!$C:$C,'community %'!$B$15,'caseload data'!$D:$D,"SPO",'caseload data'!$B:$B,{"licence","community"}))/SUM(SUMIFS('caseload data'!F:F,'caseload data'!$B:$B,{"licence","community"},'caseload data'!$C:$C,'community %'!$B$15)),"")</f>
        <v/>
      </c>
      <c r="E20" s="209" t="str">
        <f>IFERROR(SUM(SUMIFS('caseload data'!G:G,'caseload data'!$C:$C,'community %'!$B$15,'caseload data'!$D:$D,"SPO",'caseload data'!$B:$B,{"licence","community"}))/SUM(SUMIFS('caseload data'!G:G,'caseload data'!$B:$B,{"licence","community"},'caseload data'!$C:$C,'community %'!$B$15)),"")</f>
        <v/>
      </c>
      <c r="F20" s="209" t="str">
        <f>IFERROR(SUM(SUMIFS('caseload data'!H:H,'caseload data'!$C:$C,'community %'!$B$15,'caseload data'!$D:$D,"SPO",'caseload data'!$B:$B,{"licence","community"}))/SUM(SUMIFS('caseload data'!H:H,'caseload data'!$B:$B,{"licence","community"},'caseload data'!$C:$C,'community %'!$B$15)),"")</f>
        <v/>
      </c>
      <c r="G20" s="209" t="str">
        <f>IFERROR(SUM(SUMIFS('caseload data'!I:I,'caseload data'!$C:$C,'community %'!$B$15,'caseload data'!$D:$D,"SPO",'caseload data'!$B:$B,{"licence","community"}))/SUM(SUMIFS('caseload data'!I:I,'caseload data'!$B:$B,{"licence","community"},'caseload data'!$C:$C,'community %'!$B$15)),"")</f>
        <v/>
      </c>
      <c r="H20" s="209" t="str">
        <f>IFERROR(SUM(SUMIFS('caseload data'!J:J,'caseload data'!$C:$C,'community %'!$B$15,'caseload data'!$D:$D,"SPO",'caseload data'!$B:$B,{"licence","community"}))/SUM(SUMIFS('caseload data'!J:J,'caseload data'!$B:$B,{"licence","community"},'caseload data'!$C:$C,'community %'!$B$15)),"")</f>
        <v/>
      </c>
      <c r="I20" s="209" t="str">
        <f>IFERROR(SUM(SUMIFS('caseload data'!K:K,'caseload data'!$C:$C,'community %'!$B$15,'caseload data'!$D:$D,"SPO",'caseload data'!$B:$B,{"licence","community"}))/SUM(SUMIFS('caseload data'!K:K,'caseload data'!$B:$B,{"licence","community"},'caseload data'!$C:$C,'community %'!$B$15)),"")</f>
        <v/>
      </c>
      <c r="J20" s="209" t="str">
        <f>IFERROR(SUM(SUMIFS('caseload data'!L:L,'caseload data'!$C:$C,'community %'!$B$15,'caseload data'!$D:$D,"SPO",'caseload data'!$B:$B,{"licence","community"}))/SUM(SUMIFS('caseload data'!L:L,'caseload data'!$B:$B,{"licence","community"},'caseload data'!$C:$C,'community %'!$B$15)),"")</f>
        <v/>
      </c>
      <c r="K20" s="209" t="str">
        <f>IFERROR(SUM(SUMIFS('caseload data'!M:M,'caseload data'!$C:$C,'community %'!$B$15,'caseload data'!$D:$D,"SPO",'caseload data'!$B:$B,{"licence","community"}))/SUM(SUMIFS('caseload data'!M:M,'caseload data'!$B:$B,{"licence","community"},'caseload data'!$C:$C,'community %'!$B$15)),"")</f>
        <v/>
      </c>
      <c r="L20" s="209" t="str">
        <f>IFERROR(SUM(SUMIFS('caseload data'!N:N,'caseload data'!$C:$C,'community %'!$B$15,'caseload data'!$D:$D,"SPO",'caseload data'!$B:$B,{"licence","community"}))/SUM(SUMIFS('caseload data'!N:N,'caseload data'!$B:$B,{"licence","community"},'caseload data'!$C:$C,'community %'!$B$15)),"")</f>
        <v/>
      </c>
      <c r="M20" s="209" t="str">
        <f>IFERROR(SUM(SUMIFS('caseload data'!O:O,'caseload data'!$C:$C,'community %'!$B$15,'caseload data'!$D:$D,"SPO",'caseload data'!$B:$B,{"licence","community"}))/SUM(SUMIFS('caseload data'!O:O,'caseload data'!$B:$B,{"licence","community"},'caseload data'!$C:$C,'community %'!$B$15)),"")</f>
        <v/>
      </c>
      <c r="N20" s="209" t="str">
        <f>IFERROR(SUM(SUMIFS('caseload data'!P:P,'caseload data'!$C:$C,'community %'!$B$15,'caseload data'!$D:$D,"SPO",'caseload data'!$B:$B,{"licence","community"}))/SUM(SUMIFS('caseload data'!P:P,'caseload data'!$B:$B,{"licence","community"},'caseload data'!$C:$C,'community %'!$B$15)),"")</f>
        <v/>
      </c>
      <c r="O20" s="209" t="str">
        <f>IFERROR(SUM(SUMIFS('caseload data'!Q:Q,'caseload data'!$C:$C,'community %'!$B$15,'caseload data'!$D:$D,"SPO",'caseload data'!$B:$B,{"licence","community"}))/SUM(SUMIFS('caseload data'!Q:Q,'caseload data'!$B:$B,{"licence","community"},'caseload data'!$C:$C,'community %'!$B$15)),"")</f>
        <v/>
      </c>
      <c r="P20" s="209" t="str">
        <f>IFERROR(SUM(SUMIFS('caseload data'!R:R,'caseload data'!$C:$C,'community %'!$B$15,'caseload data'!$D:$D,"SPO",'caseload data'!$B:$B,{"licence","community"}))/SUM(SUMIFS('caseload data'!R:R,'caseload data'!$B:$B,{"licence","community"},'caseload data'!$C:$C,'community %'!$B$15)),"")</f>
        <v/>
      </c>
      <c r="Q20" s="209" t="str">
        <f>IFERROR(SUM(SUMIFS('caseload data'!S:S,'caseload data'!$C:$C,'community %'!$B$15,'caseload data'!$D:$D,"SPO",'caseload data'!$B:$B,{"licence","community"}))/SUM(SUMIFS('caseload data'!S:S,'caseload data'!$B:$B,{"licence","community"},'caseload data'!$C:$C,'community %'!$B$15)),"")</f>
        <v/>
      </c>
      <c r="R20" s="209" t="str">
        <f>IFERROR(SUM(SUMIFS('caseload data'!T:T,'caseload data'!$C:$C,'community %'!$B$15,'caseload data'!$D:$D,"SPO",'caseload data'!$B:$B,{"licence","community"}))/SUM(SUMIFS('caseload data'!T:T,'caseload data'!$B:$B,{"licence","community"},'caseload data'!$C:$C,'community %'!$B$15)),"")</f>
        <v/>
      </c>
      <c r="S20" s="95"/>
      <c r="T20" s="131" t="s">
        <v>187</v>
      </c>
      <c r="U20" s="209" t="str">
        <f>IFERROR(SUM(SUMIFS('caseload data'!E:E,'caseload data'!$C:$C,'community %'!$T$15,'caseload data'!$D:$D,"SPO",'caseload data'!$B:$B,{"licence","community"}))/SUM(SUMIFS('caseload data'!E:E,'caseload data'!$B:$B,{"licence","community"},'caseload data'!$C:$C,'community %'!$T$15)),"")</f>
        <v/>
      </c>
      <c r="V20" s="209" t="str">
        <f>IFERROR(SUM(SUMIFS('caseload data'!F:F,'caseload data'!$C:$C,'community %'!$T$15,'caseload data'!$D:$D,"SPO",'caseload data'!$B:$B,{"licence","community"}))/SUM(SUMIFS('caseload data'!F:F,'caseload data'!$B:$B,{"licence","community"},'caseload data'!$C:$C,'community %'!$T$15)),"")</f>
        <v/>
      </c>
      <c r="W20" s="209" t="str">
        <f>IFERROR(SUM(SUMIFS('caseload data'!G:G,'caseload data'!$C:$C,'community %'!$T$15,'caseload data'!$D:$D,"SPO",'caseload data'!$B:$B,{"licence","community"}))/SUM(SUMIFS('caseload data'!G:G,'caseload data'!$B:$B,{"licence","community"},'caseload data'!$C:$C,'community %'!$T$15)),"")</f>
        <v/>
      </c>
      <c r="X20" s="209" t="str">
        <f>IFERROR(SUM(SUMIFS('caseload data'!H:H,'caseload data'!$C:$C,'community %'!$T$15,'caseload data'!$D:$D,"SPO",'caseload data'!$B:$B,{"licence","community"}))/SUM(SUMIFS('caseload data'!H:H,'caseload data'!$B:$B,{"licence","community"},'caseload data'!$C:$C,'community %'!$T$15)),"")</f>
        <v/>
      </c>
      <c r="Y20" s="209" t="str">
        <f>IFERROR(SUM(SUMIFS('caseload data'!I:I,'caseload data'!$C:$C,'community %'!$T$15,'caseload data'!$D:$D,"SPO",'caseload data'!$B:$B,{"licence","community"}))/SUM(SUMIFS('caseload data'!I:I,'caseload data'!$B:$B,{"licence","community"},'caseload data'!$C:$C,'community %'!$T$15)),"")</f>
        <v/>
      </c>
      <c r="Z20" s="209" t="str">
        <f>IFERROR(SUM(SUMIFS('caseload data'!J:J,'caseload data'!$C:$C,'community %'!$T$15,'caseload data'!$D:$D,"SPO",'caseload data'!$B:$B,{"licence","community"}))/SUM(SUMIFS('caseload data'!J:J,'caseload data'!$B:$B,{"licence","community"},'caseload data'!$C:$C,'community %'!$T$15)),"")</f>
        <v/>
      </c>
      <c r="AA20" s="209" t="str">
        <f>IFERROR(SUM(SUMIFS('caseload data'!K:K,'caseload data'!$C:$C,'community %'!$T$15,'caseload data'!$D:$D,"SPO",'caseload data'!$B:$B,{"licence","community"}))/SUM(SUMIFS('caseload data'!K:K,'caseload data'!$B:$B,{"licence","community"},'caseload data'!$C:$C,'community %'!$T$15)),"")</f>
        <v/>
      </c>
      <c r="AB20" s="209" t="str">
        <f>IFERROR(SUM(SUMIFS('caseload data'!L:L,'caseload data'!$C:$C,'community %'!$T$15,'caseload data'!$D:$D,"SPO",'caseload data'!$B:$B,{"licence","community"}))/SUM(SUMIFS('caseload data'!L:L,'caseload data'!$B:$B,{"licence","community"},'caseload data'!$C:$C,'community %'!$T$15)),"")</f>
        <v/>
      </c>
      <c r="AC20" s="209" t="str">
        <f>IFERROR(SUM(SUMIFS('caseload data'!M:M,'caseload data'!$C:$C,'community %'!$T$15,'caseload data'!$D:$D,"SPO",'caseload data'!$B:$B,{"licence","community"}))/SUM(SUMIFS('caseload data'!M:M,'caseload data'!$B:$B,{"licence","community"},'caseload data'!$C:$C,'community %'!$T$15)),"")</f>
        <v/>
      </c>
      <c r="AD20" s="209" t="str">
        <f>IFERROR(SUM(SUMIFS('caseload data'!N:N,'caseload data'!$C:$C,'community %'!$T$15,'caseload data'!$D:$D,"SPO",'caseload data'!$B:$B,{"licence","community"}))/SUM(SUMIFS('caseload data'!N:N,'caseload data'!$B:$B,{"licence","community"},'caseload data'!$C:$C,'community %'!$T$15)),"")</f>
        <v/>
      </c>
      <c r="AE20" s="209" t="str">
        <f>IFERROR(SUM(SUMIFS('caseload data'!O:O,'caseload data'!$C:$C,'community %'!$T$15,'caseload data'!$D:$D,"SPO",'caseload data'!$B:$B,{"licence","community"}))/SUM(SUMIFS('caseload data'!O:O,'caseload data'!$B:$B,{"licence","community"},'caseload data'!$C:$C,'community %'!$T$15)),"")</f>
        <v/>
      </c>
      <c r="AF20" s="209" t="str">
        <f>IFERROR(SUM(SUMIFS('caseload data'!P:P,'caseload data'!$C:$C,'community %'!$T$15,'caseload data'!$D:$D,"SPO",'caseload data'!$B:$B,{"licence","community"}))/SUM(SUMIFS('caseload data'!P:P,'caseload data'!$B:$B,{"licence","community"},'caseload data'!$C:$C,'community %'!$T$15)),"")</f>
        <v/>
      </c>
      <c r="AG20" s="209" t="str">
        <f>IFERROR(SUM(SUMIFS('caseload data'!Q:Q,'caseload data'!$C:$C,'community %'!$T$15,'caseload data'!$D:$D,"SPO",'caseload data'!$B:$B,{"licence","community"}))/SUM(SUMIFS('caseload data'!Q:Q,'caseload data'!$B:$B,{"licence","community"},'caseload data'!$C:$C,'community %'!$T$15)),"")</f>
        <v/>
      </c>
      <c r="AH20" s="209" t="str">
        <f>IFERROR(SUM(SUMIFS('caseload data'!R:R,'caseload data'!$C:$C,'community %'!$T$15,'caseload data'!$D:$D,"SPO",'caseload data'!$B:$B,{"licence","community"}))/SUM(SUMIFS('caseload data'!R:R,'caseload data'!$B:$B,{"licence","community"},'caseload data'!$C:$C,'community %'!$T$15)),"")</f>
        <v/>
      </c>
      <c r="AI20" s="209" t="str">
        <f>IFERROR(SUM(SUMIFS('caseload data'!S:S,'caseload data'!$C:$C,'community %'!$T$15,'caseload data'!$D:$D,"SPO",'caseload data'!$B:$B,{"licence","community"}))/SUM(SUMIFS('caseload data'!S:S,'caseload data'!$B:$B,{"licence","community"},'caseload data'!$C:$C,'community %'!$T$15)),"")</f>
        <v/>
      </c>
      <c r="AJ20" s="209" t="str">
        <f>IFERROR(SUM(SUMIFS('caseload data'!T:T,'caseload data'!$C:$C,'community %'!$T$15,'caseload data'!$D:$D,"SPO",'caseload data'!$B:$B,{"licence","community"}))/SUM(SUMIFS('caseload data'!T:T,'caseload data'!$B:$B,{"licence","community"},'caseload data'!$C:$C,'community %'!$T$15)),"")</f>
        <v/>
      </c>
    </row>
    <row r="21" spans="2:36" x14ac:dyDescent="0.15">
      <c r="B21" s="183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183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</row>
    <row r="22" spans="2:36" ht="48" customHeight="1" x14ac:dyDescent="0.15">
      <c r="B22" s="182" t="str">
        <f>HLOOKUP($B$5,Region_Table,6,0)</f>
        <v>Camden, Islington</v>
      </c>
      <c r="C22" s="359" t="s">
        <v>370</v>
      </c>
      <c r="D22" s="365"/>
      <c r="E22" s="365"/>
      <c r="F22" s="365"/>
      <c r="G22" s="365"/>
      <c r="H22" s="365"/>
      <c r="I22" s="365"/>
      <c r="J22" s="365"/>
      <c r="K22" s="365"/>
      <c r="L22" s="365"/>
      <c r="M22" s="368"/>
      <c r="N22" s="368"/>
      <c r="O22" s="369"/>
      <c r="P22" s="362" cm="1">
        <f t="array" ref="P22">SUM(SUMIFS('caseload data'!V:V,'caseload data'!B:B,{"licence","community"},'caseload data'!$C:$C,B22))</f>
        <v>0</v>
      </c>
      <c r="Q22" s="370"/>
      <c r="R22" s="371"/>
      <c r="S22" s="95"/>
      <c r="T22" s="182" t="str">
        <f>HLOOKUP($B$5,Region_Table,7,0)</f>
        <v>Commumity Integration</v>
      </c>
      <c r="U22" s="359" t="s">
        <v>370</v>
      </c>
      <c r="V22" s="365"/>
      <c r="W22" s="365"/>
      <c r="X22" s="365"/>
      <c r="Y22" s="365"/>
      <c r="Z22" s="365"/>
      <c r="AA22" s="365"/>
      <c r="AB22" s="365"/>
      <c r="AC22" s="365"/>
      <c r="AD22" s="365"/>
      <c r="AE22" s="368"/>
      <c r="AF22" s="368"/>
      <c r="AG22" s="369"/>
      <c r="AH22" s="362" cm="1">
        <f t="array" ref="AH22">SUM(SUMIFS('caseload data'!V:V,'caseload data'!B:B,{"licence","community"},'caseload data'!$C:$C,T22))</f>
        <v>0</v>
      </c>
      <c r="AI22" s="370"/>
      <c r="AJ22" s="371"/>
    </row>
    <row r="23" spans="2:36" x14ac:dyDescent="0.15">
      <c r="B23" s="127" t="s">
        <v>324</v>
      </c>
      <c r="C23" s="58" t="s">
        <v>504</v>
      </c>
      <c r="D23" s="58" t="s">
        <v>503</v>
      </c>
      <c r="E23" s="58" t="s">
        <v>502</v>
      </c>
      <c r="F23" s="58" t="s">
        <v>501</v>
      </c>
      <c r="G23" s="58" t="s">
        <v>510</v>
      </c>
      <c r="H23" s="58" t="s">
        <v>176</v>
      </c>
      <c r="I23" s="58" t="s">
        <v>177</v>
      </c>
      <c r="J23" s="58" t="s">
        <v>505</v>
      </c>
      <c r="K23" s="58" t="s">
        <v>507</v>
      </c>
      <c r="L23" s="58" t="s">
        <v>178</v>
      </c>
      <c r="M23" s="58" t="s">
        <v>179</v>
      </c>
      <c r="N23" s="58" t="s">
        <v>506</v>
      </c>
      <c r="O23" s="58" t="s">
        <v>508</v>
      </c>
      <c r="P23" s="58" t="s">
        <v>180</v>
      </c>
      <c r="Q23" s="58" t="s">
        <v>181</v>
      </c>
      <c r="R23" s="58" t="s">
        <v>509</v>
      </c>
      <c r="S23" s="95"/>
      <c r="T23" s="127" t="s">
        <v>324</v>
      </c>
      <c r="U23" s="58" t="s">
        <v>504</v>
      </c>
      <c r="V23" s="58" t="s">
        <v>503</v>
      </c>
      <c r="W23" s="58" t="s">
        <v>502</v>
      </c>
      <c r="X23" s="58" t="s">
        <v>501</v>
      </c>
      <c r="Y23" s="58" t="s">
        <v>510</v>
      </c>
      <c r="Z23" s="58" t="s">
        <v>176</v>
      </c>
      <c r="AA23" s="58" t="s">
        <v>177</v>
      </c>
      <c r="AB23" s="58" t="s">
        <v>505</v>
      </c>
      <c r="AC23" s="58" t="s">
        <v>507</v>
      </c>
      <c r="AD23" s="58" t="s">
        <v>178</v>
      </c>
      <c r="AE23" s="58" t="s">
        <v>179</v>
      </c>
      <c r="AF23" s="58" t="s">
        <v>506</v>
      </c>
      <c r="AG23" s="58" t="s">
        <v>508</v>
      </c>
      <c r="AH23" s="58" t="s">
        <v>180</v>
      </c>
      <c r="AI23" s="58" t="s">
        <v>181</v>
      </c>
      <c r="AJ23" s="58" t="s">
        <v>509</v>
      </c>
    </row>
    <row r="24" spans="2:36" x14ac:dyDescent="0.15">
      <c r="B24" s="129" t="s">
        <v>184</v>
      </c>
      <c r="C24" s="209" t="str">
        <f>IFERROR(SUM(SUMIFS('caseload data'!E:E,'caseload data'!$C:$C,'community %'!$B$22,'caseload data'!$D:$D,"PO",'caseload data'!$B:$B,{"licence","community"}))/SUM(SUMIFS('caseload data'!E:E,'caseload data'!$B:$B,{"licence","community"},'caseload data'!$C:$C,'community %'!$B$22)),"")</f>
        <v/>
      </c>
      <c r="D24" s="209" t="str">
        <f>IFERROR(SUM(SUMIFS('caseload data'!F:F,'caseload data'!$C:$C,'community %'!$B$22,'caseload data'!$D:$D,"PO",'caseload data'!$B:$B,{"licence","community"}))/SUM(SUMIFS('caseload data'!F:F,'caseload data'!$B:$B,{"licence","community"},'caseload data'!$C:$C,'community %'!$B$22)),"")</f>
        <v/>
      </c>
      <c r="E24" s="209" t="str">
        <f>IFERROR(SUM(SUMIFS('caseload data'!G:G,'caseload data'!$C:$C,'community %'!$B$22,'caseload data'!$D:$D,"PO",'caseload data'!$B:$B,{"licence","community"}))/SUM(SUMIFS('caseload data'!G:G,'caseload data'!$B:$B,{"licence","community"},'caseload data'!$C:$C,'community %'!$B$22)),"")</f>
        <v/>
      </c>
      <c r="F24" s="209" t="str">
        <f>IFERROR(SUM(SUMIFS('caseload data'!H:H,'caseload data'!$C:$C,'community %'!$B$22,'caseload data'!$D:$D,"PO",'caseload data'!$B:$B,{"licence","community"}))/SUM(SUMIFS('caseload data'!H:H,'caseload data'!$B:$B,{"licence","community"},'caseload data'!$C:$C,'community %'!$B$22)),"")</f>
        <v/>
      </c>
      <c r="G24" s="209" t="str">
        <f>IFERROR(SUM(SUMIFS('caseload data'!I:I,'caseload data'!$C:$C,'community %'!$B$22,'caseload data'!$D:$D,"PO",'caseload data'!$B:$B,{"licence","community"}))/SUM(SUMIFS('caseload data'!I:I,'caseload data'!$B:$B,{"licence","community"},'caseload data'!$C:$C,'community %'!$B$22)),"")</f>
        <v/>
      </c>
      <c r="H24" s="209" t="str">
        <f>IFERROR(SUM(SUMIFS('caseload data'!J:J,'caseload data'!$C:$C,'community %'!$B$22,'caseload data'!$D:$D,"PO",'caseload data'!$B:$B,{"licence","community"}))/SUM(SUMIFS('caseload data'!J:J,'caseload data'!$B:$B,{"licence","community"},'caseload data'!$C:$C,'community %'!$B$22)),"")</f>
        <v/>
      </c>
      <c r="I24" s="209" t="str">
        <f>IFERROR(SUM(SUMIFS('caseload data'!K:K,'caseload data'!$C:$C,'community %'!$B$22,'caseload data'!$D:$D,"PO",'caseload data'!$B:$B,{"licence","community"}))/SUM(SUMIFS('caseload data'!K:K,'caseload data'!$B:$B,{"licence","community"},'caseload data'!$C:$C,'community %'!$B$22)),"")</f>
        <v/>
      </c>
      <c r="J24" s="209" t="str">
        <f>IFERROR(SUM(SUMIFS('caseload data'!L:L,'caseload data'!$C:$C,'community %'!$B$22,'caseload data'!$D:$D,"PO",'caseload data'!$B:$B,{"licence","community"}))/SUM(SUMIFS('caseload data'!L:L,'caseload data'!$B:$B,{"licence","community"},'caseload data'!$C:$C,'community %'!$B$22)),"")</f>
        <v/>
      </c>
      <c r="K24" s="209" t="str">
        <f>IFERROR(SUM(SUMIFS('caseload data'!M:M,'caseload data'!$C:$C,'community %'!$B$22,'caseload data'!$D:$D,"PO",'caseload data'!$B:$B,{"licence","community"}))/SUM(SUMIFS('caseload data'!M:M,'caseload data'!$B:$B,{"licence","community"},'caseload data'!$C:$C,'community %'!$B$22)),"")</f>
        <v/>
      </c>
      <c r="L24" s="209" t="str">
        <f>IFERROR(SUM(SUMIFS('caseload data'!N:N,'caseload data'!$C:$C,'community %'!$B$22,'caseload data'!$D:$D,"PO",'caseload data'!$B:$B,{"licence","community"}))/SUM(SUMIFS('caseload data'!N:N,'caseload data'!$B:$B,{"licence","community"},'caseload data'!$C:$C,'community %'!$B$22)),"")</f>
        <v/>
      </c>
      <c r="M24" s="209" t="str">
        <f>IFERROR(SUM(SUMIFS('caseload data'!O:O,'caseload data'!$C:$C,'community %'!$B$22,'caseload data'!$D:$D,"PO",'caseload data'!$B:$B,{"licence","community"}))/SUM(SUMIFS('caseload data'!O:O,'caseload data'!$B:$B,{"licence","community"},'caseload data'!$C:$C,'community %'!$B$22)),"")</f>
        <v/>
      </c>
      <c r="N24" s="209" t="str">
        <f>IFERROR(SUM(SUMIFS('caseload data'!P:P,'caseload data'!$C:$C,'community %'!$B$22,'caseload data'!$D:$D,"PO",'caseload data'!$B:$B,{"licence","community"}))/SUM(SUMIFS('caseload data'!P:P,'caseload data'!$B:$B,{"licence","community"},'caseload data'!$C:$C,'community %'!$B$22)),"")</f>
        <v/>
      </c>
      <c r="O24" s="209" t="str">
        <f>IFERROR(SUM(SUMIFS('caseload data'!Q:Q,'caseload data'!$C:$C,'community %'!$B$22,'caseload data'!$D:$D,"PO",'caseload data'!$B:$B,{"licence","community"}))/SUM(SUMIFS('caseload data'!Q:Q,'caseload data'!$B:$B,{"licence","community"},'caseload data'!$C:$C,'community %'!$B$22)),"")</f>
        <v/>
      </c>
      <c r="P24" s="209" t="str">
        <f>IFERROR(SUM(SUMIFS('caseload data'!R:R,'caseload data'!$C:$C,'community %'!$B$22,'caseload data'!$D:$D,"PO",'caseload data'!$B:$B,{"licence","community"}))/SUM(SUMIFS('caseload data'!R:R,'caseload data'!$B:$B,{"licence","community"},'caseload data'!$C:$C,'community %'!$B$22)),"")</f>
        <v/>
      </c>
      <c r="Q24" s="209" t="str">
        <f>IFERROR(SUM(SUMIFS('caseload data'!S:S,'caseload data'!$C:$C,'community %'!$B$22,'caseload data'!$D:$D,"PO",'caseload data'!$B:$B,{"licence","community"}))/SUM(SUMIFS('caseload data'!S:S,'caseload data'!$B:$B,{"licence","community"},'caseload data'!$C:$C,'community %'!$B$22)),"")</f>
        <v/>
      </c>
      <c r="R24" s="209" t="str">
        <f>IFERROR(SUM(SUMIFS('caseload data'!T:T,'caseload data'!$C:$C,'community %'!$B$22,'caseload data'!$D:$D,"PO",'caseload data'!$B:$B,{"licence","community"}))/SUM(SUMIFS('caseload data'!T:T,'caseload data'!$B:$B,{"licence","community"},'caseload data'!$C:$C,'community %'!$B$22)),"")</f>
        <v/>
      </c>
      <c r="S24" s="95"/>
      <c r="T24" s="129" t="s">
        <v>184</v>
      </c>
      <c r="U24" s="209" t="str">
        <f>IFERROR(SUM(SUMIFS('caseload data'!E:E,'caseload data'!$C:$C,'community %'!$T$22,'caseload data'!$D:$D,"PO",'caseload data'!$B:$B,{"licence","community"}))/SUM(SUMIFS('caseload data'!E:E,'caseload data'!$B:$B,{"licence","community"},'caseload data'!$C:$C,'community %'!$T$22)),"")</f>
        <v/>
      </c>
      <c r="V24" s="209" t="str">
        <f>IFERROR(SUM(SUMIFS('caseload data'!F:F,'caseload data'!$C:$C,'community %'!$T$22,'caseload data'!$D:$D,"PO",'caseload data'!$B:$B,{"licence","community"}))/SUM(SUMIFS('caseload data'!F:F,'caseload data'!$B:$B,{"licence","community"},'caseload data'!$C:$C,'community %'!$T$22)),"")</f>
        <v/>
      </c>
      <c r="W24" s="209" t="str">
        <f>IFERROR(SUM(SUMIFS('caseload data'!G:G,'caseload data'!$C:$C,'community %'!$T$22,'caseload data'!$D:$D,"PO",'caseload data'!$B:$B,{"licence","community"}))/SUM(SUMIFS('caseload data'!G:G,'caseload data'!$B:$B,{"licence","community"},'caseload data'!$C:$C,'community %'!$T$22)),"")</f>
        <v/>
      </c>
      <c r="X24" s="209" t="str">
        <f>IFERROR(SUM(SUMIFS('caseload data'!H:H,'caseload data'!$C:$C,'community %'!$T$22,'caseload data'!$D:$D,"PO",'caseload data'!$B:$B,{"licence","community"}))/SUM(SUMIFS('caseload data'!H:H,'caseload data'!$B:$B,{"licence","community"},'caseload data'!$C:$C,'community %'!$T$22)),"")</f>
        <v/>
      </c>
      <c r="Y24" s="209" t="str">
        <f>IFERROR(SUM(SUMIFS('caseload data'!I:I,'caseload data'!$C:$C,'community %'!$T$22,'caseload data'!$D:$D,"PO",'caseload data'!$B:$B,{"licence","community"}))/SUM(SUMIFS('caseload data'!I:I,'caseload data'!$B:$B,{"licence","community"},'caseload data'!$C:$C,'community %'!$T$22)),"")</f>
        <v/>
      </c>
      <c r="Z24" s="209" t="str">
        <f>IFERROR(SUM(SUMIFS('caseload data'!J:J,'caseload data'!$C:$C,'community %'!$T$22,'caseload data'!$D:$D,"PO",'caseload data'!$B:$B,{"licence","community"}))/SUM(SUMIFS('caseload data'!J:J,'caseload data'!$B:$B,{"licence","community"},'caseload data'!$C:$C,'community %'!$T$22)),"")</f>
        <v/>
      </c>
      <c r="AA24" s="209" t="str">
        <f>IFERROR(SUM(SUMIFS('caseload data'!K:K,'caseload data'!$C:$C,'community %'!$T$22,'caseload data'!$D:$D,"PO",'caseload data'!$B:$B,{"licence","community"}))/SUM(SUMIFS('caseload data'!K:K,'caseload data'!$B:$B,{"licence","community"},'caseload data'!$C:$C,'community %'!$T$22)),"")</f>
        <v/>
      </c>
      <c r="AB24" s="209" t="str">
        <f>IFERROR(SUM(SUMIFS('caseload data'!L:L,'caseload data'!$C:$C,'community %'!$T$22,'caseload data'!$D:$D,"PO",'caseload data'!$B:$B,{"licence","community"}))/SUM(SUMIFS('caseload data'!L:L,'caseload data'!$B:$B,{"licence","community"},'caseload data'!$C:$C,'community %'!$T$22)),"")</f>
        <v/>
      </c>
      <c r="AC24" s="209" t="str">
        <f>IFERROR(SUM(SUMIFS('caseload data'!M:M,'caseload data'!$C:$C,'community %'!$T$22,'caseload data'!$D:$D,"PO",'caseload data'!$B:$B,{"licence","community"}))/SUM(SUMIFS('caseload data'!M:M,'caseload data'!$B:$B,{"licence","community"},'caseload data'!$C:$C,'community %'!$T$22)),"")</f>
        <v/>
      </c>
      <c r="AD24" s="209" t="str">
        <f>IFERROR(SUM(SUMIFS('caseload data'!N:N,'caseload data'!$C:$C,'community %'!$T$22,'caseload data'!$D:$D,"PO",'caseload data'!$B:$B,{"licence","community"}))/SUM(SUMIFS('caseload data'!N:N,'caseload data'!$B:$B,{"licence","community"},'caseload data'!$C:$C,'community %'!$T$22)),"")</f>
        <v/>
      </c>
      <c r="AE24" s="209" t="str">
        <f>IFERROR(SUM(SUMIFS('caseload data'!O:O,'caseload data'!$C:$C,'community %'!$T$22,'caseload data'!$D:$D,"PO",'caseload data'!$B:$B,{"licence","community"}))/SUM(SUMIFS('caseload data'!O:O,'caseload data'!$B:$B,{"licence","community"},'caseload data'!$C:$C,'community %'!$T$22)),"")</f>
        <v/>
      </c>
      <c r="AF24" s="209" t="str">
        <f>IFERROR(SUM(SUMIFS('caseload data'!P:P,'caseload data'!$C:$C,'community %'!$T$22,'caseload data'!$D:$D,"PO",'caseload data'!$B:$B,{"licence","community"}))/SUM(SUMIFS('caseload data'!P:P,'caseload data'!$B:$B,{"licence","community"},'caseload data'!$C:$C,'community %'!$T$22)),"")</f>
        <v/>
      </c>
      <c r="AG24" s="209" t="str">
        <f>IFERROR(SUM(SUMIFS('caseload data'!Q:Q,'caseload data'!$C:$C,'community %'!$T$22,'caseload data'!$D:$D,"PO",'caseload data'!$B:$B,{"licence","community"}))/SUM(SUMIFS('caseload data'!Q:Q,'caseload data'!$B:$B,{"licence","community"},'caseload data'!$C:$C,'community %'!$T$22)),"")</f>
        <v/>
      </c>
      <c r="AH24" s="209" t="str">
        <f>IFERROR(SUM(SUMIFS('caseload data'!R:R,'caseload data'!$C:$C,'community %'!$T$22,'caseload data'!$D:$D,"PO",'caseload data'!$B:$B,{"licence","community"}))/SUM(SUMIFS('caseload data'!R:R,'caseload data'!$B:$B,{"licence","community"},'caseload data'!$C:$C,'community %'!$T$22)),"")</f>
        <v/>
      </c>
      <c r="AI24" s="209" t="str">
        <f>IFERROR(SUM(SUMIFS('caseload data'!S:S,'caseload data'!$C:$C,'community %'!$T$22,'caseload data'!$D:$D,"PO",'caseload data'!$B:$B,{"licence","community"}))/SUM(SUMIFS('caseload data'!S:S,'caseload data'!$B:$B,{"licence","community"},'caseload data'!$C:$C,'community %'!$T$22)),"")</f>
        <v/>
      </c>
      <c r="AJ24" s="209" t="str">
        <f>IFERROR(SUM(SUMIFS('caseload data'!T:T,'caseload data'!$C:$C,'community %'!$T$22,'caseload data'!$D:$D,"PO",'caseload data'!$B:$B,{"licence","community"}))/SUM(SUMIFS('caseload data'!T:T,'caseload data'!$B:$B,{"licence","community"},'caseload data'!$C:$C,'community %'!$T$22)),"")</f>
        <v/>
      </c>
    </row>
    <row r="25" spans="2:36" x14ac:dyDescent="0.15">
      <c r="B25" s="130" t="s">
        <v>185</v>
      </c>
      <c r="C25" s="209" t="str">
        <f>IFERROR(SUM(SUMIFS('caseload data'!E:E,'caseload data'!$C:$C,'community %'!$B$22,'caseload data'!$D:$D,"PSO",'caseload data'!$B:$B,{"licence","community"}))/SUM(SUMIFS('caseload data'!E:E,'caseload data'!$B:$B,{"licence","community"},'caseload data'!$C:$C,'community %'!$B$22)),"")</f>
        <v/>
      </c>
      <c r="D25" s="209" t="str">
        <f>IFERROR(SUM(SUMIFS('caseload data'!F:F,'caseload data'!$C:$C,'community %'!$B$22,'caseload data'!$D:$D,"PSO",'caseload data'!$B:$B,{"licence","community"}))/SUM(SUMIFS('caseload data'!F:F,'caseload data'!$B:$B,{"licence","community"},'caseload data'!$C:$C,'community %'!$B$22)),"")</f>
        <v/>
      </c>
      <c r="E25" s="209" t="str">
        <f>IFERROR(SUM(SUMIFS('caseload data'!G:G,'caseload data'!$C:$C,'community %'!$B$22,'caseload data'!$D:$D,"PSO",'caseload data'!$B:$B,{"licence","community"}))/SUM(SUMIFS('caseload data'!G:G,'caseload data'!$B:$B,{"licence","community"},'caseload data'!$C:$C,'community %'!$B$22)),"")</f>
        <v/>
      </c>
      <c r="F25" s="209" t="str">
        <f>IFERROR(SUM(SUMIFS('caseload data'!H:H,'caseload data'!$C:$C,'community %'!$B$22,'caseload data'!$D:$D,"PSO",'caseload data'!$B:$B,{"licence","community"}))/SUM(SUMIFS('caseload data'!H:H,'caseload data'!$B:$B,{"licence","community"},'caseload data'!$C:$C,'community %'!$B$22)),"")</f>
        <v/>
      </c>
      <c r="G25" s="209" t="str">
        <f>IFERROR(SUM(SUMIFS('caseload data'!I:I,'caseload data'!$C:$C,'community %'!$B$22,'caseload data'!$D:$D,"PSO",'caseload data'!$B:$B,{"licence","community"}))/SUM(SUMIFS('caseload data'!I:I,'caseload data'!$B:$B,{"licence","community"},'caseload data'!$C:$C,'community %'!$B$22)),"")</f>
        <v/>
      </c>
      <c r="H25" s="209" t="str">
        <f>IFERROR(SUM(SUMIFS('caseload data'!J:J,'caseload data'!$C:$C,'community %'!$B$22,'caseload data'!$D:$D,"PSO",'caseload data'!$B:$B,{"licence","community"}))/SUM(SUMIFS('caseload data'!J:J,'caseload data'!$B:$B,{"licence","community"},'caseload data'!$C:$C,'community %'!$B$22)),"")</f>
        <v/>
      </c>
      <c r="I25" s="209" t="str">
        <f>IFERROR(SUM(SUMIFS('caseload data'!K:K,'caseload data'!$C:$C,'community %'!$B$22,'caseload data'!$D:$D,"PSO",'caseload data'!$B:$B,{"licence","community"}))/SUM(SUMIFS('caseload data'!K:K,'caseload data'!$B:$B,{"licence","community"},'caseload data'!$C:$C,'community %'!$B$22)),"")</f>
        <v/>
      </c>
      <c r="J25" s="209" t="str">
        <f>IFERROR(SUM(SUMIFS('caseload data'!L:L,'caseload data'!$C:$C,'community %'!$B$22,'caseload data'!$D:$D,"PSO",'caseload data'!$B:$B,{"licence","community"}))/SUM(SUMIFS('caseload data'!L:L,'caseload data'!$B:$B,{"licence","community"},'caseload data'!$C:$C,'community %'!$B$22)),"")</f>
        <v/>
      </c>
      <c r="K25" s="209" t="str">
        <f>IFERROR(SUM(SUMIFS('caseload data'!M:M,'caseload data'!$C:$C,'community %'!$B$22,'caseload data'!$D:$D,"PSO",'caseload data'!$B:$B,{"licence","community"}))/SUM(SUMIFS('caseload data'!M:M,'caseload data'!$B:$B,{"licence","community"},'caseload data'!$C:$C,'community %'!$B$22)),"")</f>
        <v/>
      </c>
      <c r="L25" s="209" t="str">
        <f>IFERROR(SUM(SUMIFS('caseload data'!N:N,'caseload data'!$C:$C,'community %'!$B$22,'caseload data'!$D:$D,"PSO",'caseload data'!$B:$B,{"licence","community"}))/SUM(SUMIFS('caseload data'!N:N,'caseload data'!$B:$B,{"licence","community"},'caseload data'!$C:$C,'community %'!$B$22)),"")</f>
        <v/>
      </c>
      <c r="M25" s="209" t="str">
        <f>IFERROR(SUM(SUMIFS('caseload data'!O:O,'caseload data'!$C:$C,'community %'!$B$22,'caseload data'!$D:$D,"PSO",'caseload data'!$B:$B,{"licence","community"}))/SUM(SUMIFS('caseload data'!O:O,'caseload data'!$B:$B,{"licence","community"},'caseload data'!$C:$C,'community %'!$B$22)),"")</f>
        <v/>
      </c>
      <c r="N25" s="209" t="str">
        <f>IFERROR(SUM(SUMIFS('caseload data'!P:P,'caseload data'!$C:$C,'community %'!$B$22,'caseload data'!$D:$D,"PSO",'caseload data'!$B:$B,{"licence","community"}))/SUM(SUMIFS('caseload data'!P:P,'caseload data'!$B:$B,{"licence","community"},'caseload data'!$C:$C,'community %'!$B$22)),"")</f>
        <v/>
      </c>
      <c r="O25" s="209" t="str">
        <f>IFERROR(SUM(SUMIFS('caseload data'!Q:Q,'caseload data'!$C:$C,'community %'!$B$22,'caseload data'!$D:$D,"PSO",'caseload data'!$B:$B,{"licence","community"}))/SUM(SUMIFS('caseload data'!Q:Q,'caseload data'!$B:$B,{"licence","community"},'caseload data'!$C:$C,'community %'!$B$22)),"")</f>
        <v/>
      </c>
      <c r="P25" s="209" t="str">
        <f>IFERROR(SUM(SUMIFS('caseload data'!R:R,'caseload data'!$C:$C,'community %'!$B$22,'caseload data'!$D:$D,"PSO",'caseload data'!$B:$B,{"licence","community"}))/SUM(SUMIFS('caseload data'!R:R,'caseload data'!$B:$B,{"licence","community"},'caseload data'!$C:$C,'community %'!$B$22)),"")</f>
        <v/>
      </c>
      <c r="Q25" s="209" t="str">
        <f>IFERROR(SUM(SUMIFS('caseload data'!S:S,'caseload data'!$C:$C,'community %'!$B$22,'caseload data'!$D:$D,"PSO",'caseload data'!$B:$B,{"licence","community"}))/SUM(SUMIFS('caseload data'!S:S,'caseload data'!$B:$B,{"licence","community"},'caseload data'!$C:$C,'community %'!$B$22)),"")</f>
        <v/>
      </c>
      <c r="R25" s="209" t="str">
        <f>IFERROR(SUM(SUMIFS('caseload data'!T:T,'caseload data'!$C:$C,'community %'!$B$22,'caseload data'!$D:$D,"PSO",'caseload data'!$B:$B,{"licence","community"}))/SUM(SUMIFS('caseload data'!T:T,'caseload data'!$B:$B,{"licence","community"},'caseload data'!$C:$C,'community %'!$B$22)),"")</f>
        <v/>
      </c>
      <c r="S25" s="95"/>
      <c r="T25" s="130" t="s">
        <v>185</v>
      </c>
      <c r="U25" s="209" t="str">
        <f>IFERROR(SUM(SUMIFS('caseload data'!E:E,'caseload data'!$C:$C,'community %'!$T$22,'caseload data'!$D:$D,"PSO",'caseload data'!$B:$B,{"licence","community"}))/SUM(SUMIFS('caseload data'!E:E,'caseload data'!$B:$B,{"licence","community"},'caseload data'!$C:$C,'community %'!$T$22)),"")</f>
        <v/>
      </c>
      <c r="V25" s="209" t="str">
        <f>IFERROR(SUM(SUMIFS('caseload data'!F:F,'caseload data'!$C:$C,'community %'!$T$22,'caseload data'!$D:$D,"PSO",'caseload data'!$B:$B,{"licence","community"}))/SUM(SUMIFS('caseload data'!F:F,'caseload data'!$B:$B,{"licence","community"},'caseload data'!$C:$C,'community %'!$T$22)),"")</f>
        <v/>
      </c>
      <c r="W25" s="209" t="str">
        <f>IFERROR(SUM(SUMIFS('caseload data'!G:G,'caseload data'!$C:$C,'community %'!$T$22,'caseload data'!$D:$D,"PSO",'caseload data'!$B:$B,{"licence","community"}))/SUM(SUMIFS('caseload data'!G:G,'caseload data'!$B:$B,{"licence","community"},'caseload data'!$C:$C,'community %'!$T$22)),"")</f>
        <v/>
      </c>
      <c r="X25" s="209" t="str">
        <f>IFERROR(SUM(SUMIFS('caseload data'!H:H,'caseload data'!$C:$C,'community %'!$T$22,'caseload data'!$D:$D,"PSO",'caseload data'!$B:$B,{"licence","community"}))/SUM(SUMIFS('caseload data'!H:H,'caseload data'!$B:$B,{"licence","community"},'caseload data'!$C:$C,'community %'!$T$22)),"")</f>
        <v/>
      </c>
      <c r="Y25" s="209" t="str">
        <f>IFERROR(SUM(SUMIFS('caseload data'!I:I,'caseload data'!$C:$C,'community %'!$T$22,'caseload data'!$D:$D,"PSO",'caseload data'!$B:$B,{"licence","community"}))/SUM(SUMIFS('caseload data'!I:I,'caseload data'!$B:$B,{"licence","community"},'caseload data'!$C:$C,'community %'!$T$22)),"")</f>
        <v/>
      </c>
      <c r="Z25" s="209" t="str">
        <f>IFERROR(SUM(SUMIFS('caseload data'!J:J,'caseload data'!$C:$C,'community %'!$T$22,'caseload data'!$D:$D,"PSO",'caseload data'!$B:$B,{"licence","community"}))/SUM(SUMIFS('caseload data'!J:J,'caseload data'!$B:$B,{"licence","community"},'caseload data'!$C:$C,'community %'!$T$22)),"")</f>
        <v/>
      </c>
      <c r="AA25" s="209" t="str">
        <f>IFERROR(SUM(SUMIFS('caseload data'!K:K,'caseload data'!$C:$C,'community %'!$T$22,'caseload data'!$D:$D,"PSO",'caseload data'!$B:$B,{"licence","community"}))/SUM(SUMIFS('caseload data'!K:K,'caseload data'!$B:$B,{"licence","community"},'caseload data'!$C:$C,'community %'!$T$22)),"")</f>
        <v/>
      </c>
      <c r="AB25" s="209" t="str">
        <f>IFERROR(SUM(SUMIFS('caseload data'!L:L,'caseload data'!$C:$C,'community %'!$T$22,'caseload data'!$D:$D,"PSO",'caseload data'!$B:$B,{"licence","community"}))/SUM(SUMIFS('caseload data'!L:L,'caseload data'!$B:$B,{"licence","community"},'caseload data'!$C:$C,'community %'!$T$22)),"")</f>
        <v/>
      </c>
      <c r="AC25" s="209" t="str">
        <f>IFERROR(SUM(SUMIFS('caseload data'!M:M,'caseload data'!$C:$C,'community %'!$T$22,'caseload data'!$D:$D,"PSO",'caseload data'!$B:$B,{"licence","community"}))/SUM(SUMIFS('caseload data'!M:M,'caseload data'!$B:$B,{"licence","community"},'caseload data'!$C:$C,'community %'!$T$22)),"")</f>
        <v/>
      </c>
      <c r="AD25" s="209" t="str">
        <f>IFERROR(SUM(SUMIFS('caseload data'!N:N,'caseload data'!$C:$C,'community %'!$T$22,'caseload data'!$D:$D,"PSO",'caseload data'!$B:$B,{"licence","community"}))/SUM(SUMIFS('caseload data'!N:N,'caseload data'!$B:$B,{"licence","community"},'caseload data'!$C:$C,'community %'!$T$22)),"")</f>
        <v/>
      </c>
      <c r="AE25" s="209" t="str">
        <f>IFERROR(SUM(SUMIFS('caseload data'!O:O,'caseload data'!$C:$C,'community %'!$T$22,'caseload data'!$D:$D,"PSO",'caseload data'!$B:$B,{"licence","community"}))/SUM(SUMIFS('caseload data'!O:O,'caseload data'!$B:$B,{"licence","community"},'caseload data'!$C:$C,'community %'!$T$22)),"")</f>
        <v/>
      </c>
      <c r="AF25" s="209" t="str">
        <f>IFERROR(SUM(SUMIFS('caseload data'!P:P,'caseload data'!$C:$C,'community %'!$T$22,'caseload data'!$D:$D,"PSO",'caseload data'!$B:$B,{"licence","community"}))/SUM(SUMIFS('caseload data'!P:P,'caseload data'!$B:$B,{"licence","community"},'caseload data'!$C:$C,'community %'!$T$22)),"")</f>
        <v/>
      </c>
      <c r="AG25" s="209" t="str">
        <f>IFERROR(SUM(SUMIFS('caseload data'!Q:Q,'caseload data'!$C:$C,'community %'!$T$22,'caseload data'!$D:$D,"PSO",'caseload data'!$B:$B,{"licence","community"}))/SUM(SUMIFS('caseload data'!Q:Q,'caseload data'!$B:$B,{"licence","community"},'caseload data'!$C:$C,'community %'!$T$22)),"")</f>
        <v/>
      </c>
      <c r="AH25" s="209" t="str">
        <f>IFERROR(SUM(SUMIFS('caseload data'!R:R,'caseload data'!$C:$C,'community %'!$T$22,'caseload data'!$D:$D,"PSO",'caseload data'!$B:$B,{"licence","community"}))/SUM(SUMIFS('caseload data'!R:R,'caseload data'!$B:$B,{"licence","community"},'caseload data'!$C:$C,'community %'!$T$22)),"")</f>
        <v/>
      </c>
      <c r="AI25" s="209" t="str">
        <f>IFERROR(SUM(SUMIFS('caseload data'!S:S,'caseload data'!$C:$C,'community %'!$T$22,'caseload data'!$D:$D,"PSO",'caseload data'!$B:$B,{"licence","community"}))/SUM(SUMIFS('caseload data'!S:S,'caseload data'!$B:$B,{"licence","community"},'caseload data'!$C:$C,'community %'!$T$22)),"")</f>
        <v/>
      </c>
      <c r="AJ25" s="209" t="str">
        <f>IFERROR(SUM(SUMIFS('caseload data'!T:T,'caseload data'!$C:$C,'community %'!$T$22,'caseload data'!$D:$D,"PSO",'caseload data'!$B:$B,{"licence","community"}))/SUM(SUMIFS('caseload data'!T:T,'caseload data'!$B:$B,{"licence","community"},'caseload data'!$C:$C,'community %'!$T$22)),"")</f>
        <v/>
      </c>
    </row>
    <row r="26" spans="2:36" x14ac:dyDescent="0.15">
      <c r="B26" s="130" t="s">
        <v>186</v>
      </c>
      <c r="C26" s="209" t="str">
        <f>IFERROR(SUM(SUMIFS('caseload data'!E:E,'caseload data'!$C:$C,'community %'!$B$22,'caseload data'!$D:$D,"TPO",'caseload data'!$B:$B,{"licence","community"}))/SUM(SUMIFS('caseload data'!E:E,'caseload data'!$B:$B,{"licence","community"},'caseload data'!$C:$C,'community %'!$B$22)),"")</f>
        <v/>
      </c>
      <c r="D26" s="209" t="str">
        <f>IFERROR(SUM(SUMIFS('caseload data'!F:F,'caseload data'!$C:$C,'community %'!$B$22,'caseload data'!$D:$D,"TPO",'caseload data'!$B:$B,{"licence","community"}))/SUM(SUMIFS('caseload data'!F:F,'caseload data'!$B:$B,{"licence","community"},'caseload data'!$C:$C,'community %'!$B$22)),"")</f>
        <v/>
      </c>
      <c r="E26" s="209" t="str">
        <f>IFERROR(SUM(SUMIFS('caseload data'!G:G,'caseload data'!$C:$C,'community %'!$B$22,'caseload data'!$D:$D,"TPO",'caseload data'!$B:$B,{"licence","community"}))/SUM(SUMIFS('caseload data'!G:G,'caseload data'!$B:$B,{"licence","community"},'caseload data'!$C:$C,'community %'!$B$22)),"")</f>
        <v/>
      </c>
      <c r="F26" s="209" t="str">
        <f>IFERROR(SUM(SUMIFS('caseload data'!H:H,'caseload data'!$C:$C,'community %'!$B$22,'caseload data'!$D:$D,"TPO",'caseload data'!$B:$B,{"licence","community"}))/SUM(SUMIFS('caseload data'!H:H,'caseload data'!$B:$B,{"licence","community"},'caseload data'!$C:$C,'community %'!$B$22)),"")</f>
        <v/>
      </c>
      <c r="G26" s="209" t="str">
        <f>IFERROR(SUM(SUMIFS('caseload data'!I:I,'caseload data'!$C:$C,'community %'!$B$22,'caseload data'!$D:$D,"TPO",'caseload data'!$B:$B,{"licence","community"}))/SUM(SUMIFS('caseload data'!I:I,'caseload data'!$B:$B,{"licence","community"},'caseload data'!$C:$C,'community %'!$B$22)),"")</f>
        <v/>
      </c>
      <c r="H26" s="209" t="str">
        <f>IFERROR(SUM(SUMIFS('caseload data'!J:J,'caseload data'!$C:$C,'community %'!$B$22,'caseload data'!$D:$D,"TPO",'caseload data'!$B:$B,{"licence","community"}))/SUM(SUMIFS('caseload data'!J:J,'caseload data'!$B:$B,{"licence","community"},'caseload data'!$C:$C,'community %'!$B$22)),"")</f>
        <v/>
      </c>
      <c r="I26" s="209" t="str">
        <f>IFERROR(SUM(SUMIFS('caseload data'!K:K,'caseload data'!$C:$C,'community %'!$B$22,'caseload data'!$D:$D,"TPO",'caseload data'!$B:$B,{"licence","community"}))/SUM(SUMIFS('caseload data'!K:K,'caseload data'!$B:$B,{"licence","community"},'caseload data'!$C:$C,'community %'!$B$22)),"")</f>
        <v/>
      </c>
      <c r="J26" s="209" t="str">
        <f>IFERROR(SUM(SUMIFS('caseload data'!L:L,'caseload data'!$C:$C,'community %'!$B$22,'caseload data'!$D:$D,"TPO",'caseload data'!$B:$B,{"licence","community"}))/SUM(SUMIFS('caseload data'!L:L,'caseload data'!$B:$B,{"licence","community"},'caseload data'!$C:$C,'community %'!$B$22)),"")</f>
        <v/>
      </c>
      <c r="K26" s="209" t="str">
        <f>IFERROR(SUM(SUMIFS('caseload data'!M:M,'caseload data'!$C:$C,'community %'!$B$22,'caseload data'!$D:$D,"TPO",'caseload data'!$B:$B,{"licence","community"}))/SUM(SUMIFS('caseload data'!M:M,'caseload data'!$B:$B,{"licence","community"},'caseload data'!$C:$C,'community %'!$B$22)),"")</f>
        <v/>
      </c>
      <c r="L26" s="209" t="str">
        <f>IFERROR(SUM(SUMIFS('caseload data'!N:N,'caseload data'!$C:$C,'community %'!$B$22,'caseload data'!$D:$D,"TPO",'caseload data'!$B:$B,{"licence","community"}))/SUM(SUMIFS('caseload data'!N:N,'caseload data'!$B:$B,{"licence","community"},'caseload data'!$C:$C,'community %'!$B$22)),"")</f>
        <v/>
      </c>
      <c r="M26" s="209" t="str">
        <f>IFERROR(SUM(SUMIFS('caseload data'!O:O,'caseload data'!$C:$C,'community %'!$B$22,'caseload data'!$D:$D,"TPO",'caseload data'!$B:$B,{"licence","community"}))/SUM(SUMIFS('caseload data'!O:O,'caseload data'!$B:$B,{"licence","community"},'caseload data'!$C:$C,'community %'!$B$22)),"")</f>
        <v/>
      </c>
      <c r="N26" s="209" t="str">
        <f>IFERROR(SUM(SUMIFS('caseload data'!P:P,'caseload data'!$C:$C,'community %'!$B$22,'caseload data'!$D:$D,"TPO",'caseload data'!$B:$B,{"licence","community"}))/SUM(SUMIFS('caseload data'!P:P,'caseload data'!$B:$B,{"licence","community"},'caseload data'!$C:$C,'community %'!$B$22)),"")</f>
        <v/>
      </c>
      <c r="O26" s="209" t="str">
        <f>IFERROR(SUM(SUMIFS('caseload data'!Q:Q,'caseload data'!$C:$C,'community %'!$B$22,'caseload data'!$D:$D,"TPO",'caseload data'!$B:$B,{"licence","community"}))/SUM(SUMIFS('caseload data'!Q:Q,'caseload data'!$B:$B,{"licence","community"},'caseload data'!$C:$C,'community %'!$B$22)),"")</f>
        <v/>
      </c>
      <c r="P26" s="209" t="str">
        <f>IFERROR(SUM(SUMIFS('caseload data'!R:R,'caseload data'!$C:$C,'community %'!$B$22,'caseload data'!$D:$D,"TPO",'caseload data'!$B:$B,{"licence","community"}))/SUM(SUMIFS('caseload data'!R:R,'caseload data'!$B:$B,{"licence","community"},'caseload data'!$C:$C,'community %'!$B$22)),"")</f>
        <v/>
      </c>
      <c r="Q26" s="209" t="str">
        <f>IFERROR(SUM(SUMIFS('caseload data'!S:S,'caseload data'!$C:$C,'community %'!$B$22,'caseload data'!$D:$D,"TPO",'caseload data'!$B:$B,{"licence","community"}))/SUM(SUMIFS('caseload data'!S:S,'caseload data'!$B:$B,{"licence","community"},'caseload data'!$C:$C,'community %'!$B$22)),"")</f>
        <v/>
      </c>
      <c r="R26" s="209" t="str">
        <f>IFERROR(SUM(SUMIFS('caseload data'!T:T,'caseload data'!$C:$C,'community %'!$B$22,'caseload data'!$D:$D,"TPO",'caseload data'!$B:$B,{"licence","community"}))/SUM(SUMIFS('caseload data'!T:T,'caseload data'!$B:$B,{"licence","community"},'caseload data'!$C:$C,'community %'!$B$22)),"")</f>
        <v/>
      </c>
      <c r="S26" s="95"/>
      <c r="T26" s="130" t="s">
        <v>186</v>
      </c>
      <c r="U26" s="209" t="str">
        <f>IFERROR(SUM(SUMIFS('caseload data'!E:E,'caseload data'!$C:$C,'community %'!$T$22,'caseload data'!$D:$D,"TPO",'caseload data'!$B:$B,{"licence","community"}))/SUM(SUMIFS('caseload data'!E:E,'caseload data'!$B:$B,{"licence","community"},'caseload data'!$C:$C,'community %'!$T$22)),"")</f>
        <v/>
      </c>
      <c r="V26" s="209" t="str">
        <f>IFERROR(SUM(SUMIFS('caseload data'!F:F,'caseload data'!$C:$C,'community %'!$T$22,'caseload data'!$D:$D,"TPO",'caseload data'!$B:$B,{"licence","community"}))/SUM(SUMIFS('caseload data'!F:F,'caseload data'!$B:$B,{"licence","community"},'caseload data'!$C:$C,'community %'!$T$22)),"")</f>
        <v/>
      </c>
      <c r="W26" s="209" t="str">
        <f>IFERROR(SUM(SUMIFS('caseload data'!G:G,'caseload data'!$C:$C,'community %'!$T$22,'caseload data'!$D:$D,"TPO",'caseload data'!$B:$B,{"licence","community"}))/SUM(SUMIFS('caseload data'!G:G,'caseload data'!$B:$B,{"licence","community"},'caseload data'!$C:$C,'community %'!$T$22)),"")</f>
        <v/>
      </c>
      <c r="X26" s="209" t="str">
        <f>IFERROR(SUM(SUMIFS('caseload data'!H:H,'caseload data'!$C:$C,'community %'!$T$22,'caseload data'!$D:$D,"TPO",'caseload data'!$B:$B,{"licence","community"}))/SUM(SUMIFS('caseload data'!H:H,'caseload data'!$B:$B,{"licence","community"},'caseload data'!$C:$C,'community %'!$T$22)),"")</f>
        <v/>
      </c>
      <c r="Y26" s="209" t="str">
        <f>IFERROR(SUM(SUMIFS('caseload data'!I:I,'caseload data'!$C:$C,'community %'!$T$22,'caseload data'!$D:$D,"TPO",'caseload data'!$B:$B,{"licence","community"}))/SUM(SUMIFS('caseload data'!I:I,'caseload data'!$B:$B,{"licence","community"},'caseload data'!$C:$C,'community %'!$T$22)),"")</f>
        <v/>
      </c>
      <c r="Z26" s="209" t="str">
        <f>IFERROR(SUM(SUMIFS('caseload data'!J:J,'caseload data'!$C:$C,'community %'!$T$22,'caseload data'!$D:$D,"TPO",'caseload data'!$B:$B,{"licence","community"}))/SUM(SUMIFS('caseload data'!J:J,'caseload data'!$B:$B,{"licence","community"},'caseload data'!$C:$C,'community %'!$T$22)),"")</f>
        <v/>
      </c>
      <c r="AA26" s="209" t="str">
        <f>IFERROR(SUM(SUMIFS('caseload data'!K:K,'caseload data'!$C:$C,'community %'!$T$22,'caseload data'!$D:$D,"TPO",'caseload data'!$B:$B,{"licence","community"}))/SUM(SUMIFS('caseload data'!K:K,'caseload data'!$B:$B,{"licence","community"},'caseload data'!$C:$C,'community %'!$T$22)),"")</f>
        <v/>
      </c>
      <c r="AB26" s="209" t="str">
        <f>IFERROR(SUM(SUMIFS('caseload data'!L:L,'caseload data'!$C:$C,'community %'!$T$22,'caseload data'!$D:$D,"TPO",'caseload data'!$B:$B,{"licence","community"}))/SUM(SUMIFS('caseload data'!L:L,'caseload data'!$B:$B,{"licence","community"},'caseload data'!$C:$C,'community %'!$T$22)),"")</f>
        <v/>
      </c>
      <c r="AC26" s="209" t="str">
        <f>IFERROR(SUM(SUMIFS('caseload data'!M:M,'caseload data'!$C:$C,'community %'!$T$22,'caseload data'!$D:$D,"TPO",'caseload data'!$B:$B,{"licence","community"}))/SUM(SUMIFS('caseload data'!M:M,'caseload data'!$B:$B,{"licence","community"},'caseload data'!$C:$C,'community %'!$T$22)),"")</f>
        <v/>
      </c>
      <c r="AD26" s="209" t="str">
        <f>IFERROR(SUM(SUMIFS('caseload data'!N:N,'caseload data'!$C:$C,'community %'!$T$22,'caseload data'!$D:$D,"TPO",'caseload data'!$B:$B,{"licence","community"}))/SUM(SUMIFS('caseload data'!N:N,'caseload data'!$B:$B,{"licence","community"},'caseload data'!$C:$C,'community %'!$T$22)),"")</f>
        <v/>
      </c>
      <c r="AE26" s="209" t="str">
        <f>IFERROR(SUM(SUMIFS('caseload data'!O:O,'caseload data'!$C:$C,'community %'!$T$22,'caseload data'!$D:$D,"TPO",'caseload data'!$B:$B,{"licence","community"}))/SUM(SUMIFS('caseload data'!O:O,'caseload data'!$B:$B,{"licence","community"},'caseload data'!$C:$C,'community %'!$T$22)),"")</f>
        <v/>
      </c>
      <c r="AF26" s="209" t="str">
        <f>IFERROR(SUM(SUMIFS('caseload data'!P:P,'caseload data'!$C:$C,'community %'!$T$22,'caseload data'!$D:$D,"TPO",'caseload data'!$B:$B,{"licence","community"}))/SUM(SUMIFS('caseload data'!P:P,'caseload data'!$B:$B,{"licence","community"},'caseload data'!$C:$C,'community %'!$T$22)),"")</f>
        <v/>
      </c>
      <c r="AG26" s="209" t="str">
        <f>IFERROR(SUM(SUMIFS('caseload data'!Q:Q,'caseload data'!$C:$C,'community %'!$T$22,'caseload data'!$D:$D,"TPO",'caseload data'!$B:$B,{"licence","community"}))/SUM(SUMIFS('caseload data'!Q:Q,'caseload data'!$B:$B,{"licence","community"},'caseload data'!$C:$C,'community %'!$T$22)),"")</f>
        <v/>
      </c>
      <c r="AH26" s="209" t="str">
        <f>IFERROR(SUM(SUMIFS('caseload data'!R:R,'caseload data'!$C:$C,'community %'!$T$22,'caseload data'!$D:$D,"TPO",'caseload data'!$B:$B,{"licence","community"}))/SUM(SUMIFS('caseload data'!R:R,'caseload data'!$B:$B,{"licence","community"},'caseload data'!$C:$C,'community %'!$T$22)),"")</f>
        <v/>
      </c>
      <c r="AI26" s="209" t="str">
        <f>IFERROR(SUM(SUMIFS('caseload data'!S:S,'caseload data'!$C:$C,'community %'!$T$22,'caseload data'!$D:$D,"TPO",'caseload data'!$B:$B,{"licence","community"}))/SUM(SUMIFS('caseload data'!S:S,'caseload data'!$B:$B,{"licence","community"},'caseload data'!$C:$C,'community %'!$T$22)),"")</f>
        <v/>
      </c>
      <c r="AJ26" s="209" t="str">
        <f>IFERROR(SUM(SUMIFS('caseload data'!T:T,'caseload data'!$C:$C,'community %'!$T$22,'caseload data'!$D:$D,"TPO",'caseload data'!$B:$B,{"licence","community"}))/SUM(SUMIFS('caseload data'!T:T,'caseload data'!$B:$B,{"licence","community"},'caseload data'!$C:$C,'community %'!$T$22)),"")</f>
        <v/>
      </c>
    </row>
    <row r="27" spans="2:36" x14ac:dyDescent="0.15">
      <c r="B27" s="131" t="s">
        <v>187</v>
      </c>
      <c r="C27" s="209" t="str">
        <f>IFERROR(SUM(SUMIFS('caseload data'!E:E,'caseload data'!$C:$C,'community %'!$B$22,'caseload data'!$D:$D,"SPO",'caseload data'!$B:$B,{"licence","community"}))/SUM(SUMIFS('caseload data'!E:E,'caseload data'!$B:$B,{"licence","community"},'caseload data'!$C:$C,'community %'!$B$22)),"")</f>
        <v/>
      </c>
      <c r="D27" s="209" t="str">
        <f>IFERROR(SUM(SUMIFS('caseload data'!F:F,'caseload data'!$C:$C,'community %'!$B$22,'caseload data'!$D:$D,"SPO",'caseload data'!$B:$B,{"licence","community"}))/SUM(SUMIFS('caseload data'!F:F,'caseload data'!$B:$B,{"licence","community"},'caseload data'!$C:$C,'community %'!$B$22)),"")</f>
        <v/>
      </c>
      <c r="E27" s="209" t="str">
        <f>IFERROR(SUM(SUMIFS('caseload data'!G:G,'caseload data'!$C:$C,'community %'!$B$22,'caseload data'!$D:$D,"SPO",'caseload data'!$B:$B,{"licence","community"}))/SUM(SUMIFS('caseload data'!G:G,'caseload data'!$B:$B,{"licence","community"},'caseload data'!$C:$C,'community %'!$B$22)),"")</f>
        <v/>
      </c>
      <c r="F27" s="209" t="str">
        <f>IFERROR(SUM(SUMIFS('caseload data'!H:H,'caseload data'!$C:$C,'community %'!$B$22,'caseload data'!$D:$D,"SPO",'caseload data'!$B:$B,{"licence","community"}))/SUM(SUMIFS('caseload data'!H:H,'caseload data'!$B:$B,{"licence","community"},'caseload data'!$C:$C,'community %'!$B$22)),"")</f>
        <v/>
      </c>
      <c r="G27" s="209" t="str">
        <f>IFERROR(SUM(SUMIFS('caseload data'!I:I,'caseload data'!$C:$C,'community %'!$B$22,'caseload data'!$D:$D,"SPO",'caseload data'!$B:$B,{"licence","community"}))/SUM(SUMIFS('caseload data'!I:I,'caseload data'!$B:$B,{"licence","community"},'caseload data'!$C:$C,'community %'!$B$22)),"")</f>
        <v/>
      </c>
      <c r="H27" s="209" t="str">
        <f>IFERROR(SUM(SUMIFS('caseload data'!J:J,'caseload data'!$C:$C,'community %'!$B$22,'caseload data'!$D:$D,"SPO",'caseload data'!$B:$B,{"licence","community"}))/SUM(SUMIFS('caseload data'!J:J,'caseload data'!$B:$B,{"licence","community"},'caseload data'!$C:$C,'community %'!$B$22)),"")</f>
        <v/>
      </c>
      <c r="I27" s="209" t="str">
        <f>IFERROR(SUM(SUMIFS('caseload data'!K:K,'caseload data'!$C:$C,'community %'!$B$22,'caseload data'!$D:$D,"SPO",'caseload data'!$B:$B,{"licence","community"}))/SUM(SUMIFS('caseload data'!K:K,'caseload data'!$B:$B,{"licence","community"},'caseload data'!$C:$C,'community %'!$B$22)),"")</f>
        <v/>
      </c>
      <c r="J27" s="209" t="str">
        <f>IFERROR(SUM(SUMIFS('caseload data'!L:L,'caseload data'!$C:$C,'community %'!$B$22,'caseload data'!$D:$D,"SPO",'caseload data'!$B:$B,{"licence","community"}))/SUM(SUMIFS('caseload data'!L:L,'caseload data'!$B:$B,{"licence","community"},'caseload data'!$C:$C,'community %'!$B$22)),"")</f>
        <v/>
      </c>
      <c r="K27" s="209" t="str">
        <f>IFERROR(SUM(SUMIFS('caseload data'!M:M,'caseload data'!$C:$C,'community %'!$B$22,'caseload data'!$D:$D,"SPO",'caseload data'!$B:$B,{"licence","community"}))/SUM(SUMIFS('caseload data'!M:M,'caseload data'!$B:$B,{"licence","community"},'caseload data'!$C:$C,'community %'!$B$22)),"")</f>
        <v/>
      </c>
      <c r="L27" s="209" t="str">
        <f>IFERROR(SUM(SUMIFS('caseload data'!N:N,'caseload data'!$C:$C,'community %'!$B$22,'caseload data'!$D:$D,"SPO",'caseload data'!$B:$B,{"licence","community"}))/SUM(SUMIFS('caseload data'!N:N,'caseload data'!$B:$B,{"licence","community"},'caseload data'!$C:$C,'community %'!$B$22)),"")</f>
        <v/>
      </c>
      <c r="M27" s="209" t="str">
        <f>IFERROR(SUM(SUMIFS('caseload data'!O:O,'caseload data'!$C:$C,'community %'!$B$22,'caseload data'!$D:$D,"SPO",'caseload data'!$B:$B,{"licence","community"}))/SUM(SUMIFS('caseload data'!O:O,'caseload data'!$B:$B,{"licence","community"},'caseload data'!$C:$C,'community %'!$B$22)),"")</f>
        <v/>
      </c>
      <c r="N27" s="209" t="str">
        <f>IFERROR(SUM(SUMIFS('caseload data'!P:P,'caseload data'!$C:$C,'community %'!$B$22,'caseload data'!$D:$D,"SPO",'caseload data'!$B:$B,{"licence","community"}))/SUM(SUMIFS('caseload data'!P:P,'caseload data'!$B:$B,{"licence","community"},'caseload data'!$C:$C,'community %'!$B$22)),"")</f>
        <v/>
      </c>
      <c r="O27" s="209" t="str">
        <f>IFERROR(SUM(SUMIFS('caseload data'!Q:Q,'caseload data'!$C:$C,'community %'!$B$22,'caseload data'!$D:$D,"SPO",'caseload data'!$B:$B,{"licence","community"}))/SUM(SUMIFS('caseload data'!Q:Q,'caseload data'!$B:$B,{"licence","community"},'caseload data'!$C:$C,'community %'!$B$22)),"")</f>
        <v/>
      </c>
      <c r="P27" s="209" t="str">
        <f>IFERROR(SUM(SUMIFS('caseload data'!R:R,'caseload data'!$C:$C,'community %'!$B$22,'caseload data'!$D:$D,"SPO",'caseload data'!$B:$B,{"licence","community"}))/SUM(SUMIFS('caseload data'!R:R,'caseload data'!$B:$B,{"licence","community"},'caseload data'!$C:$C,'community %'!$B$22)),"")</f>
        <v/>
      </c>
      <c r="Q27" s="209" t="str">
        <f>IFERROR(SUM(SUMIFS('caseload data'!S:S,'caseload data'!$C:$C,'community %'!$B$22,'caseload data'!$D:$D,"SPO",'caseload data'!$B:$B,{"licence","community"}))/SUM(SUMIFS('caseload data'!S:S,'caseload data'!$B:$B,{"licence","community"},'caseload data'!$C:$C,'community %'!$B$22)),"")</f>
        <v/>
      </c>
      <c r="R27" s="209" t="str">
        <f>IFERROR(SUM(SUMIFS('caseload data'!T:T,'caseload data'!$C:$C,'community %'!$B$22,'caseload data'!$D:$D,"SPO",'caseload data'!$B:$B,{"licence","community"}))/SUM(SUMIFS('caseload data'!T:T,'caseload data'!$B:$B,{"licence","community"},'caseload data'!$C:$C,'community %'!$B$22)),"")</f>
        <v/>
      </c>
      <c r="S27" s="95"/>
      <c r="T27" s="131" t="s">
        <v>187</v>
      </c>
      <c r="U27" s="209" t="str">
        <f>IFERROR(SUM(SUMIFS('caseload data'!E:E,'caseload data'!$C:$C,'community %'!$T$22,'caseload data'!$D:$D,"SPO",'caseload data'!$B:$B,{"licence","community"}))/SUM(SUMIFS('caseload data'!E:E,'caseload data'!$B:$B,{"licence","community"},'caseload data'!$C:$C,'community %'!$T$22)),"")</f>
        <v/>
      </c>
      <c r="V27" s="209" t="str">
        <f>IFERROR(SUM(SUMIFS('caseload data'!F:F,'caseload data'!$C:$C,'community %'!$T$22,'caseload data'!$D:$D,"SPO",'caseload data'!$B:$B,{"licence","community"}))/SUM(SUMIFS('caseload data'!F:F,'caseload data'!$B:$B,{"licence","community"},'caseload data'!$C:$C,'community %'!$T$22)),"")</f>
        <v/>
      </c>
      <c r="W27" s="209" t="str">
        <f>IFERROR(SUM(SUMIFS('caseload data'!G:G,'caseload data'!$C:$C,'community %'!$T$22,'caseload data'!$D:$D,"SPO",'caseload data'!$B:$B,{"licence","community"}))/SUM(SUMIFS('caseload data'!G:G,'caseload data'!$B:$B,{"licence","community"},'caseload data'!$C:$C,'community %'!$T$22)),"")</f>
        <v/>
      </c>
      <c r="X27" s="209" t="str">
        <f>IFERROR(SUM(SUMIFS('caseload data'!H:H,'caseload data'!$C:$C,'community %'!$T$22,'caseload data'!$D:$D,"SPO",'caseload data'!$B:$B,{"licence","community"}))/SUM(SUMIFS('caseload data'!H:H,'caseload data'!$B:$B,{"licence","community"},'caseload data'!$C:$C,'community %'!$T$22)),"")</f>
        <v/>
      </c>
      <c r="Y27" s="209" t="str">
        <f>IFERROR(SUM(SUMIFS('caseload data'!I:I,'caseload data'!$C:$C,'community %'!$T$22,'caseload data'!$D:$D,"SPO",'caseload data'!$B:$B,{"licence","community"}))/SUM(SUMIFS('caseload data'!I:I,'caseload data'!$B:$B,{"licence","community"},'caseload data'!$C:$C,'community %'!$T$22)),"")</f>
        <v/>
      </c>
      <c r="Z27" s="209" t="str">
        <f>IFERROR(SUM(SUMIFS('caseload data'!J:J,'caseload data'!$C:$C,'community %'!$T$22,'caseload data'!$D:$D,"SPO",'caseload data'!$B:$B,{"licence","community"}))/SUM(SUMIFS('caseload data'!J:J,'caseload data'!$B:$B,{"licence","community"},'caseload data'!$C:$C,'community %'!$T$22)),"")</f>
        <v/>
      </c>
      <c r="AA27" s="209" t="str">
        <f>IFERROR(SUM(SUMIFS('caseload data'!K:K,'caseload data'!$C:$C,'community %'!$T$22,'caseload data'!$D:$D,"SPO",'caseload data'!$B:$B,{"licence","community"}))/SUM(SUMIFS('caseload data'!K:K,'caseload data'!$B:$B,{"licence","community"},'caseload data'!$C:$C,'community %'!$T$22)),"")</f>
        <v/>
      </c>
      <c r="AB27" s="209" t="str">
        <f>IFERROR(SUM(SUMIFS('caseload data'!L:L,'caseload data'!$C:$C,'community %'!$T$22,'caseload data'!$D:$D,"SPO",'caseload data'!$B:$B,{"licence","community"}))/SUM(SUMIFS('caseload data'!L:L,'caseload data'!$B:$B,{"licence","community"},'caseload data'!$C:$C,'community %'!$T$22)),"")</f>
        <v/>
      </c>
      <c r="AC27" s="209" t="str">
        <f>IFERROR(SUM(SUMIFS('caseload data'!M:M,'caseload data'!$C:$C,'community %'!$T$22,'caseload data'!$D:$D,"SPO",'caseload data'!$B:$B,{"licence","community"}))/SUM(SUMIFS('caseload data'!M:M,'caseload data'!$B:$B,{"licence","community"},'caseload data'!$C:$C,'community %'!$T$22)),"")</f>
        <v/>
      </c>
      <c r="AD27" s="209" t="str">
        <f>IFERROR(SUM(SUMIFS('caseload data'!N:N,'caseload data'!$C:$C,'community %'!$T$22,'caseload data'!$D:$D,"SPO",'caseload data'!$B:$B,{"licence","community"}))/SUM(SUMIFS('caseload data'!N:N,'caseload data'!$B:$B,{"licence","community"},'caseload data'!$C:$C,'community %'!$T$22)),"")</f>
        <v/>
      </c>
      <c r="AE27" s="209" t="str">
        <f>IFERROR(SUM(SUMIFS('caseload data'!O:O,'caseload data'!$C:$C,'community %'!$T$22,'caseload data'!$D:$D,"SPO",'caseload data'!$B:$B,{"licence","community"}))/SUM(SUMIFS('caseload data'!O:O,'caseload data'!$B:$B,{"licence","community"},'caseload data'!$C:$C,'community %'!$T$22)),"")</f>
        <v/>
      </c>
      <c r="AF27" s="209" t="str">
        <f>IFERROR(SUM(SUMIFS('caseload data'!P:P,'caseload data'!$C:$C,'community %'!$T$22,'caseload data'!$D:$D,"SPO",'caseload data'!$B:$B,{"licence","community"}))/SUM(SUMIFS('caseload data'!P:P,'caseload data'!$B:$B,{"licence","community"},'caseload data'!$C:$C,'community %'!$T$22)),"")</f>
        <v/>
      </c>
      <c r="AG27" s="209" t="str">
        <f>IFERROR(SUM(SUMIFS('caseload data'!Q:Q,'caseload data'!$C:$C,'community %'!$T$22,'caseload data'!$D:$D,"SPO",'caseload data'!$B:$B,{"licence","community"}))/SUM(SUMIFS('caseload data'!Q:Q,'caseload data'!$B:$B,{"licence","community"},'caseload data'!$C:$C,'community %'!$T$22)),"")</f>
        <v/>
      </c>
      <c r="AH27" s="209" t="str">
        <f>IFERROR(SUM(SUMIFS('caseload data'!R:R,'caseload data'!$C:$C,'community %'!$T$22,'caseload data'!$D:$D,"SPO",'caseload data'!$B:$B,{"licence","community"}))/SUM(SUMIFS('caseload data'!R:R,'caseload data'!$B:$B,{"licence","community"},'caseload data'!$C:$C,'community %'!$T$22)),"")</f>
        <v/>
      </c>
      <c r="AI27" s="209" t="str">
        <f>IFERROR(SUM(SUMIFS('caseload data'!S:S,'caseload data'!$C:$C,'community %'!$T$22,'caseload data'!$D:$D,"SPO",'caseload data'!$B:$B,{"licence","community"}))/SUM(SUMIFS('caseload data'!S:S,'caseload data'!$B:$B,{"licence","community"},'caseload data'!$C:$C,'community %'!$T$22)),"")</f>
        <v/>
      </c>
      <c r="AJ27" s="209" t="str">
        <f>IFERROR(SUM(SUMIFS('caseload data'!T:T,'caseload data'!$C:$C,'community %'!$T$22,'caseload data'!$D:$D,"SPO",'caseload data'!$B:$B,{"licence","community"}))/SUM(SUMIFS('caseload data'!T:T,'caseload data'!$B:$B,{"licence","community"},'caseload data'!$C:$C,'community %'!$T$22)),"")</f>
        <v/>
      </c>
    </row>
    <row r="28" spans="2:36" x14ac:dyDescent="0.15">
      <c r="B28" s="183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183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</row>
    <row r="29" spans="2:36" ht="45.75" customHeight="1" x14ac:dyDescent="0.15">
      <c r="B29" s="182" t="str">
        <f>HLOOKUP($B$5,Region_Table,8,0)</f>
        <v>Corporate Services - N07</v>
      </c>
      <c r="C29" s="359" t="s">
        <v>370</v>
      </c>
      <c r="D29" s="365"/>
      <c r="E29" s="365"/>
      <c r="F29" s="365"/>
      <c r="G29" s="365"/>
      <c r="H29" s="365"/>
      <c r="I29" s="365"/>
      <c r="J29" s="365"/>
      <c r="K29" s="365"/>
      <c r="L29" s="365"/>
      <c r="M29" s="368"/>
      <c r="N29" s="368"/>
      <c r="O29" s="369"/>
      <c r="P29" s="362" cm="1">
        <f t="array" ref="P29">SUM(SUMIFS('caseload data'!V:V,'caseload data'!B:B,{"licence","community"},'caseload data'!$C:$C,B29))</f>
        <v>0</v>
      </c>
      <c r="Q29" s="370"/>
      <c r="R29" s="371"/>
      <c r="S29" s="95"/>
      <c r="T29" s="182" t="str">
        <f>HLOOKUP($B$5,Region_Table,9,0)</f>
        <v>Croydon - N07</v>
      </c>
      <c r="U29" s="359" t="s">
        <v>370</v>
      </c>
      <c r="V29" s="365"/>
      <c r="W29" s="365"/>
      <c r="X29" s="365"/>
      <c r="Y29" s="365"/>
      <c r="Z29" s="365"/>
      <c r="AA29" s="365"/>
      <c r="AB29" s="365"/>
      <c r="AC29" s="365"/>
      <c r="AD29" s="365"/>
      <c r="AE29" s="368"/>
      <c r="AF29" s="368"/>
      <c r="AG29" s="369"/>
      <c r="AH29" s="362" cm="1">
        <f t="array" ref="AH29">SUM(SUMIFS('caseload data'!V:V,'caseload data'!B:B,{"licence","community"},'caseload data'!$C:$C,T29))</f>
        <v>0</v>
      </c>
      <c r="AI29" s="370"/>
      <c r="AJ29" s="371"/>
    </row>
    <row r="30" spans="2:36" x14ac:dyDescent="0.15">
      <c r="B30" s="127" t="s">
        <v>324</v>
      </c>
      <c r="C30" s="58" t="s">
        <v>504</v>
      </c>
      <c r="D30" s="58" t="s">
        <v>503</v>
      </c>
      <c r="E30" s="58" t="s">
        <v>502</v>
      </c>
      <c r="F30" s="58" t="s">
        <v>501</v>
      </c>
      <c r="G30" s="58" t="s">
        <v>510</v>
      </c>
      <c r="H30" s="58" t="s">
        <v>176</v>
      </c>
      <c r="I30" s="58" t="s">
        <v>177</v>
      </c>
      <c r="J30" s="58" t="s">
        <v>505</v>
      </c>
      <c r="K30" s="58" t="s">
        <v>507</v>
      </c>
      <c r="L30" s="58" t="s">
        <v>178</v>
      </c>
      <c r="M30" s="58" t="s">
        <v>179</v>
      </c>
      <c r="N30" s="58" t="s">
        <v>506</v>
      </c>
      <c r="O30" s="58" t="s">
        <v>508</v>
      </c>
      <c r="P30" s="58" t="s">
        <v>180</v>
      </c>
      <c r="Q30" s="58" t="s">
        <v>181</v>
      </c>
      <c r="R30" s="58" t="s">
        <v>509</v>
      </c>
      <c r="S30" s="95"/>
      <c r="T30" s="127" t="s">
        <v>324</v>
      </c>
      <c r="U30" s="58" t="s">
        <v>504</v>
      </c>
      <c r="V30" s="58" t="s">
        <v>503</v>
      </c>
      <c r="W30" s="58" t="s">
        <v>502</v>
      </c>
      <c r="X30" s="58" t="s">
        <v>501</v>
      </c>
      <c r="Y30" s="58" t="s">
        <v>510</v>
      </c>
      <c r="Z30" s="58" t="s">
        <v>176</v>
      </c>
      <c r="AA30" s="58" t="s">
        <v>177</v>
      </c>
      <c r="AB30" s="58" t="s">
        <v>505</v>
      </c>
      <c r="AC30" s="58" t="s">
        <v>507</v>
      </c>
      <c r="AD30" s="58" t="s">
        <v>178</v>
      </c>
      <c r="AE30" s="58" t="s">
        <v>179</v>
      </c>
      <c r="AF30" s="58" t="s">
        <v>506</v>
      </c>
      <c r="AG30" s="58" t="s">
        <v>508</v>
      </c>
      <c r="AH30" s="58" t="s">
        <v>180</v>
      </c>
      <c r="AI30" s="58" t="s">
        <v>181</v>
      </c>
      <c r="AJ30" s="58" t="s">
        <v>509</v>
      </c>
    </row>
    <row r="31" spans="2:36" x14ac:dyDescent="0.15">
      <c r="B31" s="129" t="s">
        <v>184</v>
      </c>
      <c r="C31" s="209" t="str">
        <f>IFERROR(SUM(SUMIFS('caseload data'!E:E,'caseload data'!$C:$C,'community %'!$B$29,'caseload data'!$D:$D,"PO",'caseload data'!$B:$B,{"licence","community"}))/SUM(SUMIFS('caseload data'!E:E,'caseload data'!$B:$B,{"licence","community"},'caseload data'!$C:$C,'community %'!$B$29)),"")</f>
        <v/>
      </c>
      <c r="D31" s="209" t="str">
        <f>IFERROR(SUM(SUMIFS('caseload data'!F:F,'caseload data'!$C:$C,'community %'!$B$29,'caseload data'!$D:$D,"PO",'caseload data'!$B:$B,{"licence","community"}))/SUM(SUMIFS('caseload data'!F:F,'caseload data'!$B:$B,{"licence","community"},'caseload data'!$C:$C,'community %'!$B$29)),"")</f>
        <v/>
      </c>
      <c r="E31" s="209" t="str">
        <f>IFERROR(SUM(SUMIFS('caseload data'!G:G,'caseload data'!$C:$C,'community %'!$B$29,'caseload data'!$D:$D,"PO",'caseload data'!$B:$B,{"licence","community"}))/SUM(SUMIFS('caseload data'!G:G,'caseload data'!$B:$B,{"licence","community"},'caseload data'!$C:$C,'community %'!$B$29)),"")</f>
        <v/>
      </c>
      <c r="F31" s="209" t="str">
        <f>IFERROR(SUM(SUMIFS('caseload data'!H:H,'caseload data'!$C:$C,'community %'!$B$29,'caseload data'!$D:$D,"PO",'caseload data'!$B:$B,{"licence","community"}))/SUM(SUMIFS('caseload data'!H:H,'caseload data'!$B:$B,{"licence","community"},'caseload data'!$C:$C,'community %'!$B$29)),"")</f>
        <v/>
      </c>
      <c r="G31" s="209" t="str">
        <f>IFERROR(SUM(SUMIFS('caseload data'!I:I,'caseload data'!$C:$C,'community %'!$B$29,'caseload data'!$D:$D,"PO",'caseload data'!$B:$B,{"licence","community"}))/SUM(SUMIFS('caseload data'!I:I,'caseload data'!$B:$B,{"licence","community"},'caseload data'!$C:$C,'community %'!$B$29)),"")</f>
        <v/>
      </c>
      <c r="H31" s="209" t="str">
        <f>IFERROR(SUM(SUMIFS('caseload data'!J:J,'caseload data'!$C:$C,'community %'!$B$29,'caseload data'!$D:$D,"PO",'caseload data'!$B:$B,{"licence","community"}))/SUM(SUMIFS('caseload data'!J:J,'caseload data'!$B:$B,{"licence","community"},'caseload data'!$C:$C,'community %'!$B$29)),"")</f>
        <v/>
      </c>
      <c r="I31" s="209" t="str">
        <f>IFERROR(SUM(SUMIFS('caseload data'!K:K,'caseload data'!$C:$C,'community %'!$B$29,'caseload data'!$D:$D,"PO",'caseload data'!$B:$B,{"licence","community"}))/SUM(SUMIFS('caseload data'!K:K,'caseload data'!$B:$B,{"licence","community"},'caseload data'!$C:$C,'community %'!$B$29)),"")</f>
        <v/>
      </c>
      <c r="J31" s="209" t="str">
        <f>IFERROR(SUM(SUMIFS('caseload data'!L:L,'caseload data'!$C:$C,'community %'!$B$29,'caseload data'!$D:$D,"PO",'caseload data'!$B:$B,{"licence","community"}))/SUM(SUMIFS('caseload data'!L:L,'caseload data'!$B:$B,{"licence","community"},'caseload data'!$C:$C,'community %'!$B$29)),"")</f>
        <v/>
      </c>
      <c r="K31" s="209" t="str">
        <f>IFERROR(SUM(SUMIFS('caseload data'!M:M,'caseload data'!$C:$C,'community %'!$B$29,'caseload data'!$D:$D,"PO",'caseload data'!$B:$B,{"licence","community"}))/SUM(SUMIFS('caseload data'!M:M,'caseload data'!$B:$B,{"licence","community"},'caseload data'!$C:$C,'community %'!$B$29)),"")</f>
        <v/>
      </c>
      <c r="L31" s="209" t="str">
        <f>IFERROR(SUM(SUMIFS('caseload data'!N:N,'caseload data'!$C:$C,'community %'!$B$29,'caseload data'!$D:$D,"PO",'caseload data'!$B:$B,{"licence","community"}))/SUM(SUMIFS('caseload data'!N:N,'caseload data'!$B:$B,{"licence","community"},'caseload data'!$C:$C,'community %'!$B$29)),"")</f>
        <v/>
      </c>
      <c r="M31" s="209" t="str">
        <f>IFERROR(SUM(SUMIFS('caseload data'!O:O,'caseload data'!$C:$C,'community %'!$B$29,'caseload data'!$D:$D,"PO",'caseload data'!$B:$B,{"licence","community"}))/SUM(SUMIFS('caseload data'!O:O,'caseload data'!$B:$B,{"licence","community"},'caseload data'!$C:$C,'community %'!$B$29)),"")</f>
        <v/>
      </c>
      <c r="N31" s="209" t="str">
        <f>IFERROR(SUM(SUMIFS('caseload data'!P:P,'caseload data'!$C:$C,'community %'!$B$29,'caseload data'!$D:$D,"PO",'caseload data'!$B:$B,{"licence","community"}))/SUM(SUMIFS('caseload data'!P:P,'caseload data'!$B:$B,{"licence","community"},'caseload data'!$C:$C,'community %'!$B$29)),"")</f>
        <v/>
      </c>
      <c r="O31" s="209" t="str">
        <f>IFERROR(SUM(SUMIFS('caseload data'!Q:Q,'caseload data'!$C:$C,'community %'!$B$29,'caseload data'!$D:$D,"PO",'caseload data'!$B:$B,{"licence","community"}))/SUM(SUMIFS('caseload data'!Q:Q,'caseload data'!$B:$B,{"licence","community"},'caseload data'!$C:$C,'community %'!$B$29)),"")</f>
        <v/>
      </c>
      <c r="P31" s="209" t="str">
        <f>IFERROR(SUM(SUMIFS('caseload data'!R:R,'caseload data'!$C:$C,'community %'!$B$29,'caseload data'!$D:$D,"PO",'caseload data'!$B:$B,{"licence","community"}))/SUM(SUMIFS('caseload data'!R:R,'caseload data'!$B:$B,{"licence","community"},'caseload data'!$C:$C,'community %'!$B$29)),"")</f>
        <v/>
      </c>
      <c r="Q31" s="209" t="str">
        <f>IFERROR(SUM(SUMIFS('caseload data'!S:S,'caseload data'!$C:$C,'community %'!$B$29,'caseload data'!$D:$D,"PO",'caseload data'!$B:$B,{"licence","community"}))/SUM(SUMIFS('caseload data'!S:S,'caseload data'!$B:$B,{"licence","community"},'caseload data'!$C:$C,'community %'!$B$29)),"")</f>
        <v/>
      </c>
      <c r="R31" s="209" t="str">
        <f>IFERROR(SUM(SUMIFS('caseload data'!T:T,'caseload data'!$C:$C,'community %'!$B$29,'caseload data'!$D:$D,"PO",'caseload data'!$B:$B,{"licence","community"}))/SUM(SUMIFS('caseload data'!T:T,'caseload data'!$B:$B,{"licence","community"},'caseload data'!$C:$C,'community %'!$B$29)),"")</f>
        <v/>
      </c>
      <c r="S31" s="95"/>
      <c r="T31" s="129" t="s">
        <v>184</v>
      </c>
      <c r="U31" s="209" t="str">
        <f>IFERROR(SUM(SUMIFS('caseload data'!E:E,'caseload data'!$C:$C,'community %'!$T$29,'caseload data'!$D:$D,"PO",'caseload data'!$B:$B,{"licence","community"}))/SUM(SUMIFS('caseload data'!E:E,'caseload data'!$B:$B,{"licence","community"},'caseload data'!$C:$C,'community %'!$T$29)),"")</f>
        <v/>
      </c>
      <c r="V31" s="209" t="str">
        <f>IFERROR(SUM(SUMIFS('caseload data'!F:F,'caseload data'!$C:$C,'community %'!$T$29,'caseload data'!$D:$D,"PO",'caseload data'!$B:$B,{"licence","community"}))/SUM(SUMIFS('caseload data'!F:F,'caseload data'!$B:$B,{"licence","community"},'caseload data'!$C:$C,'community %'!$T$29)),"")</f>
        <v/>
      </c>
      <c r="W31" s="209" t="str">
        <f>IFERROR(SUM(SUMIFS('caseload data'!G:G,'caseload data'!$C:$C,'community %'!$T$29,'caseload data'!$D:$D,"PO",'caseload data'!$B:$B,{"licence","community"}))/SUM(SUMIFS('caseload data'!G:G,'caseload data'!$B:$B,{"licence","community"},'caseload data'!$C:$C,'community %'!$T$29)),"")</f>
        <v/>
      </c>
      <c r="X31" s="209" t="str">
        <f>IFERROR(SUM(SUMIFS('caseload data'!H:H,'caseload data'!$C:$C,'community %'!$T$29,'caseload data'!$D:$D,"PO",'caseload data'!$B:$B,{"licence","community"}))/SUM(SUMIFS('caseload data'!H:H,'caseload data'!$B:$B,{"licence","community"},'caseload data'!$C:$C,'community %'!$T$29)),"")</f>
        <v/>
      </c>
      <c r="Y31" s="209" t="str">
        <f>IFERROR(SUM(SUMIFS('caseload data'!I:I,'caseload data'!$C:$C,'community %'!$T$29,'caseload data'!$D:$D,"PO",'caseload data'!$B:$B,{"licence","community"}))/SUM(SUMIFS('caseload data'!I:I,'caseload data'!$B:$B,{"licence","community"},'caseload data'!$C:$C,'community %'!$T$29)),"")</f>
        <v/>
      </c>
      <c r="Z31" s="209" t="str">
        <f>IFERROR(SUM(SUMIFS('caseload data'!J:J,'caseload data'!$C:$C,'community %'!$T$29,'caseload data'!$D:$D,"PO",'caseload data'!$B:$B,{"licence","community"}))/SUM(SUMIFS('caseload data'!J:J,'caseload data'!$B:$B,{"licence","community"},'caseload data'!$C:$C,'community %'!$T$29)),"")</f>
        <v/>
      </c>
      <c r="AA31" s="209" t="str">
        <f>IFERROR(SUM(SUMIFS('caseload data'!K:K,'caseload data'!$C:$C,'community %'!$T$29,'caseload data'!$D:$D,"PO",'caseload data'!$B:$B,{"licence","community"}))/SUM(SUMIFS('caseload data'!K:K,'caseload data'!$B:$B,{"licence","community"},'caseload data'!$C:$C,'community %'!$T$29)),"")</f>
        <v/>
      </c>
      <c r="AB31" s="209" t="str">
        <f>IFERROR(SUM(SUMIFS('caseload data'!L:L,'caseload data'!$C:$C,'community %'!$T$29,'caseload data'!$D:$D,"PO",'caseload data'!$B:$B,{"licence","community"}))/SUM(SUMIFS('caseload data'!L:L,'caseload data'!$B:$B,{"licence","community"},'caseload data'!$C:$C,'community %'!$T$29)),"")</f>
        <v/>
      </c>
      <c r="AC31" s="209" t="str">
        <f>IFERROR(SUM(SUMIFS('caseload data'!M:M,'caseload data'!$C:$C,'community %'!$T$29,'caseload data'!$D:$D,"PO",'caseload data'!$B:$B,{"licence","community"}))/SUM(SUMIFS('caseload data'!M:M,'caseload data'!$B:$B,{"licence","community"},'caseload data'!$C:$C,'community %'!$T$29)),"")</f>
        <v/>
      </c>
      <c r="AD31" s="209" t="str">
        <f>IFERROR(SUM(SUMIFS('caseload data'!N:N,'caseload data'!$C:$C,'community %'!$T$29,'caseload data'!$D:$D,"PO",'caseload data'!$B:$B,{"licence","community"}))/SUM(SUMIFS('caseload data'!N:N,'caseload data'!$B:$B,{"licence","community"},'caseload data'!$C:$C,'community %'!$T$29)),"")</f>
        <v/>
      </c>
      <c r="AE31" s="209" t="str">
        <f>IFERROR(SUM(SUMIFS('caseload data'!O:O,'caseload data'!$C:$C,'community %'!$T$29,'caseload data'!$D:$D,"PO",'caseload data'!$B:$B,{"licence","community"}))/SUM(SUMIFS('caseload data'!O:O,'caseload data'!$B:$B,{"licence","community"},'caseload data'!$C:$C,'community %'!$T$29)),"")</f>
        <v/>
      </c>
      <c r="AF31" s="209" t="str">
        <f>IFERROR(SUM(SUMIFS('caseload data'!P:P,'caseload data'!$C:$C,'community %'!$T$29,'caseload data'!$D:$D,"PO",'caseload data'!$B:$B,{"licence","community"}))/SUM(SUMIFS('caseload data'!P:P,'caseload data'!$B:$B,{"licence","community"},'caseload data'!$C:$C,'community %'!$T$29)),"")</f>
        <v/>
      </c>
      <c r="AG31" s="209" t="str">
        <f>IFERROR(SUM(SUMIFS('caseload data'!Q:Q,'caseload data'!$C:$C,'community %'!$T$29,'caseload data'!$D:$D,"PO",'caseload data'!$B:$B,{"licence","community"}))/SUM(SUMIFS('caseload data'!Q:Q,'caseload data'!$B:$B,{"licence","community"},'caseload data'!$C:$C,'community %'!$T$29)),"")</f>
        <v/>
      </c>
      <c r="AH31" s="209" t="str">
        <f>IFERROR(SUM(SUMIFS('caseload data'!R:R,'caseload data'!$C:$C,'community %'!$T$29,'caseload data'!$D:$D,"PO",'caseload data'!$B:$B,{"licence","community"}))/SUM(SUMIFS('caseload data'!R:R,'caseload data'!$B:$B,{"licence","community"},'caseload data'!$C:$C,'community %'!$T$29)),"")</f>
        <v/>
      </c>
      <c r="AI31" s="209" t="str">
        <f>IFERROR(SUM(SUMIFS('caseload data'!S:S,'caseload data'!$C:$C,'community %'!$T$29,'caseload data'!$D:$D,"PO",'caseload data'!$B:$B,{"licence","community"}))/SUM(SUMIFS('caseload data'!S:S,'caseload data'!$B:$B,{"licence","community"},'caseload data'!$C:$C,'community %'!$T$29)),"")</f>
        <v/>
      </c>
      <c r="AJ31" s="209" t="str">
        <f>IFERROR(SUM(SUMIFS('caseload data'!T:T,'caseload data'!$C:$C,'community %'!$T$29,'caseload data'!$D:$D,"PO",'caseload data'!$B:$B,{"licence","community"}))/SUM(SUMIFS('caseload data'!T:T,'caseload data'!$B:$B,{"licence","community"},'caseload data'!$C:$C,'community %'!$T$29)),"")</f>
        <v/>
      </c>
    </row>
    <row r="32" spans="2:36" x14ac:dyDescent="0.15">
      <c r="B32" s="130" t="s">
        <v>185</v>
      </c>
      <c r="C32" s="209" t="str">
        <f>IFERROR(SUM(SUMIFS('caseload data'!E:E,'caseload data'!$C:$C,'community %'!$B$29,'caseload data'!$D:$D,"PSO",'caseload data'!$B:$B,{"licence","community"}))/SUM(SUMIFS('caseload data'!E:E,'caseload data'!$B:$B,{"licence","community"},'caseload data'!$C:$C,'community %'!$B$29)),"")</f>
        <v/>
      </c>
      <c r="D32" s="209" t="str">
        <f>IFERROR(SUM(SUMIFS('caseload data'!F:F,'caseload data'!$C:$C,'community %'!$B$29,'caseload data'!$D:$D,"PSO",'caseload data'!$B:$B,{"licence","community"}))/SUM(SUMIFS('caseload data'!F:F,'caseload data'!$B:$B,{"licence","community"},'caseload data'!$C:$C,'community %'!$B$29)),"")</f>
        <v/>
      </c>
      <c r="E32" s="209" t="str">
        <f>IFERROR(SUM(SUMIFS('caseload data'!G:G,'caseload data'!$C:$C,'community %'!$B$29,'caseload data'!$D:$D,"PSO",'caseload data'!$B:$B,{"licence","community"}))/SUM(SUMIFS('caseload data'!G:G,'caseload data'!$B:$B,{"licence","community"},'caseload data'!$C:$C,'community %'!$B$29)),"")</f>
        <v/>
      </c>
      <c r="F32" s="209" t="str">
        <f>IFERROR(SUM(SUMIFS('caseload data'!H:H,'caseload data'!$C:$C,'community %'!$B$29,'caseload data'!$D:$D,"PSO",'caseload data'!$B:$B,{"licence","community"}))/SUM(SUMIFS('caseload data'!H:H,'caseload data'!$B:$B,{"licence","community"},'caseload data'!$C:$C,'community %'!$B$29)),"")</f>
        <v/>
      </c>
      <c r="G32" s="209" t="str">
        <f>IFERROR(SUM(SUMIFS('caseload data'!I:I,'caseload data'!$C:$C,'community %'!$B$29,'caseload data'!$D:$D,"PSO",'caseload data'!$B:$B,{"licence","community"}))/SUM(SUMIFS('caseload data'!I:I,'caseload data'!$B:$B,{"licence","community"},'caseload data'!$C:$C,'community %'!$B$29)),"")</f>
        <v/>
      </c>
      <c r="H32" s="209" t="str">
        <f>IFERROR(SUM(SUMIFS('caseload data'!J:J,'caseload data'!$C:$C,'community %'!$B$29,'caseload data'!$D:$D,"PSO",'caseload data'!$B:$B,{"licence","community"}))/SUM(SUMIFS('caseload data'!J:J,'caseload data'!$B:$B,{"licence","community"},'caseload data'!$C:$C,'community %'!$B$29)),"")</f>
        <v/>
      </c>
      <c r="I32" s="209" t="str">
        <f>IFERROR(SUM(SUMIFS('caseload data'!K:K,'caseload data'!$C:$C,'community %'!$B$29,'caseload data'!$D:$D,"PSO",'caseload data'!$B:$B,{"licence","community"}))/SUM(SUMIFS('caseload data'!K:K,'caseload data'!$B:$B,{"licence","community"},'caseload data'!$C:$C,'community %'!$B$29)),"")</f>
        <v/>
      </c>
      <c r="J32" s="209" t="str">
        <f>IFERROR(SUM(SUMIFS('caseload data'!L:L,'caseload data'!$C:$C,'community %'!$B$29,'caseload data'!$D:$D,"PSO",'caseload data'!$B:$B,{"licence","community"}))/SUM(SUMIFS('caseload data'!L:L,'caseload data'!$B:$B,{"licence","community"},'caseload data'!$C:$C,'community %'!$B$29)),"")</f>
        <v/>
      </c>
      <c r="K32" s="209" t="str">
        <f>IFERROR(SUM(SUMIFS('caseload data'!M:M,'caseload data'!$C:$C,'community %'!$B$29,'caseload data'!$D:$D,"PSO",'caseload data'!$B:$B,{"licence","community"}))/SUM(SUMIFS('caseload data'!M:M,'caseload data'!$B:$B,{"licence","community"},'caseload data'!$C:$C,'community %'!$B$29)),"")</f>
        <v/>
      </c>
      <c r="L32" s="209" t="str">
        <f>IFERROR(SUM(SUMIFS('caseload data'!N:N,'caseload data'!$C:$C,'community %'!$B$29,'caseload data'!$D:$D,"PSO",'caseload data'!$B:$B,{"licence","community"}))/SUM(SUMIFS('caseload data'!N:N,'caseload data'!$B:$B,{"licence","community"},'caseload data'!$C:$C,'community %'!$B$29)),"")</f>
        <v/>
      </c>
      <c r="M32" s="209" t="str">
        <f>IFERROR(SUM(SUMIFS('caseload data'!O:O,'caseload data'!$C:$C,'community %'!$B$29,'caseload data'!$D:$D,"PSO",'caseload data'!$B:$B,{"licence","community"}))/SUM(SUMIFS('caseload data'!O:O,'caseload data'!$B:$B,{"licence","community"},'caseload data'!$C:$C,'community %'!$B$29)),"")</f>
        <v/>
      </c>
      <c r="N32" s="209" t="str">
        <f>IFERROR(SUM(SUMIFS('caseload data'!P:P,'caseload data'!$C:$C,'community %'!$B$29,'caseload data'!$D:$D,"PSO",'caseload data'!$B:$B,{"licence","community"}))/SUM(SUMIFS('caseload data'!P:P,'caseload data'!$B:$B,{"licence","community"},'caseload data'!$C:$C,'community %'!$B$29)),"")</f>
        <v/>
      </c>
      <c r="O32" s="209" t="str">
        <f>IFERROR(SUM(SUMIFS('caseload data'!Q:Q,'caseload data'!$C:$C,'community %'!$B$29,'caseload data'!$D:$D,"PSO",'caseload data'!$B:$B,{"licence","community"}))/SUM(SUMIFS('caseload data'!Q:Q,'caseload data'!$B:$B,{"licence","community"},'caseload data'!$C:$C,'community %'!$B$29)),"")</f>
        <v/>
      </c>
      <c r="P32" s="209" t="str">
        <f>IFERROR(SUM(SUMIFS('caseload data'!R:R,'caseload data'!$C:$C,'community %'!$B$29,'caseload data'!$D:$D,"PSO",'caseload data'!$B:$B,{"licence","community"}))/SUM(SUMIFS('caseload data'!R:R,'caseload data'!$B:$B,{"licence","community"},'caseload data'!$C:$C,'community %'!$B$29)),"")</f>
        <v/>
      </c>
      <c r="Q32" s="209" t="str">
        <f>IFERROR(SUM(SUMIFS('caseload data'!S:S,'caseload data'!$C:$C,'community %'!$B$29,'caseload data'!$D:$D,"PSO",'caseload data'!$B:$B,{"licence","community"}))/SUM(SUMIFS('caseload data'!S:S,'caseload data'!$B:$B,{"licence","community"},'caseload data'!$C:$C,'community %'!$B$29)),"")</f>
        <v/>
      </c>
      <c r="R32" s="209" t="str">
        <f>IFERROR(SUM(SUMIFS('caseload data'!T:T,'caseload data'!$C:$C,'community %'!$B$29,'caseload data'!$D:$D,"PSO",'caseload data'!$B:$B,{"licence","community"}))/SUM(SUMIFS('caseload data'!T:T,'caseload data'!$B:$B,{"licence","community"},'caseload data'!$C:$C,'community %'!$B$29)),"")</f>
        <v/>
      </c>
      <c r="S32" s="95"/>
      <c r="T32" s="130" t="s">
        <v>185</v>
      </c>
      <c r="U32" s="209" t="str">
        <f>IFERROR(SUM(SUMIFS('caseload data'!E:E,'caseload data'!$C:$C,'community %'!$T$29,'caseload data'!$D:$D,"PSO",'caseload data'!$B:$B,{"licence","community"}))/SUM(SUMIFS('caseload data'!E:E,'caseload data'!$B:$B,{"licence","community"},'caseload data'!$C:$C,'community %'!$T$29)),"")</f>
        <v/>
      </c>
      <c r="V32" s="209" t="str">
        <f>IFERROR(SUM(SUMIFS('caseload data'!F:F,'caseload data'!$C:$C,'community %'!$T$29,'caseload data'!$D:$D,"PSO",'caseload data'!$B:$B,{"licence","community"}))/SUM(SUMIFS('caseload data'!F:F,'caseload data'!$B:$B,{"licence","community"},'caseload data'!$C:$C,'community %'!$T$29)),"")</f>
        <v/>
      </c>
      <c r="W32" s="209" t="str">
        <f>IFERROR(SUM(SUMIFS('caseload data'!G:G,'caseload data'!$C:$C,'community %'!$T$29,'caseload data'!$D:$D,"PSO",'caseload data'!$B:$B,{"licence","community"}))/SUM(SUMIFS('caseload data'!G:G,'caseload data'!$B:$B,{"licence","community"},'caseload data'!$C:$C,'community %'!$T$29)),"")</f>
        <v/>
      </c>
      <c r="X32" s="209" t="str">
        <f>IFERROR(SUM(SUMIFS('caseload data'!H:H,'caseload data'!$C:$C,'community %'!$T$29,'caseload data'!$D:$D,"PSO",'caseload data'!$B:$B,{"licence","community"}))/SUM(SUMIFS('caseload data'!H:H,'caseload data'!$B:$B,{"licence","community"},'caseload data'!$C:$C,'community %'!$T$29)),"")</f>
        <v/>
      </c>
      <c r="Y32" s="209" t="str">
        <f>IFERROR(SUM(SUMIFS('caseload data'!I:I,'caseload data'!$C:$C,'community %'!$T$29,'caseload data'!$D:$D,"PSO",'caseload data'!$B:$B,{"licence","community"}))/SUM(SUMIFS('caseload data'!I:I,'caseload data'!$B:$B,{"licence","community"},'caseload data'!$C:$C,'community %'!$T$29)),"")</f>
        <v/>
      </c>
      <c r="Z32" s="209" t="str">
        <f>IFERROR(SUM(SUMIFS('caseload data'!J:J,'caseload data'!$C:$C,'community %'!$T$29,'caseload data'!$D:$D,"PSO",'caseload data'!$B:$B,{"licence","community"}))/SUM(SUMIFS('caseload data'!J:J,'caseload data'!$B:$B,{"licence","community"},'caseload data'!$C:$C,'community %'!$T$29)),"")</f>
        <v/>
      </c>
      <c r="AA32" s="209" t="str">
        <f>IFERROR(SUM(SUMIFS('caseload data'!K:K,'caseload data'!$C:$C,'community %'!$T$29,'caseload data'!$D:$D,"PSO",'caseload data'!$B:$B,{"licence","community"}))/SUM(SUMIFS('caseload data'!K:K,'caseload data'!$B:$B,{"licence","community"},'caseload data'!$C:$C,'community %'!$T$29)),"")</f>
        <v/>
      </c>
      <c r="AB32" s="209" t="str">
        <f>IFERROR(SUM(SUMIFS('caseload data'!L:L,'caseload data'!$C:$C,'community %'!$T$29,'caseload data'!$D:$D,"PSO",'caseload data'!$B:$B,{"licence","community"}))/SUM(SUMIFS('caseload data'!L:L,'caseload data'!$B:$B,{"licence","community"},'caseload data'!$C:$C,'community %'!$T$29)),"")</f>
        <v/>
      </c>
      <c r="AC32" s="209" t="str">
        <f>IFERROR(SUM(SUMIFS('caseload data'!M:M,'caseload data'!$C:$C,'community %'!$T$29,'caseload data'!$D:$D,"PSO",'caseload data'!$B:$B,{"licence","community"}))/SUM(SUMIFS('caseload data'!M:M,'caseload data'!$B:$B,{"licence","community"},'caseload data'!$C:$C,'community %'!$T$29)),"")</f>
        <v/>
      </c>
      <c r="AD32" s="209" t="str">
        <f>IFERROR(SUM(SUMIFS('caseload data'!N:N,'caseload data'!$C:$C,'community %'!$T$29,'caseload data'!$D:$D,"PSO",'caseload data'!$B:$B,{"licence","community"}))/SUM(SUMIFS('caseload data'!N:N,'caseload data'!$B:$B,{"licence","community"},'caseload data'!$C:$C,'community %'!$T$29)),"")</f>
        <v/>
      </c>
      <c r="AE32" s="209" t="str">
        <f>IFERROR(SUM(SUMIFS('caseload data'!O:O,'caseload data'!$C:$C,'community %'!$T$29,'caseload data'!$D:$D,"PSO",'caseload data'!$B:$B,{"licence","community"}))/SUM(SUMIFS('caseload data'!O:O,'caseload data'!$B:$B,{"licence","community"},'caseload data'!$C:$C,'community %'!$T$29)),"")</f>
        <v/>
      </c>
      <c r="AF32" s="209" t="str">
        <f>IFERROR(SUM(SUMIFS('caseload data'!P:P,'caseload data'!$C:$C,'community %'!$T$29,'caseload data'!$D:$D,"PSO",'caseload data'!$B:$B,{"licence","community"}))/SUM(SUMIFS('caseload data'!P:P,'caseload data'!$B:$B,{"licence","community"},'caseload data'!$C:$C,'community %'!$T$29)),"")</f>
        <v/>
      </c>
      <c r="AG32" s="209" t="str">
        <f>IFERROR(SUM(SUMIFS('caseload data'!Q:Q,'caseload data'!$C:$C,'community %'!$T$29,'caseload data'!$D:$D,"PSO",'caseload data'!$B:$B,{"licence","community"}))/SUM(SUMIFS('caseload data'!Q:Q,'caseload data'!$B:$B,{"licence","community"},'caseload data'!$C:$C,'community %'!$T$29)),"")</f>
        <v/>
      </c>
      <c r="AH32" s="209" t="str">
        <f>IFERROR(SUM(SUMIFS('caseload data'!R:R,'caseload data'!$C:$C,'community %'!$T$29,'caseload data'!$D:$D,"PSO",'caseload data'!$B:$B,{"licence","community"}))/SUM(SUMIFS('caseload data'!R:R,'caseload data'!$B:$B,{"licence","community"},'caseload data'!$C:$C,'community %'!$T$29)),"")</f>
        <v/>
      </c>
      <c r="AI32" s="209" t="str">
        <f>IFERROR(SUM(SUMIFS('caseload data'!S:S,'caseload data'!$C:$C,'community %'!$T$29,'caseload data'!$D:$D,"PSO",'caseload data'!$B:$B,{"licence","community"}))/SUM(SUMIFS('caseload data'!S:S,'caseload data'!$B:$B,{"licence","community"},'caseload data'!$C:$C,'community %'!$T$29)),"")</f>
        <v/>
      </c>
      <c r="AJ32" s="209" t="str">
        <f>IFERROR(SUM(SUMIFS('caseload data'!T:T,'caseload data'!$C:$C,'community %'!$T$29,'caseload data'!$D:$D,"PSO",'caseload data'!$B:$B,{"licence","community"}))/SUM(SUMIFS('caseload data'!T:T,'caseload data'!$B:$B,{"licence","community"},'caseload data'!$C:$C,'community %'!$T$29)),"")</f>
        <v/>
      </c>
    </row>
    <row r="33" spans="2:36" x14ac:dyDescent="0.15">
      <c r="B33" s="130" t="s">
        <v>186</v>
      </c>
      <c r="C33" s="209" t="str">
        <f>IFERROR(SUM(SUMIFS('caseload data'!E:E,'caseload data'!$C:$C,'community %'!$B$29,'caseload data'!$D:$D,"TPO",'caseload data'!$B:$B,{"licence","community"}))/SUM(SUMIFS('caseload data'!E:E,'caseload data'!$B:$B,{"licence","community"},'caseload data'!$C:$C,'community %'!$B$29)),"")</f>
        <v/>
      </c>
      <c r="D33" s="209" t="str">
        <f>IFERROR(SUM(SUMIFS('caseload data'!F:F,'caseload data'!$C:$C,'community %'!$B$29,'caseload data'!$D:$D,"TPO",'caseload data'!$B:$B,{"licence","community"}))/SUM(SUMIFS('caseload data'!F:F,'caseload data'!$B:$B,{"licence","community"},'caseload data'!$C:$C,'community %'!$B$29)),"")</f>
        <v/>
      </c>
      <c r="E33" s="209" t="str">
        <f>IFERROR(SUM(SUMIFS('caseload data'!G:G,'caseload data'!$C:$C,'community %'!$B$29,'caseload data'!$D:$D,"TPO",'caseload data'!$B:$B,{"licence","community"}))/SUM(SUMIFS('caseload data'!G:G,'caseload data'!$B:$B,{"licence","community"},'caseload data'!$C:$C,'community %'!$B$29)),"")</f>
        <v/>
      </c>
      <c r="F33" s="209" t="str">
        <f>IFERROR(SUM(SUMIFS('caseload data'!H:H,'caseload data'!$C:$C,'community %'!$B$29,'caseload data'!$D:$D,"TPO",'caseload data'!$B:$B,{"licence","community"}))/SUM(SUMIFS('caseload data'!H:H,'caseload data'!$B:$B,{"licence","community"},'caseload data'!$C:$C,'community %'!$B$29)),"")</f>
        <v/>
      </c>
      <c r="G33" s="209" t="str">
        <f>IFERROR(SUM(SUMIFS('caseload data'!I:I,'caseload data'!$C:$C,'community %'!$B$29,'caseload data'!$D:$D,"TPO",'caseload data'!$B:$B,{"licence","community"}))/SUM(SUMIFS('caseload data'!I:I,'caseload data'!$B:$B,{"licence","community"},'caseload data'!$C:$C,'community %'!$B$29)),"")</f>
        <v/>
      </c>
      <c r="H33" s="209" t="str">
        <f>IFERROR(SUM(SUMIFS('caseload data'!J:J,'caseload data'!$C:$C,'community %'!$B$29,'caseload data'!$D:$D,"TPO",'caseload data'!$B:$B,{"licence","community"}))/SUM(SUMIFS('caseload data'!J:J,'caseload data'!$B:$B,{"licence","community"},'caseload data'!$C:$C,'community %'!$B$29)),"")</f>
        <v/>
      </c>
      <c r="I33" s="209" t="str">
        <f>IFERROR(SUM(SUMIFS('caseload data'!K:K,'caseload data'!$C:$C,'community %'!$B$29,'caseload data'!$D:$D,"TPO",'caseload data'!$B:$B,{"licence","community"}))/SUM(SUMIFS('caseload data'!K:K,'caseload data'!$B:$B,{"licence","community"},'caseload data'!$C:$C,'community %'!$B$29)),"")</f>
        <v/>
      </c>
      <c r="J33" s="209" t="str">
        <f>IFERROR(SUM(SUMIFS('caseload data'!L:L,'caseload data'!$C:$C,'community %'!$B$29,'caseload data'!$D:$D,"TPO",'caseload data'!$B:$B,{"licence","community"}))/SUM(SUMIFS('caseload data'!L:L,'caseload data'!$B:$B,{"licence","community"},'caseload data'!$C:$C,'community %'!$B$29)),"")</f>
        <v/>
      </c>
      <c r="K33" s="209" t="str">
        <f>IFERROR(SUM(SUMIFS('caseload data'!M:M,'caseload data'!$C:$C,'community %'!$B$29,'caseload data'!$D:$D,"TPO",'caseload data'!$B:$B,{"licence","community"}))/SUM(SUMIFS('caseload data'!M:M,'caseload data'!$B:$B,{"licence","community"},'caseload data'!$C:$C,'community %'!$B$29)),"")</f>
        <v/>
      </c>
      <c r="L33" s="209" t="str">
        <f>IFERROR(SUM(SUMIFS('caseload data'!N:N,'caseload data'!$C:$C,'community %'!$B$29,'caseload data'!$D:$D,"TPO",'caseload data'!$B:$B,{"licence","community"}))/SUM(SUMIFS('caseload data'!N:N,'caseload data'!$B:$B,{"licence","community"},'caseload data'!$C:$C,'community %'!$B$29)),"")</f>
        <v/>
      </c>
      <c r="M33" s="209" t="str">
        <f>IFERROR(SUM(SUMIFS('caseload data'!O:O,'caseload data'!$C:$C,'community %'!$B$29,'caseload data'!$D:$D,"TPO",'caseload data'!$B:$B,{"licence","community"}))/SUM(SUMIFS('caseload data'!O:O,'caseload data'!$B:$B,{"licence","community"},'caseload data'!$C:$C,'community %'!$B$29)),"")</f>
        <v/>
      </c>
      <c r="N33" s="209" t="str">
        <f>IFERROR(SUM(SUMIFS('caseload data'!P:P,'caseload data'!$C:$C,'community %'!$B$29,'caseload data'!$D:$D,"TPO",'caseload data'!$B:$B,{"licence","community"}))/SUM(SUMIFS('caseload data'!P:P,'caseload data'!$B:$B,{"licence","community"},'caseload data'!$C:$C,'community %'!$B$29)),"")</f>
        <v/>
      </c>
      <c r="O33" s="209" t="str">
        <f>IFERROR(SUM(SUMIFS('caseload data'!Q:Q,'caseload data'!$C:$C,'community %'!$B$29,'caseload data'!$D:$D,"TPO",'caseload data'!$B:$B,{"licence","community"}))/SUM(SUMIFS('caseload data'!Q:Q,'caseload data'!$B:$B,{"licence","community"},'caseload data'!$C:$C,'community %'!$B$29)),"")</f>
        <v/>
      </c>
      <c r="P33" s="209" t="str">
        <f>IFERROR(SUM(SUMIFS('caseload data'!R:R,'caseload data'!$C:$C,'community %'!$B$29,'caseload data'!$D:$D,"TPO",'caseload data'!$B:$B,{"licence","community"}))/SUM(SUMIFS('caseload data'!R:R,'caseload data'!$B:$B,{"licence","community"},'caseload data'!$C:$C,'community %'!$B$29)),"")</f>
        <v/>
      </c>
      <c r="Q33" s="209" t="str">
        <f>IFERROR(SUM(SUMIFS('caseload data'!S:S,'caseload data'!$C:$C,'community %'!$B$29,'caseload data'!$D:$D,"TPO",'caseload data'!$B:$B,{"licence","community"}))/SUM(SUMIFS('caseload data'!S:S,'caseload data'!$B:$B,{"licence","community"},'caseload data'!$C:$C,'community %'!$B$29)),"")</f>
        <v/>
      </c>
      <c r="R33" s="209" t="str">
        <f>IFERROR(SUM(SUMIFS('caseload data'!T:T,'caseload data'!$C:$C,'community %'!$B$29,'caseload data'!$D:$D,"TPO",'caseload data'!$B:$B,{"licence","community"}))/SUM(SUMIFS('caseload data'!T:T,'caseload data'!$B:$B,{"licence","community"},'caseload data'!$C:$C,'community %'!$B$29)),"")</f>
        <v/>
      </c>
      <c r="S33" s="95"/>
      <c r="T33" s="130" t="s">
        <v>186</v>
      </c>
      <c r="U33" s="209" t="str">
        <f>IFERROR(SUM(SUMIFS('caseload data'!E:E,'caseload data'!$C:$C,'community %'!$T$29,'caseload data'!$D:$D,"TPO",'caseload data'!$B:$B,{"licence","community"}))/SUM(SUMIFS('caseload data'!E:E,'caseload data'!$B:$B,{"licence","community"},'caseload data'!$C:$C,'community %'!$T$29)),"")</f>
        <v/>
      </c>
      <c r="V33" s="209" t="str">
        <f>IFERROR(SUM(SUMIFS('caseload data'!F:F,'caseload data'!$C:$C,'community %'!$T$29,'caseload data'!$D:$D,"TPO",'caseload data'!$B:$B,{"licence","community"}))/SUM(SUMIFS('caseload data'!F:F,'caseload data'!$B:$B,{"licence","community"},'caseload data'!$C:$C,'community %'!$T$29)),"")</f>
        <v/>
      </c>
      <c r="W33" s="209" t="str">
        <f>IFERROR(SUM(SUMIFS('caseload data'!G:G,'caseload data'!$C:$C,'community %'!$T$29,'caseload data'!$D:$D,"TPO",'caseload data'!$B:$B,{"licence","community"}))/SUM(SUMIFS('caseload data'!G:G,'caseload data'!$B:$B,{"licence","community"},'caseload data'!$C:$C,'community %'!$T$29)),"")</f>
        <v/>
      </c>
      <c r="X33" s="209" t="str">
        <f>IFERROR(SUM(SUMIFS('caseload data'!H:H,'caseload data'!$C:$C,'community %'!$T$29,'caseload data'!$D:$D,"TPO",'caseload data'!$B:$B,{"licence","community"}))/SUM(SUMIFS('caseload data'!H:H,'caseload data'!$B:$B,{"licence","community"},'caseload data'!$C:$C,'community %'!$T$29)),"")</f>
        <v/>
      </c>
      <c r="Y33" s="209" t="str">
        <f>IFERROR(SUM(SUMIFS('caseload data'!I:I,'caseload data'!$C:$C,'community %'!$T$29,'caseload data'!$D:$D,"TPO",'caseload data'!$B:$B,{"licence","community"}))/SUM(SUMIFS('caseload data'!I:I,'caseload data'!$B:$B,{"licence","community"},'caseload data'!$C:$C,'community %'!$T$29)),"")</f>
        <v/>
      </c>
      <c r="Z33" s="209" t="str">
        <f>IFERROR(SUM(SUMIFS('caseload data'!J:J,'caseload data'!$C:$C,'community %'!$T$29,'caseload data'!$D:$D,"TPO",'caseload data'!$B:$B,{"licence","community"}))/SUM(SUMIFS('caseload data'!J:J,'caseload data'!$B:$B,{"licence","community"},'caseload data'!$C:$C,'community %'!$T$29)),"")</f>
        <v/>
      </c>
      <c r="AA33" s="209" t="str">
        <f>IFERROR(SUM(SUMIFS('caseload data'!K:K,'caseload data'!$C:$C,'community %'!$T$29,'caseload data'!$D:$D,"TPO",'caseload data'!$B:$B,{"licence","community"}))/SUM(SUMIFS('caseload data'!K:K,'caseload data'!$B:$B,{"licence","community"},'caseload data'!$C:$C,'community %'!$T$29)),"")</f>
        <v/>
      </c>
      <c r="AB33" s="209" t="str">
        <f>IFERROR(SUM(SUMIFS('caseload data'!L:L,'caseload data'!$C:$C,'community %'!$T$29,'caseload data'!$D:$D,"TPO",'caseload data'!$B:$B,{"licence","community"}))/SUM(SUMIFS('caseload data'!L:L,'caseload data'!$B:$B,{"licence","community"},'caseload data'!$C:$C,'community %'!$T$29)),"")</f>
        <v/>
      </c>
      <c r="AC33" s="209" t="str">
        <f>IFERROR(SUM(SUMIFS('caseload data'!M:M,'caseload data'!$C:$C,'community %'!$T$29,'caseload data'!$D:$D,"TPO",'caseload data'!$B:$B,{"licence","community"}))/SUM(SUMIFS('caseload data'!M:M,'caseload data'!$B:$B,{"licence","community"},'caseload data'!$C:$C,'community %'!$T$29)),"")</f>
        <v/>
      </c>
      <c r="AD33" s="209" t="str">
        <f>IFERROR(SUM(SUMIFS('caseload data'!N:N,'caseload data'!$C:$C,'community %'!$T$29,'caseload data'!$D:$D,"TPO",'caseload data'!$B:$B,{"licence","community"}))/SUM(SUMIFS('caseload data'!N:N,'caseload data'!$B:$B,{"licence","community"},'caseload data'!$C:$C,'community %'!$T$29)),"")</f>
        <v/>
      </c>
      <c r="AE33" s="209" t="str">
        <f>IFERROR(SUM(SUMIFS('caseload data'!O:O,'caseload data'!$C:$C,'community %'!$T$29,'caseload data'!$D:$D,"TPO",'caseload data'!$B:$B,{"licence","community"}))/SUM(SUMIFS('caseload data'!O:O,'caseload data'!$B:$B,{"licence","community"},'caseload data'!$C:$C,'community %'!$T$29)),"")</f>
        <v/>
      </c>
      <c r="AF33" s="209" t="str">
        <f>IFERROR(SUM(SUMIFS('caseload data'!P:P,'caseload data'!$C:$C,'community %'!$T$29,'caseload data'!$D:$D,"TPO",'caseload data'!$B:$B,{"licence","community"}))/SUM(SUMIFS('caseload data'!P:P,'caseload data'!$B:$B,{"licence","community"},'caseload data'!$C:$C,'community %'!$T$29)),"")</f>
        <v/>
      </c>
      <c r="AG33" s="209" t="str">
        <f>IFERROR(SUM(SUMIFS('caseload data'!Q:Q,'caseload data'!$C:$C,'community %'!$T$29,'caseload data'!$D:$D,"TPO",'caseload data'!$B:$B,{"licence","community"}))/SUM(SUMIFS('caseload data'!Q:Q,'caseload data'!$B:$B,{"licence","community"},'caseload data'!$C:$C,'community %'!$T$29)),"")</f>
        <v/>
      </c>
      <c r="AH33" s="209" t="str">
        <f>IFERROR(SUM(SUMIFS('caseload data'!R:R,'caseload data'!$C:$C,'community %'!$T$29,'caseload data'!$D:$D,"TPO",'caseload data'!$B:$B,{"licence","community"}))/SUM(SUMIFS('caseload data'!R:R,'caseload data'!$B:$B,{"licence","community"},'caseload data'!$C:$C,'community %'!$T$29)),"")</f>
        <v/>
      </c>
      <c r="AI33" s="209" t="str">
        <f>IFERROR(SUM(SUMIFS('caseload data'!S:S,'caseload data'!$C:$C,'community %'!$T$29,'caseload data'!$D:$D,"TPO",'caseload data'!$B:$B,{"licence","community"}))/SUM(SUMIFS('caseload data'!S:S,'caseload data'!$B:$B,{"licence","community"},'caseload data'!$C:$C,'community %'!$T$29)),"")</f>
        <v/>
      </c>
      <c r="AJ33" s="209" t="str">
        <f>IFERROR(SUM(SUMIFS('caseload data'!T:T,'caseload data'!$C:$C,'community %'!$T$29,'caseload data'!$D:$D,"TPO",'caseload data'!$B:$B,{"licence","community"}))/SUM(SUMIFS('caseload data'!T:T,'caseload data'!$B:$B,{"licence","community"},'caseload data'!$C:$C,'community %'!$T$29)),"")</f>
        <v/>
      </c>
    </row>
    <row r="34" spans="2:36" x14ac:dyDescent="0.15">
      <c r="B34" s="131" t="s">
        <v>187</v>
      </c>
      <c r="C34" s="209" t="str">
        <f>IFERROR(SUM(SUMIFS('caseload data'!E:E,'caseload data'!$C:$C,'community %'!$B$29,'caseload data'!$D:$D,"SPO",'caseload data'!$B:$B,{"licence","community"}))/SUM(SUMIFS('caseload data'!E:E,'caseload data'!$B:$B,{"licence","community"},'caseload data'!$C:$C,'community %'!$B$29)),"")</f>
        <v/>
      </c>
      <c r="D34" s="209" t="str">
        <f>IFERROR(SUM(SUMIFS('caseload data'!F:F,'caseload data'!$C:$C,'community %'!$B$29,'caseload data'!$D:$D,"SPO",'caseload data'!$B:$B,{"licence","community"}))/SUM(SUMIFS('caseload data'!F:F,'caseload data'!$B:$B,{"licence","community"},'caseload data'!$C:$C,'community %'!$B$29)),"")</f>
        <v/>
      </c>
      <c r="E34" s="209" t="str">
        <f>IFERROR(SUM(SUMIFS('caseload data'!G:G,'caseload data'!$C:$C,'community %'!$B$29,'caseload data'!$D:$D,"SPO",'caseload data'!$B:$B,{"licence","community"}))/SUM(SUMIFS('caseload data'!G:G,'caseload data'!$B:$B,{"licence","community"},'caseload data'!$C:$C,'community %'!$B$29)),"")</f>
        <v/>
      </c>
      <c r="F34" s="209" t="str">
        <f>IFERROR(SUM(SUMIFS('caseload data'!H:H,'caseload data'!$C:$C,'community %'!$B$29,'caseload data'!$D:$D,"SPO",'caseload data'!$B:$B,{"licence","community"}))/SUM(SUMIFS('caseload data'!H:H,'caseload data'!$B:$B,{"licence","community"},'caseload data'!$C:$C,'community %'!$B$29)),"")</f>
        <v/>
      </c>
      <c r="G34" s="209" t="str">
        <f>IFERROR(SUM(SUMIFS('caseload data'!I:I,'caseload data'!$C:$C,'community %'!$B$29,'caseload data'!$D:$D,"SPO",'caseload data'!$B:$B,{"licence","community"}))/SUM(SUMIFS('caseload data'!I:I,'caseload data'!$B:$B,{"licence","community"},'caseload data'!$C:$C,'community %'!$B$29)),"")</f>
        <v/>
      </c>
      <c r="H34" s="209" t="str">
        <f>IFERROR(SUM(SUMIFS('caseload data'!J:J,'caseload data'!$C:$C,'community %'!$B$29,'caseload data'!$D:$D,"SPO",'caseload data'!$B:$B,{"licence","community"}))/SUM(SUMIFS('caseload data'!J:J,'caseload data'!$B:$B,{"licence","community"},'caseload data'!$C:$C,'community %'!$B$29)),"")</f>
        <v/>
      </c>
      <c r="I34" s="209" t="str">
        <f>IFERROR(SUM(SUMIFS('caseload data'!K:K,'caseload data'!$C:$C,'community %'!$B$29,'caseload data'!$D:$D,"SPO",'caseload data'!$B:$B,{"licence","community"}))/SUM(SUMIFS('caseload data'!K:K,'caseload data'!$B:$B,{"licence","community"},'caseload data'!$C:$C,'community %'!$B$29)),"")</f>
        <v/>
      </c>
      <c r="J34" s="209" t="str">
        <f>IFERROR(SUM(SUMIFS('caseload data'!L:L,'caseload data'!$C:$C,'community %'!$B$29,'caseload data'!$D:$D,"SPO",'caseload data'!$B:$B,{"licence","community"}))/SUM(SUMIFS('caseload data'!L:L,'caseload data'!$B:$B,{"licence","community"},'caseload data'!$C:$C,'community %'!$B$29)),"")</f>
        <v/>
      </c>
      <c r="K34" s="209" t="str">
        <f>IFERROR(SUM(SUMIFS('caseload data'!M:M,'caseload data'!$C:$C,'community %'!$B$29,'caseload data'!$D:$D,"SPO",'caseload data'!$B:$B,{"licence","community"}))/SUM(SUMIFS('caseload data'!M:M,'caseload data'!$B:$B,{"licence","community"},'caseload data'!$C:$C,'community %'!$B$29)),"")</f>
        <v/>
      </c>
      <c r="L34" s="209" t="str">
        <f>IFERROR(SUM(SUMIFS('caseload data'!N:N,'caseload data'!$C:$C,'community %'!$B$29,'caseload data'!$D:$D,"SPO",'caseload data'!$B:$B,{"licence","community"}))/SUM(SUMIFS('caseload data'!N:N,'caseload data'!$B:$B,{"licence","community"},'caseload data'!$C:$C,'community %'!$B$29)),"")</f>
        <v/>
      </c>
      <c r="M34" s="209" t="str">
        <f>IFERROR(SUM(SUMIFS('caseload data'!O:O,'caseload data'!$C:$C,'community %'!$B$29,'caseload data'!$D:$D,"SPO",'caseload data'!$B:$B,{"licence","community"}))/SUM(SUMIFS('caseload data'!O:O,'caseload data'!$B:$B,{"licence","community"},'caseload data'!$C:$C,'community %'!$B$29)),"")</f>
        <v/>
      </c>
      <c r="N34" s="209" t="str">
        <f>IFERROR(SUM(SUMIFS('caseload data'!P:P,'caseload data'!$C:$C,'community %'!$B$29,'caseload data'!$D:$D,"SPO",'caseload data'!$B:$B,{"licence","community"}))/SUM(SUMIFS('caseload data'!P:P,'caseload data'!$B:$B,{"licence","community"},'caseload data'!$C:$C,'community %'!$B$29)),"")</f>
        <v/>
      </c>
      <c r="O34" s="209" t="str">
        <f>IFERROR(SUM(SUMIFS('caseload data'!Q:Q,'caseload data'!$C:$C,'community %'!$B$29,'caseload data'!$D:$D,"SPO",'caseload data'!$B:$B,{"licence","community"}))/SUM(SUMIFS('caseload data'!Q:Q,'caseload data'!$B:$B,{"licence","community"},'caseload data'!$C:$C,'community %'!$B$29)),"")</f>
        <v/>
      </c>
      <c r="P34" s="209" t="str">
        <f>IFERROR(SUM(SUMIFS('caseload data'!R:R,'caseload data'!$C:$C,'community %'!$B$29,'caseload data'!$D:$D,"SPO",'caseload data'!$B:$B,{"licence","community"}))/SUM(SUMIFS('caseload data'!R:R,'caseload data'!$B:$B,{"licence","community"},'caseload data'!$C:$C,'community %'!$B$29)),"")</f>
        <v/>
      </c>
      <c r="Q34" s="209" t="str">
        <f>IFERROR(SUM(SUMIFS('caseload data'!S:S,'caseload data'!$C:$C,'community %'!$B$29,'caseload data'!$D:$D,"SPO",'caseload data'!$B:$B,{"licence","community"}))/SUM(SUMIFS('caseload data'!S:S,'caseload data'!$B:$B,{"licence","community"},'caseload data'!$C:$C,'community %'!$B$29)),"")</f>
        <v/>
      </c>
      <c r="R34" s="209" t="str">
        <f>IFERROR(SUM(SUMIFS('caseload data'!T:T,'caseload data'!$C:$C,'community %'!$B$29,'caseload data'!$D:$D,"SPO",'caseload data'!$B:$B,{"licence","community"}))/SUM(SUMIFS('caseload data'!T:T,'caseload data'!$B:$B,{"licence","community"},'caseload data'!$C:$C,'community %'!$B$29)),"")</f>
        <v/>
      </c>
      <c r="S34" s="95"/>
      <c r="T34" s="131" t="s">
        <v>187</v>
      </c>
      <c r="U34" s="209" t="str">
        <f>IFERROR(SUM(SUMIFS('caseload data'!E:E,'caseload data'!$C:$C,'community %'!$T$29,'caseload data'!$D:$D,"SPO",'caseload data'!$B:$B,{"licence","community"}))/SUM(SUMIFS('caseload data'!E:E,'caseload data'!$B:$B,{"licence","community"},'caseload data'!$C:$C,'community %'!$T$29)),"")</f>
        <v/>
      </c>
      <c r="V34" s="209" t="str">
        <f>IFERROR(SUM(SUMIFS('caseload data'!F:F,'caseload data'!$C:$C,'community %'!$T$29,'caseload data'!$D:$D,"SPO",'caseload data'!$B:$B,{"licence","community"}))/SUM(SUMIFS('caseload data'!F:F,'caseload data'!$B:$B,{"licence","community"},'caseload data'!$C:$C,'community %'!$T$29)),"")</f>
        <v/>
      </c>
      <c r="W34" s="209" t="str">
        <f>IFERROR(SUM(SUMIFS('caseload data'!G:G,'caseload data'!$C:$C,'community %'!$T$29,'caseload data'!$D:$D,"SPO",'caseload data'!$B:$B,{"licence","community"}))/SUM(SUMIFS('caseload data'!G:G,'caseload data'!$B:$B,{"licence","community"},'caseload data'!$C:$C,'community %'!$T$29)),"")</f>
        <v/>
      </c>
      <c r="X34" s="209" t="str">
        <f>IFERROR(SUM(SUMIFS('caseload data'!H:H,'caseload data'!$C:$C,'community %'!$T$29,'caseload data'!$D:$D,"SPO",'caseload data'!$B:$B,{"licence","community"}))/SUM(SUMIFS('caseload data'!H:H,'caseload data'!$B:$B,{"licence","community"},'caseload data'!$C:$C,'community %'!$T$29)),"")</f>
        <v/>
      </c>
      <c r="Y34" s="209" t="str">
        <f>IFERROR(SUM(SUMIFS('caseload data'!I:I,'caseload data'!$C:$C,'community %'!$T$29,'caseload data'!$D:$D,"SPO",'caseload data'!$B:$B,{"licence","community"}))/SUM(SUMIFS('caseload data'!I:I,'caseload data'!$B:$B,{"licence","community"},'caseload data'!$C:$C,'community %'!$T$29)),"")</f>
        <v/>
      </c>
      <c r="Z34" s="209" t="str">
        <f>IFERROR(SUM(SUMIFS('caseload data'!J:J,'caseload data'!$C:$C,'community %'!$T$29,'caseload data'!$D:$D,"SPO",'caseload data'!$B:$B,{"licence","community"}))/SUM(SUMIFS('caseload data'!J:J,'caseload data'!$B:$B,{"licence","community"},'caseload data'!$C:$C,'community %'!$T$29)),"")</f>
        <v/>
      </c>
      <c r="AA34" s="209" t="str">
        <f>IFERROR(SUM(SUMIFS('caseload data'!K:K,'caseload data'!$C:$C,'community %'!$T$29,'caseload data'!$D:$D,"SPO",'caseload data'!$B:$B,{"licence","community"}))/SUM(SUMIFS('caseload data'!K:K,'caseload data'!$B:$B,{"licence","community"},'caseload data'!$C:$C,'community %'!$T$29)),"")</f>
        <v/>
      </c>
      <c r="AB34" s="209" t="str">
        <f>IFERROR(SUM(SUMIFS('caseload data'!L:L,'caseload data'!$C:$C,'community %'!$T$29,'caseload data'!$D:$D,"SPO",'caseload data'!$B:$B,{"licence","community"}))/SUM(SUMIFS('caseload data'!L:L,'caseload data'!$B:$B,{"licence","community"},'caseload data'!$C:$C,'community %'!$T$29)),"")</f>
        <v/>
      </c>
      <c r="AC34" s="209" t="str">
        <f>IFERROR(SUM(SUMIFS('caseload data'!M:M,'caseload data'!$C:$C,'community %'!$T$29,'caseload data'!$D:$D,"SPO",'caseload data'!$B:$B,{"licence","community"}))/SUM(SUMIFS('caseload data'!M:M,'caseload data'!$B:$B,{"licence","community"},'caseload data'!$C:$C,'community %'!$T$29)),"")</f>
        <v/>
      </c>
      <c r="AD34" s="209" t="str">
        <f>IFERROR(SUM(SUMIFS('caseload data'!N:N,'caseload data'!$C:$C,'community %'!$T$29,'caseload data'!$D:$D,"SPO",'caseload data'!$B:$B,{"licence","community"}))/SUM(SUMIFS('caseload data'!N:N,'caseload data'!$B:$B,{"licence","community"},'caseload data'!$C:$C,'community %'!$T$29)),"")</f>
        <v/>
      </c>
      <c r="AE34" s="209" t="str">
        <f>IFERROR(SUM(SUMIFS('caseload data'!O:O,'caseload data'!$C:$C,'community %'!$T$29,'caseload data'!$D:$D,"SPO",'caseload data'!$B:$B,{"licence","community"}))/SUM(SUMIFS('caseload data'!O:O,'caseload data'!$B:$B,{"licence","community"},'caseload data'!$C:$C,'community %'!$T$29)),"")</f>
        <v/>
      </c>
      <c r="AF34" s="209" t="str">
        <f>IFERROR(SUM(SUMIFS('caseload data'!P:P,'caseload data'!$C:$C,'community %'!$T$29,'caseload data'!$D:$D,"SPO",'caseload data'!$B:$B,{"licence","community"}))/SUM(SUMIFS('caseload data'!P:P,'caseload data'!$B:$B,{"licence","community"},'caseload data'!$C:$C,'community %'!$T$29)),"")</f>
        <v/>
      </c>
      <c r="AG34" s="209" t="str">
        <f>IFERROR(SUM(SUMIFS('caseload data'!Q:Q,'caseload data'!$C:$C,'community %'!$T$29,'caseload data'!$D:$D,"SPO",'caseload data'!$B:$B,{"licence","community"}))/SUM(SUMIFS('caseload data'!Q:Q,'caseload data'!$B:$B,{"licence","community"},'caseload data'!$C:$C,'community %'!$T$29)),"")</f>
        <v/>
      </c>
      <c r="AH34" s="209" t="str">
        <f>IFERROR(SUM(SUMIFS('caseload data'!R:R,'caseload data'!$C:$C,'community %'!$T$29,'caseload data'!$D:$D,"SPO",'caseload data'!$B:$B,{"licence","community"}))/SUM(SUMIFS('caseload data'!R:R,'caseload data'!$B:$B,{"licence","community"},'caseload data'!$C:$C,'community %'!$T$29)),"")</f>
        <v/>
      </c>
      <c r="AI34" s="209" t="str">
        <f>IFERROR(SUM(SUMIFS('caseload data'!S:S,'caseload data'!$C:$C,'community %'!$T$29,'caseload data'!$D:$D,"SPO",'caseload data'!$B:$B,{"licence","community"}))/SUM(SUMIFS('caseload data'!S:S,'caseload data'!$B:$B,{"licence","community"},'caseload data'!$C:$C,'community %'!$T$29)),"")</f>
        <v/>
      </c>
      <c r="AJ34" s="209" t="str">
        <f>IFERROR(SUM(SUMIFS('caseload data'!T:T,'caseload data'!$C:$C,'community %'!$T$29,'caseload data'!$D:$D,"SPO",'caseload data'!$B:$B,{"licence","community"}))/SUM(SUMIFS('caseload data'!T:T,'caseload data'!$B:$B,{"licence","community"},'caseload data'!$C:$C,'community %'!$T$29)),"")</f>
        <v/>
      </c>
    </row>
    <row r="35" spans="2:36" x14ac:dyDescent="0.15">
      <c r="B35" s="183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183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</row>
    <row r="36" spans="2:36" ht="48" customHeight="1" x14ac:dyDescent="0.15">
      <c r="B36" s="182" t="str">
        <f>HLOOKUP($B$5,Region_Table,10,0)</f>
        <v>Ealing and Hillingdon</v>
      </c>
      <c r="C36" s="359" t="s">
        <v>370</v>
      </c>
      <c r="D36" s="365"/>
      <c r="E36" s="365"/>
      <c r="F36" s="365"/>
      <c r="G36" s="365"/>
      <c r="H36" s="365"/>
      <c r="I36" s="365"/>
      <c r="J36" s="365"/>
      <c r="K36" s="365"/>
      <c r="L36" s="365"/>
      <c r="M36" s="368"/>
      <c r="N36" s="368"/>
      <c r="O36" s="369"/>
      <c r="P36" s="362" cm="1">
        <f t="array" ref="P36">SUM(SUMIFS('caseload data'!V:V,'caseload data'!B:B,{"licence","community"},'caseload data'!$C:$C,B36))</f>
        <v>0</v>
      </c>
      <c r="Q36" s="370"/>
      <c r="R36" s="371"/>
      <c r="S36" s="95"/>
      <c r="T36" s="182" t="str">
        <f>HLOOKUP($B$5,Region_Table,11,0)</f>
        <v>Enfield and Haringey</v>
      </c>
      <c r="U36" s="359" t="s">
        <v>370</v>
      </c>
      <c r="V36" s="365"/>
      <c r="W36" s="365"/>
      <c r="X36" s="365"/>
      <c r="Y36" s="365"/>
      <c r="Z36" s="365"/>
      <c r="AA36" s="365"/>
      <c r="AB36" s="365"/>
      <c r="AC36" s="365"/>
      <c r="AD36" s="365"/>
      <c r="AE36" s="368"/>
      <c r="AF36" s="368"/>
      <c r="AG36" s="369"/>
      <c r="AH36" s="362" cm="1">
        <f t="array" ref="AH36">SUM(SUMIFS('caseload data'!V:V,'caseload data'!B:B,{"licence","community"},'caseload data'!$C:$C,T36))</f>
        <v>0</v>
      </c>
      <c r="AI36" s="370"/>
      <c r="AJ36" s="371"/>
    </row>
    <row r="37" spans="2:36" x14ac:dyDescent="0.15">
      <c r="B37" s="127" t="s">
        <v>324</v>
      </c>
      <c r="C37" s="58" t="s">
        <v>504</v>
      </c>
      <c r="D37" s="58" t="s">
        <v>503</v>
      </c>
      <c r="E37" s="58" t="s">
        <v>502</v>
      </c>
      <c r="F37" s="58" t="s">
        <v>501</v>
      </c>
      <c r="G37" s="58" t="s">
        <v>510</v>
      </c>
      <c r="H37" s="58" t="s">
        <v>176</v>
      </c>
      <c r="I37" s="58" t="s">
        <v>177</v>
      </c>
      <c r="J37" s="58" t="s">
        <v>505</v>
      </c>
      <c r="K37" s="58" t="s">
        <v>507</v>
      </c>
      <c r="L37" s="58" t="s">
        <v>178</v>
      </c>
      <c r="M37" s="58" t="s">
        <v>179</v>
      </c>
      <c r="N37" s="58" t="s">
        <v>506</v>
      </c>
      <c r="O37" s="58" t="s">
        <v>508</v>
      </c>
      <c r="P37" s="58" t="s">
        <v>180</v>
      </c>
      <c r="Q37" s="58" t="s">
        <v>181</v>
      </c>
      <c r="R37" s="58" t="s">
        <v>509</v>
      </c>
      <c r="S37" s="95"/>
      <c r="T37" s="127" t="s">
        <v>324</v>
      </c>
      <c r="U37" s="58" t="s">
        <v>504</v>
      </c>
      <c r="V37" s="58" t="s">
        <v>503</v>
      </c>
      <c r="W37" s="58" t="s">
        <v>502</v>
      </c>
      <c r="X37" s="58" t="s">
        <v>501</v>
      </c>
      <c r="Y37" s="58" t="s">
        <v>510</v>
      </c>
      <c r="Z37" s="58" t="s">
        <v>176</v>
      </c>
      <c r="AA37" s="58" t="s">
        <v>177</v>
      </c>
      <c r="AB37" s="58" t="s">
        <v>505</v>
      </c>
      <c r="AC37" s="58" t="s">
        <v>507</v>
      </c>
      <c r="AD37" s="58" t="s">
        <v>178</v>
      </c>
      <c r="AE37" s="58" t="s">
        <v>179</v>
      </c>
      <c r="AF37" s="58" t="s">
        <v>506</v>
      </c>
      <c r="AG37" s="58" t="s">
        <v>508</v>
      </c>
      <c r="AH37" s="58" t="s">
        <v>180</v>
      </c>
      <c r="AI37" s="58" t="s">
        <v>181</v>
      </c>
      <c r="AJ37" s="58" t="s">
        <v>509</v>
      </c>
    </row>
    <row r="38" spans="2:36" x14ac:dyDescent="0.15">
      <c r="B38" s="129" t="s">
        <v>184</v>
      </c>
      <c r="C38" s="209" t="str">
        <f>IFERROR(SUM(SUMIFS('caseload data'!E:E,'caseload data'!$C:$C,'community %'!$B$36,'caseload data'!$D:$D,"PO",'caseload data'!$B:$B,{"licence","community"}))/SUM(SUMIFS('caseload data'!E:E,'caseload data'!$B:$B,{"licence","community"},'caseload data'!$C:$C,'community %'!$B$36)),"")</f>
        <v/>
      </c>
      <c r="D38" s="209" t="str">
        <f>IFERROR(SUM(SUMIFS('caseload data'!F:F,'caseload data'!$C:$C,'community %'!$B$36,'caseload data'!$D:$D,"PO",'caseload data'!$B:$B,{"licence","community"}))/SUM(SUMIFS('caseload data'!F:F,'caseload data'!$B:$B,{"licence","community"},'caseload data'!$C:$C,'community %'!$B$36)),"")</f>
        <v/>
      </c>
      <c r="E38" s="209" t="str">
        <f>IFERROR(SUM(SUMIFS('caseload data'!G:G,'caseload data'!$C:$C,'community %'!$B$36,'caseload data'!$D:$D,"PO",'caseload data'!$B:$B,{"licence","community"}))/SUM(SUMIFS('caseload data'!G:G,'caseload data'!$B:$B,{"licence","community"},'caseload data'!$C:$C,'community %'!$B$36)),"")</f>
        <v/>
      </c>
      <c r="F38" s="209" t="str">
        <f>IFERROR(SUM(SUMIFS('caseload data'!H:H,'caseload data'!$C:$C,'community %'!$B$36,'caseload data'!$D:$D,"PO",'caseload data'!$B:$B,{"licence","community"}))/SUM(SUMIFS('caseload data'!H:H,'caseload data'!$B:$B,{"licence","community"},'caseload data'!$C:$C,'community %'!$B$36)),"")</f>
        <v/>
      </c>
      <c r="G38" s="209" t="str">
        <f>IFERROR(SUM(SUMIFS('caseload data'!I:I,'caseload data'!$C:$C,'community %'!$B$36,'caseload data'!$D:$D,"PO",'caseload data'!$B:$B,{"licence","community"}))/SUM(SUMIFS('caseload data'!I:I,'caseload data'!$B:$B,{"licence","community"},'caseload data'!$C:$C,'community %'!$B$36)),"")</f>
        <v/>
      </c>
      <c r="H38" s="209" t="str">
        <f>IFERROR(SUM(SUMIFS('caseload data'!J:J,'caseload data'!$C:$C,'community %'!$B$36,'caseload data'!$D:$D,"PO",'caseload data'!$B:$B,{"licence","community"}))/SUM(SUMIFS('caseload data'!J:J,'caseload data'!$B:$B,{"licence","community"},'caseload data'!$C:$C,'community %'!$B$36)),"")</f>
        <v/>
      </c>
      <c r="I38" s="209" t="str">
        <f>IFERROR(SUM(SUMIFS('caseload data'!K:K,'caseload data'!$C:$C,'community %'!$B$36,'caseload data'!$D:$D,"PO",'caseload data'!$B:$B,{"licence","community"}))/SUM(SUMIFS('caseload data'!K:K,'caseload data'!$B:$B,{"licence","community"},'caseload data'!$C:$C,'community %'!$B$36)),"")</f>
        <v/>
      </c>
      <c r="J38" s="209" t="str">
        <f>IFERROR(SUM(SUMIFS('caseload data'!L:L,'caseload data'!$C:$C,'community %'!$B$36,'caseload data'!$D:$D,"PO",'caseload data'!$B:$B,{"licence","community"}))/SUM(SUMIFS('caseload data'!L:L,'caseload data'!$B:$B,{"licence","community"},'caseload data'!$C:$C,'community %'!$B$36)),"")</f>
        <v/>
      </c>
      <c r="K38" s="209" t="str">
        <f>IFERROR(SUM(SUMIFS('caseload data'!M:M,'caseload data'!$C:$C,'community %'!$B$36,'caseload data'!$D:$D,"PO",'caseload data'!$B:$B,{"licence","community"}))/SUM(SUMIFS('caseload data'!M:M,'caseload data'!$B:$B,{"licence","community"},'caseload data'!$C:$C,'community %'!$B$36)),"")</f>
        <v/>
      </c>
      <c r="L38" s="209" t="str">
        <f>IFERROR(SUM(SUMIFS('caseload data'!N:N,'caseload data'!$C:$C,'community %'!$B$36,'caseload data'!$D:$D,"PO",'caseload data'!$B:$B,{"licence","community"}))/SUM(SUMIFS('caseload data'!N:N,'caseload data'!$B:$B,{"licence","community"},'caseload data'!$C:$C,'community %'!$B$36)),"")</f>
        <v/>
      </c>
      <c r="M38" s="209" t="str">
        <f>IFERROR(SUM(SUMIFS('caseload data'!O:O,'caseload data'!$C:$C,'community %'!$B$36,'caseload data'!$D:$D,"PO",'caseload data'!$B:$B,{"licence","community"}))/SUM(SUMIFS('caseload data'!O:O,'caseload data'!$B:$B,{"licence","community"},'caseload data'!$C:$C,'community %'!$B$36)),"")</f>
        <v/>
      </c>
      <c r="N38" s="209" t="str">
        <f>IFERROR(SUM(SUMIFS('caseload data'!P:P,'caseload data'!$C:$C,'community %'!$B$36,'caseload data'!$D:$D,"PO",'caseload data'!$B:$B,{"licence","community"}))/SUM(SUMIFS('caseload data'!P:P,'caseload data'!$B:$B,{"licence","community"},'caseload data'!$C:$C,'community %'!$B$36)),"")</f>
        <v/>
      </c>
      <c r="O38" s="209" t="str">
        <f>IFERROR(SUM(SUMIFS('caseload data'!Q:Q,'caseload data'!$C:$C,'community %'!$B$36,'caseload data'!$D:$D,"PO",'caseload data'!$B:$B,{"licence","community"}))/SUM(SUMIFS('caseload data'!Q:Q,'caseload data'!$B:$B,{"licence","community"},'caseload data'!$C:$C,'community %'!$B$36)),"")</f>
        <v/>
      </c>
      <c r="P38" s="209" t="str">
        <f>IFERROR(SUM(SUMIFS('caseload data'!R:R,'caseload data'!$C:$C,'community %'!$B$36,'caseload data'!$D:$D,"PO",'caseload data'!$B:$B,{"licence","community"}))/SUM(SUMIFS('caseload data'!R:R,'caseload data'!$B:$B,{"licence","community"},'caseload data'!$C:$C,'community %'!$B$36)),"")</f>
        <v/>
      </c>
      <c r="Q38" s="209" t="str">
        <f>IFERROR(SUM(SUMIFS('caseload data'!S:S,'caseload data'!$C:$C,'community %'!$B$36,'caseload data'!$D:$D,"PO",'caseload data'!$B:$B,{"licence","community"}))/SUM(SUMIFS('caseload data'!S:S,'caseload data'!$B:$B,{"licence","community"},'caseload data'!$C:$C,'community %'!$B$36)),"")</f>
        <v/>
      </c>
      <c r="R38" s="209" t="str">
        <f>IFERROR(SUM(SUMIFS('caseload data'!T:T,'caseload data'!$C:$C,'community %'!$B$36,'caseload data'!$D:$D,"PO",'caseload data'!$B:$B,{"licence","community"}))/SUM(SUMIFS('caseload data'!T:T,'caseload data'!$B:$B,{"licence","community"},'caseload data'!$C:$C,'community %'!$B$36)),"")</f>
        <v/>
      </c>
      <c r="S38" s="95"/>
      <c r="T38" s="129" t="s">
        <v>184</v>
      </c>
      <c r="U38" s="209" t="str">
        <f>IFERROR(SUM(SUMIFS('caseload data'!E:E,'caseload data'!$C:$C,'community %'!$T$36,'caseload data'!$D:$D,"PO",'caseload data'!$B:$B,{"licence","community"}))/SUM(SUMIFS('caseload data'!E:E,'caseload data'!$B:$B,{"licence","community"},'caseload data'!$C:$C,'community %'!$T$36)),"")</f>
        <v/>
      </c>
      <c r="V38" s="209" t="str">
        <f>IFERROR(SUM(SUMIFS('caseload data'!F:F,'caseload data'!$C:$C,'community %'!$T$36,'caseload data'!$D:$D,"PO",'caseload data'!$B:$B,{"licence","community"}))/SUM(SUMIFS('caseload data'!F:F,'caseload data'!$B:$B,{"licence","community"},'caseload data'!$C:$C,'community %'!$T$36)),"")</f>
        <v/>
      </c>
      <c r="W38" s="209" t="str">
        <f>IFERROR(SUM(SUMIFS('caseload data'!G:G,'caseload data'!$C:$C,'community %'!$T$36,'caseload data'!$D:$D,"PO",'caseload data'!$B:$B,{"licence","community"}))/SUM(SUMIFS('caseload data'!G:G,'caseload data'!$B:$B,{"licence","community"},'caseload data'!$C:$C,'community %'!$T$36)),"")</f>
        <v/>
      </c>
      <c r="X38" s="209" t="str">
        <f>IFERROR(SUM(SUMIFS('caseload data'!H:H,'caseload data'!$C:$C,'community %'!$T$36,'caseload data'!$D:$D,"PO",'caseload data'!$B:$B,{"licence","community"}))/SUM(SUMIFS('caseload data'!H:H,'caseload data'!$B:$B,{"licence","community"},'caseload data'!$C:$C,'community %'!$T$36)),"")</f>
        <v/>
      </c>
      <c r="Y38" s="209" t="str">
        <f>IFERROR(SUM(SUMIFS('caseload data'!I:I,'caseload data'!$C:$C,'community %'!$T$36,'caseload data'!$D:$D,"PO",'caseload data'!$B:$B,{"licence","community"}))/SUM(SUMIFS('caseload data'!I:I,'caseload data'!$B:$B,{"licence","community"},'caseload data'!$C:$C,'community %'!$T$36)),"")</f>
        <v/>
      </c>
      <c r="Z38" s="209" t="str">
        <f>IFERROR(SUM(SUMIFS('caseload data'!J:J,'caseload data'!$C:$C,'community %'!$T$36,'caseload data'!$D:$D,"PO",'caseload data'!$B:$B,{"licence","community"}))/SUM(SUMIFS('caseload data'!J:J,'caseload data'!$B:$B,{"licence","community"},'caseload data'!$C:$C,'community %'!$T$36)),"")</f>
        <v/>
      </c>
      <c r="AA38" s="209" t="str">
        <f>IFERROR(SUM(SUMIFS('caseload data'!K:K,'caseload data'!$C:$C,'community %'!$T$36,'caseload data'!$D:$D,"PO",'caseload data'!$B:$B,{"licence","community"}))/SUM(SUMIFS('caseload data'!K:K,'caseload data'!$B:$B,{"licence","community"},'caseload data'!$C:$C,'community %'!$T$36)),"")</f>
        <v/>
      </c>
      <c r="AB38" s="209" t="str">
        <f>IFERROR(SUM(SUMIFS('caseload data'!L:L,'caseload data'!$C:$C,'community %'!$T$36,'caseload data'!$D:$D,"PO",'caseload data'!$B:$B,{"licence","community"}))/SUM(SUMIFS('caseload data'!L:L,'caseload data'!$B:$B,{"licence","community"},'caseload data'!$C:$C,'community %'!$T$36)),"")</f>
        <v/>
      </c>
      <c r="AC38" s="209" t="str">
        <f>IFERROR(SUM(SUMIFS('caseload data'!M:M,'caseload data'!$C:$C,'community %'!$T$36,'caseload data'!$D:$D,"PO",'caseload data'!$B:$B,{"licence","community"}))/SUM(SUMIFS('caseload data'!M:M,'caseload data'!$B:$B,{"licence","community"},'caseload data'!$C:$C,'community %'!$T$36)),"")</f>
        <v/>
      </c>
      <c r="AD38" s="209" t="str">
        <f>IFERROR(SUM(SUMIFS('caseload data'!N:N,'caseload data'!$C:$C,'community %'!$T$36,'caseload data'!$D:$D,"PO",'caseload data'!$B:$B,{"licence","community"}))/SUM(SUMIFS('caseload data'!N:N,'caseload data'!$B:$B,{"licence","community"},'caseload data'!$C:$C,'community %'!$T$36)),"")</f>
        <v/>
      </c>
      <c r="AE38" s="209" t="str">
        <f>IFERROR(SUM(SUMIFS('caseload data'!O:O,'caseload data'!$C:$C,'community %'!$T$36,'caseload data'!$D:$D,"PO",'caseload data'!$B:$B,{"licence","community"}))/SUM(SUMIFS('caseload data'!O:O,'caseload data'!$B:$B,{"licence","community"},'caseload data'!$C:$C,'community %'!$T$36)),"")</f>
        <v/>
      </c>
      <c r="AF38" s="209" t="str">
        <f>IFERROR(SUM(SUMIFS('caseload data'!P:P,'caseload data'!$C:$C,'community %'!$T$36,'caseload data'!$D:$D,"PO",'caseload data'!$B:$B,{"licence","community"}))/SUM(SUMIFS('caseload data'!P:P,'caseload data'!$B:$B,{"licence","community"},'caseload data'!$C:$C,'community %'!$T$36)),"")</f>
        <v/>
      </c>
      <c r="AG38" s="209" t="str">
        <f>IFERROR(SUM(SUMIFS('caseload data'!Q:Q,'caseload data'!$C:$C,'community %'!$T$36,'caseload data'!$D:$D,"PO",'caseload data'!$B:$B,{"licence","community"}))/SUM(SUMIFS('caseload data'!Q:Q,'caseload data'!$B:$B,{"licence","community"},'caseload data'!$C:$C,'community %'!$T$36)),"")</f>
        <v/>
      </c>
      <c r="AH38" s="209" t="str">
        <f>IFERROR(SUM(SUMIFS('caseload data'!R:R,'caseload data'!$C:$C,'community %'!$T$36,'caseload data'!$D:$D,"PO",'caseload data'!$B:$B,{"licence","community"}))/SUM(SUMIFS('caseload data'!R:R,'caseload data'!$B:$B,{"licence","community"},'caseload data'!$C:$C,'community %'!$T$36)),"")</f>
        <v/>
      </c>
      <c r="AI38" s="209" t="str">
        <f>IFERROR(SUM(SUMIFS('caseload data'!S:S,'caseload data'!$C:$C,'community %'!$T$36,'caseload data'!$D:$D,"PO",'caseload data'!$B:$B,{"licence","community"}))/SUM(SUMIFS('caseload data'!S:S,'caseload data'!$B:$B,{"licence","community"},'caseload data'!$C:$C,'community %'!$T$36)),"")</f>
        <v/>
      </c>
      <c r="AJ38" s="209" t="str">
        <f>IFERROR(SUM(SUMIFS('caseload data'!T:T,'caseload data'!$C:$C,'community %'!$T$36,'caseload data'!$D:$D,"PO",'caseload data'!$B:$B,{"licence","community"}))/SUM(SUMIFS('caseload data'!T:T,'caseload data'!$B:$B,{"licence","community"},'caseload data'!$C:$C,'community %'!$T$36)),"")</f>
        <v/>
      </c>
    </row>
    <row r="39" spans="2:36" x14ac:dyDescent="0.15">
      <c r="B39" s="130" t="s">
        <v>185</v>
      </c>
      <c r="C39" s="209" t="str">
        <f>IFERROR(SUM(SUMIFS('caseload data'!E:E,'caseload data'!$C:$C,'community %'!$B$36,'caseload data'!$D:$D,"PSO",'caseload data'!$B:$B,{"licence","community"}))/SUM(SUMIFS('caseload data'!E:E,'caseload data'!$B:$B,{"licence","community"},'caseload data'!$C:$C,'community %'!$B$36)),"")</f>
        <v/>
      </c>
      <c r="D39" s="209" t="str">
        <f>IFERROR(SUM(SUMIFS('caseload data'!F:F,'caseload data'!$C:$C,'community %'!$B$36,'caseload data'!$D:$D,"PSO",'caseload data'!$B:$B,{"licence","community"}))/SUM(SUMIFS('caseload data'!F:F,'caseload data'!$B:$B,{"licence","community"},'caseload data'!$C:$C,'community %'!$B$36)),"")</f>
        <v/>
      </c>
      <c r="E39" s="209" t="str">
        <f>IFERROR(SUM(SUMIFS('caseload data'!G:G,'caseload data'!$C:$C,'community %'!$B$36,'caseload data'!$D:$D,"PSO",'caseload data'!$B:$B,{"licence","community"}))/SUM(SUMIFS('caseload data'!G:G,'caseload data'!$B:$B,{"licence","community"},'caseload data'!$C:$C,'community %'!$B$36)),"")</f>
        <v/>
      </c>
      <c r="F39" s="209" t="str">
        <f>IFERROR(SUM(SUMIFS('caseload data'!H:H,'caseload data'!$C:$C,'community %'!$B$36,'caseload data'!$D:$D,"PSO",'caseload data'!$B:$B,{"licence","community"}))/SUM(SUMIFS('caseload data'!H:H,'caseload data'!$B:$B,{"licence","community"},'caseload data'!$C:$C,'community %'!$B$36)),"")</f>
        <v/>
      </c>
      <c r="G39" s="209" t="str">
        <f>IFERROR(SUM(SUMIFS('caseload data'!I:I,'caseload data'!$C:$C,'community %'!$B$36,'caseload data'!$D:$D,"PSO",'caseload data'!$B:$B,{"licence","community"}))/SUM(SUMIFS('caseload data'!I:I,'caseload data'!$B:$B,{"licence","community"},'caseload data'!$C:$C,'community %'!$B$36)),"")</f>
        <v/>
      </c>
      <c r="H39" s="209" t="str">
        <f>IFERROR(SUM(SUMIFS('caseload data'!J:J,'caseload data'!$C:$C,'community %'!$B$36,'caseload data'!$D:$D,"PSO",'caseload data'!$B:$B,{"licence","community"}))/SUM(SUMIFS('caseload data'!J:J,'caseload data'!$B:$B,{"licence","community"},'caseload data'!$C:$C,'community %'!$B$36)),"")</f>
        <v/>
      </c>
      <c r="I39" s="209" t="str">
        <f>IFERROR(SUM(SUMIFS('caseload data'!K:K,'caseload data'!$C:$C,'community %'!$B$36,'caseload data'!$D:$D,"PSO",'caseload data'!$B:$B,{"licence","community"}))/SUM(SUMIFS('caseload data'!K:K,'caseload data'!$B:$B,{"licence","community"},'caseload data'!$C:$C,'community %'!$B$36)),"")</f>
        <v/>
      </c>
      <c r="J39" s="209" t="str">
        <f>IFERROR(SUM(SUMIFS('caseload data'!L:L,'caseload data'!$C:$C,'community %'!$B$36,'caseload data'!$D:$D,"PSO",'caseload data'!$B:$B,{"licence","community"}))/SUM(SUMIFS('caseload data'!L:L,'caseload data'!$B:$B,{"licence","community"},'caseload data'!$C:$C,'community %'!$B$36)),"")</f>
        <v/>
      </c>
      <c r="K39" s="209" t="str">
        <f>IFERROR(SUM(SUMIFS('caseload data'!M:M,'caseload data'!$C:$C,'community %'!$B$36,'caseload data'!$D:$D,"PSO",'caseload data'!$B:$B,{"licence","community"}))/SUM(SUMIFS('caseload data'!M:M,'caseload data'!$B:$B,{"licence","community"},'caseload data'!$C:$C,'community %'!$B$36)),"")</f>
        <v/>
      </c>
      <c r="L39" s="209" t="str">
        <f>IFERROR(SUM(SUMIFS('caseload data'!N:N,'caseload data'!$C:$C,'community %'!$B$36,'caseload data'!$D:$D,"PSO",'caseload data'!$B:$B,{"licence","community"}))/SUM(SUMIFS('caseload data'!N:N,'caseload data'!$B:$B,{"licence","community"},'caseload data'!$C:$C,'community %'!$B$36)),"")</f>
        <v/>
      </c>
      <c r="M39" s="209" t="str">
        <f>IFERROR(SUM(SUMIFS('caseload data'!O:O,'caseload data'!$C:$C,'community %'!$B$36,'caseload data'!$D:$D,"PSO",'caseload data'!$B:$B,{"licence","community"}))/SUM(SUMIFS('caseload data'!O:O,'caseload data'!$B:$B,{"licence","community"},'caseload data'!$C:$C,'community %'!$B$36)),"")</f>
        <v/>
      </c>
      <c r="N39" s="209" t="str">
        <f>IFERROR(SUM(SUMIFS('caseload data'!P:P,'caseload data'!$C:$C,'community %'!$B$36,'caseload data'!$D:$D,"PSO",'caseload data'!$B:$B,{"licence","community"}))/SUM(SUMIFS('caseload data'!P:P,'caseload data'!$B:$B,{"licence","community"},'caseload data'!$C:$C,'community %'!$B$36)),"")</f>
        <v/>
      </c>
      <c r="O39" s="209" t="str">
        <f>IFERROR(SUM(SUMIFS('caseload data'!Q:Q,'caseload data'!$C:$C,'community %'!$B$36,'caseload data'!$D:$D,"PSO",'caseload data'!$B:$B,{"licence","community"}))/SUM(SUMIFS('caseload data'!Q:Q,'caseload data'!$B:$B,{"licence","community"},'caseload data'!$C:$C,'community %'!$B$36)),"")</f>
        <v/>
      </c>
      <c r="P39" s="209" t="str">
        <f>IFERROR(SUM(SUMIFS('caseload data'!R:R,'caseload data'!$C:$C,'community %'!$B$36,'caseload data'!$D:$D,"PSO",'caseload data'!$B:$B,{"licence","community"}))/SUM(SUMIFS('caseload data'!R:R,'caseload data'!$B:$B,{"licence","community"},'caseload data'!$C:$C,'community %'!$B$36)),"")</f>
        <v/>
      </c>
      <c r="Q39" s="209" t="str">
        <f>IFERROR(SUM(SUMIFS('caseload data'!S:S,'caseload data'!$C:$C,'community %'!$B$36,'caseload data'!$D:$D,"PSO",'caseload data'!$B:$B,{"licence","community"}))/SUM(SUMIFS('caseload data'!S:S,'caseload data'!$B:$B,{"licence","community"},'caseload data'!$C:$C,'community %'!$B$36)),"")</f>
        <v/>
      </c>
      <c r="R39" s="209" t="str">
        <f>IFERROR(SUM(SUMIFS('caseload data'!T:T,'caseload data'!$C:$C,'community %'!$B$36,'caseload data'!$D:$D,"PSO",'caseload data'!$B:$B,{"licence","community"}))/SUM(SUMIFS('caseload data'!T:T,'caseload data'!$B:$B,{"licence","community"},'caseload data'!$C:$C,'community %'!$B$36)),"")</f>
        <v/>
      </c>
      <c r="S39" s="95"/>
      <c r="T39" s="130" t="s">
        <v>185</v>
      </c>
      <c r="U39" s="209" t="str">
        <f>IFERROR(SUM(SUMIFS('caseload data'!E:E,'caseload data'!$C:$C,'community %'!$T$36,'caseload data'!$D:$D,"PSO",'caseload data'!$B:$B,{"licence","community"}))/SUM(SUMIFS('caseload data'!E:E,'caseload data'!$B:$B,{"licence","community"},'caseload data'!$C:$C,'community %'!$T$36)),"")</f>
        <v/>
      </c>
      <c r="V39" s="209" t="str">
        <f>IFERROR(SUM(SUMIFS('caseload data'!F:F,'caseload data'!$C:$C,'community %'!$T$36,'caseload data'!$D:$D,"PSO",'caseload data'!$B:$B,{"licence","community"}))/SUM(SUMIFS('caseload data'!F:F,'caseload data'!$B:$B,{"licence","community"},'caseload data'!$C:$C,'community %'!$T$36)),"")</f>
        <v/>
      </c>
      <c r="W39" s="209" t="str">
        <f>IFERROR(SUM(SUMIFS('caseload data'!G:G,'caseload data'!$C:$C,'community %'!$T$36,'caseload data'!$D:$D,"PSO",'caseload data'!$B:$B,{"licence","community"}))/SUM(SUMIFS('caseload data'!G:G,'caseload data'!$B:$B,{"licence","community"},'caseload data'!$C:$C,'community %'!$T$36)),"")</f>
        <v/>
      </c>
      <c r="X39" s="209" t="str">
        <f>IFERROR(SUM(SUMIFS('caseload data'!H:H,'caseload data'!$C:$C,'community %'!$T$36,'caseload data'!$D:$D,"PSO",'caseload data'!$B:$B,{"licence","community"}))/SUM(SUMIFS('caseload data'!H:H,'caseload data'!$B:$B,{"licence","community"},'caseload data'!$C:$C,'community %'!$T$36)),"")</f>
        <v/>
      </c>
      <c r="Y39" s="209" t="str">
        <f>IFERROR(SUM(SUMIFS('caseload data'!I:I,'caseload data'!$C:$C,'community %'!$T$36,'caseload data'!$D:$D,"PSO",'caseload data'!$B:$B,{"licence","community"}))/SUM(SUMIFS('caseload data'!I:I,'caseload data'!$B:$B,{"licence","community"},'caseload data'!$C:$C,'community %'!$T$36)),"")</f>
        <v/>
      </c>
      <c r="Z39" s="209" t="str">
        <f>IFERROR(SUM(SUMIFS('caseload data'!J:J,'caseload data'!$C:$C,'community %'!$T$36,'caseload data'!$D:$D,"PSO",'caseload data'!$B:$B,{"licence","community"}))/SUM(SUMIFS('caseload data'!J:J,'caseload data'!$B:$B,{"licence","community"},'caseload data'!$C:$C,'community %'!$T$36)),"")</f>
        <v/>
      </c>
      <c r="AA39" s="209" t="str">
        <f>IFERROR(SUM(SUMIFS('caseload data'!K:K,'caseload data'!$C:$C,'community %'!$T$36,'caseload data'!$D:$D,"PSO",'caseload data'!$B:$B,{"licence","community"}))/SUM(SUMIFS('caseload data'!K:K,'caseload data'!$B:$B,{"licence","community"},'caseload data'!$C:$C,'community %'!$T$36)),"")</f>
        <v/>
      </c>
      <c r="AB39" s="209" t="str">
        <f>IFERROR(SUM(SUMIFS('caseload data'!L:L,'caseload data'!$C:$C,'community %'!$T$36,'caseload data'!$D:$D,"PSO",'caseload data'!$B:$B,{"licence","community"}))/SUM(SUMIFS('caseload data'!L:L,'caseload data'!$B:$B,{"licence","community"},'caseload data'!$C:$C,'community %'!$T$36)),"")</f>
        <v/>
      </c>
      <c r="AC39" s="209" t="str">
        <f>IFERROR(SUM(SUMIFS('caseload data'!M:M,'caseload data'!$C:$C,'community %'!$T$36,'caseload data'!$D:$D,"PSO",'caseload data'!$B:$B,{"licence","community"}))/SUM(SUMIFS('caseload data'!M:M,'caseload data'!$B:$B,{"licence","community"},'caseload data'!$C:$C,'community %'!$T$36)),"")</f>
        <v/>
      </c>
      <c r="AD39" s="209" t="str">
        <f>IFERROR(SUM(SUMIFS('caseload data'!N:N,'caseload data'!$C:$C,'community %'!$T$36,'caseload data'!$D:$D,"PSO",'caseload data'!$B:$B,{"licence","community"}))/SUM(SUMIFS('caseload data'!N:N,'caseload data'!$B:$B,{"licence","community"},'caseload data'!$C:$C,'community %'!$T$36)),"")</f>
        <v/>
      </c>
      <c r="AE39" s="209" t="str">
        <f>IFERROR(SUM(SUMIFS('caseload data'!O:O,'caseload data'!$C:$C,'community %'!$T$36,'caseload data'!$D:$D,"PSO",'caseload data'!$B:$B,{"licence","community"}))/SUM(SUMIFS('caseload data'!O:O,'caseload data'!$B:$B,{"licence","community"},'caseload data'!$C:$C,'community %'!$T$36)),"")</f>
        <v/>
      </c>
      <c r="AF39" s="209" t="str">
        <f>IFERROR(SUM(SUMIFS('caseload data'!P:P,'caseload data'!$C:$C,'community %'!$T$36,'caseload data'!$D:$D,"PSO",'caseload data'!$B:$B,{"licence","community"}))/SUM(SUMIFS('caseload data'!P:P,'caseload data'!$B:$B,{"licence","community"},'caseload data'!$C:$C,'community %'!$T$36)),"")</f>
        <v/>
      </c>
      <c r="AG39" s="209" t="str">
        <f>IFERROR(SUM(SUMIFS('caseload data'!Q:Q,'caseload data'!$C:$C,'community %'!$T$36,'caseload data'!$D:$D,"PSO",'caseload data'!$B:$B,{"licence","community"}))/SUM(SUMIFS('caseload data'!Q:Q,'caseload data'!$B:$B,{"licence","community"},'caseload data'!$C:$C,'community %'!$T$36)),"")</f>
        <v/>
      </c>
      <c r="AH39" s="209" t="str">
        <f>IFERROR(SUM(SUMIFS('caseload data'!R:R,'caseload data'!$C:$C,'community %'!$T$36,'caseload data'!$D:$D,"PSO",'caseload data'!$B:$B,{"licence","community"}))/SUM(SUMIFS('caseload data'!R:R,'caseload data'!$B:$B,{"licence","community"},'caseload data'!$C:$C,'community %'!$T$36)),"")</f>
        <v/>
      </c>
      <c r="AI39" s="209" t="str">
        <f>IFERROR(SUM(SUMIFS('caseload data'!S:S,'caseload data'!$C:$C,'community %'!$T$36,'caseload data'!$D:$D,"PSO",'caseload data'!$B:$B,{"licence","community"}))/SUM(SUMIFS('caseload data'!S:S,'caseload data'!$B:$B,{"licence","community"},'caseload data'!$C:$C,'community %'!$T$36)),"")</f>
        <v/>
      </c>
      <c r="AJ39" s="209" t="str">
        <f>IFERROR(SUM(SUMIFS('caseload data'!T:T,'caseload data'!$C:$C,'community %'!$T$36,'caseload data'!$D:$D,"PSO",'caseload data'!$B:$B,{"licence","community"}))/SUM(SUMIFS('caseload data'!T:T,'caseload data'!$B:$B,{"licence","community"},'caseload data'!$C:$C,'community %'!$T$36)),"")</f>
        <v/>
      </c>
    </row>
    <row r="40" spans="2:36" x14ac:dyDescent="0.15">
      <c r="B40" s="130" t="s">
        <v>186</v>
      </c>
      <c r="C40" s="209" t="str">
        <f>IFERROR(SUM(SUMIFS('caseload data'!E:E,'caseload data'!$C:$C,'community %'!$B$36,'caseload data'!$D:$D,"TPO",'caseload data'!$B:$B,{"licence","community"}))/SUM(SUMIFS('caseload data'!E:E,'caseload data'!$B:$B,{"licence","community"},'caseload data'!$C:$C,'community %'!$B$36)),"")</f>
        <v/>
      </c>
      <c r="D40" s="209" t="str">
        <f>IFERROR(SUM(SUMIFS('caseload data'!F:F,'caseload data'!$C:$C,'community %'!$B$36,'caseload data'!$D:$D,"TPO",'caseload data'!$B:$B,{"licence","community"}))/SUM(SUMIFS('caseload data'!F:F,'caseload data'!$B:$B,{"licence","community"},'caseload data'!$C:$C,'community %'!$B$36)),"")</f>
        <v/>
      </c>
      <c r="E40" s="209" t="str">
        <f>IFERROR(SUM(SUMIFS('caseload data'!G:G,'caseload data'!$C:$C,'community %'!$B$36,'caseload data'!$D:$D,"TPO",'caseload data'!$B:$B,{"licence","community"}))/SUM(SUMIFS('caseload data'!G:G,'caseload data'!$B:$B,{"licence","community"},'caseload data'!$C:$C,'community %'!$B$36)),"")</f>
        <v/>
      </c>
      <c r="F40" s="209" t="str">
        <f>IFERROR(SUM(SUMIFS('caseload data'!H:H,'caseload data'!$C:$C,'community %'!$B$36,'caseload data'!$D:$D,"TPO",'caseload data'!$B:$B,{"licence","community"}))/SUM(SUMIFS('caseload data'!H:H,'caseload data'!$B:$B,{"licence","community"},'caseload data'!$C:$C,'community %'!$B$36)),"")</f>
        <v/>
      </c>
      <c r="G40" s="209" t="str">
        <f>IFERROR(SUM(SUMIFS('caseload data'!I:I,'caseload data'!$C:$C,'community %'!$B$36,'caseload data'!$D:$D,"TPO",'caseload data'!$B:$B,{"licence","community"}))/SUM(SUMIFS('caseload data'!I:I,'caseload data'!$B:$B,{"licence","community"},'caseload data'!$C:$C,'community %'!$B$36)),"")</f>
        <v/>
      </c>
      <c r="H40" s="209" t="str">
        <f>IFERROR(SUM(SUMIFS('caseload data'!J:J,'caseload data'!$C:$C,'community %'!$B$36,'caseload data'!$D:$D,"TPO",'caseload data'!$B:$B,{"licence","community"}))/SUM(SUMIFS('caseload data'!J:J,'caseload data'!$B:$B,{"licence","community"},'caseload data'!$C:$C,'community %'!$B$36)),"")</f>
        <v/>
      </c>
      <c r="I40" s="209" t="str">
        <f>IFERROR(SUM(SUMIFS('caseload data'!K:K,'caseload data'!$C:$C,'community %'!$B$36,'caseload data'!$D:$D,"TPO",'caseload data'!$B:$B,{"licence","community"}))/SUM(SUMIFS('caseload data'!K:K,'caseload data'!$B:$B,{"licence","community"},'caseload data'!$C:$C,'community %'!$B$36)),"")</f>
        <v/>
      </c>
      <c r="J40" s="209" t="str">
        <f>IFERROR(SUM(SUMIFS('caseload data'!L:L,'caseload data'!$C:$C,'community %'!$B$36,'caseload data'!$D:$D,"TPO",'caseload data'!$B:$B,{"licence","community"}))/SUM(SUMIFS('caseload data'!L:L,'caseload data'!$B:$B,{"licence","community"},'caseload data'!$C:$C,'community %'!$B$36)),"")</f>
        <v/>
      </c>
      <c r="K40" s="209" t="str">
        <f>IFERROR(SUM(SUMIFS('caseload data'!M:M,'caseload data'!$C:$C,'community %'!$B$36,'caseload data'!$D:$D,"TPO",'caseload data'!$B:$B,{"licence","community"}))/SUM(SUMIFS('caseload data'!M:M,'caseload data'!$B:$B,{"licence","community"},'caseload data'!$C:$C,'community %'!$B$36)),"")</f>
        <v/>
      </c>
      <c r="L40" s="209" t="str">
        <f>IFERROR(SUM(SUMIFS('caseload data'!N:N,'caseload data'!$C:$C,'community %'!$B$36,'caseload data'!$D:$D,"TPO",'caseload data'!$B:$B,{"licence","community"}))/SUM(SUMIFS('caseload data'!N:N,'caseload data'!$B:$B,{"licence","community"},'caseload data'!$C:$C,'community %'!$B$36)),"")</f>
        <v/>
      </c>
      <c r="M40" s="209" t="str">
        <f>IFERROR(SUM(SUMIFS('caseload data'!O:O,'caseload data'!$C:$C,'community %'!$B$36,'caseload data'!$D:$D,"TPO",'caseload data'!$B:$B,{"licence","community"}))/SUM(SUMIFS('caseload data'!O:O,'caseload data'!$B:$B,{"licence","community"},'caseload data'!$C:$C,'community %'!$B$36)),"")</f>
        <v/>
      </c>
      <c r="N40" s="209" t="str">
        <f>IFERROR(SUM(SUMIFS('caseload data'!P:P,'caseload data'!$C:$C,'community %'!$B$36,'caseload data'!$D:$D,"TPO",'caseload data'!$B:$B,{"licence","community"}))/SUM(SUMIFS('caseload data'!P:P,'caseload data'!$B:$B,{"licence","community"},'caseload data'!$C:$C,'community %'!$B$36)),"")</f>
        <v/>
      </c>
      <c r="O40" s="209" t="str">
        <f>IFERROR(SUM(SUMIFS('caseload data'!Q:Q,'caseload data'!$C:$C,'community %'!$B$36,'caseload data'!$D:$D,"TPO",'caseload data'!$B:$B,{"licence","community"}))/SUM(SUMIFS('caseload data'!Q:Q,'caseload data'!$B:$B,{"licence","community"},'caseload data'!$C:$C,'community %'!$B$36)),"")</f>
        <v/>
      </c>
      <c r="P40" s="209" t="str">
        <f>IFERROR(SUM(SUMIFS('caseload data'!R:R,'caseload data'!$C:$C,'community %'!$B$36,'caseload data'!$D:$D,"TPO",'caseload data'!$B:$B,{"licence","community"}))/SUM(SUMIFS('caseload data'!R:R,'caseload data'!$B:$B,{"licence","community"},'caseload data'!$C:$C,'community %'!$B$36)),"")</f>
        <v/>
      </c>
      <c r="Q40" s="209" t="str">
        <f>IFERROR(SUM(SUMIFS('caseload data'!S:S,'caseload data'!$C:$C,'community %'!$B$36,'caseload data'!$D:$D,"TPO",'caseload data'!$B:$B,{"licence","community"}))/SUM(SUMIFS('caseload data'!S:S,'caseload data'!$B:$B,{"licence","community"},'caseload data'!$C:$C,'community %'!$B$36)),"")</f>
        <v/>
      </c>
      <c r="R40" s="209" t="str">
        <f>IFERROR(SUM(SUMIFS('caseload data'!T:T,'caseload data'!$C:$C,'community %'!$B$36,'caseload data'!$D:$D,"TPO",'caseload data'!$B:$B,{"licence","community"}))/SUM(SUMIFS('caseload data'!T:T,'caseload data'!$B:$B,{"licence","community"},'caseload data'!$C:$C,'community %'!$B$36)),"")</f>
        <v/>
      </c>
      <c r="S40" s="95"/>
      <c r="T40" s="130" t="s">
        <v>186</v>
      </c>
      <c r="U40" s="209" t="str">
        <f>IFERROR(SUM(SUMIFS('caseload data'!E:E,'caseload data'!$C:$C,'community %'!$T$36,'caseload data'!$D:$D,"TPO",'caseload data'!$B:$B,{"licence","community"}))/SUM(SUMIFS('caseload data'!E:E,'caseload data'!$B:$B,{"licence","community"},'caseload data'!$C:$C,'community %'!$T$36)),"")</f>
        <v/>
      </c>
      <c r="V40" s="209" t="str">
        <f>IFERROR(SUM(SUMIFS('caseload data'!F:F,'caseload data'!$C:$C,'community %'!$T$36,'caseload data'!$D:$D,"TPO",'caseload data'!$B:$B,{"licence","community"}))/SUM(SUMIFS('caseload data'!F:F,'caseload data'!$B:$B,{"licence","community"},'caseload data'!$C:$C,'community %'!$T$36)),"")</f>
        <v/>
      </c>
      <c r="W40" s="209" t="str">
        <f>IFERROR(SUM(SUMIFS('caseload data'!G:G,'caseload data'!$C:$C,'community %'!$T$36,'caseload data'!$D:$D,"TPO",'caseload data'!$B:$B,{"licence","community"}))/SUM(SUMIFS('caseload data'!G:G,'caseload data'!$B:$B,{"licence","community"},'caseload data'!$C:$C,'community %'!$T$36)),"")</f>
        <v/>
      </c>
      <c r="X40" s="209" t="str">
        <f>IFERROR(SUM(SUMIFS('caseload data'!H:H,'caseload data'!$C:$C,'community %'!$T$36,'caseload data'!$D:$D,"TPO",'caseload data'!$B:$B,{"licence","community"}))/SUM(SUMIFS('caseload data'!H:H,'caseload data'!$B:$B,{"licence","community"},'caseload data'!$C:$C,'community %'!$T$36)),"")</f>
        <v/>
      </c>
      <c r="Y40" s="209" t="str">
        <f>IFERROR(SUM(SUMIFS('caseload data'!I:I,'caseload data'!$C:$C,'community %'!$T$36,'caseload data'!$D:$D,"TPO",'caseload data'!$B:$B,{"licence","community"}))/SUM(SUMIFS('caseload data'!I:I,'caseload data'!$B:$B,{"licence","community"},'caseload data'!$C:$C,'community %'!$T$36)),"")</f>
        <v/>
      </c>
      <c r="Z40" s="209" t="str">
        <f>IFERROR(SUM(SUMIFS('caseload data'!J:J,'caseload data'!$C:$C,'community %'!$T$36,'caseload data'!$D:$D,"TPO",'caseload data'!$B:$B,{"licence","community"}))/SUM(SUMIFS('caseload data'!J:J,'caseload data'!$B:$B,{"licence","community"},'caseload data'!$C:$C,'community %'!$T$36)),"")</f>
        <v/>
      </c>
      <c r="AA40" s="209" t="str">
        <f>IFERROR(SUM(SUMIFS('caseload data'!K:K,'caseload data'!$C:$C,'community %'!$T$36,'caseload data'!$D:$D,"TPO",'caseload data'!$B:$B,{"licence","community"}))/SUM(SUMIFS('caseload data'!K:K,'caseload data'!$B:$B,{"licence","community"},'caseload data'!$C:$C,'community %'!$T$36)),"")</f>
        <v/>
      </c>
      <c r="AB40" s="209" t="str">
        <f>IFERROR(SUM(SUMIFS('caseload data'!L:L,'caseload data'!$C:$C,'community %'!$T$36,'caseload data'!$D:$D,"TPO",'caseload data'!$B:$B,{"licence","community"}))/SUM(SUMIFS('caseload data'!L:L,'caseload data'!$B:$B,{"licence","community"},'caseload data'!$C:$C,'community %'!$T$36)),"")</f>
        <v/>
      </c>
      <c r="AC40" s="209" t="str">
        <f>IFERROR(SUM(SUMIFS('caseload data'!M:M,'caseload data'!$C:$C,'community %'!$T$36,'caseload data'!$D:$D,"TPO",'caseload data'!$B:$B,{"licence","community"}))/SUM(SUMIFS('caseload data'!M:M,'caseload data'!$B:$B,{"licence","community"},'caseload data'!$C:$C,'community %'!$T$36)),"")</f>
        <v/>
      </c>
      <c r="AD40" s="209" t="str">
        <f>IFERROR(SUM(SUMIFS('caseload data'!N:N,'caseload data'!$C:$C,'community %'!$T$36,'caseload data'!$D:$D,"TPO",'caseload data'!$B:$B,{"licence","community"}))/SUM(SUMIFS('caseload data'!N:N,'caseload data'!$B:$B,{"licence","community"},'caseload data'!$C:$C,'community %'!$T$36)),"")</f>
        <v/>
      </c>
      <c r="AE40" s="209" t="str">
        <f>IFERROR(SUM(SUMIFS('caseload data'!O:O,'caseload data'!$C:$C,'community %'!$T$36,'caseload data'!$D:$D,"TPO",'caseload data'!$B:$B,{"licence","community"}))/SUM(SUMIFS('caseload data'!O:O,'caseload data'!$B:$B,{"licence","community"},'caseload data'!$C:$C,'community %'!$T$36)),"")</f>
        <v/>
      </c>
      <c r="AF40" s="209" t="str">
        <f>IFERROR(SUM(SUMIFS('caseload data'!P:P,'caseload data'!$C:$C,'community %'!$T$36,'caseload data'!$D:$D,"TPO",'caseload data'!$B:$B,{"licence","community"}))/SUM(SUMIFS('caseload data'!P:P,'caseload data'!$B:$B,{"licence","community"},'caseload data'!$C:$C,'community %'!$T$36)),"")</f>
        <v/>
      </c>
      <c r="AG40" s="209" t="str">
        <f>IFERROR(SUM(SUMIFS('caseload data'!Q:Q,'caseload data'!$C:$C,'community %'!$T$36,'caseload data'!$D:$D,"TPO",'caseload data'!$B:$B,{"licence","community"}))/SUM(SUMIFS('caseload data'!Q:Q,'caseload data'!$B:$B,{"licence","community"},'caseload data'!$C:$C,'community %'!$T$36)),"")</f>
        <v/>
      </c>
      <c r="AH40" s="209" t="str">
        <f>IFERROR(SUM(SUMIFS('caseload data'!R:R,'caseload data'!$C:$C,'community %'!$T$36,'caseload data'!$D:$D,"TPO",'caseload data'!$B:$B,{"licence","community"}))/SUM(SUMIFS('caseload data'!R:R,'caseload data'!$B:$B,{"licence","community"},'caseload data'!$C:$C,'community %'!$T$36)),"")</f>
        <v/>
      </c>
      <c r="AI40" s="209" t="str">
        <f>IFERROR(SUM(SUMIFS('caseload data'!S:S,'caseload data'!$C:$C,'community %'!$T$36,'caseload data'!$D:$D,"TPO",'caseload data'!$B:$B,{"licence","community"}))/SUM(SUMIFS('caseload data'!S:S,'caseload data'!$B:$B,{"licence","community"},'caseload data'!$C:$C,'community %'!$T$36)),"")</f>
        <v/>
      </c>
      <c r="AJ40" s="209" t="str">
        <f>IFERROR(SUM(SUMIFS('caseload data'!T:T,'caseload data'!$C:$C,'community %'!$T$36,'caseload data'!$D:$D,"TPO",'caseload data'!$B:$B,{"licence","community"}))/SUM(SUMIFS('caseload data'!T:T,'caseload data'!$B:$B,{"licence","community"},'caseload data'!$C:$C,'community %'!$T$36)),"")</f>
        <v/>
      </c>
    </row>
    <row r="41" spans="2:36" x14ac:dyDescent="0.15">
      <c r="B41" s="131" t="s">
        <v>187</v>
      </c>
      <c r="C41" s="209" t="str">
        <f>IFERROR(SUM(SUMIFS('caseload data'!E:E,'caseload data'!$C:$C,'community %'!$B$36,'caseload data'!$D:$D,"SPO",'caseload data'!$B:$B,{"licence","community"}))/SUM(SUMIFS('caseload data'!E:E,'caseload data'!$B:$B,{"licence","community"},'caseload data'!$C:$C,'community %'!$B$36)),"")</f>
        <v/>
      </c>
      <c r="D41" s="209" t="str">
        <f>IFERROR(SUM(SUMIFS('caseload data'!F:F,'caseload data'!$C:$C,'community %'!$B$36,'caseload data'!$D:$D,"SPO",'caseload data'!$B:$B,{"licence","community"}))/SUM(SUMIFS('caseload data'!F:F,'caseload data'!$B:$B,{"licence","community"},'caseload data'!$C:$C,'community %'!$B$36)),"")</f>
        <v/>
      </c>
      <c r="E41" s="209" t="str">
        <f>IFERROR(SUM(SUMIFS('caseload data'!G:G,'caseload data'!$C:$C,'community %'!$B$36,'caseload data'!$D:$D,"SPO",'caseload data'!$B:$B,{"licence","community"}))/SUM(SUMIFS('caseload data'!G:G,'caseload data'!$B:$B,{"licence","community"},'caseload data'!$C:$C,'community %'!$B$36)),"")</f>
        <v/>
      </c>
      <c r="F41" s="209" t="str">
        <f>IFERROR(SUM(SUMIFS('caseload data'!H:H,'caseload data'!$C:$C,'community %'!$B$36,'caseload data'!$D:$D,"SPO",'caseload data'!$B:$B,{"licence","community"}))/SUM(SUMIFS('caseload data'!H:H,'caseload data'!$B:$B,{"licence","community"},'caseload data'!$C:$C,'community %'!$B$36)),"")</f>
        <v/>
      </c>
      <c r="G41" s="209" t="str">
        <f>IFERROR(SUM(SUMIFS('caseload data'!I:I,'caseload data'!$C:$C,'community %'!$B$36,'caseload data'!$D:$D,"SPO",'caseload data'!$B:$B,{"licence","community"}))/SUM(SUMIFS('caseload data'!I:I,'caseload data'!$B:$B,{"licence","community"},'caseload data'!$C:$C,'community %'!$B$36)),"")</f>
        <v/>
      </c>
      <c r="H41" s="209" t="str">
        <f>IFERROR(SUM(SUMIFS('caseload data'!J:J,'caseload data'!$C:$C,'community %'!$B$36,'caseload data'!$D:$D,"SPO",'caseload data'!$B:$B,{"licence","community"}))/SUM(SUMIFS('caseload data'!J:J,'caseload data'!$B:$B,{"licence","community"},'caseload data'!$C:$C,'community %'!$B$36)),"")</f>
        <v/>
      </c>
      <c r="I41" s="209" t="str">
        <f>IFERROR(SUM(SUMIFS('caseload data'!K:K,'caseload data'!$C:$C,'community %'!$B$36,'caseload data'!$D:$D,"SPO",'caseload data'!$B:$B,{"licence","community"}))/SUM(SUMIFS('caseload data'!K:K,'caseload data'!$B:$B,{"licence","community"},'caseload data'!$C:$C,'community %'!$B$36)),"")</f>
        <v/>
      </c>
      <c r="J41" s="209" t="str">
        <f>IFERROR(SUM(SUMIFS('caseload data'!L:L,'caseload data'!$C:$C,'community %'!$B$36,'caseload data'!$D:$D,"SPO",'caseload data'!$B:$B,{"licence","community"}))/SUM(SUMIFS('caseload data'!L:L,'caseload data'!$B:$B,{"licence","community"},'caseload data'!$C:$C,'community %'!$B$36)),"")</f>
        <v/>
      </c>
      <c r="K41" s="209" t="str">
        <f>IFERROR(SUM(SUMIFS('caseload data'!M:M,'caseload data'!$C:$C,'community %'!$B$36,'caseload data'!$D:$D,"SPO",'caseload data'!$B:$B,{"licence","community"}))/SUM(SUMIFS('caseload data'!M:M,'caseload data'!$B:$B,{"licence","community"},'caseload data'!$C:$C,'community %'!$B$36)),"")</f>
        <v/>
      </c>
      <c r="L41" s="209" t="str">
        <f>IFERROR(SUM(SUMIFS('caseload data'!N:N,'caseload data'!$C:$C,'community %'!$B$36,'caseload data'!$D:$D,"SPO",'caseload data'!$B:$B,{"licence","community"}))/SUM(SUMIFS('caseload data'!N:N,'caseload data'!$B:$B,{"licence","community"},'caseload data'!$C:$C,'community %'!$B$36)),"")</f>
        <v/>
      </c>
      <c r="M41" s="209" t="str">
        <f>IFERROR(SUM(SUMIFS('caseload data'!O:O,'caseload data'!$C:$C,'community %'!$B$36,'caseload data'!$D:$D,"SPO",'caseload data'!$B:$B,{"licence","community"}))/SUM(SUMIFS('caseload data'!O:O,'caseload data'!$B:$B,{"licence","community"},'caseload data'!$C:$C,'community %'!$B$36)),"")</f>
        <v/>
      </c>
      <c r="N41" s="209" t="str">
        <f>IFERROR(SUM(SUMIFS('caseload data'!P:P,'caseload data'!$C:$C,'community %'!$B$36,'caseload data'!$D:$D,"SPO",'caseload data'!$B:$B,{"licence","community"}))/SUM(SUMIFS('caseload data'!P:P,'caseload data'!$B:$B,{"licence","community"},'caseload data'!$C:$C,'community %'!$B$36)),"")</f>
        <v/>
      </c>
      <c r="O41" s="209" t="str">
        <f>IFERROR(SUM(SUMIFS('caseload data'!Q:Q,'caseload data'!$C:$C,'community %'!$B$36,'caseload data'!$D:$D,"SPO",'caseload data'!$B:$B,{"licence","community"}))/SUM(SUMIFS('caseload data'!Q:Q,'caseload data'!$B:$B,{"licence","community"},'caseload data'!$C:$C,'community %'!$B$36)),"")</f>
        <v/>
      </c>
      <c r="P41" s="209" t="str">
        <f>IFERROR(SUM(SUMIFS('caseload data'!R:R,'caseload data'!$C:$C,'community %'!$B$36,'caseload data'!$D:$D,"SPO",'caseload data'!$B:$B,{"licence","community"}))/SUM(SUMIFS('caseload data'!R:R,'caseload data'!$B:$B,{"licence","community"},'caseload data'!$C:$C,'community %'!$B$36)),"")</f>
        <v/>
      </c>
      <c r="Q41" s="209" t="str">
        <f>IFERROR(SUM(SUMIFS('caseload data'!S:S,'caseload data'!$C:$C,'community %'!$B$36,'caseload data'!$D:$D,"SPO",'caseload data'!$B:$B,{"licence","community"}))/SUM(SUMIFS('caseload data'!S:S,'caseload data'!$B:$B,{"licence","community"},'caseload data'!$C:$C,'community %'!$B$36)),"")</f>
        <v/>
      </c>
      <c r="R41" s="209" t="str">
        <f>IFERROR(SUM(SUMIFS('caseload data'!T:T,'caseload data'!$C:$C,'community %'!$B$36,'caseload data'!$D:$D,"SPO",'caseload data'!$B:$B,{"licence","community"}))/SUM(SUMIFS('caseload data'!T:T,'caseload data'!$B:$B,{"licence","community"},'caseload data'!$C:$C,'community %'!$B$36)),"")</f>
        <v/>
      </c>
      <c r="S41" s="95"/>
      <c r="T41" s="131" t="s">
        <v>187</v>
      </c>
      <c r="U41" s="209" t="str">
        <f>IFERROR(SUM(SUMIFS('caseload data'!E:E,'caseload data'!$C:$C,'community %'!$T$36,'caseload data'!$D:$D,"SPO",'caseload data'!$B:$B,{"licence","community"}))/SUM(SUMIFS('caseload data'!E:E,'caseload data'!$B:$B,{"licence","community"},'caseload data'!$C:$C,'community %'!$T$36)),"")</f>
        <v/>
      </c>
      <c r="V41" s="209" t="str">
        <f>IFERROR(SUM(SUMIFS('caseload data'!F:F,'caseload data'!$C:$C,'community %'!$T$36,'caseload data'!$D:$D,"SPO",'caseload data'!$B:$B,{"licence","community"}))/SUM(SUMIFS('caseload data'!F:F,'caseload data'!$B:$B,{"licence","community"},'caseload data'!$C:$C,'community %'!$T$36)),"")</f>
        <v/>
      </c>
      <c r="W41" s="209" t="str">
        <f>IFERROR(SUM(SUMIFS('caseload data'!G:G,'caseload data'!$C:$C,'community %'!$T$36,'caseload data'!$D:$D,"SPO",'caseload data'!$B:$B,{"licence","community"}))/SUM(SUMIFS('caseload data'!G:G,'caseload data'!$B:$B,{"licence","community"},'caseload data'!$C:$C,'community %'!$T$36)),"")</f>
        <v/>
      </c>
      <c r="X41" s="209" t="str">
        <f>IFERROR(SUM(SUMIFS('caseload data'!H:H,'caseload data'!$C:$C,'community %'!$T$36,'caseload data'!$D:$D,"SPO",'caseload data'!$B:$B,{"licence","community"}))/SUM(SUMIFS('caseload data'!H:H,'caseload data'!$B:$B,{"licence","community"},'caseload data'!$C:$C,'community %'!$T$36)),"")</f>
        <v/>
      </c>
      <c r="Y41" s="209" t="str">
        <f>IFERROR(SUM(SUMIFS('caseload data'!I:I,'caseload data'!$C:$C,'community %'!$T$36,'caseload data'!$D:$D,"SPO",'caseload data'!$B:$B,{"licence","community"}))/SUM(SUMIFS('caseload data'!I:I,'caseload data'!$B:$B,{"licence","community"},'caseload data'!$C:$C,'community %'!$T$36)),"")</f>
        <v/>
      </c>
      <c r="Z41" s="209" t="str">
        <f>IFERROR(SUM(SUMIFS('caseload data'!J:J,'caseload data'!$C:$C,'community %'!$T$36,'caseload data'!$D:$D,"SPO",'caseload data'!$B:$B,{"licence","community"}))/SUM(SUMIFS('caseload data'!J:J,'caseload data'!$B:$B,{"licence","community"},'caseload data'!$C:$C,'community %'!$T$36)),"")</f>
        <v/>
      </c>
      <c r="AA41" s="209" t="str">
        <f>IFERROR(SUM(SUMIFS('caseload data'!K:K,'caseload data'!$C:$C,'community %'!$T$36,'caseload data'!$D:$D,"SPO",'caseload data'!$B:$B,{"licence","community"}))/SUM(SUMIFS('caseload data'!K:K,'caseload data'!$B:$B,{"licence","community"},'caseload data'!$C:$C,'community %'!$T$36)),"")</f>
        <v/>
      </c>
      <c r="AB41" s="209" t="str">
        <f>IFERROR(SUM(SUMIFS('caseload data'!L:L,'caseload data'!$C:$C,'community %'!$T$36,'caseload data'!$D:$D,"SPO",'caseload data'!$B:$B,{"licence","community"}))/SUM(SUMIFS('caseload data'!L:L,'caseload data'!$B:$B,{"licence","community"},'caseload data'!$C:$C,'community %'!$T$36)),"")</f>
        <v/>
      </c>
      <c r="AC41" s="209" t="str">
        <f>IFERROR(SUM(SUMIFS('caseload data'!M:M,'caseload data'!$C:$C,'community %'!$T$36,'caseload data'!$D:$D,"SPO",'caseload data'!$B:$B,{"licence","community"}))/SUM(SUMIFS('caseload data'!M:M,'caseload data'!$B:$B,{"licence","community"},'caseload data'!$C:$C,'community %'!$T$36)),"")</f>
        <v/>
      </c>
      <c r="AD41" s="209" t="str">
        <f>IFERROR(SUM(SUMIFS('caseload data'!N:N,'caseload data'!$C:$C,'community %'!$T$36,'caseload data'!$D:$D,"SPO",'caseload data'!$B:$B,{"licence","community"}))/SUM(SUMIFS('caseload data'!N:N,'caseload data'!$B:$B,{"licence","community"},'caseload data'!$C:$C,'community %'!$T$36)),"")</f>
        <v/>
      </c>
      <c r="AE41" s="209" t="str">
        <f>IFERROR(SUM(SUMIFS('caseload data'!O:O,'caseload data'!$C:$C,'community %'!$T$36,'caseload data'!$D:$D,"SPO",'caseload data'!$B:$B,{"licence","community"}))/SUM(SUMIFS('caseload data'!O:O,'caseload data'!$B:$B,{"licence","community"},'caseload data'!$C:$C,'community %'!$T$36)),"")</f>
        <v/>
      </c>
      <c r="AF41" s="209" t="str">
        <f>IFERROR(SUM(SUMIFS('caseload data'!P:P,'caseload data'!$C:$C,'community %'!$T$36,'caseload data'!$D:$D,"SPO",'caseload data'!$B:$B,{"licence","community"}))/SUM(SUMIFS('caseload data'!P:P,'caseload data'!$B:$B,{"licence","community"},'caseload data'!$C:$C,'community %'!$T$36)),"")</f>
        <v/>
      </c>
      <c r="AG41" s="209" t="str">
        <f>IFERROR(SUM(SUMIFS('caseload data'!Q:Q,'caseload data'!$C:$C,'community %'!$T$36,'caseload data'!$D:$D,"SPO",'caseload data'!$B:$B,{"licence","community"}))/SUM(SUMIFS('caseload data'!Q:Q,'caseload data'!$B:$B,{"licence","community"},'caseload data'!$C:$C,'community %'!$T$36)),"")</f>
        <v/>
      </c>
      <c r="AH41" s="209" t="str">
        <f>IFERROR(SUM(SUMIFS('caseload data'!R:R,'caseload data'!$C:$C,'community %'!$T$36,'caseload data'!$D:$D,"SPO",'caseload data'!$B:$B,{"licence","community"}))/SUM(SUMIFS('caseload data'!R:R,'caseload data'!$B:$B,{"licence","community"},'caseload data'!$C:$C,'community %'!$T$36)),"")</f>
        <v/>
      </c>
      <c r="AI41" s="209" t="str">
        <f>IFERROR(SUM(SUMIFS('caseload data'!S:S,'caseload data'!$C:$C,'community %'!$T$36,'caseload data'!$D:$D,"SPO",'caseload data'!$B:$B,{"licence","community"}))/SUM(SUMIFS('caseload data'!S:S,'caseload data'!$B:$B,{"licence","community"},'caseload data'!$C:$C,'community %'!$T$36)),"")</f>
        <v/>
      </c>
      <c r="AJ41" s="209" t="str">
        <f>IFERROR(SUM(SUMIFS('caseload data'!T:T,'caseload data'!$C:$C,'community %'!$T$36,'caseload data'!$D:$D,"SPO",'caseload data'!$B:$B,{"licence","community"}))/SUM(SUMIFS('caseload data'!T:T,'caseload data'!$B:$B,{"licence","community"},'caseload data'!$C:$C,'community %'!$T$36)),"")</f>
        <v/>
      </c>
    </row>
    <row r="42" spans="2:36" x14ac:dyDescent="0.15">
      <c r="B42" s="183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183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</row>
    <row r="43" spans="2:36" ht="43.5" customHeight="1" x14ac:dyDescent="0.15">
      <c r="B43" s="182" t="str">
        <f>HLOOKUP($B$5,Region_Table,12,0)</f>
        <v>Greenwich and Bexley</v>
      </c>
      <c r="C43" s="359" t="s">
        <v>370</v>
      </c>
      <c r="D43" s="365"/>
      <c r="E43" s="365"/>
      <c r="F43" s="365"/>
      <c r="G43" s="365"/>
      <c r="H43" s="365"/>
      <c r="I43" s="365"/>
      <c r="J43" s="365"/>
      <c r="K43" s="365"/>
      <c r="L43" s="365"/>
      <c r="M43" s="368"/>
      <c r="N43" s="368"/>
      <c r="O43" s="369"/>
      <c r="P43" s="362" cm="1">
        <f t="array" ref="P43">SUM(SUMIFS('caseload data'!V:V,'caseload data'!B:B,{"licence","community"},'caseload data'!$C:$C,B43))</f>
        <v>0</v>
      </c>
      <c r="Q43" s="370"/>
      <c r="R43" s="371"/>
      <c r="S43" s="95"/>
      <c r="T43" s="182" t="str">
        <f>HLOOKUP($B$5,Region_Table,13,0)</f>
        <v>Hackney and City</v>
      </c>
      <c r="U43" s="359" t="s">
        <v>370</v>
      </c>
      <c r="V43" s="365"/>
      <c r="W43" s="365"/>
      <c r="X43" s="365"/>
      <c r="Y43" s="365"/>
      <c r="Z43" s="365"/>
      <c r="AA43" s="365"/>
      <c r="AB43" s="365"/>
      <c r="AC43" s="365"/>
      <c r="AD43" s="365"/>
      <c r="AE43" s="368"/>
      <c r="AF43" s="368"/>
      <c r="AG43" s="369"/>
      <c r="AH43" s="362" cm="1">
        <f t="array" ref="AH43">SUM(SUMIFS('caseload data'!V:V,'caseload data'!B:B,{"licence","community"},'caseload data'!$C:$C,T43))</f>
        <v>0</v>
      </c>
      <c r="AI43" s="370"/>
      <c r="AJ43" s="371"/>
    </row>
    <row r="44" spans="2:36" x14ac:dyDescent="0.15">
      <c r="B44" s="127" t="s">
        <v>324</v>
      </c>
      <c r="C44" s="58" t="s">
        <v>504</v>
      </c>
      <c r="D44" s="58" t="s">
        <v>503</v>
      </c>
      <c r="E44" s="58" t="s">
        <v>502</v>
      </c>
      <c r="F44" s="58" t="s">
        <v>501</v>
      </c>
      <c r="G44" s="58" t="s">
        <v>510</v>
      </c>
      <c r="H44" s="58" t="s">
        <v>176</v>
      </c>
      <c r="I44" s="58" t="s">
        <v>177</v>
      </c>
      <c r="J44" s="58" t="s">
        <v>505</v>
      </c>
      <c r="K44" s="58" t="s">
        <v>507</v>
      </c>
      <c r="L44" s="58" t="s">
        <v>178</v>
      </c>
      <c r="M44" s="58" t="s">
        <v>179</v>
      </c>
      <c r="N44" s="58" t="s">
        <v>506</v>
      </c>
      <c r="O44" s="58" t="s">
        <v>508</v>
      </c>
      <c r="P44" s="58" t="s">
        <v>180</v>
      </c>
      <c r="Q44" s="58" t="s">
        <v>181</v>
      </c>
      <c r="R44" s="58" t="s">
        <v>509</v>
      </c>
      <c r="S44" s="95"/>
      <c r="T44" s="127" t="s">
        <v>324</v>
      </c>
      <c r="U44" s="58" t="s">
        <v>504</v>
      </c>
      <c r="V44" s="58" t="s">
        <v>503</v>
      </c>
      <c r="W44" s="58" t="s">
        <v>502</v>
      </c>
      <c r="X44" s="58" t="s">
        <v>501</v>
      </c>
      <c r="Y44" s="58" t="s">
        <v>510</v>
      </c>
      <c r="Z44" s="58" t="s">
        <v>176</v>
      </c>
      <c r="AA44" s="58" t="s">
        <v>177</v>
      </c>
      <c r="AB44" s="58" t="s">
        <v>505</v>
      </c>
      <c r="AC44" s="58" t="s">
        <v>507</v>
      </c>
      <c r="AD44" s="58" t="s">
        <v>178</v>
      </c>
      <c r="AE44" s="58" t="s">
        <v>179</v>
      </c>
      <c r="AF44" s="58" t="s">
        <v>506</v>
      </c>
      <c r="AG44" s="58" t="s">
        <v>508</v>
      </c>
      <c r="AH44" s="58" t="s">
        <v>180</v>
      </c>
      <c r="AI44" s="58" t="s">
        <v>181</v>
      </c>
      <c r="AJ44" s="58" t="s">
        <v>509</v>
      </c>
    </row>
    <row r="45" spans="2:36" x14ac:dyDescent="0.15">
      <c r="B45" s="129" t="s">
        <v>184</v>
      </c>
      <c r="C45" s="209" t="str">
        <f>IFERROR(SUM(SUMIFS('caseload data'!E:E,'caseload data'!$C:$C,'community %'!$B$43,'caseload data'!$D:$D,"PO",'caseload data'!$B:$B,{"licence","community"}))/SUM(SUMIFS('caseload data'!E:E,'caseload data'!$B:$B,{"licence","community"},'caseload data'!$C:$C,'community %'!$B$43)),"")</f>
        <v/>
      </c>
      <c r="D45" s="209" t="str">
        <f>IFERROR(SUM(SUMIFS('caseload data'!F:F,'caseload data'!$C:$C,'community %'!$B$43,'caseload data'!$D:$D,"PO",'caseload data'!$B:$B,{"licence","community"}))/SUM(SUMIFS('caseload data'!F:F,'caseload data'!$B:$B,{"licence","community"},'caseload data'!$C:$C,'community %'!$B$43)),"")</f>
        <v/>
      </c>
      <c r="E45" s="209" t="str">
        <f>IFERROR(SUM(SUMIFS('caseload data'!G:G,'caseload data'!$C:$C,'community %'!$B$43,'caseload data'!$D:$D,"PO",'caseload data'!$B:$B,{"licence","community"}))/SUM(SUMIFS('caseload data'!G:G,'caseload data'!$B:$B,{"licence","community"},'caseload data'!$C:$C,'community %'!$B$43)),"")</f>
        <v/>
      </c>
      <c r="F45" s="209" t="str">
        <f>IFERROR(SUM(SUMIFS('caseload data'!H:H,'caseload data'!$C:$C,'community %'!$B$43,'caseload data'!$D:$D,"PO",'caseload data'!$B:$B,{"licence","community"}))/SUM(SUMIFS('caseload data'!H:H,'caseload data'!$B:$B,{"licence","community"},'caseload data'!$C:$C,'community %'!$B$43)),"")</f>
        <v/>
      </c>
      <c r="G45" s="209" t="str">
        <f>IFERROR(SUM(SUMIFS('caseload data'!I:I,'caseload data'!$C:$C,'community %'!$B$43,'caseload data'!$D:$D,"PO",'caseload data'!$B:$B,{"licence","community"}))/SUM(SUMIFS('caseload data'!I:I,'caseload data'!$B:$B,{"licence","community"},'caseload data'!$C:$C,'community %'!$B$43)),"")</f>
        <v/>
      </c>
      <c r="H45" s="209" t="str">
        <f>IFERROR(SUM(SUMIFS('caseload data'!J:J,'caseload data'!$C:$C,'community %'!$B$43,'caseload data'!$D:$D,"PO",'caseload data'!$B:$B,{"licence","community"}))/SUM(SUMIFS('caseload data'!J:J,'caseload data'!$B:$B,{"licence","community"},'caseload data'!$C:$C,'community %'!$B$43)),"")</f>
        <v/>
      </c>
      <c r="I45" s="209" t="str">
        <f>IFERROR(SUM(SUMIFS('caseload data'!K:K,'caseload data'!$C:$C,'community %'!$B$43,'caseload data'!$D:$D,"PO",'caseload data'!$B:$B,{"licence","community"}))/SUM(SUMIFS('caseload data'!K:K,'caseload data'!$B:$B,{"licence","community"},'caseload data'!$C:$C,'community %'!$B$43)),"")</f>
        <v/>
      </c>
      <c r="J45" s="209" t="str">
        <f>IFERROR(SUM(SUMIFS('caseload data'!L:L,'caseload data'!$C:$C,'community %'!$B$43,'caseload data'!$D:$D,"PO",'caseload data'!$B:$B,{"licence","community"}))/SUM(SUMIFS('caseload data'!L:L,'caseload data'!$B:$B,{"licence","community"},'caseload data'!$C:$C,'community %'!$B$43)),"")</f>
        <v/>
      </c>
      <c r="K45" s="209" t="str">
        <f>IFERROR(SUM(SUMIFS('caseload data'!M:M,'caseload data'!$C:$C,'community %'!$B$43,'caseload data'!$D:$D,"PO",'caseload data'!$B:$B,{"licence","community"}))/SUM(SUMIFS('caseload data'!M:M,'caseload data'!$B:$B,{"licence","community"},'caseload data'!$C:$C,'community %'!$B$43)),"")</f>
        <v/>
      </c>
      <c r="L45" s="209" t="str">
        <f>IFERROR(SUM(SUMIFS('caseload data'!N:N,'caseload data'!$C:$C,'community %'!$B$43,'caseload data'!$D:$D,"PO",'caseload data'!$B:$B,{"licence","community"}))/SUM(SUMIFS('caseload data'!N:N,'caseload data'!$B:$B,{"licence","community"},'caseload data'!$C:$C,'community %'!$B$43)),"")</f>
        <v/>
      </c>
      <c r="M45" s="209" t="str">
        <f>IFERROR(SUM(SUMIFS('caseload data'!O:O,'caseload data'!$C:$C,'community %'!$B$43,'caseload data'!$D:$D,"PO",'caseload data'!$B:$B,{"licence","community"}))/SUM(SUMIFS('caseload data'!O:O,'caseload data'!$B:$B,{"licence","community"},'caseload data'!$C:$C,'community %'!$B$43)),"")</f>
        <v/>
      </c>
      <c r="N45" s="209" t="str">
        <f>IFERROR(SUM(SUMIFS('caseload data'!P:P,'caseload data'!$C:$C,'community %'!$B$43,'caseload data'!$D:$D,"PO",'caseload data'!$B:$B,{"licence","community"}))/SUM(SUMIFS('caseload data'!P:P,'caseload data'!$B:$B,{"licence","community"},'caseload data'!$C:$C,'community %'!$B$43)),"")</f>
        <v/>
      </c>
      <c r="O45" s="209" t="str">
        <f>IFERROR(SUM(SUMIFS('caseload data'!Q:Q,'caseload data'!$C:$C,'community %'!$B$43,'caseload data'!$D:$D,"PO",'caseload data'!$B:$B,{"licence","community"}))/SUM(SUMIFS('caseload data'!Q:Q,'caseload data'!$B:$B,{"licence","community"},'caseload data'!$C:$C,'community %'!$B$43)),"")</f>
        <v/>
      </c>
      <c r="P45" s="209" t="str">
        <f>IFERROR(SUM(SUMIFS('caseload data'!R:R,'caseload data'!$C:$C,'community %'!$B$43,'caseload data'!$D:$D,"PO",'caseload data'!$B:$B,{"licence","community"}))/SUM(SUMIFS('caseload data'!R:R,'caseload data'!$B:$B,{"licence","community"},'caseload data'!$C:$C,'community %'!$B$43)),"")</f>
        <v/>
      </c>
      <c r="Q45" s="209" t="str">
        <f>IFERROR(SUM(SUMIFS('caseload data'!S:S,'caseload data'!$C:$C,'community %'!$B$43,'caseload data'!$D:$D,"PO",'caseload data'!$B:$B,{"licence","community"}))/SUM(SUMIFS('caseload data'!S:S,'caseload data'!$B:$B,{"licence","community"},'caseload data'!$C:$C,'community %'!$B$43)),"")</f>
        <v/>
      </c>
      <c r="R45" s="209" t="str">
        <f>IFERROR(SUM(SUMIFS('caseload data'!T:T,'caseload data'!$C:$C,'community %'!$B$43,'caseload data'!$D:$D,"PO",'caseload data'!$B:$B,{"licence","community"}))/SUM(SUMIFS('caseload data'!T:T,'caseload data'!$B:$B,{"licence","community"},'caseload data'!$C:$C,'community %'!$B$43)),"")</f>
        <v/>
      </c>
      <c r="S45" s="95"/>
      <c r="T45" s="129" t="s">
        <v>184</v>
      </c>
      <c r="U45" s="209" t="str">
        <f>IFERROR(SUM(SUMIFS('caseload data'!E:E,'caseload data'!$C:$C,'community %'!$T$43,'caseload data'!$D:$D,"PO",'caseload data'!$B:$B,{"licence","community"}))/SUM(SUMIFS('caseload data'!E:E,'caseload data'!$B:$B,{"licence","community"},'caseload data'!$C:$C,'community %'!$T$43)),"")</f>
        <v/>
      </c>
      <c r="V45" s="209" t="str">
        <f>IFERROR(SUM(SUMIFS('caseload data'!F:F,'caseload data'!$C:$C,'community %'!$T$43,'caseload data'!$D:$D,"PO",'caseload data'!$B:$B,{"licence","community"}))/SUM(SUMIFS('caseload data'!F:F,'caseload data'!$B:$B,{"licence","community"},'caseload data'!$C:$C,'community %'!$T$43)),"")</f>
        <v/>
      </c>
      <c r="W45" s="209" t="str">
        <f>IFERROR(SUM(SUMIFS('caseload data'!G:G,'caseload data'!$C:$C,'community %'!$T$43,'caseload data'!$D:$D,"PO",'caseload data'!$B:$B,{"licence","community"}))/SUM(SUMIFS('caseload data'!G:G,'caseload data'!$B:$B,{"licence","community"},'caseload data'!$C:$C,'community %'!$T$43)),"")</f>
        <v/>
      </c>
      <c r="X45" s="209" t="str">
        <f>IFERROR(SUM(SUMIFS('caseload data'!H:H,'caseload data'!$C:$C,'community %'!$T$43,'caseload data'!$D:$D,"PO",'caseload data'!$B:$B,{"licence","community"}))/SUM(SUMIFS('caseload data'!H:H,'caseload data'!$B:$B,{"licence","community"},'caseload data'!$C:$C,'community %'!$T$43)),"")</f>
        <v/>
      </c>
      <c r="Y45" s="209" t="str">
        <f>IFERROR(SUM(SUMIFS('caseload data'!I:I,'caseload data'!$C:$C,'community %'!$T$43,'caseload data'!$D:$D,"PO",'caseload data'!$B:$B,{"licence","community"}))/SUM(SUMIFS('caseload data'!I:I,'caseload data'!$B:$B,{"licence","community"},'caseload data'!$C:$C,'community %'!$T$43)),"")</f>
        <v/>
      </c>
      <c r="Z45" s="209" t="str">
        <f>IFERROR(SUM(SUMIFS('caseload data'!J:J,'caseload data'!$C:$C,'community %'!$T$43,'caseload data'!$D:$D,"PO",'caseload data'!$B:$B,{"licence","community"}))/SUM(SUMIFS('caseload data'!J:J,'caseload data'!$B:$B,{"licence","community"},'caseload data'!$C:$C,'community %'!$T$43)),"")</f>
        <v/>
      </c>
      <c r="AA45" s="209" t="str">
        <f>IFERROR(SUM(SUMIFS('caseload data'!K:K,'caseload data'!$C:$C,'community %'!$T$43,'caseload data'!$D:$D,"PO",'caseload data'!$B:$B,{"licence","community"}))/SUM(SUMIFS('caseload data'!K:K,'caseload data'!$B:$B,{"licence","community"},'caseload data'!$C:$C,'community %'!$T$43)),"")</f>
        <v/>
      </c>
      <c r="AB45" s="209" t="str">
        <f>IFERROR(SUM(SUMIFS('caseload data'!L:L,'caseload data'!$C:$C,'community %'!$T$43,'caseload data'!$D:$D,"PO",'caseload data'!$B:$B,{"licence","community"}))/SUM(SUMIFS('caseload data'!L:L,'caseload data'!$B:$B,{"licence","community"},'caseload data'!$C:$C,'community %'!$T$43)),"")</f>
        <v/>
      </c>
      <c r="AC45" s="209" t="str">
        <f>IFERROR(SUM(SUMIFS('caseload data'!M:M,'caseload data'!$C:$C,'community %'!$T$43,'caseload data'!$D:$D,"PO",'caseload data'!$B:$B,{"licence","community"}))/SUM(SUMIFS('caseload data'!M:M,'caseload data'!$B:$B,{"licence","community"},'caseload data'!$C:$C,'community %'!$T$43)),"")</f>
        <v/>
      </c>
      <c r="AD45" s="209" t="str">
        <f>IFERROR(SUM(SUMIFS('caseload data'!N:N,'caseload data'!$C:$C,'community %'!$T$43,'caseload data'!$D:$D,"PO",'caseload data'!$B:$B,{"licence","community"}))/SUM(SUMIFS('caseload data'!N:N,'caseload data'!$B:$B,{"licence","community"},'caseload data'!$C:$C,'community %'!$T$43)),"")</f>
        <v/>
      </c>
      <c r="AE45" s="209" t="str">
        <f>IFERROR(SUM(SUMIFS('caseload data'!O:O,'caseload data'!$C:$C,'community %'!$T$43,'caseload data'!$D:$D,"PO",'caseload data'!$B:$B,{"licence","community"}))/SUM(SUMIFS('caseload data'!O:O,'caseload data'!$B:$B,{"licence","community"},'caseload data'!$C:$C,'community %'!$T$43)),"")</f>
        <v/>
      </c>
      <c r="AF45" s="209" t="str">
        <f>IFERROR(SUM(SUMIFS('caseload data'!P:P,'caseload data'!$C:$C,'community %'!$T$43,'caseload data'!$D:$D,"PO",'caseload data'!$B:$B,{"licence","community"}))/SUM(SUMIFS('caseload data'!P:P,'caseload data'!$B:$B,{"licence","community"},'caseload data'!$C:$C,'community %'!$T$43)),"")</f>
        <v/>
      </c>
      <c r="AG45" s="209" t="str">
        <f>IFERROR(SUM(SUMIFS('caseload data'!Q:Q,'caseload data'!$C:$C,'community %'!$T$43,'caseload data'!$D:$D,"PO",'caseload data'!$B:$B,{"licence","community"}))/SUM(SUMIFS('caseload data'!Q:Q,'caseload data'!$B:$B,{"licence","community"},'caseload data'!$C:$C,'community %'!$T$43)),"")</f>
        <v/>
      </c>
      <c r="AH45" s="209" t="str">
        <f>IFERROR(SUM(SUMIFS('caseload data'!R:R,'caseload data'!$C:$C,'community %'!$T$43,'caseload data'!$D:$D,"PO",'caseload data'!$B:$B,{"licence","community"}))/SUM(SUMIFS('caseload data'!R:R,'caseload data'!$B:$B,{"licence","community"},'caseload data'!$C:$C,'community %'!$T$43)),"")</f>
        <v/>
      </c>
      <c r="AI45" s="209" t="str">
        <f>IFERROR(SUM(SUMIFS('caseload data'!S:S,'caseload data'!$C:$C,'community %'!$T$43,'caseload data'!$D:$D,"PO",'caseload data'!$B:$B,{"licence","community"}))/SUM(SUMIFS('caseload data'!S:S,'caseload data'!$B:$B,{"licence","community"},'caseload data'!$C:$C,'community %'!$T$43)),"")</f>
        <v/>
      </c>
      <c r="AJ45" s="209" t="str">
        <f>IFERROR(SUM(SUMIFS('caseload data'!T:T,'caseload data'!$C:$C,'community %'!$T$43,'caseload data'!$D:$D,"PO",'caseload data'!$B:$B,{"licence","community"}))/SUM(SUMIFS('caseload data'!T:T,'caseload data'!$B:$B,{"licence","community"},'caseload data'!$C:$C,'community %'!$T$43)),"")</f>
        <v/>
      </c>
    </row>
    <row r="46" spans="2:36" x14ac:dyDescent="0.15">
      <c r="B46" s="130" t="s">
        <v>185</v>
      </c>
      <c r="C46" s="209" t="str">
        <f>IFERROR(SUM(SUMIFS('caseload data'!E:E,'caseload data'!$C:$C,'community %'!$B$43,'caseload data'!$D:$D,"PSO",'caseload data'!$B:$B,{"licence","community"}))/SUM(SUMIFS('caseload data'!E:E,'caseload data'!$B:$B,{"licence","community"},'caseload data'!$C:$C,'community %'!$B$43)),"")</f>
        <v/>
      </c>
      <c r="D46" s="209" t="str">
        <f>IFERROR(SUM(SUMIFS('caseload data'!F:F,'caseload data'!$C:$C,'community %'!$B$43,'caseload data'!$D:$D,"PSO",'caseload data'!$B:$B,{"licence","community"}))/SUM(SUMIFS('caseload data'!F:F,'caseload data'!$B:$B,{"licence","community"},'caseload data'!$C:$C,'community %'!$B$43)),"")</f>
        <v/>
      </c>
      <c r="E46" s="209" t="str">
        <f>IFERROR(SUM(SUMIFS('caseload data'!G:G,'caseload data'!$C:$C,'community %'!$B$43,'caseload data'!$D:$D,"PSO",'caseload data'!$B:$B,{"licence","community"}))/SUM(SUMIFS('caseload data'!G:G,'caseload data'!$B:$B,{"licence","community"},'caseload data'!$C:$C,'community %'!$B$43)),"")</f>
        <v/>
      </c>
      <c r="F46" s="209" t="str">
        <f>IFERROR(SUM(SUMIFS('caseload data'!H:H,'caseload data'!$C:$C,'community %'!$B$43,'caseload data'!$D:$D,"PSO",'caseload data'!$B:$B,{"licence","community"}))/SUM(SUMIFS('caseload data'!H:H,'caseload data'!$B:$B,{"licence","community"},'caseload data'!$C:$C,'community %'!$B$43)),"")</f>
        <v/>
      </c>
      <c r="G46" s="209" t="str">
        <f>IFERROR(SUM(SUMIFS('caseload data'!I:I,'caseload data'!$C:$C,'community %'!$B$43,'caseload data'!$D:$D,"PSO",'caseload data'!$B:$B,{"licence","community"}))/SUM(SUMIFS('caseload data'!I:I,'caseload data'!$B:$B,{"licence","community"},'caseload data'!$C:$C,'community %'!$B$43)),"")</f>
        <v/>
      </c>
      <c r="H46" s="209" t="str">
        <f>IFERROR(SUM(SUMIFS('caseload data'!J:J,'caseload data'!$C:$C,'community %'!$B$43,'caseload data'!$D:$D,"PSO",'caseload data'!$B:$B,{"licence","community"}))/SUM(SUMIFS('caseload data'!J:J,'caseload data'!$B:$B,{"licence","community"},'caseload data'!$C:$C,'community %'!$B$43)),"")</f>
        <v/>
      </c>
      <c r="I46" s="209" t="str">
        <f>IFERROR(SUM(SUMIFS('caseload data'!K:K,'caseload data'!$C:$C,'community %'!$B$43,'caseload data'!$D:$D,"PSO",'caseload data'!$B:$B,{"licence","community"}))/SUM(SUMIFS('caseload data'!K:K,'caseload data'!$B:$B,{"licence","community"},'caseload data'!$C:$C,'community %'!$B$43)),"")</f>
        <v/>
      </c>
      <c r="J46" s="209" t="str">
        <f>IFERROR(SUM(SUMIFS('caseload data'!L:L,'caseload data'!$C:$C,'community %'!$B$43,'caseload data'!$D:$D,"PSO",'caseload data'!$B:$B,{"licence","community"}))/SUM(SUMIFS('caseload data'!L:L,'caseload data'!$B:$B,{"licence","community"},'caseload data'!$C:$C,'community %'!$B$43)),"")</f>
        <v/>
      </c>
      <c r="K46" s="209" t="str">
        <f>IFERROR(SUM(SUMIFS('caseload data'!M:M,'caseload data'!$C:$C,'community %'!$B$43,'caseload data'!$D:$D,"PSO",'caseload data'!$B:$B,{"licence","community"}))/SUM(SUMIFS('caseload data'!M:M,'caseload data'!$B:$B,{"licence","community"},'caseload data'!$C:$C,'community %'!$B$43)),"")</f>
        <v/>
      </c>
      <c r="L46" s="209" t="str">
        <f>IFERROR(SUM(SUMIFS('caseload data'!N:N,'caseload data'!$C:$C,'community %'!$B$43,'caseload data'!$D:$D,"PSO",'caseload data'!$B:$B,{"licence","community"}))/SUM(SUMIFS('caseload data'!N:N,'caseload data'!$B:$B,{"licence","community"},'caseload data'!$C:$C,'community %'!$B$43)),"")</f>
        <v/>
      </c>
      <c r="M46" s="209" t="str">
        <f>IFERROR(SUM(SUMIFS('caseload data'!O:O,'caseload data'!$C:$C,'community %'!$B$43,'caseload data'!$D:$D,"PSO",'caseload data'!$B:$B,{"licence","community"}))/SUM(SUMIFS('caseload data'!O:O,'caseload data'!$B:$B,{"licence","community"},'caseload data'!$C:$C,'community %'!$B$43)),"")</f>
        <v/>
      </c>
      <c r="N46" s="209" t="str">
        <f>IFERROR(SUM(SUMIFS('caseload data'!P:P,'caseload data'!$C:$C,'community %'!$B$43,'caseload data'!$D:$D,"PSO",'caseload data'!$B:$B,{"licence","community"}))/SUM(SUMIFS('caseload data'!P:P,'caseload data'!$B:$B,{"licence","community"},'caseload data'!$C:$C,'community %'!$B$43)),"")</f>
        <v/>
      </c>
      <c r="O46" s="209" t="str">
        <f>IFERROR(SUM(SUMIFS('caseload data'!Q:Q,'caseload data'!$C:$C,'community %'!$B$43,'caseload data'!$D:$D,"PSO",'caseload data'!$B:$B,{"licence","community"}))/SUM(SUMIFS('caseload data'!Q:Q,'caseload data'!$B:$B,{"licence","community"},'caseload data'!$C:$C,'community %'!$B$43)),"")</f>
        <v/>
      </c>
      <c r="P46" s="209" t="str">
        <f>IFERROR(SUM(SUMIFS('caseload data'!R:R,'caseload data'!$C:$C,'community %'!$B$43,'caseload data'!$D:$D,"PSO",'caseload data'!$B:$B,{"licence","community"}))/SUM(SUMIFS('caseload data'!R:R,'caseload data'!$B:$B,{"licence","community"},'caseload data'!$C:$C,'community %'!$B$43)),"")</f>
        <v/>
      </c>
      <c r="Q46" s="209" t="str">
        <f>IFERROR(SUM(SUMIFS('caseload data'!S:S,'caseload data'!$C:$C,'community %'!$B$43,'caseload data'!$D:$D,"PSO",'caseload data'!$B:$B,{"licence","community"}))/SUM(SUMIFS('caseload data'!S:S,'caseload data'!$B:$B,{"licence","community"},'caseload data'!$C:$C,'community %'!$B$43)),"")</f>
        <v/>
      </c>
      <c r="R46" s="209" t="str">
        <f>IFERROR(SUM(SUMIFS('caseload data'!T:T,'caseload data'!$C:$C,'community %'!$B$43,'caseload data'!$D:$D,"PSO",'caseload data'!$B:$B,{"licence","community"}))/SUM(SUMIFS('caseload data'!T:T,'caseload data'!$B:$B,{"licence","community"},'caseload data'!$C:$C,'community %'!$B$43)),"")</f>
        <v/>
      </c>
      <c r="S46" s="95"/>
      <c r="T46" s="130" t="s">
        <v>185</v>
      </c>
      <c r="U46" s="209" t="str">
        <f>IFERROR(SUM(SUMIFS('caseload data'!E:E,'caseload data'!$C:$C,'community %'!$T$43,'caseload data'!$D:$D,"PSO",'caseload data'!$B:$B,{"licence","community"}))/SUM(SUMIFS('caseload data'!E:E,'caseload data'!$B:$B,{"licence","community"},'caseload data'!$C:$C,'community %'!$T$43)),"")</f>
        <v/>
      </c>
      <c r="V46" s="209" t="str">
        <f>IFERROR(SUM(SUMIFS('caseload data'!F:F,'caseload data'!$C:$C,'community %'!$T$43,'caseload data'!$D:$D,"PSO",'caseload data'!$B:$B,{"licence","community"}))/SUM(SUMIFS('caseload data'!F:F,'caseload data'!$B:$B,{"licence","community"},'caseload data'!$C:$C,'community %'!$T$43)),"")</f>
        <v/>
      </c>
      <c r="W46" s="209" t="str">
        <f>IFERROR(SUM(SUMIFS('caseload data'!G:G,'caseload data'!$C:$C,'community %'!$T$43,'caseload data'!$D:$D,"PSO",'caseload data'!$B:$B,{"licence","community"}))/SUM(SUMIFS('caseload data'!G:G,'caseload data'!$B:$B,{"licence","community"},'caseload data'!$C:$C,'community %'!$T$43)),"")</f>
        <v/>
      </c>
      <c r="X46" s="209" t="str">
        <f>IFERROR(SUM(SUMIFS('caseload data'!H:H,'caseload data'!$C:$C,'community %'!$T$43,'caseload data'!$D:$D,"PSO",'caseload data'!$B:$B,{"licence","community"}))/SUM(SUMIFS('caseload data'!H:H,'caseload data'!$B:$B,{"licence","community"},'caseload data'!$C:$C,'community %'!$T$43)),"")</f>
        <v/>
      </c>
      <c r="Y46" s="209" t="str">
        <f>IFERROR(SUM(SUMIFS('caseload data'!I:I,'caseload data'!$C:$C,'community %'!$T$43,'caseload data'!$D:$D,"PSO",'caseload data'!$B:$B,{"licence","community"}))/SUM(SUMIFS('caseload data'!I:I,'caseload data'!$B:$B,{"licence","community"},'caseload data'!$C:$C,'community %'!$T$43)),"")</f>
        <v/>
      </c>
      <c r="Z46" s="209" t="str">
        <f>IFERROR(SUM(SUMIFS('caseload data'!J:J,'caseload data'!$C:$C,'community %'!$T$43,'caseload data'!$D:$D,"PSO",'caseload data'!$B:$B,{"licence","community"}))/SUM(SUMIFS('caseload data'!J:J,'caseload data'!$B:$B,{"licence","community"},'caseload data'!$C:$C,'community %'!$T$43)),"")</f>
        <v/>
      </c>
      <c r="AA46" s="209" t="str">
        <f>IFERROR(SUM(SUMIFS('caseload data'!K:K,'caseload data'!$C:$C,'community %'!$T$43,'caseload data'!$D:$D,"PSO",'caseload data'!$B:$B,{"licence","community"}))/SUM(SUMIFS('caseload data'!K:K,'caseload data'!$B:$B,{"licence","community"},'caseload data'!$C:$C,'community %'!$T$43)),"")</f>
        <v/>
      </c>
      <c r="AB46" s="209" t="str">
        <f>IFERROR(SUM(SUMIFS('caseload data'!L:L,'caseload data'!$C:$C,'community %'!$T$43,'caseload data'!$D:$D,"PSO",'caseload data'!$B:$B,{"licence","community"}))/SUM(SUMIFS('caseload data'!L:L,'caseload data'!$B:$B,{"licence","community"},'caseload data'!$C:$C,'community %'!$T$43)),"")</f>
        <v/>
      </c>
      <c r="AC46" s="209" t="str">
        <f>IFERROR(SUM(SUMIFS('caseload data'!M:M,'caseload data'!$C:$C,'community %'!$T$43,'caseload data'!$D:$D,"PSO",'caseload data'!$B:$B,{"licence","community"}))/SUM(SUMIFS('caseload data'!M:M,'caseload data'!$B:$B,{"licence","community"},'caseload data'!$C:$C,'community %'!$T$43)),"")</f>
        <v/>
      </c>
      <c r="AD46" s="209" t="str">
        <f>IFERROR(SUM(SUMIFS('caseload data'!N:N,'caseload data'!$C:$C,'community %'!$T$43,'caseload data'!$D:$D,"PSO",'caseload data'!$B:$B,{"licence","community"}))/SUM(SUMIFS('caseload data'!N:N,'caseload data'!$B:$B,{"licence","community"},'caseload data'!$C:$C,'community %'!$T$43)),"")</f>
        <v/>
      </c>
      <c r="AE46" s="209" t="str">
        <f>IFERROR(SUM(SUMIFS('caseload data'!O:O,'caseload data'!$C:$C,'community %'!$T$43,'caseload data'!$D:$D,"PSO",'caseload data'!$B:$B,{"licence","community"}))/SUM(SUMIFS('caseload data'!O:O,'caseload data'!$B:$B,{"licence","community"},'caseload data'!$C:$C,'community %'!$T$43)),"")</f>
        <v/>
      </c>
      <c r="AF46" s="209" t="str">
        <f>IFERROR(SUM(SUMIFS('caseload data'!P:P,'caseload data'!$C:$C,'community %'!$T$43,'caseload data'!$D:$D,"PSO",'caseload data'!$B:$B,{"licence","community"}))/SUM(SUMIFS('caseload data'!P:P,'caseload data'!$B:$B,{"licence","community"},'caseload data'!$C:$C,'community %'!$T$43)),"")</f>
        <v/>
      </c>
      <c r="AG46" s="209" t="str">
        <f>IFERROR(SUM(SUMIFS('caseload data'!Q:Q,'caseload data'!$C:$C,'community %'!$T$43,'caseload data'!$D:$D,"PSO",'caseload data'!$B:$B,{"licence","community"}))/SUM(SUMIFS('caseload data'!Q:Q,'caseload data'!$B:$B,{"licence","community"},'caseload data'!$C:$C,'community %'!$T$43)),"")</f>
        <v/>
      </c>
      <c r="AH46" s="209" t="str">
        <f>IFERROR(SUM(SUMIFS('caseload data'!R:R,'caseload data'!$C:$C,'community %'!$T$43,'caseload data'!$D:$D,"PSO",'caseload data'!$B:$B,{"licence","community"}))/SUM(SUMIFS('caseload data'!R:R,'caseload data'!$B:$B,{"licence","community"},'caseload data'!$C:$C,'community %'!$T$43)),"")</f>
        <v/>
      </c>
      <c r="AI46" s="209" t="str">
        <f>IFERROR(SUM(SUMIFS('caseload data'!S:S,'caseload data'!$C:$C,'community %'!$T$43,'caseload data'!$D:$D,"PSO",'caseload data'!$B:$B,{"licence","community"}))/SUM(SUMIFS('caseload data'!S:S,'caseload data'!$B:$B,{"licence","community"},'caseload data'!$C:$C,'community %'!$T$43)),"")</f>
        <v/>
      </c>
      <c r="AJ46" s="209" t="str">
        <f>IFERROR(SUM(SUMIFS('caseload data'!T:T,'caseload data'!$C:$C,'community %'!$T$43,'caseload data'!$D:$D,"PSO",'caseload data'!$B:$B,{"licence","community"}))/SUM(SUMIFS('caseload data'!T:T,'caseload data'!$B:$B,{"licence","community"},'caseload data'!$C:$C,'community %'!$T$43)),"")</f>
        <v/>
      </c>
    </row>
    <row r="47" spans="2:36" x14ac:dyDescent="0.15">
      <c r="B47" s="130" t="s">
        <v>186</v>
      </c>
      <c r="C47" s="209" t="str">
        <f>IFERROR(SUM(SUMIFS('caseload data'!E:E,'caseload data'!$C:$C,'community %'!$B$43,'caseload data'!$D:$D,"TPO",'caseload data'!$B:$B,{"licence","community"}))/SUM(SUMIFS('caseload data'!E:E,'caseload data'!$B:$B,{"licence","community"},'caseload data'!$C:$C,'community %'!$B$43)),"")</f>
        <v/>
      </c>
      <c r="D47" s="209" t="str">
        <f>IFERROR(SUM(SUMIFS('caseload data'!F:F,'caseload data'!$C:$C,'community %'!$B$43,'caseload data'!$D:$D,"TPO",'caseload data'!$B:$B,{"licence","community"}))/SUM(SUMIFS('caseload data'!F:F,'caseload data'!$B:$B,{"licence","community"},'caseload data'!$C:$C,'community %'!$B$43)),"")</f>
        <v/>
      </c>
      <c r="E47" s="209" t="str">
        <f>IFERROR(SUM(SUMIFS('caseload data'!G:G,'caseload data'!$C:$C,'community %'!$B$43,'caseload data'!$D:$D,"TPO",'caseload data'!$B:$B,{"licence","community"}))/SUM(SUMIFS('caseload data'!G:G,'caseload data'!$B:$B,{"licence","community"},'caseload data'!$C:$C,'community %'!$B$43)),"")</f>
        <v/>
      </c>
      <c r="F47" s="209" t="str">
        <f>IFERROR(SUM(SUMIFS('caseload data'!H:H,'caseload data'!$C:$C,'community %'!$B$43,'caseload data'!$D:$D,"TPO",'caseload data'!$B:$B,{"licence","community"}))/SUM(SUMIFS('caseload data'!H:H,'caseload data'!$B:$B,{"licence","community"},'caseload data'!$C:$C,'community %'!$B$43)),"")</f>
        <v/>
      </c>
      <c r="G47" s="209" t="str">
        <f>IFERROR(SUM(SUMIFS('caseload data'!I:I,'caseload data'!$C:$C,'community %'!$B$43,'caseload data'!$D:$D,"TPO",'caseload data'!$B:$B,{"licence","community"}))/SUM(SUMIFS('caseload data'!I:I,'caseload data'!$B:$B,{"licence","community"},'caseload data'!$C:$C,'community %'!$B$43)),"")</f>
        <v/>
      </c>
      <c r="H47" s="209" t="str">
        <f>IFERROR(SUM(SUMIFS('caseload data'!J:J,'caseload data'!$C:$C,'community %'!$B$43,'caseload data'!$D:$D,"TPO",'caseload data'!$B:$B,{"licence","community"}))/SUM(SUMIFS('caseload data'!J:J,'caseload data'!$B:$B,{"licence","community"},'caseload data'!$C:$C,'community %'!$B$43)),"")</f>
        <v/>
      </c>
      <c r="I47" s="209" t="str">
        <f>IFERROR(SUM(SUMIFS('caseload data'!K:K,'caseload data'!$C:$C,'community %'!$B$43,'caseload data'!$D:$D,"TPO",'caseload data'!$B:$B,{"licence","community"}))/SUM(SUMIFS('caseload data'!K:K,'caseload data'!$B:$B,{"licence","community"},'caseload data'!$C:$C,'community %'!$B$43)),"")</f>
        <v/>
      </c>
      <c r="J47" s="209" t="str">
        <f>IFERROR(SUM(SUMIFS('caseload data'!L:L,'caseload data'!$C:$C,'community %'!$B$43,'caseload data'!$D:$D,"TPO",'caseload data'!$B:$B,{"licence","community"}))/SUM(SUMIFS('caseload data'!L:L,'caseload data'!$B:$B,{"licence","community"},'caseload data'!$C:$C,'community %'!$B$43)),"")</f>
        <v/>
      </c>
      <c r="K47" s="209" t="str">
        <f>IFERROR(SUM(SUMIFS('caseload data'!M:M,'caseload data'!$C:$C,'community %'!$B$43,'caseload data'!$D:$D,"TPO",'caseload data'!$B:$B,{"licence","community"}))/SUM(SUMIFS('caseload data'!M:M,'caseload data'!$B:$B,{"licence","community"},'caseload data'!$C:$C,'community %'!$B$43)),"")</f>
        <v/>
      </c>
      <c r="L47" s="209" t="str">
        <f>IFERROR(SUM(SUMIFS('caseload data'!N:N,'caseload data'!$C:$C,'community %'!$B$43,'caseload data'!$D:$D,"TPO",'caseload data'!$B:$B,{"licence","community"}))/SUM(SUMIFS('caseload data'!N:N,'caseload data'!$B:$B,{"licence","community"},'caseload data'!$C:$C,'community %'!$B$43)),"")</f>
        <v/>
      </c>
      <c r="M47" s="209" t="str">
        <f>IFERROR(SUM(SUMIFS('caseload data'!O:O,'caseload data'!$C:$C,'community %'!$B$43,'caseload data'!$D:$D,"TPO",'caseload data'!$B:$B,{"licence","community"}))/SUM(SUMIFS('caseload data'!O:O,'caseload data'!$B:$B,{"licence","community"},'caseload data'!$C:$C,'community %'!$B$43)),"")</f>
        <v/>
      </c>
      <c r="N47" s="209" t="str">
        <f>IFERROR(SUM(SUMIFS('caseload data'!P:P,'caseload data'!$C:$C,'community %'!$B$43,'caseload data'!$D:$D,"TPO",'caseload data'!$B:$B,{"licence","community"}))/SUM(SUMIFS('caseload data'!P:P,'caseload data'!$B:$B,{"licence","community"},'caseload data'!$C:$C,'community %'!$B$43)),"")</f>
        <v/>
      </c>
      <c r="O47" s="209" t="str">
        <f>IFERROR(SUM(SUMIFS('caseload data'!Q:Q,'caseload data'!$C:$C,'community %'!$B$43,'caseload data'!$D:$D,"TPO",'caseload data'!$B:$B,{"licence","community"}))/SUM(SUMIFS('caseload data'!Q:Q,'caseload data'!$B:$B,{"licence","community"},'caseload data'!$C:$C,'community %'!$B$43)),"")</f>
        <v/>
      </c>
      <c r="P47" s="209" t="str">
        <f>IFERROR(SUM(SUMIFS('caseload data'!R:R,'caseload data'!$C:$C,'community %'!$B$43,'caseload data'!$D:$D,"TPO",'caseload data'!$B:$B,{"licence","community"}))/SUM(SUMIFS('caseload data'!R:R,'caseload data'!$B:$B,{"licence","community"},'caseload data'!$C:$C,'community %'!$B$43)),"")</f>
        <v/>
      </c>
      <c r="Q47" s="209" t="str">
        <f>IFERROR(SUM(SUMIFS('caseload data'!S:S,'caseload data'!$C:$C,'community %'!$B$43,'caseload data'!$D:$D,"TPO",'caseload data'!$B:$B,{"licence","community"}))/SUM(SUMIFS('caseload data'!S:S,'caseload data'!$B:$B,{"licence","community"},'caseload data'!$C:$C,'community %'!$B$43)),"")</f>
        <v/>
      </c>
      <c r="R47" s="209" t="str">
        <f>IFERROR(SUM(SUMIFS('caseload data'!T:T,'caseload data'!$C:$C,'community %'!$B$43,'caseload data'!$D:$D,"TPO",'caseload data'!$B:$B,{"licence","community"}))/SUM(SUMIFS('caseload data'!T:T,'caseload data'!$B:$B,{"licence","community"},'caseload data'!$C:$C,'community %'!$B$43)),"")</f>
        <v/>
      </c>
      <c r="S47" s="95"/>
      <c r="T47" s="130" t="s">
        <v>186</v>
      </c>
      <c r="U47" s="209" t="str">
        <f>IFERROR(SUM(SUMIFS('caseload data'!E:E,'caseload data'!$C:$C,'community %'!$T$43,'caseload data'!$D:$D,"TPO",'caseload data'!$B:$B,{"licence","community"}))/SUM(SUMIFS('caseload data'!E:E,'caseload data'!$B:$B,{"licence","community"},'caseload data'!$C:$C,'community %'!$T$43)),"")</f>
        <v/>
      </c>
      <c r="V47" s="209" t="str">
        <f>IFERROR(SUM(SUMIFS('caseload data'!F:F,'caseload data'!$C:$C,'community %'!$T$43,'caseload data'!$D:$D,"TPO",'caseload data'!$B:$B,{"licence","community"}))/SUM(SUMIFS('caseload data'!F:F,'caseload data'!$B:$B,{"licence","community"},'caseload data'!$C:$C,'community %'!$T$43)),"")</f>
        <v/>
      </c>
      <c r="W47" s="209" t="str">
        <f>IFERROR(SUM(SUMIFS('caseload data'!G:G,'caseload data'!$C:$C,'community %'!$T$43,'caseload data'!$D:$D,"TPO",'caseload data'!$B:$B,{"licence","community"}))/SUM(SUMIFS('caseload data'!G:G,'caseload data'!$B:$B,{"licence","community"},'caseload data'!$C:$C,'community %'!$T$43)),"")</f>
        <v/>
      </c>
      <c r="X47" s="209" t="str">
        <f>IFERROR(SUM(SUMIFS('caseload data'!H:H,'caseload data'!$C:$C,'community %'!$T$43,'caseload data'!$D:$D,"TPO",'caseload data'!$B:$B,{"licence","community"}))/SUM(SUMIFS('caseload data'!H:H,'caseload data'!$B:$B,{"licence","community"},'caseload data'!$C:$C,'community %'!$T$43)),"")</f>
        <v/>
      </c>
      <c r="Y47" s="209" t="str">
        <f>IFERROR(SUM(SUMIFS('caseload data'!I:I,'caseload data'!$C:$C,'community %'!$T$43,'caseload data'!$D:$D,"TPO",'caseload data'!$B:$B,{"licence","community"}))/SUM(SUMIFS('caseload data'!I:I,'caseload data'!$B:$B,{"licence","community"},'caseload data'!$C:$C,'community %'!$T$43)),"")</f>
        <v/>
      </c>
      <c r="Z47" s="209" t="str">
        <f>IFERROR(SUM(SUMIFS('caseload data'!J:J,'caseload data'!$C:$C,'community %'!$T$43,'caseload data'!$D:$D,"TPO",'caseload data'!$B:$B,{"licence","community"}))/SUM(SUMIFS('caseload data'!J:J,'caseload data'!$B:$B,{"licence","community"},'caseload data'!$C:$C,'community %'!$T$43)),"")</f>
        <v/>
      </c>
      <c r="AA47" s="209" t="str">
        <f>IFERROR(SUM(SUMIFS('caseload data'!K:K,'caseload data'!$C:$C,'community %'!$T$43,'caseload data'!$D:$D,"TPO",'caseload data'!$B:$B,{"licence","community"}))/SUM(SUMIFS('caseload data'!K:K,'caseload data'!$B:$B,{"licence","community"},'caseload data'!$C:$C,'community %'!$T$43)),"")</f>
        <v/>
      </c>
      <c r="AB47" s="209" t="str">
        <f>IFERROR(SUM(SUMIFS('caseload data'!L:L,'caseload data'!$C:$C,'community %'!$T$43,'caseload data'!$D:$D,"TPO",'caseload data'!$B:$B,{"licence","community"}))/SUM(SUMIFS('caseload data'!L:L,'caseload data'!$B:$B,{"licence","community"},'caseload data'!$C:$C,'community %'!$T$43)),"")</f>
        <v/>
      </c>
      <c r="AC47" s="209" t="str">
        <f>IFERROR(SUM(SUMIFS('caseload data'!M:M,'caseload data'!$C:$C,'community %'!$T$43,'caseload data'!$D:$D,"TPO",'caseload data'!$B:$B,{"licence","community"}))/SUM(SUMIFS('caseload data'!M:M,'caseload data'!$B:$B,{"licence","community"},'caseload data'!$C:$C,'community %'!$T$43)),"")</f>
        <v/>
      </c>
      <c r="AD47" s="209" t="str">
        <f>IFERROR(SUM(SUMIFS('caseload data'!N:N,'caseload data'!$C:$C,'community %'!$T$43,'caseload data'!$D:$D,"TPO",'caseload data'!$B:$B,{"licence","community"}))/SUM(SUMIFS('caseload data'!N:N,'caseload data'!$B:$B,{"licence","community"},'caseload data'!$C:$C,'community %'!$T$43)),"")</f>
        <v/>
      </c>
      <c r="AE47" s="209" t="str">
        <f>IFERROR(SUM(SUMIFS('caseload data'!O:O,'caseload data'!$C:$C,'community %'!$T$43,'caseload data'!$D:$D,"TPO",'caseload data'!$B:$B,{"licence","community"}))/SUM(SUMIFS('caseload data'!O:O,'caseload data'!$B:$B,{"licence","community"},'caseload data'!$C:$C,'community %'!$T$43)),"")</f>
        <v/>
      </c>
      <c r="AF47" s="209" t="str">
        <f>IFERROR(SUM(SUMIFS('caseload data'!P:P,'caseload data'!$C:$C,'community %'!$T$43,'caseload data'!$D:$D,"TPO",'caseload data'!$B:$B,{"licence","community"}))/SUM(SUMIFS('caseload data'!P:P,'caseload data'!$B:$B,{"licence","community"},'caseload data'!$C:$C,'community %'!$T$43)),"")</f>
        <v/>
      </c>
      <c r="AG47" s="209" t="str">
        <f>IFERROR(SUM(SUMIFS('caseload data'!Q:Q,'caseload data'!$C:$C,'community %'!$T$43,'caseload data'!$D:$D,"TPO",'caseload data'!$B:$B,{"licence","community"}))/SUM(SUMIFS('caseload data'!Q:Q,'caseload data'!$B:$B,{"licence","community"},'caseload data'!$C:$C,'community %'!$T$43)),"")</f>
        <v/>
      </c>
      <c r="AH47" s="209" t="str">
        <f>IFERROR(SUM(SUMIFS('caseload data'!R:R,'caseload data'!$C:$C,'community %'!$T$43,'caseload data'!$D:$D,"TPO",'caseload data'!$B:$B,{"licence","community"}))/SUM(SUMIFS('caseload data'!R:R,'caseload data'!$B:$B,{"licence","community"},'caseload data'!$C:$C,'community %'!$T$43)),"")</f>
        <v/>
      </c>
      <c r="AI47" s="209" t="str">
        <f>IFERROR(SUM(SUMIFS('caseload data'!S:S,'caseload data'!$C:$C,'community %'!$T$43,'caseload data'!$D:$D,"TPO",'caseload data'!$B:$B,{"licence","community"}))/SUM(SUMIFS('caseload data'!S:S,'caseload data'!$B:$B,{"licence","community"},'caseload data'!$C:$C,'community %'!$T$43)),"")</f>
        <v/>
      </c>
      <c r="AJ47" s="209" t="str">
        <f>IFERROR(SUM(SUMIFS('caseload data'!T:T,'caseload data'!$C:$C,'community %'!$T$43,'caseload data'!$D:$D,"TPO",'caseload data'!$B:$B,{"licence","community"}))/SUM(SUMIFS('caseload data'!T:T,'caseload data'!$B:$B,{"licence","community"},'caseload data'!$C:$C,'community %'!$T$43)),"")</f>
        <v/>
      </c>
    </row>
    <row r="48" spans="2:36" x14ac:dyDescent="0.15">
      <c r="B48" s="131" t="s">
        <v>187</v>
      </c>
      <c r="C48" s="209" t="str">
        <f>IFERROR(SUM(SUMIFS('caseload data'!E:E,'caseload data'!$C:$C,'community %'!$B$43,'caseload data'!$D:$D,"SPO",'caseload data'!$B:$B,{"licence","community"}))/SUM(SUMIFS('caseload data'!E:E,'caseload data'!$B:$B,{"licence","community"},'caseload data'!$C:$C,'community %'!$B$43)),"")</f>
        <v/>
      </c>
      <c r="D48" s="209" t="str">
        <f>IFERROR(SUM(SUMIFS('caseload data'!F:F,'caseload data'!$C:$C,'community %'!$B$43,'caseload data'!$D:$D,"SPO",'caseload data'!$B:$B,{"licence","community"}))/SUM(SUMIFS('caseload data'!F:F,'caseload data'!$B:$B,{"licence","community"},'caseload data'!$C:$C,'community %'!$B$43)),"")</f>
        <v/>
      </c>
      <c r="E48" s="209" t="str">
        <f>IFERROR(SUM(SUMIFS('caseload data'!G:G,'caseload data'!$C:$C,'community %'!$B$43,'caseload data'!$D:$D,"SPO",'caseload data'!$B:$B,{"licence","community"}))/SUM(SUMIFS('caseload data'!G:G,'caseload data'!$B:$B,{"licence","community"},'caseload data'!$C:$C,'community %'!$B$43)),"")</f>
        <v/>
      </c>
      <c r="F48" s="209" t="str">
        <f>IFERROR(SUM(SUMIFS('caseload data'!H:H,'caseload data'!$C:$C,'community %'!$B$43,'caseload data'!$D:$D,"SPO",'caseload data'!$B:$B,{"licence","community"}))/SUM(SUMIFS('caseload data'!H:H,'caseload data'!$B:$B,{"licence","community"},'caseload data'!$C:$C,'community %'!$B$43)),"")</f>
        <v/>
      </c>
      <c r="G48" s="209" t="str">
        <f>IFERROR(SUM(SUMIFS('caseload data'!I:I,'caseload data'!$C:$C,'community %'!$B$43,'caseload data'!$D:$D,"SPO",'caseload data'!$B:$B,{"licence","community"}))/SUM(SUMIFS('caseload data'!I:I,'caseload data'!$B:$B,{"licence","community"},'caseload data'!$C:$C,'community %'!$B$43)),"")</f>
        <v/>
      </c>
      <c r="H48" s="209" t="str">
        <f>IFERROR(SUM(SUMIFS('caseload data'!J:J,'caseload data'!$C:$C,'community %'!$B$43,'caseload data'!$D:$D,"SPO",'caseload data'!$B:$B,{"licence","community"}))/SUM(SUMIFS('caseload data'!J:J,'caseload data'!$B:$B,{"licence","community"},'caseload data'!$C:$C,'community %'!$B$43)),"")</f>
        <v/>
      </c>
      <c r="I48" s="209" t="str">
        <f>IFERROR(SUM(SUMIFS('caseload data'!K:K,'caseload data'!$C:$C,'community %'!$B$43,'caseload data'!$D:$D,"SPO",'caseload data'!$B:$B,{"licence","community"}))/SUM(SUMIFS('caseload data'!K:K,'caseload data'!$B:$B,{"licence","community"},'caseload data'!$C:$C,'community %'!$B$43)),"")</f>
        <v/>
      </c>
      <c r="J48" s="209" t="str">
        <f>IFERROR(SUM(SUMIFS('caseload data'!L:L,'caseload data'!$C:$C,'community %'!$B$43,'caseload data'!$D:$D,"SPO",'caseload data'!$B:$B,{"licence","community"}))/SUM(SUMIFS('caseload data'!L:L,'caseload data'!$B:$B,{"licence","community"},'caseload data'!$C:$C,'community %'!$B$43)),"")</f>
        <v/>
      </c>
      <c r="K48" s="209" t="str">
        <f>IFERROR(SUM(SUMIFS('caseload data'!M:M,'caseload data'!$C:$C,'community %'!$B$43,'caseload data'!$D:$D,"SPO",'caseload data'!$B:$B,{"licence","community"}))/SUM(SUMIFS('caseload data'!M:M,'caseload data'!$B:$B,{"licence","community"},'caseload data'!$C:$C,'community %'!$B$43)),"")</f>
        <v/>
      </c>
      <c r="L48" s="209" t="str">
        <f>IFERROR(SUM(SUMIFS('caseload data'!N:N,'caseload data'!$C:$C,'community %'!$B$43,'caseload data'!$D:$D,"SPO",'caseload data'!$B:$B,{"licence","community"}))/SUM(SUMIFS('caseload data'!N:N,'caseload data'!$B:$B,{"licence","community"},'caseload data'!$C:$C,'community %'!$B$43)),"")</f>
        <v/>
      </c>
      <c r="M48" s="209" t="str">
        <f>IFERROR(SUM(SUMIFS('caseload data'!O:O,'caseload data'!$C:$C,'community %'!$B$43,'caseload data'!$D:$D,"SPO",'caseload data'!$B:$B,{"licence","community"}))/SUM(SUMIFS('caseload data'!O:O,'caseload data'!$B:$B,{"licence","community"},'caseload data'!$C:$C,'community %'!$B$43)),"")</f>
        <v/>
      </c>
      <c r="N48" s="209" t="str">
        <f>IFERROR(SUM(SUMIFS('caseload data'!P:P,'caseload data'!$C:$C,'community %'!$B$43,'caseload data'!$D:$D,"SPO",'caseload data'!$B:$B,{"licence","community"}))/SUM(SUMIFS('caseload data'!P:P,'caseload data'!$B:$B,{"licence","community"},'caseload data'!$C:$C,'community %'!$B$43)),"")</f>
        <v/>
      </c>
      <c r="O48" s="209" t="str">
        <f>IFERROR(SUM(SUMIFS('caseload data'!Q:Q,'caseload data'!$C:$C,'community %'!$B$43,'caseload data'!$D:$D,"SPO",'caseload data'!$B:$B,{"licence","community"}))/SUM(SUMIFS('caseload data'!Q:Q,'caseload data'!$B:$B,{"licence","community"},'caseload data'!$C:$C,'community %'!$B$43)),"")</f>
        <v/>
      </c>
      <c r="P48" s="209" t="str">
        <f>IFERROR(SUM(SUMIFS('caseload data'!R:R,'caseload data'!$C:$C,'community %'!$B$43,'caseload data'!$D:$D,"SPO",'caseload data'!$B:$B,{"licence","community"}))/SUM(SUMIFS('caseload data'!R:R,'caseload data'!$B:$B,{"licence","community"},'caseload data'!$C:$C,'community %'!$B$43)),"")</f>
        <v/>
      </c>
      <c r="Q48" s="209" t="str">
        <f>IFERROR(SUM(SUMIFS('caseload data'!S:S,'caseload data'!$C:$C,'community %'!$B$43,'caseload data'!$D:$D,"SPO",'caseload data'!$B:$B,{"licence","community"}))/SUM(SUMIFS('caseload data'!S:S,'caseload data'!$B:$B,{"licence","community"},'caseload data'!$C:$C,'community %'!$B$43)),"")</f>
        <v/>
      </c>
      <c r="R48" s="209" t="str">
        <f>IFERROR(SUM(SUMIFS('caseload data'!T:T,'caseload data'!$C:$C,'community %'!$B$43,'caseload data'!$D:$D,"SPO",'caseload data'!$B:$B,{"licence","community"}))/SUM(SUMIFS('caseload data'!T:T,'caseload data'!$B:$B,{"licence","community"},'caseload data'!$C:$C,'community %'!$B$43)),"")</f>
        <v/>
      </c>
      <c r="S48" s="95"/>
      <c r="T48" s="131" t="s">
        <v>187</v>
      </c>
      <c r="U48" s="209" t="str">
        <f>IFERROR(SUM(SUMIFS('caseload data'!E:E,'caseload data'!$C:$C,'community %'!$T$43,'caseload data'!$D:$D,"SPO",'caseload data'!$B:$B,{"licence","community"}))/SUM(SUMIFS('caseload data'!E:E,'caseload data'!$B:$B,{"licence","community"},'caseload data'!$C:$C,'community %'!$T$43)),"")</f>
        <v/>
      </c>
      <c r="V48" s="209" t="str">
        <f>IFERROR(SUM(SUMIFS('caseload data'!F:F,'caseload data'!$C:$C,'community %'!$T$43,'caseload data'!$D:$D,"SPO",'caseload data'!$B:$B,{"licence","community"}))/SUM(SUMIFS('caseload data'!F:F,'caseload data'!$B:$B,{"licence","community"},'caseload data'!$C:$C,'community %'!$T$43)),"")</f>
        <v/>
      </c>
      <c r="W48" s="209" t="str">
        <f>IFERROR(SUM(SUMIFS('caseload data'!G:G,'caseload data'!$C:$C,'community %'!$T$43,'caseload data'!$D:$D,"SPO",'caseload data'!$B:$B,{"licence","community"}))/SUM(SUMIFS('caseload data'!G:G,'caseload data'!$B:$B,{"licence","community"},'caseload data'!$C:$C,'community %'!$T$43)),"")</f>
        <v/>
      </c>
      <c r="X48" s="209" t="str">
        <f>IFERROR(SUM(SUMIFS('caseload data'!H:H,'caseload data'!$C:$C,'community %'!$T$43,'caseload data'!$D:$D,"SPO",'caseload data'!$B:$B,{"licence","community"}))/SUM(SUMIFS('caseload data'!H:H,'caseload data'!$B:$B,{"licence","community"},'caseload data'!$C:$C,'community %'!$T$43)),"")</f>
        <v/>
      </c>
      <c r="Y48" s="209" t="str">
        <f>IFERROR(SUM(SUMIFS('caseload data'!I:I,'caseload data'!$C:$C,'community %'!$T$43,'caseload data'!$D:$D,"SPO",'caseload data'!$B:$B,{"licence","community"}))/SUM(SUMIFS('caseload data'!I:I,'caseload data'!$B:$B,{"licence","community"},'caseload data'!$C:$C,'community %'!$T$43)),"")</f>
        <v/>
      </c>
      <c r="Z48" s="209" t="str">
        <f>IFERROR(SUM(SUMIFS('caseload data'!J:J,'caseload data'!$C:$C,'community %'!$T$43,'caseload data'!$D:$D,"SPO",'caseload data'!$B:$B,{"licence","community"}))/SUM(SUMIFS('caseload data'!J:J,'caseload data'!$B:$B,{"licence","community"},'caseload data'!$C:$C,'community %'!$T$43)),"")</f>
        <v/>
      </c>
      <c r="AA48" s="209" t="str">
        <f>IFERROR(SUM(SUMIFS('caseload data'!K:K,'caseload data'!$C:$C,'community %'!$T$43,'caseload data'!$D:$D,"SPO",'caseload data'!$B:$B,{"licence","community"}))/SUM(SUMIFS('caseload data'!K:K,'caseload data'!$B:$B,{"licence","community"},'caseload data'!$C:$C,'community %'!$T$43)),"")</f>
        <v/>
      </c>
      <c r="AB48" s="209" t="str">
        <f>IFERROR(SUM(SUMIFS('caseload data'!L:L,'caseload data'!$C:$C,'community %'!$T$43,'caseload data'!$D:$D,"SPO",'caseload data'!$B:$B,{"licence","community"}))/SUM(SUMIFS('caseload data'!L:L,'caseload data'!$B:$B,{"licence","community"},'caseload data'!$C:$C,'community %'!$T$43)),"")</f>
        <v/>
      </c>
      <c r="AC48" s="209" t="str">
        <f>IFERROR(SUM(SUMIFS('caseload data'!M:M,'caseload data'!$C:$C,'community %'!$T$43,'caseload data'!$D:$D,"SPO",'caseload data'!$B:$B,{"licence","community"}))/SUM(SUMIFS('caseload data'!M:M,'caseload data'!$B:$B,{"licence","community"},'caseload data'!$C:$C,'community %'!$T$43)),"")</f>
        <v/>
      </c>
      <c r="AD48" s="209" t="str">
        <f>IFERROR(SUM(SUMIFS('caseload data'!N:N,'caseload data'!$C:$C,'community %'!$T$43,'caseload data'!$D:$D,"SPO",'caseload data'!$B:$B,{"licence","community"}))/SUM(SUMIFS('caseload data'!N:N,'caseload data'!$B:$B,{"licence","community"},'caseload data'!$C:$C,'community %'!$T$43)),"")</f>
        <v/>
      </c>
      <c r="AE48" s="209" t="str">
        <f>IFERROR(SUM(SUMIFS('caseload data'!O:O,'caseload data'!$C:$C,'community %'!$T$43,'caseload data'!$D:$D,"SPO",'caseload data'!$B:$B,{"licence","community"}))/SUM(SUMIFS('caseload data'!O:O,'caseload data'!$B:$B,{"licence","community"},'caseload data'!$C:$C,'community %'!$T$43)),"")</f>
        <v/>
      </c>
      <c r="AF48" s="209" t="str">
        <f>IFERROR(SUM(SUMIFS('caseload data'!P:P,'caseload data'!$C:$C,'community %'!$T$43,'caseload data'!$D:$D,"SPO",'caseload data'!$B:$B,{"licence","community"}))/SUM(SUMIFS('caseload data'!P:P,'caseload data'!$B:$B,{"licence","community"},'caseload data'!$C:$C,'community %'!$T$43)),"")</f>
        <v/>
      </c>
      <c r="AG48" s="209" t="str">
        <f>IFERROR(SUM(SUMIFS('caseload data'!Q:Q,'caseload data'!$C:$C,'community %'!$T$43,'caseload data'!$D:$D,"SPO",'caseload data'!$B:$B,{"licence","community"}))/SUM(SUMIFS('caseload data'!Q:Q,'caseload data'!$B:$B,{"licence","community"},'caseload data'!$C:$C,'community %'!$T$43)),"")</f>
        <v/>
      </c>
      <c r="AH48" s="209" t="str">
        <f>IFERROR(SUM(SUMIFS('caseload data'!R:R,'caseload data'!$C:$C,'community %'!$T$43,'caseload data'!$D:$D,"SPO",'caseload data'!$B:$B,{"licence","community"}))/SUM(SUMIFS('caseload data'!R:R,'caseload data'!$B:$B,{"licence","community"},'caseload data'!$C:$C,'community %'!$T$43)),"")</f>
        <v/>
      </c>
      <c r="AI48" s="209" t="str">
        <f>IFERROR(SUM(SUMIFS('caseload data'!S:S,'caseload data'!$C:$C,'community %'!$T$43,'caseload data'!$D:$D,"SPO",'caseload data'!$B:$B,{"licence","community"}))/SUM(SUMIFS('caseload data'!S:S,'caseload data'!$B:$B,{"licence","community"},'caseload data'!$C:$C,'community %'!$T$43)),"")</f>
        <v/>
      </c>
      <c r="AJ48" s="209" t="str">
        <f>IFERROR(SUM(SUMIFS('caseload data'!T:T,'caseload data'!$C:$C,'community %'!$T$43,'caseload data'!$D:$D,"SPO",'caseload data'!$B:$B,{"licence","community"}))/SUM(SUMIFS('caseload data'!T:T,'caseload data'!$B:$B,{"licence","community"},'caseload data'!$C:$C,'community %'!$T$43)),"")</f>
        <v/>
      </c>
    </row>
    <row r="49" spans="2:36" x14ac:dyDescent="0.15">
      <c r="B49" s="183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183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</row>
    <row r="50" spans="2:36" ht="44.25" customHeight="1" x14ac:dyDescent="0.15">
      <c r="B50" s="182" t="str">
        <f>HLOOKUP($B$5,Region_Table,14,0)</f>
        <v>Hammersmith, Fulham, Kensington, Chelsea and Westminster</v>
      </c>
      <c r="C50" s="359" t="s">
        <v>370</v>
      </c>
      <c r="D50" s="365"/>
      <c r="E50" s="365"/>
      <c r="F50" s="365"/>
      <c r="G50" s="365"/>
      <c r="H50" s="365"/>
      <c r="I50" s="365"/>
      <c r="J50" s="365"/>
      <c r="K50" s="365"/>
      <c r="L50" s="365"/>
      <c r="M50" s="368"/>
      <c r="N50" s="368"/>
      <c r="O50" s="369"/>
      <c r="P50" s="362" cm="1">
        <f t="array" ref="P50">SUM(SUMIFS('caseload data'!V:V,'caseload data'!B:B,{"licence","community"},'caseload data'!$C:$C,B50))</f>
        <v>0</v>
      </c>
      <c r="Q50" s="370"/>
      <c r="R50" s="371"/>
      <c r="S50" s="95"/>
      <c r="T50" s="182" t="str">
        <f>HLOOKUP($B$5,Region_Table,15,0)</f>
        <v>Harrow and Barnet</v>
      </c>
      <c r="U50" s="359" t="s">
        <v>370</v>
      </c>
      <c r="V50" s="365"/>
      <c r="W50" s="365"/>
      <c r="X50" s="365"/>
      <c r="Y50" s="365"/>
      <c r="Z50" s="365"/>
      <c r="AA50" s="365"/>
      <c r="AB50" s="365"/>
      <c r="AC50" s="365"/>
      <c r="AD50" s="365"/>
      <c r="AE50" s="368"/>
      <c r="AF50" s="368"/>
      <c r="AG50" s="369"/>
      <c r="AH50" s="362" cm="1">
        <f t="array" ref="AH50">SUM(SUMIFS('caseload data'!V:V,'caseload data'!B:B,{"licence","community"},'caseload data'!$C:$C,T50))</f>
        <v>0</v>
      </c>
      <c r="AI50" s="370"/>
      <c r="AJ50" s="371"/>
    </row>
    <row r="51" spans="2:36" x14ac:dyDescent="0.15">
      <c r="B51" s="127" t="s">
        <v>324</v>
      </c>
      <c r="C51" s="58" t="s">
        <v>504</v>
      </c>
      <c r="D51" s="58" t="s">
        <v>503</v>
      </c>
      <c r="E51" s="58" t="s">
        <v>502</v>
      </c>
      <c r="F51" s="58" t="s">
        <v>501</v>
      </c>
      <c r="G51" s="58" t="s">
        <v>510</v>
      </c>
      <c r="H51" s="58" t="s">
        <v>176</v>
      </c>
      <c r="I51" s="58" t="s">
        <v>177</v>
      </c>
      <c r="J51" s="58" t="s">
        <v>505</v>
      </c>
      <c r="K51" s="58" t="s">
        <v>507</v>
      </c>
      <c r="L51" s="58" t="s">
        <v>178</v>
      </c>
      <c r="M51" s="58" t="s">
        <v>179</v>
      </c>
      <c r="N51" s="58" t="s">
        <v>506</v>
      </c>
      <c r="O51" s="58" t="s">
        <v>508</v>
      </c>
      <c r="P51" s="58" t="s">
        <v>180</v>
      </c>
      <c r="Q51" s="58" t="s">
        <v>181</v>
      </c>
      <c r="R51" s="58" t="s">
        <v>509</v>
      </c>
      <c r="S51" s="95"/>
      <c r="T51" s="127" t="s">
        <v>324</v>
      </c>
      <c r="U51" s="58" t="s">
        <v>504</v>
      </c>
      <c r="V51" s="58" t="s">
        <v>503</v>
      </c>
      <c r="W51" s="58" t="s">
        <v>502</v>
      </c>
      <c r="X51" s="58" t="s">
        <v>501</v>
      </c>
      <c r="Y51" s="58" t="s">
        <v>510</v>
      </c>
      <c r="Z51" s="58" t="s">
        <v>176</v>
      </c>
      <c r="AA51" s="58" t="s">
        <v>177</v>
      </c>
      <c r="AB51" s="58" t="s">
        <v>505</v>
      </c>
      <c r="AC51" s="58" t="s">
        <v>507</v>
      </c>
      <c r="AD51" s="58" t="s">
        <v>178</v>
      </c>
      <c r="AE51" s="58" t="s">
        <v>179</v>
      </c>
      <c r="AF51" s="58" t="s">
        <v>506</v>
      </c>
      <c r="AG51" s="58" t="s">
        <v>508</v>
      </c>
      <c r="AH51" s="58" t="s">
        <v>180</v>
      </c>
      <c r="AI51" s="58" t="s">
        <v>181</v>
      </c>
      <c r="AJ51" s="58" t="s">
        <v>509</v>
      </c>
    </row>
    <row r="52" spans="2:36" x14ac:dyDescent="0.15">
      <c r="B52" s="129" t="s">
        <v>184</v>
      </c>
      <c r="C52" s="209" t="str">
        <f>IFERROR(SUM(SUMIFS('caseload data'!E:E,'caseload data'!$C:$C,'community %'!$B$50,'caseload data'!$D:$D,"PO",'caseload data'!$B:$B,{"licence","community"}))/SUM(SUMIFS('caseload data'!E:E,'caseload data'!$B:$B,{"licence","community"},'caseload data'!$C:$C,'community %'!$B$50)),"")</f>
        <v/>
      </c>
      <c r="D52" s="209" t="str">
        <f>IFERROR(SUM(SUMIFS('caseload data'!F:F,'caseload data'!$C:$C,'community %'!$B$50,'caseload data'!$D:$D,"PO",'caseload data'!$B:$B,{"licence","community"}))/SUM(SUMIFS('caseload data'!F:F,'caseload data'!$B:$B,{"licence","community"},'caseload data'!$C:$C,'community %'!$B$50)),"")</f>
        <v/>
      </c>
      <c r="E52" s="209" t="str">
        <f>IFERROR(SUM(SUMIFS('caseload data'!G:G,'caseload data'!$C:$C,'community %'!$B$50,'caseload data'!$D:$D,"PO",'caseload data'!$B:$B,{"licence","community"}))/SUM(SUMIFS('caseload data'!G:G,'caseload data'!$B:$B,{"licence","community"},'caseload data'!$C:$C,'community %'!$B$50)),"")</f>
        <v/>
      </c>
      <c r="F52" s="209" t="str">
        <f>IFERROR(SUM(SUMIFS('caseload data'!H:H,'caseload data'!$C:$C,'community %'!$B$50,'caseload data'!$D:$D,"PO",'caseload data'!$B:$B,{"licence","community"}))/SUM(SUMIFS('caseload data'!H:H,'caseload data'!$B:$B,{"licence","community"},'caseload data'!$C:$C,'community %'!$B$50)),"")</f>
        <v/>
      </c>
      <c r="G52" s="209" t="str">
        <f>IFERROR(SUM(SUMIFS('caseload data'!I:I,'caseload data'!$C:$C,'community %'!$B$50,'caseload data'!$D:$D,"PO",'caseload data'!$B:$B,{"licence","community"}))/SUM(SUMIFS('caseload data'!I:I,'caseload data'!$B:$B,{"licence","community"},'caseload data'!$C:$C,'community %'!$B$50)),"")</f>
        <v/>
      </c>
      <c r="H52" s="209" t="str">
        <f>IFERROR(SUM(SUMIFS('caseload data'!J:J,'caseload data'!$C:$C,'community %'!$B$50,'caseload data'!$D:$D,"PO",'caseload data'!$B:$B,{"licence","community"}))/SUM(SUMIFS('caseload data'!J:J,'caseload data'!$B:$B,{"licence","community"},'caseload data'!$C:$C,'community %'!$B$50)),"")</f>
        <v/>
      </c>
      <c r="I52" s="209" t="str">
        <f>IFERROR(SUM(SUMIFS('caseload data'!K:K,'caseload data'!$C:$C,'community %'!$B$50,'caseload data'!$D:$D,"PO",'caseload data'!$B:$B,{"licence","community"}))/SUM(SUMIFS('caseload data'!K:K,'caseload data'!$B:$B,{"licence","community"},'caseload data'!$C:$C,'community %'!$B$50)),"")</f>
        <v/>
      </c>
      <c r="J52" s="209" t="str">
        <f>IFERROR(SUM(SUMIFS('caseload data'!L:L,'caseload data'!$C:$C,'community %'!$B$50,'caseload data'!$D:$D,"PO",'caseload data'!$B:$B,{"licence","community"}))/SUM(SUMIFS('caseload data'!L:L,'caseload data'!$B:$B,{"licence","community"},'caseload data'!$C:$C,'community %'!$B$50)),"")</f>
        <v/>
      </c>
      <c r="K52" s="209" t="str">
        <f>IFERROR(SUM(SUMIFS('caseload data'!M:M,'caseload data'!$C:$C,'community %'!$B$50,'caseload data'!$D:$D,"PO",'caseload data'!$B:$B,{"licence","community"}))/SUM(SUMIFS('caseload data'!M:M,'caseload data'!$B:$B,{"licence","community"},'caseload data'!$C:$C,'community %'!$B$50)),"")</f>
        <v/>
      </c>
      <c r="L52" s="209" t="str">
        <f>IFERROR(SUM(SUMIFS('caseload data'!N:N,'caseload data'!$C:$C,'community %'!$B$50,'caseload data'!$D:$D,"PO",'caseload data'!$B:$B,{"licence","community"}))/SUM(SUMIFS('caseload data'!N:N,'caseload data'!$B:$B,{"licence","community"},'caseload data'!$C:$C,'community %'!$B$50)),"")</f>
        <v/>
      </c>
      <c r="M52" s="209" t="str">
        <f>IFERROR(SUM(SUMIFS('caseload data'!O:O,'caseload data'!$C:$C,'community %'!$B$50,'caseload data'!$D:$D,"PO",'caseload data'!$B:$B,{"licence","community"}))/SUM(SUMIFS('caseload data'!O:O,'caseload data'!$B:$B,{"licence","community"},'caseload data'!$C:$C,'community %'!$B$50)),"")</f>
        <v/>
      </c>
      <c r="N52" s="209" t="str">
        <f>IFERROR(SUM(SUMIFS('caseload data'!P:P,'caseload data'!$C:$C,'community %'!$B$50,'caseload data'!$D:$D,"PO",'caseload data'!$B:$B,{"licence","community"}))/SUM(SUMIFS('caseload data'!P:P,'caseload data'!$B:$B,{"licence","community"},'caseload data'!$C:$C,'community %'!$B$50)),"")</f>
        <v/>
      </c>
      <c r="O52" s="209" t="str">
        <f>IFERROR(SUM(SUMIFS('caseload data'!Q:Q,'caseload data'!$C:$C,'community %'!$B$50,'caseload data'!$D:$D,"PO",'caseload data'!$B:$B,{"licence","community"}))/SUM(SUMIFS('caseload data'!Q:Q,'caseload data'!$B:$B,{"licence","community"},'caseload data'!$C:$C,'community %'!$B$50)),"")</f>
        <v/>
      </c>
      <c r="P52" s="209" t="str">
        <f>IFERROR(SUM(SUMIFS('caseload data'!R:R,'caseload data'!$C:$C,'community %'!$B$50,'caseload data'!$D:$D,"PO",'caseload data'!$B:$B,{"licence","community"}))/SUM(SUMIFS('caseload data'!R:R,'caseload data'!$B:$B,{"licence","community"},'caseload data'!$C:$C,'community %'!$B$50)),"")</f>
        <v/>
      </c>
      <c r="Q52" s="209" t="str">
        <f>IFERROR(SUM(SUMIFS('caseload data'!S:S,'caseload data'!$C:$C,'community %'!$B$50,'caseload data'!$D:$D,"PO",'caseload data'!$B:$B,{"licence","community"}))/SUM(SUMIFS('caseload data'!S:S,'caseload data'!$B:$B,{"licence","community"},'caseload data'!$C:$C,'community %'!$B$50)),"")</f>
        <v/>
      </c>
      <c r="R52" s="209" t="str">
        <f>IFERROR(SUM(SUMIFS('caseload data'!T:T,'caseload data'!$C:$C,'community %'!$B$50,'caseload data'!$D:$D,"PO",'caseload data'!$B:$B,{"licence","community"}))/SUM(SUMIFS('caseload data'!T:T,'caseload data'!$B:$B,{"licence","community"},'caseload data'!$C:$C,'community %'!$B$50)),"")</f>
        <v/>
      </c>
      <c r="S52" s="95"/>
      <c r="T52" s="129" t="s">
        <v>184</v>
      </c>
      <c r="U52" s="209" t="str">
        <f>IFERROR(SUM(SUMIFS('caseload data'!E:E,'caseload data'!$C:$C,'community %'!$T$50,'caseload data'!$D:$D,"PO",'caseload data'!$B:$B,{"licence","community"}))/SUM(SUMIFS('caseload data'!E:E,'caseload data'!$B:$B,{"licence","community"},'caseload data'!$C:$C,'community %'!$T$50)),"")</f>
        <v/>
      </c>
      <c r="V52" s="209" t="str">
        <f>IFERROR(SUM(SUMIFS('caseload data'!F:F,'caseload data'!$C:$C,'community %'!$T$50,'caseload data'!$D:$D,"PO",'caseload data'!$B:$B,{"licence","community"}))/SUM(SUMIFS('caseload data'!F:F,'caseload data'!$B:$B,{"licence","community"},'caseload data'!$C:$C,'community %'!$T$50)),"")</f>
        <v/>
      </c>
      <c r="W52" s="209" t="str">
        <f>IFERROR(SUM(SUMIFS('caseload data'!G:G,'caseload data'!$C:$C,'community %'!$T$50,'caseload data'!$D:$D,"PO",'caseload data'!$B:$B,{"licence","community"}))/SUM(SUMIFS('caseload data'!G:G,'caseload data'!$B:$B,{"licence","community"},'caseload data'!$C:$C,'community %'!$T$50)),"")</f>
        <v/>
      </c>
      <c r="X52" s="209" t="str">
        <f>IFERROR(SUM(SUMIFS('caseload data'!H:H,'caseload data'!$C:$C,'community %'!$T$50,'caseload data'!$D:$D,"PO",'caseload data'!$B:$B,{"licence","community"}))/SUM(SUMIFS('caseload data'!H:H,'caseload data'!$B:$B,{"licence","community"},'caseload data'!$C:$C,'community %'!$T$50)),"")</f>
        <v/>
      </c>
      <c r="Y52" s="209" t="str">
        <f>IFERROR(SUM(SUMIFS('caseload data'!I:I,'caseload data'!$C:$C,'community %'!$T$50,'caseload data'!$D:$D,"PO",'caseload data'!$B:$B,{"licence","community"}))/SUM(SUMIFS('caseload data'!I:I,'caseload data'!$B:$B,{"licence","community"},'caseload data'!$C:$C,'community %'!$T$50)),"")</f>
        <v/>
      </c>
      <c r="Z52" s="209" t="str">
        <f>IFERROR(SUM(SUMIFS('caseload data'!J:J,'caseload data'!$C:$C,'community %'!$T$50,'caseload data'!$D:$D,"PO",'caseload data'!$B:$B,{"licence","community"}))/SUM(SUMIFS('caseload data'!J:J,'caseload data'!$B:$B,{"licence","community"},'caseload data'!$C:$C,'community %'!$T$50)),"")</f>
        <v/>
      </c>
      <c r="AA52" s="209" t="str">
        <f>IFERROR(SUM(SUMIFS('caseload data'!K:K,'caseload data'!$C:$C,'community %'!$T$50,'caseload data'!$D:$D,"PO",'caseload data'!$B:$B,{"licence","community"}))/SUM(SUMIFS('caseload data'!K:K,'caseload data'!$B:$B,{"licence","community"},'caseload data'!$C:$C,'community %'!$T$50)),"")</f>
        <v/>
      </c>
      <c r="AB52" s="209" t="str">
        <f>IFERROR(SUM(SUMIFS('caseload data'!L:L,'caseload data'!$C:$C,'community %'!$T$50,'caseload data'!$D:$D,"PO",'caseload data'!$B:$B,{"licence","community"}))/SUM(SUMIFS('caseload data'!L:L,'caseload data'!$B:$B,{"licence","community"},'caseload data'!$C:$C,'community %'!$T$50)),"")</f>
        <v/>
      </c>
      <c r="AC52" s="209" t="str">
        <f>IFERROR(SUM(SUMIFS('caseload data'!M:M,'caseload data'!$C:$C,'community %'!$T$50,'caseload data'!$D:$D,"PO",'caseload data'!$B:$B,{"licence","community"}))/SUM(SUMIFS('caseload data'!M:M,'caseload data'!$B:$B,{"licence","community"},'caseload data'!$C:$C,'community %'!$T$50)),"")</f>
        <v/>
      </c>
      <c r="AD52" s="209" t="str">
        <f>IFERROR(SUM(SUMIFS('caseload data'!N:N,'caseload data'!$C:$C,'community %'!$T$50,'caseload data'!$D:$D,"PO",'caseload data'!$B:$B,{"licence","community"}))/SUM(SUMIFS('caseload data'!N:N,'caseload data'!$B:$B,{"licence","community"},'caseload data'!$C:$C,'community %'!$T$50)),"")</f>
        <v/>
      </c>
      <c r="AE52" s="209" t="str">
        <f>IFERROR(SUM(SUMIFS('caseload data'!O:O,'caseload data'!$C:$C,'community %'!$T$50,'caseload data'!$D:$D,"PO",'caseload data'!$B:$B,{"licence","community"}))/SUM(SUMIFS('caseload data'!O:O,'caseload data'!$B:$B,{"licence","community"},'caseload data'!$C:$C,'community %'!$T$50)),"")</f>
        <v/>
      </c>
      <c r="AF52" s="209" t="str">
        <f>IFERROR(SUM(SUMIFS('caseload data'!P:P,'caseload data'!$C:$C,'community %'!$T$50,'caseload data'!$D:$D,"PO",'caseload data'!$B:$B,{"licence","community"}))/SUM(SUMIFS('caseload data'!P:P,'caseload data'!$B:$B,{"licence","community"},'caseload data'!$C:$C,'community %'!$T$50)),"")</f>
        <v/>
      </c>
      <c r="AG52" s="209" t="str">
        <f>IFERROR(SUM(SUMIFS('caseload data'!Q:Q,'caseload data'!$C:$C,'community %'!$T$50,'caseload data'!$D:$D,"PO",'caseload data'!$B:$B,{"licence","community"}))/SUM(SUMIFS('caseload data'!Q:Q,'caseload data'!$B:$B,{"licence","community"},'caseload data'!$C:$C,'community %'!$T$50)),"")</f>
        <v/>
      </c>
      <c r="AH52" s="209" t="str">
        <f>IFERROR(SUM(SUMIFS('caseload data'!R:R,'caseload data'!$C:$C,'community %'!$T$50,'caseload data'!$D:$D,"PO",'caseload data'!$B:$B,{"licence","community"}))/SUM(SUMIFS('caseload data'!R:R,'caseload data'!$B:$B,{"licence","community"},'caseload data'!$C:$C,'community %'!$T$50)),"")</f>
        <v/>
      </c>
      <c r="AI52" s="209" t="str">
        <f>IFERROR(SUM(SUMIFS('caseload data'!S:S,'caseload data'!$C:$C,'community %'!$T$50,'caseload data'!$D:$D,"PO",'caseload data'!$B:$B,{"licence","community"}))/SUM(SUMIFS('caseload data'!S:S,'caseload data'!$B:$B,{"licence","community"},'caseload data'!$C:$C,'community %'!$T$50)),"")</f>
        <v/>
      </c>
      <c r="AJ52" s="209" t="str">
        <f>IFERROR(SUM(SUMIFS('caseload data'!T:T,'caseload data'!$C:$C,'community %'!$T$50,'caseload data'!$D:$D,"PO",'caseload data'!$B:$B,{"licence","community"}))/SUM(SUMIFS('caseload data'!T:T,'caseload data'!$B:$B,{"licence","community"},'caseload data'!$C:$C,'community %'!$T$50)),"")</f>
        <v/>
      </c>
    </row>
    <row r="53" spans="2:36" x14ac:dyDescent="0.15">
      <c r="B53" s="130" t="s">
        <v>185</v>
      </c>
      <c r="C53" s="209" t="str">
        <f>IFERROR(SUM(SUMIFS('caseload data'!E:E,'caseload data'!$C:$C,'community %'!$B$50,'caseload data'!$D:$D,"PSO",'caseload data'!$B:$B,{"licence","community"}))/SUM(SUMIFS('caseload data'!E:E,'caseload data'!$B:$B,{"licence","community"},'caseload data'!$C:$C,'community %'!$B$50)),"")</f>
        <v/>
      </c>
      <c r="D53" s="209" t="str">
        <f>IFERROR(SUM(SUMIFS('caseload data'!F:F,'caseload data'!$C:$C,'community %'!$B$50,'caseload data'!$D:$D,"PSO",'caseload data'!$B:$B,{"licence","community"}))/SUM(SUMIFS('caseload data'!F:F,'caseload data'!$B:$B,{"licence","community"},'caseload data'!$C:$C,'community %'!$B$50)),"")</f>
        <v/>
      </c>
      <c r="E53" s="209" t="str">
        <f>IFERROR(SUM(SUMIFS('caseload data'!G:G,'caseload data'!$C:$C,'community %'!$B$50,'caseload data'!$D:$D,"PSO",'caseload data'!$B:$B,{"licence","community"}))/SUM(SUMIFS('caseload data'!G:G,'caseload data'!$B:$B,{"licence","community"},'caseload data'!$C:$C,'community %'!$B$50)),"")</f>
        <v/>
      </c>
      <c r="F53" s="209" t="str">
        <f>IFERROR(SUM(SUMIFS('caseload data'!H:H,'caseload data'!$C:$C,'community %'!$B$50,'caseload data'!$D:$D,"PSO",'caseload data'!$B:$B,{"licence","community"}))/SUM(SUMIFS('caseload data'!H:H,'caseload data'!$B:$B,{"licence","community"},'caseload data'!$C:$C,'community %'!$B$50)),"")</f>
        <v/>
      </c>
      <c r="G53" s="209" t="str">
        <f>IFERROR(SUM(SUMIFS('caseload data'!I:I,'caseload data'!$C:$C,'community %'!$B$50,'caseload data'!$D:$D,"PSO",'caseload data'!$B:$B,{"licence","community"}))/SUM(SUMIFS('caseload data'!I:I,'caseload data'!$B:$B,{"licence","community"},'caseload data'!$C:$C,'community %'!$B$50)),"")</f>
        <v/>
      </c>
      <c r="H53" s="209" t="str">
        <f>IFERROR(SUM(SUMIFS('caseload data'!J:J,'caseload data'!$C:$C,'community %'!$B$50,'caseload data'!$D:$D,"PSO",'caseload data'!$B:$B,{"licence","community"}))/SUM(SUMIFS('caseload data'!J:J,'caseload data'!$B:$B,{"licence","community"},'caseload data'!$C:$C,'community %'!$B$50)),"")</f>
        <v/>
      </c>
      <c r="I53" s="209" t="str">
        <f>IFERROR(SUM(SUMIFS('caseload data'!K:K,'caseload data'!$C:$C,'community %'!$B$50,'caseload data'!$D:$D,"PSO",'caseload data'!$B:$B,{"licence","community"}))/SUM(SUMIFS('caseload data'!K:K,'caseload data'!$B:$B,{"licence","community"},'caseload data'!$C:$C,'community %'!$B$50)),"")</f>
        <v/>
      </c>
      <c r="J53" s="209" t="str">
        <f>IFERROR(SUM(SUMIFS('caseload data'!L:L,'caseload data'!$C:$C,'community %'!$B$50,'caseload data'!$D:$D,"PSO",'caseload data'!$B:$B,{"licence","community"}))/SUM(SUMIFS('caseload data'!L:L,'caseload data'!$B:$B,{"licence","community"},'caseload data'!$C:$C,'community %'!$B$50)),"")</f>
        <v/>
      </c>
      <c r="K53" s="209" t="str">
        <f>IFERROR(SUM(SUMIFS('caseload data'!M:M,'caseload data'!$C:$C,'community %'!$B$50,'caseload data'!$D:$D,"PSO",'caseload data'!$B:$B,{"licence","community"}))/SUM(SUMIFS('caseload data'!M:M,'caseload data'!$B:$B,{"licence","community"},'caseload data'!$C:$C,'community %'!$B$50)),"")</f>
        <v/>
      </c>
      <c r="L53" s="209" t="str">
        <f>IFERROR(SUM(SUMIFS('caseload data'!N:N,'caseload data'!$C:$C,'community %'!$B$50,'caseload data'!$D:$D,"PSO",'caseload data'!$B:$B,{"licence","community"}))/SUM(SUMIFS('caseload data'!N:N,'caseload data'!$B:$B,{"licence","community"},'caseload data'!$C:$C,'community %'!$B$50)),"")</f>
        <v/>
      </c>
      <c r="M53" s="209" t="str">
        <f>IFERROR(SUM(SUMIFS('caseload data'!O:O,'caseload data'!$C:$C,'community %'!$B$50,'caseload data'!$D:$D,"PSO",'caseload data'!$B:$B,{"licence","community"}))/SUM(SUMIFS('caseload data'!O:O,'caseload data'!$B:$B,{"licence","community"},'caseload data'!$C:$C,'community %'!$B$50)),"")</f>
        <v/>
      </c>
      <c r="N53" s="209" t="str">
        <f>IFERROR(SUM(SUMIFS('caseload data'!P:P,'caseload data'!$C:$C,'community %'!$B$50,'caseload data'!$D:$D,"PSO",'caseload data'!$B:$B,{"licence","community"}))/SUM(SUMIFS('caseload data'!P:P,'caseload data'!$B:$B,{"licence","community"},'caseload data'!$C:$C,'community %'!$B$50)),"")</f>
        <v/>
      </c>
      <c r="O53" s="209" t="str">
        <f>IFERROR(SUM(SUMIFS('caseload data'!Q:Q,'caseload data'!$C:$C,'community %'!$B$50,'caseload data'!$D:$D,"PSO",'caseload data'!$B:$B,{"licence","community"}))/SUM(SUMIFS('caseload data'!Q:Q,'caseload data'!$B:$B,{"licence","community"},'caseload data'!$C:$C,'community %'!$B$50)),"")</f>
        <v/>
      </c>
      <c r="P53" s="209" t="str">
        <f>IFERROR(SUM(SUMIFS('caseload data'!R:R,'caseload data'!$C:$C,'community %'!$B$50,'caseload data'!$D:$D,"PSO",'caseload data'!$B:$B,{"licence","community"}))/SUM(SUMIFS('caseload data'!R:R,'caseload data'!$B:$B,{"licence","community"},'caseload data'!$C:$C,'community %'!$B$50)),"")</f>
        <v/>
      </c>
      <c r="Q53" s="209" t="str">
        <f>IFERROR(SUM(SUMIFS('caseload data'!S:S,'caseload data'!$C:$C,'community %'!$B$50,'caseload data'!$D:$D,"PSO",'caseload data'!$B:$B,{"licence","community"}))/SUM(SUMIFS('caseload data'!S:S,'caseload data'!$B:$B,{"licence","community"},'caseload data'!$C:$C,'community %'!$B$50)),"")</f>
        <v/>
      </c>
      <c r="R53" s="209" t="str">
        <f>IFERROR(SUM(SUMIFS('caseload data'!T:T,'caseload data'!$C:$C,'community %'!$B$50,'caseload data'!$D:$D,"PSO",'caseload data'!$B:$B,{"licence","community"}))/SUM(SUMIFS('caseload data'!T:T,'caseload data'!$B:$B,{"licence","community"},'caseload data'!$C:$C,'community %'!$B$50)),"")</f>
        <v/>
      </c>
      <c r="S53" s="95"/>
      <c r="T53" s="130" t="s">
        <v>185</v>
      </c>
      <c r="U53" s="209" t="str">
        <f>IFERROR(SUM(SUMIFS('caseload data'!E:E,'caseload data'!$C:$C,'community %'!$T$50,'caseload data'!$D:$D,"PSO",'caseload data'!$B:$B,{"licence","community"}))/SUM(SUMIFS('caseload data'!E:E,'caseload data'!$B:$B,{"licence","community"},'caseload data'!$C:$C,'community %'!$T$50)),"")</f>
        <v/>
      </c>
      <c r="V53" s="209" t="str">
        <f>IFERROR(SUM(SUMIFS('caseload data'!F:F,'caseload data'!$C:$C,'community %'!$T$50,'caseload data'!$D:$D,"PSO",'caseload data'!$B:$B,{"licence","community"}))/SUM(SUMIFS('caseload data'!F:F,'caseload data'!$B:$B,{"licence","community"},'caseload data'!$C:$C,'community %'!$T$50)),"")</f>
        <v/>
      </c>
      <c r="W53" s="209" t="str">
        <f>IFERROR(SUM(SUMIFS('caseload data'!G:G,'caseload data'!$C:$C,'community %'!$T$50,'caseload data'!$D:$D,"PSO",'caseload data'!$B:$B,{"licence","community"}))/SUM(SUMIFS('caseload data'!G:G,'caseload data'!$B:$B,{"licence","community"},'caseload data'!$C:$C,'community %'!$T$50)),"")</f>
        <v/>
      </c>
      <c r="X53" s="209" t="str">
        <f>IFERROR(SUM(SUMIFS('caseload data'!H:H,'caseload data'!$C:$C,'community %'!$T$50,'caseload data'!$D:$D,"PSO",'caseload data'!$B:$B,{"licence","community"}))/SUM(SUMIFS('caseload data'!H:H,'caseload data'!$B:$B,{"licence","community"},'caseload data'!$C:$C,'community %'!$T$50)),"")</f>
        <v/>
      </c>
      <c r="Y53" s="209" t="str">
        <f>IFERROR(SUM(SUMIFS('caseload data'!I:I,'caseload data'!$C:$C,'community %'!$T$50,'caseload data'!$D:$D,"PSO",'caseload data'!$B:$B,{"licence","community"}))/SUM(SUMIFS('caseload data'!I:I,'caseload data'!$B:$B,{"licence","community"},'caseload data'!$C:$C,'community %'!$T$50)),"")</f>
        <v/>
      </c>
      <c r="Z53" s="209" t="str">
        <f>IFERROR(SUM(SUMIFS('caseload data'!J:J,'caseload data'!$C:$C,'community %'!$T$50,'caseload data'!$D:$D,"PSO",'caseload data'!$B:$B,{"licence","community"}))/SUM(SUMIFS('caseload data'!J:J,'caseload data'!$B:$B,{"licence","community"},'caseload data'!$C:$C,'community %'!$T$50)),"")</f>
        <v/>
      </c>
      <c r="AA53" s="209" t="str">
        <f>IFERROR(SUM(SUMIFS('caseload data'!K:K,'caseload data'!$C:$C,'community %'!$T$50,'caseload data'!$D:$D,"PSO",'caseload data'!$B:$B,{"licence","community"}))/SUM(SUMIFS('caseload data'!K:K,'caseload data'!$B:$B,{"licence","community"},'caseload data'!$C:$C,'community %'!$T$50)),"")</f>
        <v/>
      </c>
      <c r="AB53" s="209" t="str">
        <f>IFERROR(SUM(SUMIFS('caseload data'!L:L,'caseload data'!$C:$C,'community %'!$T$50,'caseload data'!$D:$D,"PSO",'caseload data'!$B:$B,{"licence","community"}))/SUM(SUMIFS('caseload data'!L:L,'caseload data'!$B:$B,{"licence","community"},'caseload data'!$C:$C,'community %'!$T$50)),"")</f>
        <v/>
      </c>
      <c r="AC53" s="209" t="str">
        <f>IFERROR(SUM(SUMIFS('caseload data'!M:M,'caseload data'!$C:$C,'community %'!$T$50,'caseload data'!$D:$D,"PSO",'caseload data'!$B:$B,{"licence","community"}))/SUM(SUMIFS('caseload data'!M:M,'caseload data'!$B:$B,{"licence","community"},'caseload data'!$C:$C,'community %'!$T$50)),"")</f>
        <v/>
      </c>
      <c r="AD53" s="209" t="str">
        <f>IFERROR(SUM(SUMIFS('caseload data'!N:N,'caseload data'!$C:$C,'community %'!$T$50,'caseload data'!$D:$D,"PSO",'caseload data'!$B:$B,{"licence","community"}))/SUM(SUMIFS('caseload data'!N:N,'caseload data'!$B:$B,{"licence","community"},'caseload data'!$C:$C,'community %'!$T$50)),"")</f>
        <v/>
      </c>
      <c r="AE53" s="209" t="str">
        <f>IFERROR(SUM(SUMIFS('caseload data'!O:O,'caseload data'!$C:$C,'community %'!$T$50,'caseload data'!$D:$D,"PSO",'caseload data'!$B:$B,{"licence","community"}))/SUM(SUMIFS('caseload data'!O:O,'caseload data'!$B:$B,{"licence","community"},'caseload data'!$C:$C,'community %'!$T$50)),"")</f>
        <v/>
      </c>
      <c r="AF53" s="209" t="str">
        <f>IFERROR(SUM(SUMIFS('caseload data'!P:P,'caseload data'!$C:$C,'community %'!$T$50,'caseload data'!$D:$D,"PSO",'caseload data'!$B:$B,{"licence","community"}))/SUM(SUMIFS('caseload data'!P:P,'caseload data'!$B:$B,{"licence","community"},'caseload data'!$C:$C,'community %'!$T$50)),"")</f>
        <v/>
      </c>
      <c r="AG53" s="209" t="str">
        <f>IFERROR(SUM(SUMIFS('caseload data'!Q:Q,'caseload data'!$C:$C,'community %'!$T$50,'caseload data'!$D:$D,"PSO",'caseload data'!$B:$B,{"licence","community"}))/SUM(SUMIFS('caseload data'!Q:Q,'caseload data'!$B:$B,{"licence","community"},'caseload data'!$C:$C,'community %'!$T$50)),"")</f>
        <v/>
      </c>
      <c r="AH53" s="209" t="str">
        <f>IFERROR(SUM(SUMIFS('caseload data'!R:R,'caseload data'!$C:$C,'community %'!$T$50,'caseload data'!$D:$D,"PSO",'caseload data'!$B:$B,{"licence","community"}))/SUM(SUMIFS('caseload data'!R:R,'caseload data'!$B:$B,{"licence","community"},'caseload data'!$C:$C,'community %'!$T$50)),"")</f>
        <v/>
      </c>
      <c r="AI53" s="209" t="str">
        <f>IFERROR(SUM(SUMIFS('caseload data'!S:S,'caseload data'!$C:$C,'community %'!$T$50,'caseload data'!$D:$D,"PSO",'caseload data'!$B:$B,{"licence","community"}))/SUM(SUMIFS('caseload data'!S:S,'caseload data'!$B:$B,{"licence","community"},'caseload data'!$C:$C,'community %'!$T$50)),"")</f>
        <v/>
      </c>
      <c r="AJ53" s="209" t="str">
        <f>IFERROR(SUM(SUMIFS('caseload data'!T:T,'caseload data'!$C:$C,'community %'!$T$50,'caseload data'!$D:$D,"PSO",'caseload data'!$B:$B,{"licence","community"}))/SUM(SUMIFS('caseload data'!T:T,'caseload data'!$B:$B,{"licence","community"},'caseload data'!$C:$C,'community %'!$T$50)),"")</f>
        <v/>
      </c>
    </row>
    <row r="54" spans="2:36" x14ac:dyDescent="0.15">
      <c r="B54" s="130" t="s">
        <v>186</v>
      </c>
      <c r="C54" s="209" t="str">
        <f>IFERROR(SUM(SUMIFS('caseload data'!E:E,'caseload data'!$C:$C,'community %'!$B$50,'caseload data'!$D:$D,"TPO",'caseload data'!$B:$B,{"licence","community"}))/SUM(SUMIFS('caseload data'!E:E,'caseload data'!$B:$B,{"licence","community"},'caseload data'!$C:$C,'community %'!$B$50)),"")</f>
        <v/>
      </c>
      <c r="D54" s="209" t="str">
        <f>IFERROR(SUM(SUMIFS('caseload data'!F:F,'caseload data'!$C:$C,'community %'!$B$50,'caseload data'!$D:$D,"TPO",'caseload data'!$B:$B,{"licence","community"}))/SUM(SUMIFS('caseload data'!F:F,'caseload data'!$B:$B,{"licence","community"},'caseload data'!$C:$C,'community %'!$B$50)),"")</f>
        <v/>
      </c>
      <c r="E54" s="209" t="str">
        <f>IFERROR(SUM(SUMIFS('caseload data'!G:G,'caseload data'!$C:$C,'community %'!$B$50,'caseload data'!$D:$D,"TPO",'caseload data'!$B:$B,{"licence","community"}))/SUM(SUMIFS('caseload data'!G:G,'caseload data'!$B:$B,{"licence","community"},'caseload data'!$C:$C,'community %'!$B$50)),"")</f>
        <v/>
      </c>
      <c r="F54" s="209" t="str">
        <f>IFERROR(SUM(SUMIFS('caseload data'!H:H,'caseload data'!$C:$C,'community %'!$B$50,'caseload data'!$D:$D,"TPO",'caseload data'!$B:$B,{"licence","community"}))/SUM(SUMIFS('caseload data'!H:H,'caseload data'!$B:$B,{"licence","community"},'caseload data'!$C:$C,'community %'!$B$50)),"")</f>
        <v/>
      </c>
      <c r="G54" s="209" t="str">
        <f>IFERROR(SUM(SUMIFS('caseload data'!I:I,'caseload data'!$C:$C,'community %'!$B$50,'caseload data'!$D:$D,"TPO",'caseload data'!$B:$B,{"licence","community"}))/SUM(SUMIFS('caseload data'!I:I,'caseload data'!$B:$B,{"licence","community"},'caseload data'!$C:$C,'community %'!$B$50)),"")</f>
        <v/>
      </c>
      <c r="H54" s="209" t="str">
        <f>IFERROR(SUM(SUMIFS('caseload data'!J:J,'caseload data'!$C:$C,'community %'!$B$50,'caseload data'!$D:$D,"TPO",'caseload data'!$B:$B,{"licence","community"}))/SUM(SUMIFS('caseload data'!J:J,'caseload data'!$B:$B,{"licence","community"},'caseload data'!$C:$C,'community %'!$B$50)),"")</f>
        <v/>
      </c>
      <c r="I54" s="209" t="str">
        <f>IFERROR(SUM(SUMIFS('caseload data'!K:K,'caseload data'!$C:$C,'community %'!$B$50,'caseload data'!$D:$D,"TPO",'caseload data'!$B:$B,{"licence","community"}))/SUM(SUMIFS('caseload data'!K:K,'caseload data'!$B:$B,{"licence","community"},'caseload data'!$C:$C,'community %'!$B$50)),"")</f>
        <v/>
      </c>
      <c r="J54" s="209" t="str">
        <f>IFERROR(SUM(SUMIFS('caseload data'!L:L,'caseload data'!$C:$C,'community %'!$B$50,'caseload data'!$D:$D,"TPO",'caseload data'!$B:$B,{"licence","community"}))/SUM(SUMIFS('caseload data'!L:L,'caseload data'!$B:$B,{"licence","community"},'caseload data'!$C:$C,'community %'!$B$50)),"")</f>
        <v/>
      </c>
      <c r="K54" s="209" t="str">
        <f>IFERROR(SUM(SUMIFS('caseload data'!M:M,'caseload data'!$C:$C,'community %'!$B$50,'caseload data'!$D:$D,"TPO",'caseload data'!$B:$B,{"licence","community"}))/SUM(SUMIFS('caseload data'!M:M,'caseload data'!$B:$B,{"licence","community"},'caseload data'!$C:$C,'community %'!$B$50)),"")</f>
        <v/>
      </c>
      <c r="L54" s="209" t="str">
        <f>IFERROR(SUM(SUMIFS('caseload data'!N:N,'caseload data'!$C:$C,'community %'!$B$50,'caseload data'!$D:$D,"TPO",'caseload data'!$B:$B,{"licence","community"}))/SUM(SUMIFS('caseload data'!N:N,'caseload data'!$B:$B,{"licence","community"},'caseload data'!$C:$C,'community %'!$B$50)),"")</f>
        <v/>
      </c>
      <c r="M54" s="209" t="str">
        <f>IFERROR(SUM(SUMIFS('caseload data'!O:O,'caseload data'!$C:$C,'community %'!$B$50,'caseload data'!$D:$D,"TPO",'caseload data'!$B:$B,{"licence","community"}))/SUM(SUMIFS('caseload data'!O:O,'caseload data'!$B:$B,{"licence","community"},'caseload data'!$C:$C,'community %'!$B$50)),"")</f>
        <v/>
      </c>
      <c r="N54" s="209" t="str">
        <f>IFERROR(SUM(SUMIFS('caseload data'!P:P,'caseload data'!$C:$C,'community %'!$B$50,'caseload data'!$D:$D,"TPO",'caseload data'!$B:$B,{"licence","community"}))/SUM(SUMIFS('caseload data'!P:P,'caseload data'!$B:$B,{"licence","community"},'caseload data'!$C:$C,'community %'!$B$50)),"")</f>
        <v/>
      </c>
      <c r="O54" s="209" t="str">
        <f>IFERROR(SUM(SUMIFS('caseload data'!Q:Q,'caseload data'!$C:$C,'community %'!$B$50,'caseload data'!$D:$D,"TPO",'caseload data'!$B:$B,{"licence","community"}))/SUM(SUMIFS('caseload data'!Q:Q,'caseload data'!$B:$B,{"licence","community"},'caseload data'!$C:$C,'community %'!$B$50)),"")</f>
        <v/>
      </c>
      <c r="P54" s="209" t="str">
        <f>IFERROR(SUM(SUMIFS('caseload data'!R:R,'caseload data'!$C:$C,'community %'!$B$50,'caseload data'!$D:$D,"TPO",'caseload data'!$B:$B,{"licence","community"}))/SUM(SUMIFS('caseload data'!R:R,'caseload data'!$B:$B,{"licence","community"},'caseload data'!$C:$C,'community %'!$B$50)),"")</f>
        <v/>
      </c>
      <c r="Q54" s="209" t="str">
        <f>IFERROR(SUM(SUMIFS('caseload data'!S:S,'caseload data'!$C:$C,'community %'!$B$50,'caseload data'!$D:$D,"TPO",'caseload data'!$B:$B,{"licence","community"}))/SUM(SUMIFS('caseload data'!S:S,'caseload data'!$B:$B,{"licence","community"},'caseload data'!$C:$C,'community %'!$B$50)),"")</f>
        <v/>
      </c>
      <c r="R54" s="209" t="str">
        <f>IFERROR(SUM(SUMIFS('caseload data'!T:T,'caseload data'!$C:$C,'community %'!$B$50,'caseload data'!$D:$D,"TPO",'caseload data'!$B:$B,{"licence","community"}))/SUM(SUMIFS('caseload data'!T:T,'caseload data'!$B:$B,{"licence","community"},'caseload data'!$C:$C,'community %'!$B$50)),"")</f>
        <v/>
      </c>
      <c r="S54" s="95"/>
      <c r="T54" s="130" t="s">
        <v>186</v>
      </c>
      <c r="U54" s="209" t="str">
        <f>IFERROR(SUM(SUMIFS('caseload data'!E:E,'caseload data'!$C:$C,'community %'!$T$50,'caseload data'!$D:$D,"TPO",'caseload data'!$B:$B,{"licence","community"}))/SUM(SUMIFS('caseload data'!E:E,'caseload data'!$B:$B,{"licence","community"},'caseload data'!$C:$C,'community %'!$T$50)),"")</f>
        <v/>
      </c>
      <c r="V54" s="209" t="str">
        <f>IFERROR(SUM(SUMIFS('caseload data'!F:F,'caseload data'!$C:$C,'community %'!$T$50,'caseload data'!$D:$D,"TPO",'caseload data'!$B:$B,{"licence","community"}))/SUM(SUMIFS('caseload data'!F:F,'caseload data'!$B:$B,{"licence","community"},'caseload data'!$C:$C,'community %'!$T$50)),"")</f>
        <v/>
      </c>
      <c r="W54" s="209" t="str">
        <f>IFERROR(SUM(SUMIFS('caseload data'!G:G,'caseload data'!$C:$C,'community %'!$T$50,'caseload data'!$D:$D,"TPO",'caseload data'!$B:$B,{"licence","community"}))/SUM(SUMIFS('caseload data'!G:G,'caseload data'!$B:$B,{"licence","community"},'caseload data'!$C:$C,'community %'!$T$50)),"")</f>
        <v/>
      </c>
      <c r="X54" s="209" t="str">
        <f>IFERROR(SUM(SUMIFS('caseload data'!H:H,'caseload data'!$C:$C,'community %'!$T$50,'caseload data'!$D:$D,"TPO",'caseload data'!$B:$B,{"licence","community"}))/SUM(SUMIFS('caseload data'!H:H,'caseload data'!$B:$B,{"licence","community"},'caseload data'!$C:$C,'community %'!$T$50)),"")</f>
        <v/>
      </c>
      <c r="Y54" s="209" t="str">
        <f>IFERROR(SUM(SUMIFS('caseload data'!I:I,'caseload data'!$C:$C,'community %'!$T$50,'caseload data'!$D:$D,"TPO",'caseload data'!$B:$B,{"licence","community"}))/SUM(SUMIFS('caseload data'!I:I,'caseload data'!$B:$B,{"licence","community"},'caseload data'!$C:$C,'community %'!$T$50)),"")</f>
        <v/>
      </c>
      <c r="Z54" s="209" t="str">
        <f>IFERROR(SUM(SUMIFS('caseload data'!J:J,'caseload data'!$C:$C,'community %'!$T$50,'caseload data'!$D:$D,"TPO",'caseload data'!$B:$B,{"licence","community"}))/SUM(SUMIFS('caseload data'!J:J,'caseload data'!$B:$B,{"licence","community"},'caseload data'!$C:$C,'community %'!$T$50)),"")</f>
        <v/>
      </c>
      <c r="AA54" s="209" t="str">
        <f>IFERROR(SUM(SUMIFS('caseload data'!K:K,'caseload data'!$C:$C,'community %'!$T$50,'caseload data'!$D:$D,"TPO",'caseload data'!$B:$B,{"licence","community"}))/SUM(SUMIFS('caseload data'!K:K,'caseload data'!$B:$B,{"licence","community"},'caseload data'!$C:$C,'community %'!$T$50)),"")</f>
        <v/>
      </c>
      <c r="AB54" s="209" t="str">
        <f>IFERROR(SUM(SUMIFS('caseload data'!L:L,'caseload data'!$C:$C,'community %'!$T$50,'caseload data'!$D:$D,"TPO",'caseload data'!$B:$B,{"licence","community"}))/SUM(SUMIFS('caseload data'!L:L,'caseload data'!$B:$B,{"licence","community"},'caseload data'!$C:$C,'community %'!$T$50)),"")</f>
        <v/>
      </c>
      <c r="AC54" s="209" t="str">
        <f>IFERROR(SUM(SUMIFS('caseload data'!M:M,'caseload data'!$C:$C,'community %'!$T$50,'caseload data'!$D:$D,"TPO",'caseload data'!$B:$B,{"licence","community"}))/SUM(SUMIFS('caseload data'!M:M,'caseload data'!$B:$B,{"licence","community"},'caseload data'!$C:$C,'community %'!$T$50)),"")</f>
        <v/>
      </c>
      <c r="AD54" s="209" t="str">
        <f>IFERROR(SUM(SUMIFS('caseload data'!N:N,'caseload data'!$C:$C,'community %'!$T$50,'caseload data'!$D:$D,"TPO",'caseload data'!$B:$B,{"licence","community"}))/SUM(SUMIFS('caseload data'!N:N,'caseload data'!$B:$B,{"licence","community"},'caseload data'!$C:$C,'community %'!$T$50)),"")</f>
        <v/>
      </c>
      <c r="AE54" s="209" t="str">
        <f>IFERROR(SUM(SUMIFS('caseload data'!O:O,'caseload data'!$C:$C,'community %'!$T$50,'caseload data'!$D:$D,"TPO",'caseload data'!$B:$B,{"licence","community"}))/SUM(SUMIFS('caseload data'!O:O,'caseload data'!$B:$B,{"licence","community"},'caseload data'!$C:$C,'community %'!$T$50)),"")</f>
        <v/>
      </c>
      <c r="AF54" s="209" t="str">
        <f>IFERROR(SUM(SUMIFS('caseload data'!P:P,'caseload data'!$C:$C,'community %'!$T$50,'caseload data'!$D:$D,"TPO",'caseload data'!$B:$B,{"licence","community"}))/SUM(SUMIFS('caseload data'!P:P,'caseload data'!$B:$B,{"licence","community"},'caseload data'!$C:$C,'community %'!$T$50)),"")</f>
        <v/>
      </c>
      <c r="AG54" s="209" t="str">
        <f>IFERROR(SUM(SUMIFS('caseload data'!Q:Q,'caseload data'!$C:$C,'community %'!$T$50,'caseload data'!$D:$D,"TPO",'caseload data'!$B:$B,{"licence","community"}))/SUM(SUMIFS('caseload data'!Q:Q,'caseload data'!$B:$B,{"licence","community"},'caseload data'!$C:$C,'community %'!$T$50)),"")</f>
        <v/>
      </c>
      <c r="AH54" s="209" t="str">
        <f>IFERROR(SUM(SUMIFS('caseload data'!R:R,'caseload data'!$C:$C,'community %'!$T$50,'caseload data'!$D:$D,"TPO",'caseload data'!$B:$B,{"licence","community"}))/SUM(SUMIFS('caseload data'!R:R,'caseload data'!$B:$B,{"licence","community"},'caseload data'!$C:$C,'community %'!$T$50)),"")</f>
        <v/>
      </c>
      <c r="AI54" s="209" t="str">
        <f>IFERROR(SUM(SUMIFS('caseload data'!S:S,'caseload data'!$C:$C,'community %'!$T$50,'caseload data'!$D:$D,"TPO",'caseload data'!$B:$B,{"licence","community"}))/SUM(SUMIFS('caseload data'!S:S,'caseload data'!$B:$B,{"licence","community"},'caseload data'!$C:$C,'community %'!$T$50)),"")</f>
        <v/>
      </c>
      <c r="AJ54" s="209" t="str">
        <f>IFERROR(SUM(SUMIFS('caseload data'!T:T,'caseload data'!$C:$C,'community %'!$T$50,'caseload data'!$D:$D,"TPO",'caseload data'!$B:$B,{"licence","community"}))/SUM(SUMIFS('caseload data'!T:T,'caseload data'!$B:$B,{"licence","community"},'caseload data'!$C:$C,'community %'!$T$50)),"")</f>
        <v/>
      </c>
    </row>
    <row r="55" spans="2:36" x14ac:dyDescent="0.15">
      <c r="B55" s="131" t="s">
        <v>187</v>
      </c>
      <c r="C55" s="209" t="str">
        <f>IFERROR(SUM(SUMIFS('caseload data'!E:E,'caseload data'!$C:$C,'community %'!$B$50,'caseload data'!$D:$D,"SPO",'caseload data'!$B:$B,{"licence","community"}))/SUM(SUMIFS('caseload data'!E:E,'caseload data'!$B:$B,{"licence","community"},'caseload data'!$C:$C,'community %'!$B$50)),"")</f>
        <v/>
      </c>
      <c r="D55" s="209" t="str">
        <f>IFERROR(SUM(SUMIFS('caseload data'!F:F,'caseload data'!$C:$C,'community %'!$B$50,'caseload data'!$D:$D,"SPO",'caseload data'!$B:$B,{"licence","community"}))/SUM(SUMIFS('caseload data'!F:F,'caseload data'!$B:$B,{"licence","community"},'caseload data'!$C:$C,'community %'!$B$50)),"")</f>
        <v/>
      </c>
      <c r="E55" s="209" t="str">
        <f>IFERROR(SUM(SUMIFS('caseload data'!G:G,'caseload data'!$C:$C,'community %'!$B$50,'caseload data'!$D:$D,"SPO",'caseload data'!$B:$B,{"licence","community"}))/SUM(SUMIFS('caseload data'!G:G,'caseload data'!$B:$B,{"licence","community"},'caseload data'!$C:$C,'community %'!$B$50)),"")</f>
        <v/>
      </c>
      <c r="F55" s="209" t="str">
        <f>IFERROR(SUM(SUMIFS('caseload data'!H:H,'caseload data'!$C:$C,'community %'!$B$50,'caseload data'!$D:$D,"SPO",'caseload data'!$B:$B,{"licence","community"}))/SUM(SUMIFS('caseload data'!H:H,'caseload data'!$B:$B,{"licence","community"},'caseload data'!$C:$C,'community %'!$B$50)),"")</f>
        <v/>
      </c>
      <c r="G55" s="209" t="str">
        <f>IFERROR(SUM(SUMIFS('caseload data'!I:I,'caseload data'!$C:$C,'community %'!$B$50,'caseload data'!$D:$D,"SPO",'caseload data'!$B:$B,{"licence","community"}))/SUM(SUMIFS('caseload data'!I:I,'caseload data'!$B:$B,{"licence","community"},'caseload data'!$C:$C,'community %'!$B$50)),"")</f>
        <v/>
      </c>
      <c r="H55" s="209" t="str">
        <f>IFERROR(SUM(SUMIFS('caseload data'!J:J,'caseload data'!$C:$C,'community %'!$B$50,'caseload data'!$D:$D,"SPO",'caseload data'!$B:$B,{"licence","community"}))/SUM(SUMIFS('caseload data'!J:J,'caseload data'!$B:$B,{"licence","community"},'caseload data'!$C:$C,'community %'!$B$50)),"")</f>
        <v/>
      </c>
      <c r="I55" s="209" t="str">
        <f>IFERROR(SUM(SUMIFS('caseload data'!K:K,'caseload data'!$C:$C,'community %'!$B$50,'caseload data'!$D:$D,"SPO",'caseload data'!$B:$B,{"licence","community"}))/SUM(SUMIFS('caseload data'!K:K,'caseload data'!$B:$B,{"licence","community"},'caseload data'!$C:$C,'community %'!$B$50)),"")</f>
        <v/>
      </c>
      <c r="J55" s="209" t="str">
        <f>IFERROR(SUM(SUMIFS('caseload data'!L:L,'caseload data'!$C:$C,'community %'!$B$50,'caseload data'!$D:$D,"SPO",'caseload data'!$B:$B,{"licence","community"}))/SUM(SUMIFS('caseload data'!L:L,'caseload data'!$B:$B,{"licence","community"},'caseload data'!$C:$C,'community %'!$B$50)),"")</f>
        <v/>
      </c>
      <c r="K55" s="209" t="str">
        <f>IFERROR(SUM(SUMIFS('caseload data'!M:M,'caseload data'!$C:$C,'community %'!$B$50,'caseload data'!$D:$D,"SPO",'caseload data'!$B:$B,{"licence","community"}))/SUM(SUMIFS('caseload data'!M:M,'caseload data'!$B:$B,{"licence","community"},'caseload data'!$C:$C,'community %'!$B$50)),"")</f>
        <v/>
      </c>
      <c r="L55" s="209" t="str">
        <f>IFERROR(SUM(SUMIFS('caseload data'!N:N,'caseload data'!$C:$C,'community %'!$B$50,'caseload data'!$D:$D,"SPO",'caseload data'!$B:$B,{"licence","community"}))/SUM(SUMIFS('caseload data'!N:N,'caseload data'!$B:$B,{"licence","community"},'caseload data'!$C:$C,'community %'!$B$50)),"")</f>
        <v/>
      </c>
      <c r="M55" s="209" t="str">
        <f>IFERROR(SUM(SUMIFS('caseload data'!O:O,'caseload data'!$C:$C,'community %'!$B$50,'caseload data'!$D:$D,"SPO",'caseload data'!$B:$B,{"licence","community"}))/SUM(SUMIFS('caseload data'!O:O,'caseload data'!$B:$B,{"licence","community"},'caseload data'!$C:$C,'community %'!$B$50)),"")</f>
        <v/>
      </c>
      <c r="N55" s="209" t="str">
        <f>IFERROR(SUM(SUMIFS('caseload data'!P:P,'caseload data'!$C:$C,'community %'!$B$50,'caseload data'!$D:$D,"SPO",'caseload data'!$B:$B,{"licence","community"}))/SUM(SUMIFS('caseload data'!P:P,'caseload data'!$B:$B,{"licence","community"},'caseload data'!$C:$C,'community %'!$B$50)),"")</f>
        <v/>
      </c>
      <c r="O55" s="209" t="str">
        <f>IFERROR(SUM(SUMIFS('caseload data'!Q:Q,'caseload data'!$C:$C,'community %'!$B$50,'caseload data'!$D:$D,"SPO",'caseload data'!$B:$B,{"licence","community"}))/SUM(SUMIFS('caseload data'!Q:Q,'caseload data'!$B:$B,{"licence","community"},'caseload data'!$C:$C,'community %'!$B$50)),"")</f>
        <v/>
      </c>
      <c r="P55" s="209" t="str">
        <f>IFERROR(SUM(SUMIFS('caseload data'!R:R,'caseload data'!$C:$C,'community %'!$B$50,'caseload data'!$D:$D,"SPO",'caseload data'!$B:$B,{"licence","community"}))/SUM(SUMIFS('caseload data'!R:R,'caseload data'!$B:$B,{"licence","community"},'caseload data'!$C:$C,'community %'!$B$50)),"")</f>
        <v/>
      </c>
      <c r="Q55" s="209" t="str">
        <f>IFERROR(SUM(SUMIFS('caseload data'!S:S,'caseload data'!$C:$C,'community %'!$B$50,'caseload data'!$D:$D,"SPO",'caseload data'!$B:$B,{"licence","community"}))/SUM(SUMIFS('caseload data'!S:S,'caseload data'!$B:$B,{"licence","community"},'caseload data'!$C:$C,'community %'!$B$50)),"")</f>
        <v/>
      </c>
      <c r="R55" s="209" t="str">
        <f>IFERROR(SUM(SUMIFS('caseload data'!T:T,'caseload data'!$C:$C,'community %'!$B$50,'caseload data'!$D:$D,"SPO",'caseload data'!$B:$B,{"licence","community"}))/SUM(SUMIFS('caseload data'!T:T,'caseload data'!$B:$B,{"licence","community"},'caseload data'!$C:$C,'community %'!$B$50)),"")</f>
        <v/>
      </c>
      <c r="S55" s="95"/>
      <c r="T55" s="131" t="s">
        <v>187</v>
      </c>
      <c r="U55" s="209" t="str">
        <f>IFERROR(SUM(SUMIFS('caseload data'!E:E,'caseload data'!$C:$C,'community %'!$T$50,'caseload data'!$D:$D,"SPO",'caseload data'!$B:$B,{"licence","community"}))/SUM(SUMIFS('caseload data'!E:E,'caseload data'!$B:$B,{"licence","community"},'caseload data'!$C:$C,'community %'!$T$50)),"")</f>
        <v/>
      </c>
      <c r="V55" s="209" t="str">
        <f>IFERROR(SUM(SUMIFS('caseload data'!F:F,'caseload data'!$C:$C,'community %'!$T$50,'caseload data'!$D:$D,"SPO",'caseload data'!$B:$B,{"licence","community"}))/SUM(SUMIFS('caseload data'!F:F,'caseload data'!$B:$B,{"licence","community"},'caseload data'!$C:$C,'community %'!$T$50)),"")</f>
        <v/>
      </c>
      <c r="W55" s="209" t="str">
        <f>IFERROR(SUM(SUMIFS('caseload data'!G:G,'caseload data'!$C:$C,'community %'!$T$50,'caseload data'!$D:$D,"SPO",'caseload data'!$B:$B,{"licence","community"}))/SUM(SUMIFS('caseload data'!G:G,'caseload data'!$B:$B,{"licence","community"},'caseload data'!$C:$C,'community %'!$T$50)),"")</f>
        <v/>
      </c>
      <c r="X55" s="209" t="str">
        <f>IFERROR(SUM(SUMIFS('caseload data'!H:H,'caseload data'!$C:$C,'community %'!$T$50,'caseload data'!$D:$D,"SPO",'caseload data'!$B:$B,{"licence","community"}))/SUM(SUMIFS('caseload data'!H:H,'caseload data'!$B:$B,{"licence","community"},'caseload data'!$C:$C,'community %'!$T$50)),"")</f>
        <v/>
      </c>
      <c r="Y55" s="209" t="str">
        <f>IFERROR(SUM(SUMIFS('caseload data'!I:I,'caseload data'!$C:$C,'community %'!$T$50,'caseload data'!$D:$D,"SPO",'caseload data'!$B:$B,{"licence","community"}))/SUM(SUMIFS('caseload data'!I:I,'caseload data'!$B:$B,{"licence","community"},'caseload data'!$C:$C,'community %'!$T$50)),"")</f>
        <v/>
      </c>
      <c r="Z55" s="209" t="str">
        <f>IFERROR(SUM(SUMIFS('caseload data'!J:J,'caseload data'!$C:$C,'community %'!$T$50,'caseload data'!$D:$D,"SPO",'caseload data'!$B:$B,{"licence","community"}))/SUM(SUMIFS('caseload data'!J:J,'caseload data'!$B:$B,{"licence","community"},'caseload data'!$C:$C,'community %'!$T$50)),"")</f>
        <v/>
      </c>
      <c r="AA55" s="209" t="str">
        <f>IFERROR(SUM(SUMIFS('caseload data'!K:K,'caseload data'!$C:$C,'community %'!$T$50,'caseload data'!$D:$D,"SPO",'caseload data'!$B:$B,{"licence","community"}))/SUM(SUMIFS('caseload data'!K:K,'caseload data'!$B:$B,{"licence","community"},'caseload data'!$C:$C,'community %'!$T$50)),"")</f>
        <v/>
      </c>
      <c r="AB55" s="209" t="str">
        <f>IFERROR(SUM(SUMIFS('caseload data'!L:L,'caseload data'!$C:$C,'community %'!$T$50,'caseload data'!$D:$D,"SPO",'caseload data'!$B:$B,{"licence","community"}))/SUM(SUMIFS('caseload data'!L:L,'caseload data'!$B:$B,{"licence","community"},'caseload data'!$C:$C,'community %'!$T$50)),"")</f>
        <v/>
      </c>
      <c r="AC55" s="209" t="str">
        <f>IFERROR(SUM(SUMIFS('caseload data'!M:M,'caseload data'!$C:$C,'community %'!$T$50,'caseload data'!$D:$D,"SPO",'caseload data'!$B:$B,{"licence","community"}))/SUM(SUMIFS('caseload data'!M:M,'caseload data'!$B:$B,{"licence","community"},'caseload data'!$C:$C,'community %'!$T$50)),"")</f>
        <v/>
      </c>
      <c r="AD55" s="209" t="str">
        <f>IFERROR(SUM(SUMIFS('caseload data'!N:N,'caseload data'!$C:$C,'community %'!$T$50,'caseload data'!$D:$D,"SPO",'caseload data'!$B:$B,{"licence","community"}))/SUM(SUMIFS('caseload data'!N:N,'caseload data'!$B:$B,{"licence","community"},'caseload data'!$C:$C,'community %'!$T$50)),"")</f>
        <v/>
      </c>
      <c r="AE55" s="209" t="str">
        <f>IFERROR(SUM(SUMIFS('caseload data'!O:O,'caseload data'!$C:$C,'community %'!$T$50,'caseload data'!$D:$D,"SPO",'caseload data'!$B:$B,{"licence","community"}))/SUM(SUMIFS('caseload data'!O:O,'caseload data'!$B:$B,{"licence","community"},'caseload data'!$C:$C,'community %'!$T$50)),"")</f>
        <v/>
      </c>
      <c r="AF55" s="209" t="str">
        <f>IFERROR(SUM(SUMIFS('caseload data'!P:P,'caseload data'!$C:$C,'community %'!$T$50,'caseload data'!$D:$D,"SPO",'caseload data'!$B:$B,{"licence","community"}))/SUM(SUMIFS('caseload data'!P:P,'caseload data'!$B:$B,{"licence","community"},'caseload data'!$C:$C,'community %'!$T$50)),"")</f>
        <v/>
      </c>
      <c r="AG55" s="209" t="str">
        <f>IFERROR(SUM(SUMIFS('caseload data'!Q:Q,'caseload data'!$C:$C,'community %'!$T$50,'caseload data'!$D:$D,"SPO",'caseload data'!$B:$B,{"licence","community"}))/SUM(SUMIFS('caseload data'!Q:Q,'caseload data'!$B:$B,{"licence","community"},'caseload data'!$C:$C,'community %'!$T$50)),"")</f>
        <v/>
      </c>
      <c r="AH55" s="209" t="str">
        <f>IFERROR(SUM(SUMIFS('caseload data'!R:R,'caseload data'!$C:$C,'community %'!$T$50,'caseload data'!$D:$D,"SPO",'caseload data'!$B:$B,{"licence","community"}))/SUM(SUMIFS('caseload data'!R:R,'caseload data'!$B:$B,{"licence","community"},'caseload data'!$C:$C,'community %'!$T$50)),"")</f>
        <v/>
      </c>
      <c r="AI55" s="209" t="str">
        <f>IFERROR(SUM(SUMIFS('caseload data'!S:S,'caseload data'!$C:$C,'community %'!$T$50,'caseload data'!$D:$D,"SPO",'caseload data'!$B:$B,{"licence","community"}))/SUM(SUMIFS('caseload data'!S:S,'caseload data'!$B:$B,{"licence","community"},'caseload data'!$C:$C,'community %'!$T$50)),"")</f>
        <v/>
      </c>
      <c r="AJ55" s="209" t="str">
        <f>IFERROR(SUM(SUMIFS('caseload data'!T:T,'caseload data'!$C:$C,'community %'!$T$50,'caseload data'!$D:$D,"SPO",'caseload data'!$B:$B,{"licence","community"}))/SUM(SUMIFS('caseload data'!T:T,'caseload data'!$B:$B,{"licence","community"},'caseload data'!$C:$C,'community %'!$T$50)),"")</f>
        <v/>
      </c>
    </row>
    <row r="56" spans="2:36" x14ac:dyDescent="0.15">
      <c r="B56" s="183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183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</row>
    <row r="57" spans="2:36" ht="42.75" customHeight="1" x14ac:dyDescent="0.15">
      <c r="B57" s="182" t="str">
        <f>HLOOKUP($B$5,Region_Table,16,0)</f>
        <v>Headquarters - N07</v>
      </c>
      <c r="C57" s="359" t="s">
        <v>370</v>
      </c>
      <c r="D57" s="365"/>
      <c r="E57" s="365"/>
      <c r="F57" s="365"/>
      <c r="G57" s="365"/>
      <c r="H57" s="365"/>
      <c r="I57" s="365"/>
      <c r="J57" s="365"/>
      <c r="K57" s="365"/>
      <c r="L57" s="365"/>
      <c r="M57" s="368"/>
      <c r="N57" s="368"/>
      <c r="O57" s="369"/>
      <c r="P57" s="362" cm="1">
        <f t="array" ref="P57">SUM(SUMIFS('caseload data'!V:V,'caseload data'!B:B,{"licence","community"},'caseload data'!$C:$C,B57))</f>
        <v>0</v>
      </c>
      <c r="Q57" s="370"/>
      <c r="R57" s="371"/>
      <c r="S57" s="95"/>
      <c r="T57" s="182" t="str">
        <f>HLOOKUP($B$5,Region_Table,17,0)</f>
        <v>Inactive Level 2(N07)</v>
      </c>
      <c r="U57" s="359" t="s">
        <v>370</v>
      </c>
      <c r="V57" s="365"/>
      <c r="W57" s="365"/>
      <c r="X57" s="365"/>
      <c r="Y57" s="365"/>
      <c r="Z57" s="365"/>
      <c r="AA57" s="365"/>
      <c r="AB57" s="365"/>
      <c r="AC57" s="365"/>
      <c r="AD57" s="365"/>
      <c r="AE57" s="368"/>
      <c r="AF57" s="368"/>
      <c r="AG57" s="369"/>
      <c r="AH57" s="362" cm="1">
        <f t="array" ref="AH57">SUM(SUMIFS('caseload data'!V:V,'caseload data'!B:B,{"licence","community"},'caseload data'!$C:$C,T57))</f>
        <v>0</v>
      </c>
      <c r="AI57" s="370"/>
      <c r="AJ57" s="371"/>
    </row>
    <row r="58" spans="2:36" x14ac:dyDescent="0.15">
      <c r="B58" s="127" t="s">
        <v>324</v>
      </c>
      <c r="C58" s="58" t="s">
        <v>504</v>
      </c>
      <c r="D58" s="58" t="s">
        <v>503</v>
      </c>
      <c r="E58" s="58" t="s">
        <v>502</v>
      </c>
      <c r="F58" s="58" t="s">
        <v>501</v>
      </c>
      <c r="G58" s="58" t="s">
        <v>510</v>
      </c>
      <c r="H58" s="58" t="s">
        <v>176</v>
      </c>
      <c r="I58" s="58" t="s">
        <v>177</v>
      </c>
      <c r="J58" s="58" t="s">
        <v>505</v>
      </c>
      <c r="K58" s="58" t="s">
        <v>507</v>
      </c>
      <c r="L58" s="58" t="s">
        <v>178</v>
      </c>
      <c r="M58" s="58" t="s">
        <v>179</v>
      </c>
      <c r="N58" s="58" t="s">
        <v>506</v>
      </c>
      <c r="O58" s="58" t="s">
        <v>508</v>
      </c>
      <c r="P58" s="58" t="s">
        <v>180</v>
      </c>
      <c r="Q58" s="58" t="s">
        <v>181</v>
      </c>
      <c r="R58" s="58" t="s">
        <v>509</v>
      </c>
      <c r="S58" s="95"/>
      <c r="T58" s="127" t="s">
        <v>324</v>
      </c>
      <c r="U58" s="58" t="s">
        <v>504</v>
      </c>
      <c r="V58" s="58" t="s">
        <v>503</v>
      </c>
      <c r="W58" s="58" t="s">
        <v>502</v>
      </c>
      <c r="X58" s="58" t="s">
        <v>501</v>
      </c>
      <c r="Y58" s="58" t="s">
        <v>510</v>
      </c>
      <c r="Z58" s="58" t="s">
        <v>176</v>
      </c>
      <c r="AA58" s="58" t="s">
        <v>177</v>
      </c>
      <c r="AB58" s="58" t="s">
        <v>505</v>
      </c>
      <c r="AC58" s="58" t="s">
        <v>507</v>
      </c>
      <c r="AD58" s="58" t="s">
        <v>178</v>
      </c>
      <c r="AE58" s="58" t="s">
        <v>179</v>
      </c>
      <c r="AF58" s="58" t="s">
        <v>506</v>
      </c>
      <c r="AG58" s="58" t="s">
        <v>508</v>
      </c>
      <c r="AH58" s="58" t="s">
        <v>180</v>
      </c>
      <c r="AI58" s="58" t="s">
        <v>181</v>
      </c>
      <c r="AJ58" s="58" t="s">
        <v>509</v>
      </c>
    </row>
    <row r="59" spans="2:36" x14ac:dyDescent="0.15">
      <c r="B59" s="129" t="s">
        <v>184</v>
      </c>
      <c r="C59" s="209" t="str">
        <f>IFERROR(SUM(SUMIFS('caseload data'!E:E,'caseload data'!$C:$C,'community %'!$B$57,'caseload data'!$D:$D,"PO",'caseload data'!$B:$B,{"licence","community"}))/SUM(SUMIFS('caseload data'!E:E,'caseload data'!$B:$B,{"licence","community"},'caseload data'!$C:$C,'community %'!$B$57)),"")</f>
        <v/>
      </c>
      <c r="D59" s="209" t="str">
        <f>IFERROR(SUM(SUMIFS('caseload data'!F:F,'caseload data'!$C:$C,'community %'!$B$57,'caseload data'!$D:$D,"PO",'caseload data'!$B:$B,{"licence","community"}))/SUM(SUMIFS('caseload data'!F:F,'caseload data'!$B:$B,{"licence","community"},'caseload data'!$C:$C,'community %'!$B$57)),"")</f>
        <v/>
      </c>
      <c r="E59" s="209" t="str">
        <f>IFERROR(SUM(SUMIFS('caseload data'!G:G,'caseload data'!$C:$C,'community %'!$B$57,'caseload data'!$D:$D,"PO",'caseload data'!$B:$B,{"licence","community"}))/SUM(SUMIFS('caseload data'!G:G,'caseload data'!$B:$B,{"licence","community"},'caseload data'!$C:$C,'community %'!$B$57)),"")</f>
        <v/>
      </c>
      <c r="F59" s="209" t="str">
        <f>IFERROR(SUM(SUMIFS('caseload data'!H:H,'caseload data'!$C:$C,'community %'!$B$57,'caseload data'!$D:$D,"PO",'caseload data'!$B:$B,{"licence","community"}))/SUM(SUMIFS('caseload data'!H:H,'caseload data'!$B:$B,{"licence","community"},'caseload data'!$C:$C,'community %'!$B$57)),"")</f>
        <v/>
      </c>
      <c r="G59" s="209" t="str">
        <f>IFERROR(SUM(SUMIFS('caseload data'!I:I,'caseload data'!$C:$C,'community %'!$B$57,'caseload data'!$D:$D,"PO",'caseload data'!$B:$B,{"licence","community"}))/SUM(SUMIFS('caseload data'!I:I,'caseload data'!$B:$B,{"licence","community"},'caseload data'!$C:$C,'community %'!$B$57)),"")</f>
        <v/>
      </c>
      <c r="H59" s="209" t="str">
        <f>IFERROR(SUM(SUMIFS('caseload data'!J:J,'caseload data'!$C:$C,'community %'!$B$57,'caseload data'!$D:$D,"PO",'caseload data'!$B:$B,{"licence","community"}))/SUM(SUMIFS('caseload data'!J:J,'caseload data'!$B:$B,{"licence","community"},'caseload data'!$C:$C,'community %'!$B$57)),"")</f>
        <v/>
      </c>
      <c r="I59" s="209" t="str">
        <f>IFERROR(SUM(SUMIFS('caseload data'!K:K,'caseload data'!$C:$C,'community %'!$B$57,'caseload data'!$D:$D,"PO",'caseload data'!$B:$B,{"licence","community"}))/SUM(SUMIFS('caseload data'!K:K,'caseload data'!$B:$B,{"licence","community"},'caseload data'!$C:$C,'community %'!$B$57)),"")</f>
        <v/>
      </c>
      <c r="J59" s="209" t="str">
        <f>IFERROR(SUM(SUMIFS('caseload data'!L:L,'caseload data'!$C:$C,'community %'!$B$57,'caseload data'!$D:$D,"PO",'caseload data'!$B:$B,{"licence","community"}))/SUM(SUMIFS('caseload data'!L:L,'caseload data'!$B:$B,{"licence","community"},'caseload data'!$C:$C,'community %'!$B$57)),"")</f>
        <v/>
      </c>
      <c r="K59" s="209" t="str">
        <f>IFERROR(SUM(SUMIFS('caseload data'!M:M,'caseload data'!$C:$C,'community %'!$B$57,'caseload data'!$D:$D,"PO",'caseload data'!$B:$B,{"licence","community"}))/SUM(SUMIFS('caseload data'!M:M,'caseload data'!$B:$B,{"licence","community"},'caseload data'!$C:$C,'community %'!$B$57)),"")</f>
        <v/>
      </c>
      <c r="L59" s="209" t="str">
        <f>IFERROR(SUM(SUMIFS('caseload data'!N:N,'caseload data'!$C:$C,'community %'!$B$57,'caseload data'!$D:$D,"PO",'caseload data'!$B:$B,{"licence","community"}))/SUM(SUMIFS('caseload data'!N:N,'caseload data'!$B:$B,{"licence","community"},'caseload data'!$C:$C,'community %'!$B$57)),"")</f>
        <v/>
      </c>
      <c r="M59" s="209" t="str">
        <f>IFERROR(SUM(SUMIFS('caseload data'!O:O,'caseload data'!$C:$C,'community %'!$B$57,'caseload data'!$D:$D,"PO",'caseload data'!$B:$B,{"licence","community"}))/SUM(SUMIFS('caseload data'!O:O,'caseload data'!$B:$B,{"licence","community"},'caseload data'!$C:$C,'community %'!$B$57)),"")</f>
        <v/>
      </c>
      <c r="N59" s="209" t="str">
        <f>IFERROR(SUM(SUMIFS('caseload data'!P:P,'caseload data'!$C:$C,'community %'!$B$57,'caseload data'!$D:$D,"PO",'caseload data'!$B:$B,{"licence","community"}))/SUM(SUMIFS('caseload data'!P:P,'caseload data'!$B:$B,{"licence","community"},'caseload data'!$C:$C,'community %'!$B$57)),"")</f>
        <v/>
      </c>
      <c r="O59" s="209" t="str">
        <f>IFERROR(SUM(SUMIFS('caseload data'!Q:Q,'caseload data'!$C:$C,'community %'!$B$57,'caseload data'!$D:$D,"PO",'caseload data'!$B:$B,{"licence","community"}))/SUM(SUMIFS('caseload data'!Q:Q,'caseload data'!$B:$B,{"licence","community"},'caseload data'!$C:$C,'community %'!$B$57)),"")</f>
        <v/>
      </c>
      <c r="P59" s="209" t="str">
        <f>IFERROR(SUM(SUMIFS('caseload data'!R:R,'caseload data'!$C:$C,'community %'!$B$57,'caseload data'!$D:$D,"PO",'caseload data'!$B:$B,{"licence","community"}))/SUM(SUMIFS('caseload data'!R:R,'caseload data'!$B:$B,{"licence","community"},'caseload data'!$C:$C,'community %'!$B$57)),"")</f>
        <v/>
      </c>
      <c r="Q59" s="209" t="str">
        <f>IFERROR(SUM(SUMIFS('caseload data'!S:S,'caseload data'!$C:$C,'community %'!$B$57,'caseload data'!$D:$D,"PO",'caseload data'!$B:$B,{"licence","community"}))/SUM(SUMIFS('caseload data'!S:S,'caseload data'!$B:$B,{"licence","community"},'caseload data'!$C:$C,'community %'!$B$57)),"")</f>
        <v/>
      </c>
      <c r="R59" s="209" t="str">
        <f>IFERROR(SUM(SUMIFS('caseload data'!T:T,'caseload data'!$C:$C,'community %'!$B$57,'caseload data'!$D:$D,"PO",'caseload data'!$B:$B,{"licence","community"}))/SUM(SUMIFS('caseload data'!T:T,'caseload data'!$B:$B,{"licence","community"},'caseload data'!$C:$C,'community %'!$B$57)),"")</f>
        <v/>
      </c>
      <c r="S59" s="95"/>
      <c r="T59" s="129" t="s">
        <v>184</v>
      </c>
      <c r="U59" s="209" t="str">
        <f>IFERROR(SUM(SUMIFS('caseload data'!E:E,'caseload data'!$C:$C,'community %'!$T$57,'caseload data'!$D:$D,"PO",'caseload data'!$B:$B,{"licence","community"}))/SUM(SUMIFS('caseload data'!E:E,'caseload data'!$B:$B,{"licence","community"},'caseload data'!$C:$C,'community %'!$T$57)),"")</f>
        <v/>
      </c>
      <c r="V59" s="209" t="str">
        <f>IFERROR(SUM(SUMIFS('caseload data'!F:F,'caseload data'!$C:$C,'community %'!$T$57,'caseload data'!$D:$D,"PO",'caseload data'!$B:$B,{"licence","community"}))/SUM(SUMIFS('caseload data'!F:F,'caseload data'!$B:$B,{"licence","community"},'caseload data'!$C:$C,'community %'!$T$57)),"")</f>
        <v/>
      </c>
      <c r="W59" s="209" t="str">
        <f>IFERROR(SUM(SUMIFS('caseload data'!G:G,'caseload data'!$C:$C,'community %'!$T$57,'caseload data'!$D:$D,"PO",'caseload data'!$B:$B,{"licence","community"}))/SUM(SUMIFS('caseload data'!G:G,'caseload data'!$B:$B,{"licence","community"},'caseload data'!$C:$C,'community %'!$T$57)),"")</f>
        <v/>
      </c>
      <c r="X59" s="209" t="str">
        <f>IFERROR(SUM(SUMIFS('caseload data'!H:H,'caseload data'!$C:$C,'community %'!$T$57,'caseload data'!$D:$D,"PO",'caseload data'!$B:$B,{"licence","community"}))/SUM(SUMIFS('caseload data'!H:H,'caseload data'!$B:$B,{"licence","community"},'caseload data'!$C:$C,'community %'!$T$57)),"")</f>
        <v/>
      </c>
      <c r="Y59" s="209" t="str">
        <f>IFERROR(SUM(SUMIFS('caseload data'!I:I,'caseload data'!$C:$C,'community %'!$T$57,'caseload data'!$D:$D,"PO",'caseload data'!$B:$B,{"licence","community"}))/SUM(SUMIFS('caseload data'!I:I,'caseload data'!$B:$B,{"licence","community"},'caseload data'!$C:$C,'community %'!$T$57)),"")</f>
        <v/>
      </c>
      <c r="Z59" s="209" t="str">
        <f>IFERROR(SUM(SUMIFS('caseload data'!J:J,'caseload data'!$C:$C,'community %'!$T$57,'caseload data'!$D:$D,"PO",'caseload data'!$B:$B,{"licence","community"}))/SUM(SUMIFS('caseload data'!J:J,'caseload data'!$B:$B,{"licence","community"},'caseload data'!$C:$C,'community %'!$T$57)),"")</f>
        <v/>
      </c>
      <c r="AA59" s="209" t="str">
        <f>IFERROR(SUM(SUMIFS('caseload data'!K:K,'caseload data'!$C:$C,'community %'!$T$57,'caseload data'!$D:$D,"PO",'caseload data'!$B:$B,{"licence","community"}))/SUM(SUMIFS('caseload data'!K:K,'caseload data'!$B:$B,{"licence","community"},'caseload data'!$C:$C,'community %'!$T$57)),"")</f>
        <v/>
      </c>
      <c r="AB59" s="209" t="str">
        <f>IFERROR(SUM(SUMIFS('caseload data'!L:L,'caseload data'!$C:$C,'community %'!$T$57,'caseload data'!$D:$D,"PO",'caseload data'!$B:$B,{"licence","community"}))/SUM(SUMIFS('caseload data'!L:L,'caseload data'!$B:$B,{"licence","community"},'caseload data'!$C:$C,'community %'!$T$57)),"")</f>
        <v/>
      </c>
      <c r="AC59" s="209" t="str">
        <f>IFERROR(SUM(SUMIFS('caseload data'!M:M,'caseload data'!$C:$C,'community %'!$T$57,'caseload data'!$D:$D,"PO",'caseload data'!$B:$B,{"licence","community"}))/SUM(SUMIFS('caseload data'!M:M,'caseload data'!$B:$B,{"licence","community"},'caseload data'!$C:$C,'community %'!$T$57)),"")</f>
        <v/>
      </c>
      <c r="AD59" s="209" t="str">
        <f>IFERROR(SUM(SUMIFS('caseload data'!N:N,'caseload data'!$C:$C,'community %'!$T$57,'caseload data'!$D:$D,"PO",'caseload data'!$B:$B,{"licence","community"}))/SUM(SUMIFS('caseload data'!N:N,'caseload data'!$B:$B,{"licence","community"},'caseload data'!$C:$C,'community %'!$T$57)),"")</f>
        <v/>
      </c>
      <c r="AE59" s="209" t="str">
        <f>IFERROR(SUM(SUMIFS('caseload data'!O:O,'caseload data'!$C:$C,'community %'!$T$57,'caseload data'!$D:$D,"PO",'caseload data'!$B:$B,{"licence","community"}))/SUM(SUMIFS('caseload data'!O:O,'caseload data'!$B:$B,{"licence","community"},'caseload data'!$C:$C,'community %'!$T$57)),"")</f>
        <v/>
      </c>
      <c r="AF59" s="209" t="str">
        <f>IFERROR(SUM(SUMIFS('caseload data'!P:P,'caseload data'!$C:$C,'community %'!$T$57,'caseload data'!$D:$D,"PO",'caseload data'!$B:$B,{"licence","community"}))/SUM(SUMIFS('caseload data'!P:P,'caseload data'!$B:$B,{"licence","community"},'caseload data'!$C:$C,'community %'!$T$57)),"")</f>
        <v/>
      </c>
      <c r="AG59" s="209" t="str">
        <f>IFERROR(SUM(SUMIFS('caseload data'!Q:Q,'caseload data'!$C:$C,'community %'!$T$57,'caseload data'!$D:$D,"PO",'caseload data'!$B:$B,{"licence","community"}))/SUM(SUMIFS('caseload data'!Q:Q,'caseload data'!$B:$B,{"licence","community"},'caseload data'!$C:$C,'community %'!$T$57)),"")</f>
        <v/>
      </c>
      <c r="AH59" s="209" t="str">
        <f>IFERROR(SUM(SUMIFS('caseload data'!R:R,'caseload data'!$C:$C,'community %'!$T$57,'caseload data'!$D:$D,"PO",'caseload data'!$B:$B,{"licence","community"}))/SUM(SUMIFS('caseload data'!R:R,'caseload data'!$B:$B,{"licence","community"},'caseload data'!$C:$C,'community %'!$T$57)),"")</f>
        <v/>
      </c>
      <c r="AI59" s="209" t="str">
        <f>IFERROR(SUM(SUMIFS('caseload data'!S:S,'caseload data'!$C:$C,'community %'!$T$57,'caseload data'!$D:$D,"PO",'caseload data'!$B:$B,{"licence","community"}))/SUM(SUMIFS('caseload data'!S:S,'caseload data'!$B:$B,{"licence","community"},'caseload data'!$C:$C,'community %'!$T$57)),"")</f>
        <v/>
      </c>
      <c r="AJ59" s="209" t="str">
        <f>IFERROR(SUM(SUMIFS('caseload data'!T:T,'caseload data'!$C:$C,'community %'!$T$57,'caseload data'!$D:$D,"PO",'caseload data'!$B:$B,{"licence","community"}))/SUM(SUMIFS('caseload data'!T:T,'caseload data'!$B:$B,{"licence","community"},'caseload data'!$C:$C,'community %'!$T$57)),"")</f>
        <v/>
      </c>
    </row>
    <row r="60" spans="2:36" x14ac:dyDescent="0.15">
      <c r="B60" s="130" t="s">
        <v>185</v>
      </c>
      <c r="C60" s="209" t="str">
        <f>IFERROR(SUM(SUMIFS('caseload data'!E:E,'caseload data'!$C:$C,'community %'!$B$57,'caseload data'!$D:$D,"PSO",'caseload data'!$B:$B,{"licence","community"}))/SUM(SUMIFS('caseload data'!E:E,'caseload data'!$B:$B,{"licence","community"},'caseload data'!$C:$C,'community %'!$B$57)),"")</f>
        <v/>
      </c>
      <c r="D60" s="209" t="str">
        <f>IFERROR(SUM(SUMIFS('caseload data'!F:F,'caseload data'!$C:$C,'community %'!$B$57,'caseload data'!$D:$D,"PSO",'caseload data'!$B:$B,{"licence","community"}))/SUM(SUMIFS('caseload data'!F:F,'caseload data'!$B:$B,{"licence","community"},'caseload data'!$C:$C,'community %'!$B$57)),"")</f>
        <v/>
      </c>
      <c r="E60" s="209" t="str">
        <f>IFERROR(SUM(SUMIFS('caseload data'!G:G,'caseload data'!$C:$C,'community %'!$B$57,'caseload data'!$D:$D,"PSO",'caseload data'!$B:$B,{"licence","community"}))/SUM(SUMIFS('caseload data'!G:G,'caseload data'!$B:$B,{"licence","community"},'caseload data'!$C:$C,'community %'!$B$57)),"")</f>
        <v/>
      </c>
      <c r="F60" s="209" t="str">
        <f>IFERROR(SUM(SUMIFS('caseload data'!H:H,'caseload data'!$C:$C,'community %'!$B$57,'caseload data'!$D:$D,"PSO",'caseload data'!$B:$B,{"licence","community"}))/SUM(SUMIFS('caseload data'!H:H,'caseload data'!$B:$B,{"licence","community"},'caseload data'!$C:$C,'community %'!$B$57)),"")</f>
        <v/>
      </c>
      <c r="G60" s="209" t="str">
        <f>IFERROR(SUM(SUMIFS('caseload data'!I:I,'caseload data'!$C:$C,'community %'!$B$57,'caseload data'!$D:$D,"PSO",'caseload data'!$B:$B,{"licence","community"}))/SUM(SUMIFS('caseload data'!I:I,'caseload data'!$B:$B,{"licence","community"},'caseload data'!$C:$C,'community %'!$B$57)),"")</f>
        <v/>
      </c>
      <c r="H60" s="209" t="str">
        <f>IFERROR(SUM(SUMIFS('caseload data'!J:J,'caseload data'!$C:$C,'community %'!$B$57,'caseload data'!$D:$D,"PSO",'caseload data'!$B:$B,{"licence","community"}))/SUM(SUMIFS('caseload data'!J:J,'caseload data'!$B:$B,{"licence","community"},'caseload data'!$C:$C,'community %'!$B$57)),"")</f>
        <v/>
      </c>
      <c r="I60" s="209" t="str">
        <f>IFERROR(SUM(SUMIFS('caseload data'!K:K,'caseload data'!$C:$C,'community %'!$B$57,'caseload data'!$D:$D,"PSO",'caseload data'!$B:$B,{"licence","community"}))/SUM(SUMIFS('caseload data'!K:K,'caseload data'!$B:$B,{"licence","community"},'caseload data'!$C:$C,'community %'!$B$57)),"")</f>
        <v/>
      </c>
      <c r="J60" s="209" t="str">
        <f>IFERROR(SUM(SUMIFS('caseload data'!L:L,'caseload data'!$C:$C,'community %'!$B$57,'caseload data'!$D:$D,"PSO",'caseload data'!$B:$B,{"licence","community"}))/SUM(SUMIFS('caseload data'!L:L,'caseload data'!$B:$B,{"licence","community"},'caseload data'!$C:$C,'community %'!$B$57)),"")</f>
        <v/>
      </c>
      <c r="K60" s="209" t="str">
        <f>IFERROR(SUM(SUMIFS('caseload data'!M:M,'caseload data'!$C:$C,'community %'!$B$57,'caseload data'!$D:$D,"PSO",'caseload data'!$B:$B,{"licence","community"}))/SUM(SUMIFS('caseload data'!M:M,'caseload data'!$B:$B,{"licence","community"},'caseload data'!$C:$C,'community %'!$B$57)),"")</f>
        <v/>
      </c>
      <c r="L60" s="209" t="str">
        <f>IFERROR(SUM(SUMIFS('caseload data'!N:N,'caseload data'!$C:$C,'community %'!$B$57,'caseload data'!$D:$D,"PSO",'caseload data'!$B:$B,{"licence","community"}))/SUM(SUMIFS('caseload data'!N:N,'caseload data'!$B:$B,{"licence","community"},'caseload data'!$C:$C,'community %'!$B$57)),"")</f>
        <v/>
      </c>
      <c r="M60" s="209" t="str">
        <f>IFERROR(SUM(SUMIFS('caseload data'!O:O,'caseload data'!$C:$C,'community %'!$B$57,'caseload data'!$D:$D,"PSO",'caseload data'!$B:$B,{"licence","community"}))/SUM(SUMIFS('caseload data'!O:O,'caseload data'!$B:$B,{"licence","community"},'caseload data'!$C:$C,'community %'!$B$57)),"")</f>
        <v/>
      </c>
      <c r="N60" s="209" t="str">
        <f>IFERROR(SUM(SUMIFS('caseload data'!P:P,'caseload data'!$C:$C,'community %'!$B$57,'caseload data'!$D:$D,"PSO",'caseload data'!$B:$B,{"licence","community"}))/SUM(SUMIFS('caseload data'!P:P,'caseload data'!$B:$B,{"licence","community"},'caseload data'!$C:$C,'community %'!$B$57)),"")</f>
        <v/>
      </c>
      <c r="O60" s="209" t="str">
        <f>IFERROR(SUM(SUMIFS('caseload data'!Q:Q,'caseload data'!$C:$C,'community %'!$B$57,'caseload data'!$D:$D,"PSO",'caseload data'!$B:$B,{"licence","community"}))/SUM(SUMIFS('caseload data'!Q:Q,'caseload data'!$B:$B,{"licence","community"},'caseload data'!$C:$C,'community %'!$B$57)),"")</f>
        <v/>
      </c>
      <c r="P60" s="209" t="str">
        <f>IFERROR(SUM(SUMIFS('caseload data'!R:R,'caseload data'!$C:$C,'community %'!$B$57,'caseload data'!$D:$D,"PSO",'caseload data'!$B:$B,{"licence","community"}))/SUM(SUMIFS('caseload data'!R:R,'caseload data'!$B:$B,{"licence","community"},'caseload data'!$C:$C,'community %'!$B$57)),"")</f>
        <v/>
      </c>
      <c r="Q60" s="209" t="str">
        <f>IFERROR(SUM(SUMIFS('caseload data'!S:S,'caseload data'!$C:$C,'community %'!$B$57,'caseload data'!$D:$D,"PSO",'caseload data'!$B:$B,{"licence","community"}))/SUM(SUMIFS('caseload data'!S:S,'caseload data'!$B:$B,{"licence","community"},'caseload data'!$C:$C,'community %'!$B$57)),"")</f>
        <v/>
      </c>
      <c r="R60" s="209" t="str">
        <f>IFERROR(SUM(SUMIFS('caseload data'!T:T,'caseload data'!$C:$C,'community %'!$B$57,'caseload data'!$D:$D,"PSO",'caseload data'!$B:$B,{"licence","community"}))/SUM(SUMIFS('caseload data'!T:T,'caseload data'!$B:$B,{"licence","community"},'caseload data'!$C:$C,'community %'!$B$57)),"")</f>
        <v/>
      </c>
      <c r="S60" s="95"/>
      <c r="T60" s="130" t="s">
        <v>185</v>
      </c>
      <c r="U60" s="209" t="str">
        <f>IFERROR(SUM(SUMIFS('caseload data'!E:E,'caseload data'!$C:$C,'community %'!$T$57,'caseload data'!$D:$D,"PSO",'caseload data'!$B:$B,{"licence","community"}))/SUM(SUMIFS('caseload data'!E:E,'caseload data'!$B:$B,{"licence","community"},'caseload data'!$C:$C,'community %'!$T$57)),"")</f>
        <v/>
      </c>
      <c r="V60" s="209" t="str">
        <f>IFERROR(SUM(SUMIFS('caseload data'!F:F,'caseload data'!$C:$C,'community %'!$T$57,'caseload data'!$D:$D,"PSO",'caseload data'!$B:$B,{"licence","community"}))/SUM(SUMIFS('caseload data'!F:F,'caseload data'!$B:$B,{"licence","community"},'caseload data'!$C:$C,'community %'!$T$57)),"")</f>
        <v/>
      </c>
      <c r="W60" s="209" t="str">
        <f>IFERROR(SUM(SUMIFS('caseload data'!G:G,'caseload data'!$C:$C,'community %'!$T$57,'caseload data'!$D:$D,"PSO",'caseload data'!$B:$B,{"licence","community"}))/SUM(SUMIFS('caseload data'!G:G,'caseload data'!$B:$B,{"licence","community"},'caseload data'!$C:$C,'community %'!$T$57)),"")</f>
        <v/>
      </c>
      <c r="X60" s="209" t="str">
        <f>IFERROR(SUM(SUMIFS('caseload data'!H:H,'caseload data'!$C:$C,'community %'!$T$57,'caseload data'!$D:$D,"PSO",'caseload data'!$B:$B,{"licence","community"}))/SUM(SUMIFS('caseload data'!H:H,'caseload data'!$B:$B,{"licence","community"},'caseload data'!$C:$C,'community %'!$T$57)),"")</f>
        <v/>
      </c>
      <c r="Y60" s="209" t="str">
        <f>IFERROR(SUM(SUMIFS('caseload data'!I:I,'caseload data'!$C:$C,'community %'!$T$57,'caseload data'!$D:$D,"PSO",'caseload data'!$B:$B,{"licence","community"}))/SUM(SUMIFS('caseload data'!I:I,'caseload data'!$B:$B,{"licence","community"},'caseload data'!$C:$C,'community %'!$T$57)),"")</f>
        <v/>
      </c>
      <c r="Z60" s="209" t="str">
        <f>IFERROR(SUM(SUMIFS('caseload data'!J:J,'caseload data'!$C:$C,'community %'!$T$57,'caseload data'!$D:$D,"PSO",'caseload data'!$B:$B,{"licence","community"}))/SUM(SUMIFS('caseload data'!J:J,'caseload data'!$B:$B,{"licence","community"},'caseload data'!$C:$C,'community %'!$T$57)),"")</f>
        <v/>
      </c>
      <c r="AA60" s="209" t="str">
        <f>IFERROR(SUM(SUMIFS('caseload data'!K:K,'caseload data'!$C:$C,'community %'!$T$57,'caseload data'!$D:$D,"PSO",'caseload data'!$B:$B,{"licence","community"}))/SUM(SUMIFS('caseload data'!K:K,'caseload data'!$B:$B,{"licence","community"},'caseload data'!$C:$C,'community %'!$T$57)),"")</f>
        <v/>
      </c>
      <c r="AB60" s="209" t="str">
        <f>IFERROR(SUM(SUMIFS('caseload data'!L:L,'caseload data'!$C:$C,'community %'!$T$57,'caseload data'!$D:$D,"PSO",'caseload data'!$B:$B,{"licence","community"}))/SUM(SUMIFS('caseload data'!L:L,'caseload data'!$B:$B,{"licence","community"},'caseload data'!$C:$C,'community %'!$T$57)),"")</f>
        <v/>
      </c>
      <c r="AC60" s="209" t="str">
        <f>IFERROR(SUM(SUMIFS('caseload data'!M:M,'caseload data'!$C:$C,'community %'!$T$57,'caseload data'!$D:$D,"PSO",'caseload data'!$B:$B,{"licence","community"}))/SUM(SUMIFS('caseload data'!M:M,'caseload data'!$B:$B,{"licence","community"},'caseload data'!$C:$C,'community %'!$T$57)),"")</f>
        <v/>
      </c>
      <c r="AD60" s="209" t="str">
        <f>IFERROR(SUM(SUMIFS('caseload data'!N:N,'caseload data'!$C:$C,'community %'!$T$57,'caseload data'!$D:$D,"PSO",'caseload data'!$B:$B,{"licence","community"}))/SUM(SUMIFS('caseload data'!N:N,'caseload data'!$B:$B,{"licence","community"},'caseload data'!$C:$C,'community %'!$T$57)),"")</f>
        <v/>
      </c>
      <c r="AE60" s="209" t="str">
        <f>IFERROR(SUM(SUMIFS('caseload data'!O:O,'caseload data'!$C:$C,'community %'!$T$57,'caseload data'!$D:$D,"PSO",'caseload data'!$B:$B,{"licence","community"}))/SUM(SUMIFS('caseload data'!O:O,'caseload data'!$B:$B,{"licence","community"},'caseload data'!$C:$C,'community %'!$T$57)),"")</f>
        <v/>
      </c>
      <c r="AF60" s="209" t="str">
        <f>IFERROR(SUM(SUMIFS('caseload data'!P:P,'caseload data'!$C:$C,'community %'!$T$57,'caseload data'!$D:$D,"PSO",'caseload data'!$B:$B,{"licence","community"}))/SUM(SUMIFS('caseload data'!P:P,'caseload data'!$B:$B,{"licence","community"},'caseload data'!$C:$C,'community %'!$T$57)),"")</f>
        <v/>
      </c>
      <c r="AG60" s="209" t="str">
        <f>IFERROR(SUM(SUMIFS('caseload data'!Q:Q,'caseload data'!$C:$C,'community %'!$T$57,'caseload data'!$D:$D,"PSO",'caseload data'!$B:$B,{"licence","community"}))/SUM(SUMIFS('caseload data'!Q:Q,'caseload data'!$B:$B,{"licence","community"},'caseload data'!$C:$C,'community %'!$T$57)),"")</f>
        <v/>
      </c>
      <c r="AH60" s="209" t="str">
        <f>IFERROR(SUM(SUMIFS('caseload data'!R:R,'caseload data'!$C:$C,'community %'!$T$57,'caseload data'!$D:$D,"PSO",'caseload data'!$B:$B,{"licence","community"}))/SUM(SUMIFS('caseload data'!R:R,'caseload data'!$B:$B,{"licence","community"},'caseload data'!$C:$C,'community %'!$T$57)),"")</f>
        <v/>
      </c>
      <c r="AI60" s="209" t="str">
        <f>IFERROR(SUM(SUMIFS('caseload data'!S:S,'caseload data'!$C:$C,'community %'!$T$57,'caseload data'!$D:$D,"PSO",'caseload data'!$B:$B,{"licence","community"}))/SUM(SUMIFS('caseload data'!S:S,'caseload data'!$B:$B,{"licence","community"},'caseload data'!$C:$C,'community %'!$T$57)),"")</f>
        <v/>
      </c>
      <c r="AJ60" s="209" t="str">
        <f>IFERROR(SUM(SUMIFS('caseload data'!T:T,'caseload data'!$C:$C,'community %'!$T$57,'caseload data'!$D:$D,"PSO",'caseload data'!$B:$B,{"licence","community"}))/SUM(SUMIFS('caseload data'!T:T,'caseload data'!$B:$B,{"licence","community"},'caseload data'!$C:$C,'community %'!$T$57)),"")</f>
        <v/>
      </c>
    </row>
    <row r="61" spans="2:36" x14ac:dyDescent="0.15">
      <c r="B61" s="130" t="s">
        <v>186</v>
      </c>
      <c r="C61" s="209" t="str">
        <f>IFERROR(SUM(SUMIFS('caseload data'!E:E,'caseload data'!$C:$C,'community %'!$B$57,'caseload data'!$D:$D,"TPO",'caseload data'!$B:$B,{"licence","community"}))/SUM(SUMIFS('caseload data'!E:E,'caseload data'!$B:$B,{"licence","community"},'caseload data'!$C:$C,'community %'!$B$57)),"")</f>
        <v/>
      </c>
      <c r="D61" s="209" t="str">
        <f>IFERROR(SUM(SUMIFS('caseload data'!F:F,'caseload data'!$C:$C,'community %'!$B$57,'caseload data'!$D:$D,"TPO",'caseload data'!$B:$B,{"licence","community"}))/SUM(SUMIFS('caseload data'!F:F,'caseload data'!$B:$B,{"licence","community"},'caseload data'!$C:$C,'community %'!$B$57)),"")</f>
        <v/>
      </c>
      <c r="E61" s="209" t="str">
        <f>IFERROR(SUM(SUMIFS('caseload data'!G:G,'caseload data'!$C:$C,'community %'!$B$57,'caseload data'!$D:$D,"TPO",'caseload data'!$B:$B,{"licence","community"}))/SUM(SUMIFS('caseload data'!G:G,'caseload data'!$B:$B,{"licence","community"},'caseload data'!$C:$C,'community %'!$B$57)),"")</f>
        <v/>
      </c>
      <c r="F61" s="209" t="str">
        <f>IFERROR(SUM(SUMIFS('caseload data'!H:H,'caseload data'!$C:$C,'community %'!$B$57,'caseload data'!$D:$D,"TPO",'caseload data'!$B:$B,{"licence","community"}))/SUM(SUMIFS('caseload data'!H:H,'caseload data'!$B:$B,{"licence","community"},'caseload data'!$C:$C,'community %'!$B$57)),"")</f>
        <v/>
      </c>
      <c r="G61" s="209" t="str">
        <f>IFERROR(SUM(SUMIFS('caseload data'!I:I,'caseload data'!$C:$C,'community %'!$B$57,'caseload data'!$D:$D,"TPO",'caseload data'!$B:$B,{"licence","community"}))/SUM(SUMIFS('caseload data'!I:I,'caseload data'!$B:$B,{"licence","community"},'caseload data'!$C:$C,'community %'!$B$57)),"")</f>
        <v/>
      </c>
      <c r="H61" s="209" t="str">
        <f>IFERROR(SUM(SUMIFS('caseload data'!J:J,'caseload data'!$C:$C,'community %'!$B$57,'caseload data'!$D:$D,"TPO",'caseload data'!$B:$B,{"licence","community"}))/SUM(SUMIFS('caseload data'!J:J,'caseload data'!$B:$B,{"licence","community"},'caseload data'!$C:$C,'community %'!$B$57)),"")</f>
        <v/>
      </c>
      <c r="I61" s="209" t="str">
        <f>IFERROR(SUM(SUMIFS('caseload data'!K:K,'caseload data'!$C:$C,'community %'!$B$57,'caseload data'!$D:$D,"TPO",'caseload data'!$B:$B,{"licence","community"}))/SUM(SUMIFS('caseload data'!K:K,'caseload data'!$B:$B,{"licence","community"},'caseload data'!$C:$C,'community %'!$B$57)),"")</f>
        <v/>
      </c>
      <c r="J61" s="209" t="str">
        <f>IFERROR(SUM(SUMIFS('caseload data'!L:L,'caseload data'!$C:$C,'community %'!$B$57,'caseload data'!$D:$D,"TPO",'caseload data'!$B:$B,{"licence","community"}))/SUM(SUMIFS('caseload data'!L:L,'caseload data'!$B:$B,{"licence","community"},'caseload data'!$C:$C,'community %'!$B$57)),"")</f>
        <v/>
      </c>
      <c r="K61" s="209" t="str">
        <f>IFERROR(SUM(SUMIFS('caseload data'!M:M,'caseload data'!$C:$C,'community %'!$B$57,'caseload data'!$D:$D,"TPO",'caseload data'!$B:$B,{"licence","community"}))/SUM(SUMIFS('caseload data'!M:M,'caseload data'!$B:$B,{"licence","community"},'caseload data'!$C:$C,'community %'!$B$57)),"")</f>
        <v/>
      </c>
      <c r="L61" s="209" t="str">
        <f>IFERROR(SUM(SUMIFS('caseload data'!N:N,'caseload data'!$C:$C,'community %'!$B$57,'caseload data'!$D:$D,"TPO",'caseload data'!$B:$B,{"licence","community"}))/SUM(SUMIFS('caseload data'!N:N,'caseload data'!$B:$B,{"licence","community"},'caseload data'!$C:$C,'community %'!$B$57)),"")</f>
        <v/>
      </c>
      <c r="M61" s="209" t="str">
        <f>IFERROR(SUM(SUMIFS('caseload data'!O:O,'caseload data'!$C:$C,'community %'!$B$57,'caseload data'!$D:$D,"TPO",'caseload data'!$B:$B,{"licence","community"}))/SUM(SUMIFS('caseload data'!O:O,'caseload data'!$B:$B,{"licence","community"},'caseload data'!$C:$C,'community %'!$B$57)),"")</f>
        <v/>
      </c>
      <c r="N61" s="209" t="str">
        <f>IFERROR(SUM(SUMIFS('caseload data'!P:P,'caseload data'!$C:$C,'community %'!$B$57,'caseload data'!$D:$D,"TPO",'caseload data'!$B:$B,{"licence","community"}))/SUM(SUMIFS('caseload data'!P:P,'caseload data'!$B:$B,{"licence","community"},'caseload data'!$C:$C,'community %'!$B$57)),"")</f>
        <v/>
      </c>
      <c r="O61" s="209" t="str">
        <f>IFERROR(SUM(SUMIFS('caseload data'!Q:Q,'caseload data'!$C:$C,'community %'!$B$57,'caseload data'!$D:$D,"TPO",'caseload data'!$B:$B,{"licence","community"}))/SUM(SUMIFS('caseload data'!Q:Q,'caseload data'!$B:$B,{"licence","community"},'caseload data'!$C:$C,'community %'!$B$57)),"")</f>
        <v/>
      </c>
      <c r="P61" s="209" t="str">
        <f>IFERROR(SUM(SUMIFS('caseload data'!R:R,'caseload data'!$C:$C,'community %'!$B$57,'caseload data'!$D:$D,"TPO",'caseload data'!$B:$B,{"licence","community"}))/SUM(SUMIFS('caseload data'!R:R,'caseload data'!$B:$B,{"licence","community"},'caseload data'!$C:$C,'community %'!$B$57)),"")</f>
        <v/>
      </c>
      <c r="Q61" s="209" t="str">
        <f>IFERROR(SUM(SUMIFS('caseload data'!S:S,'caseload data'!$C:$C,'community %'!$B$57,'caseload data'!$D:$D,"TPO",'caseload data'!$B:$B,{"licence","community"}))/SUM(SUMIFS('caseload data'!S:S,'caseload data'!$B:$B,{"licence","community"},'caseload data'!$C:$C,'community %'!$B$57)),"")</f>
        <v/>
      </c>
      <c r="R61" s="209" t="str">
        <f>IFERROR(SUM(SUMIFS('caseload data'!T:T,'caseload data'!$C:$C,'community %'!$B$57,'caseload data'!$D:$D,"TPO",'caseload data'!$B:$B,{"licence","community"}))/SUM(SUMIFS('caseload data'!T:T,'caseload data'!$B:$B,{"licence","community"},'caseload data'!$C:$C,'community %'!$B$57)),"")</f>
        <v/>
      </c>
      <c r="S61" s="95"/>
      <c r="T61" s="130" t="s">
        <v>186</v>
      </c>
      <c r="U61" s="209" t="str">
        <f>IFERROR(SUM(SUMIFS('caseload data'!E:E,'caseload data'!$C:$C,'community %'!$T$57,'caseload data'!$D:$D,"TPO",'caseload data'!$B:$B,{"licence","community"}))/SUM(SUMIFS('caseload data'!E:E,'caseload data'!$B:$B,{"licence","community"},'caseload data'!$C:$C,'community %'!$T$57)),"")</f>
        <v/>
      </c>
      <c r="V61" s="209" t="str">
        <f>IFERROR(SUM(SUMIFS('caseload data'!F:F,'caseload data'!$C:$C,'community %'!$T$57,'caseload data'!$D:$D,"TPO",'caseload data'!$B:$B,{"licence","community"}))/SUM(SUMIFS('caseload data'!F:F,'caseload data'!$B:$B,{"licence","community"},'caseload data'!$C:$C,'community %'!$T$57)),"")</f>
        <v/>
      </c>
      <c r="W61" s="209" t="str">
        <f>IFERROR(SUM(SUMIFS('caseload data'!G:G,'caseload data'!$C:$C,'community %'!$T$57,'caseload data'!$D:$D,"TPO",'caseload data'!$B:$B,{"licence","community"}))/SUM(SUMIFS('caseload data'!G:G,'caseload data'!$B:$B,{"licence","community"},'caseload data'!$C:$C,'community %'!$T$57)),"")</f>
        <v/>
      </c>
      <c r="X61" s="209" t="str">
        <f>IFERROR(SUM(SUMIFS('caseload data'!H:H,'caseload data'!$C:$C,'community %'!$T$57,'caseload data'!$D:$D,"TPO",'caseload data'!$B:$B,{"licence","community"}))/SUM(SUMIFS('caseload data'!H:H,'caseload data'!$B:$B,{"licence","community"},'caseload data'!$C:$C,'community %'!$T$57)),"")</f>
        <v/>
      </c>
      <c r="Y61" s="209" t="str">
        <f>IFERROR(SUM(SUMIFS('caseload data'!I:I,'caseload data'!$C:$C,'community %'!$T$57,'caseload data'!$D:$D,"TPO",'caseload data'!$B:$B,{"licence","community"}))/SUM(SUMIFS('caseload data'!I:I,'caseload data'!$B:$B,{"licence","community"},'caseload data'!$C:$C,'community %'!$T$57)),"")</f>
        <v/>
      </c>
      <c r="Z61" s="209" t="str">
        <f>IFERROR(SUM(SUMIFS('caseload data'!J:J,'caseload data'!$C:$C,'community %'!$T$57,'caseload data'!$D:$D,"TPO",'caseload data'!$B:$B,{"licence","community"}))/SUM(SUMIFS('caseload data'!J:J,'caseload data'!$B:$B,{"licence","community"},'caseload data'!$C:$C,'community %'!$T$57)),"")</f>
        <v/>
      </c>
      <c r="AA61" s="209" t="str">
        <f>IFERROR(SUM(SUMIFS('caseload data'!K:K,'caseload data'!$C:$C,'community %'!$T$57,'caseload data'!$D:$D,"TPO",'caseload data'!$B:$B,{"licence","community"}))/SUM(SUMIFS('caseload data'!K:K,'caseload data'!$B:$B,{"licence","community"},'caseload data'!$C:$C,'community %'!$T$57)),"")</f>
        <v/>
      </c>
      <c r="AB61" s="209" t="str">
        <f>IFERROR(SUM(SUMIFS('caseload data'!L:L,'caseload data'!$C:$C,'community %'!$T$57,'caseload data'!$D:$D,"TPO",'caseload data'!$B:$B,{"licence","community"}))/SUM(SUMIFS('caseload data'!L:L,'caseload data'!$B:$B,{"licence","community"},'caseload data'!$C:$C,'community %'!$T$57)),"")</f>
        <v/>
      </c>
      <c r="AC61" s="209" t="str">
        <f>IFERROR(SUM(SUMIFS('caseload data'!M:M,'caseload data'!$C:$C,'community %'!$T$57,'caseload data'!$D:$D,"TPO",'caseload data'!$B:$B,{"licence","community"}))/SUM(SUMIFS('caseload data'!M:M,'caseload data'!$B:$B,{"licence","community"},'caseload data'!$C:$C,'community %'!$T$57)),"")</f>
        <v/>
      </c>
      <c r="AD61" s="209" t="str">
        <f>IFERROR(SUM(SUMIFS('caseload data'!N:N,'caseload data'!$C:$C,'community %'!$T$57,'caseload data'!$D:$D,"TPO",'caseload data'!$B:$B,{"licence","community"}))/SUM(SUMIFS('caseload data'!N:N,'caseload data'!$B:$B,{"licence","community"},'caseload data'!$C:$C,'community %'!$T$57)),"")</f>
        <v/>
      </c>
      <c r="AE61" s="209" t="str">
        <f>IFERROR(SUM(SUMIFS('caseload data'!O:O,'caseload data'!$C:$C,'community %'!$T$57,'caseload data'!$D:$D,"TPO",'caseload data'!$B:$B,{"licence","community"}))/SUM(SUMIFS('caseload data'!O:O,'caseload data'!$B:$B,{"licence","community"},'caseload data'!$C:$C,'community %'!$T$57)),"")</f>
        <v/>
      </c>
      <c r="AF61" s="209" t="str">
        <f>IFERROR(SUM(SUMIFS('caseload data'!P:P,'caseload data'!$C:$C,'community %'!$T$57,'caseload data'!$D:$D,"TPO",'caseload data'!$B:$B,{"licence","community"}))/SUM(SUMIFS('caseload data'!P:P,'caseload data'!$B:$B,{"licence","community"},'caseload data'!$C:$C,'community %'!$T$57)),"")</f>
        <v/>
      </c>
      <c r="AG61" s="209" t="str">
        <f>IFERROR(SUM(SUMIFS('caseload data'!Q:Q,'caseload data'!$C:$C,'community %'!$T$57,'caseload data'!$D:$D,"TPO",'caseload data'!$B:$B,{"licence","community"}))/SUM(SUMIFS('caseload data'!Q:Q,'caseload data'!$B:$B,{"licence","community"},'caseload data'!$C:$C,'community %'!$T$57)),"")</f>
        <v/>
      </c>
      <c r="AH61" s="209" t="str">
        <f>IFERROR(SUM(SUMIFS('caseload data'!R:R,'caseload data'!$C:$C,'community %'!$T$57,'caseload data'!$D:$D,"TPO",'caseload data'!$B:$B,{"licence","community"}))/SUM(SUMIFS('caseload data'!R:R,'caseload data'!$B:$B,{"licence","community"},'caseload data'!$C:$C,'community %'!$T$57)),"")</f>
        <v/>
      </c>
      <c r="AI61" s="209" t="str">
        <f>IFERROR(SUM(SUMIFS('caseload data'!S:S,'caseload data'!$C:$C,'community %'!$T$57,'caseload data'!$D:$D,"TPO",'caseload data'!$B:$B,{"licence","community"}))/SUM(SUMIFS('caseload data'!S:S,'caseload data'!$B:$B,{"licence","community"},'caseload data'!$C:$C,'community %'!$T$57)),"")</f>
        <v/>
      </c>
      <c r="AJ61" s="209" t="str">
        <f>IFERROR(SUM(SUMIFS('caseload data'!T:T,'caseload data'!$C:$C,'community %'!$T$57,'caseload data'!$D:$D,"TPO",'caseload data'!$B:$B,{"licence","community"}))/SUM(SUMIFS('caseload data'!T:T,'caseload data'!$B:$B,{"licence","community"},'caseload data'!$C:$C,'community %'!$T$57)),"")</f>
        <v/>
      </c>
    </row>
    <row r="62" spans="2:36" x14ac:dyDescent="0.15">
      <c r="B62" s="131" t="s">
        <v>187</v>
      </c>
      <c r="C62" s="209" t="str">
        <f>IFERROR(SUM(SUMIFS('caseload data'!E:E,'caseload data'!$C:$C,'community %'!$B$57,'caseload data'!$D:$D,"SPO",'caseload data'!$B:$B,{"licence","community"}))/SUM(SUMIFS('caseload data'!E:E,'caseload data'!$B:$B,{"licence","community"},'caseload data'!$C:$C,'community %'!$B$57)),"")</f>
        <v/>
      </c>
      <c r="D62" s="209" t="str">
        <f>IFERROR(SUM(SUMIFS('caseload data'!F:F,'caseload data'!$C:$C,'community %'!$B$57,'caseload data'!$D:$D,"SPO",'caseload data'!$B:$B,{"licence","community"}))/SUM(SUMIFS('caseload data'!F:F,'caseload data'!$B:$B,{"licence","community"},'caseload data'!$C:$C,'community %'!$B$57)),"")</f>
        <v/>
      </c>
      <c r="E62" s="209" t="str">
        <f>IFERROR(SUM(SUMIFS('caseload data'!G:G,'caseload data'!$C:$C,'community %'!$B$57,'caseload data'!$D:$D,"SPO",'caseload data'!$B:$B,{"licence","community"}))/SUM(SUMIFS('caseload data'!G:G,'caseload data'!$B:$B,{"licence","community"},'caseload data'!$C:$C,'community %'!$B$57)),"")</f>
        <v/>
      </c>
      <c r="F62" s="209" t="str">
        <f>IFERROR(SUM(SUMIFS('caseload data'!H:H,'caseload data'!$C:$C,'community %'!$B$57,'caseload data'!$D:$D,"SPO",'caseload data'!$B:$B,{"licence","community"}))/SUM(SUMIFS('caseload data'!H:H,'caseload data'!$B:$B,{"licence","community"},'caseload data'!$C:$C,'community %'!$B$57)),"")</f>
        <v/>
      </c>
      <c r="G62" s="209" t="str">
        <f>IFERROR(SUM(SUMIFS('caseload data'!I:I,'caseload data'!$C:$C,'community %'!$B$57,'caseload data'!$D:$D,"SPO",'caseload data'!$B:$B,{"licence","community"}))/SUM(SUMIFS('caseload data'!I:I,'caseload data'!$B:$B,{"licence","community"},'caseload data'!$C:$C,'community %'!$B$57)),"")</f>
        <v/>
      </c>
      <c r="H62" s="209" t="str">
        <f>IFERROR(SUM(SUMIFS('caseload data'!J:J,'caseload data'!$C:$C,'community %'!$B$57,'caseload data'!$D:$D,"SPO",'caseload data'!$B:$B,{"licence","community"}))/SUM(SUMIFS('caseload data'!J:J,'caseload data'!$B:$B,{"licence","community"},'caseload data'!$C:$C,'community %'!$B$57)),"")</f>
        <v/>
      </c>
      <c r="I62" s="209" t="str">
        <f>IFERROR(SUM(SUMIFS('caseload data'!K:K,'caseload data'!$C:$C,'community %'!$B$57,'caseload data'!$D:$D,"SPO",'caseload data'!$B:$B,{"licence","community"}))/SUM(SUMIFS('caseload data'!K:K,'caseload data'!$B:$B,{"licence","community"},'caseload data'!$C:$C,'community %'!$B$57)),"")</f>
        <v/>
      </c>
      <c r="J62" s="209" t="str">
        <f>IFERROR(SUM(SUMIFS('caseload data'!L:L,'caseload data'!$C:$C,'community %'!$B$57,'caseload data'!$D:$D,"SPO",'caseload data'!$B:$B,{"licence","community"}))/SUM(SUMIFS('caseload data'!L:L,'caseload data'!$B:$B,{"licence","community"},'caseload data'!$C:$C,'community %'!$B$57)),"")</f>
        <v/>
      </c>
      <c r="K62" s="209" t="str">
        <f>IFERROR(SUM(SUMIFS('caseload data'!M:M,'caseload data'!$C:$C,'community %'!$B$57,'caseload data'!$D:$D,"SPO",'caseload data'!$B:$B,{"licence","community"}))/SUM(SUMIFS('caseload data'!M:M,'caseload data'!$B:$B,{"licence","community"},'caseload data'!$C:$C,'community %'!$B$57)),"")</f>
        <v/>
      </c>
      <c r="L62" s="209" t="str">
        <f>IFERROR(SUM(SUMIFS('caseload data'!N:N,'caseload data'!$C:$C,'community %'!$B$57,'caseload data'!$D:$D,"SPO",'caseload data'!$B:$B,{"licence","community"}))/SUM(SUMIFS('caseload data'!N:N,'caseload data'!$B:$B,{"licence","community"},'caseload data'!$C:$C,'community %'!$B$57)),"")</f>
        <v/>
      </c>
      <c r="M62" s="209" t="str">
        <f>IFERROR(SUM(SUMIFS('caseload data'!O:O,'caseload data'!$C:$C,'community %'!$B$57,'caseload data'!$D:$D,"SPO",'caseload data'!$B:$B,{"licence","community"}))/SUM(SUMIFS('caseload data'!O:O,'caseload data'!$B:$B,{"licence","community"},'caseload data'!$C:$C,'community %'!$B$57)),"")</f>
        <v/>
      </c>
      <c r="N62" s="209" t="str">
        <f>IFERROR(SUM(SUMIFS('caseload data'!P:P,'caseload data'!$C:$C,'community %'!$B$57,'caseload data'!$D:$D,"SPO",'caseload data'!$B:$B,{"licence","community"}))/SUM(SUMIFS('caseload data'!P:P,'caseload data'!$B:$B,{"licence","community"},'caseload data'!$C:$C,'community %'!$B$57)),"")</f>
        <v/>
      </c>
      <c r="O62" s="209" t="str">
        <f>IFERROR(SUM(SUMIFS('caseload data'!Q:Q,'caseload data'!$C:$C,'community %'!$B$57,'caseload data'!$D:$D,"SPO",'caseload data'!$B:$B,{"licence","community"}))/SUM(SUMIFS('caseload data'!Q:Q,'caseload data'!$B:$B,{"licence","community"},'caseload data'!$C:$C,'community %'!$B$57)),"")</f>
        <v/>
      </c>
      <c r="P62" s="209" t="str">
        <f>IFERROR(SUM(SUMIFS('caseload data'!R:R,'caseload data'!$C:$C,'community %'!$B$57,'caseload data'!$D:$D,"SPO",'caseload data'!$B:$B,{"licence","community"}))/SUM(SUMIFS('caseload data'!R:R,'caseload data'!$B:$B,{"licence","community"},'caseload data'!$C:$C,'community %'!$B$57)),"")</f>
        <v/>
      </c>
      <c r="Q62" s="209" t="str">
        <f>IFERROR(SUM(SUMIFS('caseload data'!S:S,'caseload data'!$C:$C,'community %'!$B$57,'caseload data'!$D:$D,"SPO",'caseload data'!$B:$B,{"licence","community"}))/SUM(SUMIFS('caseload data'!S:S,'caseload data'!$B:$B,{"licence","community"},'caseload data'!$C:$C,'community %'!$B$57)),"")</f>
        <v/>
      </c>
      <c r="R62" s="209" t="str">
        <f>IFERROR(SUM(SUMIFS('caseload data'!T:T,'caseload data'!$C:$C,'community %'!$B$57,'caseload data'!$D:$D,"SPO",'caseload data'!$B:$B,{"licence","community"}))/SUM(SUMIFS('caseload data'!T:T,'caseload data'!$B:$B,{"licence","community"},'caseload data'!$C:$C,'community %'!$B$57)),"")</f>
        <v/>
      </c>
      <c r="S62" s="95"/>
      <c r="T62" s="131" t="s">
        <v>187</v>
      </c>
      <c r="U62" s="209" t="str">
        <f>IFERROR(SUM(SUMIFS('caseload data'!E:E,'caseload data'!$C:$C,'community %'!$T$57,'caseload data'!$D:$D,"SPO",'caseload data'!$B:$B,{"licence","community"}))/SUM(SUMIFS('caseload data'!E:E,'caseload data'!$B:$B,{"licence","community"},'caseload data'!$C:$C,'community %'!$T$57)),"")</f>
        <v/>
      </c>
      <c r="V62" s="209" t="str">
        <f>IFERROR(SUM(SUMIFS('caseload data'!F:F,'caseload data'!$C:$C,'community %'!$T$57,'caseload data'!$D:$D,"SPO",'caseload data'!$B:$B,{"licence","community"}))/SUM(SUMIFS('caseload data'!F:F,'caseload data'!$B:$B,{"licence","community"},'caseload data'!$C:$C,'community %'!$T$57)),"")</f>
        <v/>
      </c>
      <c r="W62" s="209" t="str">
        <f>IFERROR(SUM(SUMIFS('caseload data'!G:G,'caseload data'!$C:$C,'community %'!$T$57,'caseload data'!$D:$D,"SPO",'caseload data'!$B:$B,{"licence","community"}))/SUM(SUMIFS('caseload data'!G:G,'caseload data'!$B:$B,{"licence","community"},'caseload data'!$C:$C,'community %'!$T$57)),"")</f>
        <v/>
      </c>
      <c r="X62" s="209" t="str">
        <f>IFERROR(SUM(SUMIFS('caseload data'!H:H,'caseload data'!$C:$C,'community %'!$T$57,'caseload data'!$D:$D,"SPO",'caseload data'!$B:$B,{"licence","community"}))/SUM(SUMIFS('caseload data'!H:H,'caseload data'!$B:$B,{"licence","community"},'caseload data'!$C:$C,'community %'!$T$57)),"")</f>
        <v/>
      </c>
      <c r="Y62" s="209" t="str">
        <f>IFERROR(SUM(SUMIFS('caseload data'!I:I,'caseload data'!$C:$C,'community %'!$T$57,'caseload data'!$D:$D,"SPO",'caseload data'!$B:$B,{"licence","community"}))/SUM(SUMIFS('caseload data'!I:I,'caseload data'!$B:$B,{"licence","community"},'caseload data'!$C:$C,'community %'!$T$57)),"")</f>
        <v/>
      </c>
      <c r="Z62" s="209" t="str">
        <f>IFERROR(SUM(SUMIFS('caseload data'!J:J,'caseload data'!$C:$C,'community %'!$T$57,'caseload data'!$D:$D,"SPO",'caseload data'!$B:$B,{"licence","community"}))/SUM(SUMIFS('caseload data'!J:J,'caseload data'!$B:$B,{"licence","community"},'caseload data'!$C:$C,'community %'!$T$57)),"")</f>
        <v/>
      </c>
      <c r="AA62" s="209" t="str">
        <f>IFERROR(SUM(SUMIFS('caseload data'!K:K,'caseload data'!$C:$C,'community %'!$T$57,'caseload data'!$D:$D,"SPO",'caseload data'!$B:$B,{"licence","community"}))/SUM(SUMIFS('caseload data'!K:K,'caseload data'!$B:$B,{"licence","community"},'caseload data'!$C:$C,'community %'!$T$57)),"")</f>
        <v/>
      </c>
      <c r="AB62" s="209" t="str">
        <f>IFERROR(SUM(SUMIFS('caseload data'!L:L,'caseload data'!$C:$C,'community %'!$T$57,'caseload data'!$D:$D,"SPO",'caseload data'!$B:$B,{"licence","community"}))/SUM(SUMIFS('caseload data'!L:L,'caseload data'!$B:$B,{"licence","community"},'caseload data'!$C:$C,'community %'!$T$57)),"")</f>
        <v/>
      </c>
      <c r="AC62" s="209" t="str">
        <f>IFERROR(SUM(SUMIFS('caseload data'!M:M,'caseload data'!$C:$C,'community %'!$T$57,'caseload data'!$D:$D,"SPO",'caseload data'!$B:$B,{"licence","community"}))/SUM(SUMIFS('caseload data'!M:M,'caseload data'!$B:$B,{"licence","community"},'caseload data'!$C:$C,'community %'!$T$57)),"")</f>
        <v/>
      </c>
      <c r="AD62" s="209" t="str">
        <f>IFERROR(SUM(SUMIFS('caseload data'!N:N,'caseload data'!$C:$C,'community %'!$T$57,'caseload data'!$D:$D,"SPO",'caseload data'!$B:$B,{"licence","community"}))/SUM(SUMIFS('caseload data'!N:N,'caseload data'!$B:$B,{"licence","community"},'caseload data'!$C:$C,'community %'!$T$57)),"")</f>
        <v/>
      </c>
      <c r="AE62" s="209" t="str">
        <f>IFERROR(SUM(SUMIFS('caseload data'!O:O,'caseload data'!$C:$C,'community %'!$T$57,'caseload data'!$D:$D,"SPO",'caseload data'!$B:$B,{"licence","community"}))/SUM(SUMIFS('caseload data'!O:O,'caseload data'!$B:$B,{"licence","community"},'caseload data'!$C:$C,'community %'!$T$57)),"")</f>
        <v/>
      </c>
      <c r="AF62" s="209" t="str">
        <f>IFERROR(SUM(SUMIFS('caseload data'!P:P,'caseload data'!$C:$C,'community %'!$T$57,'caseload data'!$D:$D,"SPO",'caseload data'!$B:$B,{"licence","community"}))/SUM(SUMIFS('caseload data'!P:P,'caseload data'!$B:$B,{"licence","community"},'caseload data'!$C:$C,'community %'!$T$57)),"")</f>
        <v/>
      </c>
      <c r="AG62" s="209" t="str">
        <f>IFERROR(SUM(SUMIFS('caseload data'!Q:Q,'caseload data'!$C:$C,'community %'!$T$57,'caseload data'!$D:$D,"SPO",'caseload data'!$B:$B,{"licence","community"}))/SUM(SUMIFS('caseload data'!Q:Q,'caseload data'!$B:$B,{"licence","community"},'caseload data'!$C:$C,'community %'!$T$57)),"")</f>
        <v/>
      </c>
      <c r="AH62" s="209" t="str">
        <f>IFERROR(SUM(SUMIFS('caseload data'!R:R,'caseload data'!$C:$C,'community %'!$T$57,'caseload data'!$D:$D,"SPO",'caseload data'!$B:$B,{"licence","community"}))/SUM(SUMIFS('caseload data'!R:R,'caseload data'!$B:$B,{"licence","community"},'caseload data'!$C:$C,'community %'!$T$57)),"")</f>
        <v/>
      </c>
      <c r="AI62" s="209" t="str">
        <f>IFERROR(SUM(SUMIFS('caseload data'!S:S,'caseload data'!$C:$C,'community %'!$T$57,'caseload data'!$D:$D,"SPO",'caseload data'!$B:$B,{"licence","community"}))/SUM(SUMIFS('caseload data'!S:S,'caseload data'!$B:$B,{"licence","community"},'caseload data'!$C:$C,'community %'!$T$57)),"")</f>
        <v/>
      </c>
      <c r="AJ62" s="209" t="str">
        <f>IFERROR(SUM(SUMIFS('caseload data'!T:T,'caseload data'!$C:$C,'community %'!$T$57,'caseload data'!$D:$D,"SPO",'caseload data'!$B:$B,{"licence","community"}))/SUM(SUMIFS('caseload data'!T:T,'caseload data'!$B:$B,{"licence","community"},'caseload data'!$C:$C,'community %'!$T$57)),"")</f>
        <v/>
      </c>
    </row>
    <row r="64" spans="2:36" x14ac:dyDescent="0.15">
      <c r="B64" s="182" t="str">
        <f>HLOOKUP($B$5,Region_Table,18,0)</f>
        <v>Kingston, Richmond and Hounslow</v>
      </c>
      <c r="C64" s="359" t="s">
        <v>370</v>
      </c>
      <c r="D64" s="365"/>
      <c r="E64" s="365"/>
      <c r="F64" s="365"/>
      <c r="G64" s="365"/>
      <c r="H64" s="365"/>
      <c r="I64" s="365"/>
      <c r="J64" s="365"/>
      <c r="K64" s="365"/>
      <c r="L64" s="365"/>
      <c r="M64" s="368"/>
      <c r="N64" s="368"/>
      <c r="O64" s="369"/>
      <c r="P64" s="362" cm="1">
        <f t="array" ref="P64">SUM(SUMIFS('caseload data'!V:V,'caseload data'!B:B,{"licence","community"},'caseload data'!$C:$C,B64))</f>
        <v>0</v>
      </c>
      <c r="Q64" s="370"/>
      <c r="R64" s="371"/>
      <c r="S64" s="95"/>
      <c r="T64" s="182" t="str">
        <f>HLOOKUP($B$5,Region_Table,19,0)</f>
        <v>Lambeth - N07</v>
      </c>
      <c r="U64" s="359" t="s">
        <v>370</v>
      </c>
      <c r="V64" s="365"/>
      <c r="W64" s="365"/>
      <c r="X64" s="365"/>
      <c r="Y64" s="365"/>
      <c r="Z64" s="365"/>
      <c r="AA64" s="365"/>
      <c r="AB64" s="365"/>
      <c r="AC64" s="365"/>
      <c r="AD64" s="365"/>
      <c r="AE64" s="368"/>
      <c r="AF64" s="368"/>
      <c r="AG64" s="369"/>
      <c r="AH64" s="362" cm="1">
        <f t="array" ref="AH64">SUM(SUMIFS('caseload data'!V:V,'caseload data'!B:B,{"licence","community"},'caseload data'!$C:$C,T64))</f>
        <v>0</v>
      </c>
      <c r="AI64" s="370"/>
      <c r="AJ64" s="371"/>
    </row>
    <row r="65" spans="2:36" x14ac:dyDescent="0.15">
      <c r="B65" s="127" t="s">
        <v>324</v>
      </c>
      <c r="C65" s="58" t="s">
        <v>504</v>
      </c>
      <c r="D65" s="58" t="s">
        <v>503</v>
      </c>
      <c r="E65" s="58" t="s">
        <v>502</v>
      </c>
      <c r="F65" s="58" t="s">
        <v>501</v>
      </c>
      <c r="G65" s="58" t="s">
        <v>510</v>
      </c>
      <c r="H65" s="58" t="s">
        <v>176</v>
      </c>
      <c r="I65" s="58" t="s">
        <v>177</v>
      </c>
      <c r="J65" s="58" t="s">
        <v>505</v>
      </c>
      <c r="K65" s="58" t="s">
        <v>507</v>
      </c>
      <c r="L65" s="58" t="s">
        <v>178</v>
      </c>
      <c r="M65" s="58" t="s">
        <v>179</v>
      </c>
      <c r="N65" s="58" t="s">
        <v>506</v>
      </c>
      <c r="O65" s="58" t="s">
        <v>508</v>
      </c>
      <c r="P65" s="58" t="s">
        <v>180</v>
      </c>
      <c r="Q65" s="58" t="s">
        <v>181</v>
      </c>
      <c r="R65" s="58" t="s">
        <v>509</v>
      </c>
      <c r="S65" s="95"/>
      <c r="T65" s="127" t="s">
        <v>324</v>
      </c>
      <c r="U65" s="58" t="s">
        <v>504</v>
      </c>
      <c r="V65" s="58" t="s">
        <v>503</v>
      </c>
      <c r="W65" s="58" t="s">
        <v>502</v>
      </c>
      <c r="X65" s="58" t="s">
        <v>501</v>
      </c>
      <c r="Y65" s="58" t="s">
        <v>510</v>
      </c>
      <c r="Z65" s="58" t="s">
        <v>176</v>
      </c>
      <c r="AA65" s="58" t="s">
        <v>177</v>
      </c>
      <c r="AB65" s="58" t="s">
        <v>505</v>
      </c>
      <c r="AC65" s="58" t="s">
        <v>507</v>
      </c>
      <c r="AD65" s="58" t="s">
        <v>178</v>
      </c>
      <c r="AE65" s="58" t="s">
        <v>179</v>
      </c>
      <c r="AF65" s="58" t="s">
        <v>506</v>
      </c>
      <c r="AG65" s="58" t="s">
        <v>508</v>
      </c>
      <c r="AH65" s="58" t="s">
        <v>180</v>
      </c>
      <c r="AI65" s="58" t="s">
        <v>181</v>
      </c>
      <c r="AJ65" s="58" t="s">
        <v>509</v>
      </c>
    </row>
    <row r="66" spans="2:36" x14ac:dyDescent="0.15">
      <c r="B66" s="129" t="s">
        <v>184</v>
      </c>
      <c r="C66" s="209" t="str">
        <f>IFERROR(SUM(SUMIFS('caseload data'!E:E,'caseload data'!$C:$C,'community %'!$B$64,'caseload data'!$D:$D,"PO",'caseload data'!$B:$B,{"licence","community"}))/SUM(SUMIFS('caseload data'!E:E,'caseload data'!$B:$B,{"licence","community"},'caseload data'!$C:$C,'community %'!$B$64)),"")</f>
        <v/>
      </c>
      <c r="D66" s="209" t="str">
        <f>IFERROR(SUM(SUMIFS('caseload data'!F:F,'caseload data'!$C:$C,'community %'!$B$64,'caseload data'!$D:$D,"PO",'caseload data'!$B:$B,{"licence","community"}))/SUM(SUMIFS('caseload data'!F:F,'caseload data'!$B:$B,{"licence","community"},'caseload data'!$C:$C,'community %'!$B$64)),"")</f>
        <v/>
      </c>
      <c r="E66" s="209" t="str">
        <f>IFERROR(SUM(SUMIFS('caseload data'!G:G,'caseload data'!$C:$C,'community %'!$B$64,'caseload data'!$D:$D,"PO",'caseload data'!$B:$B,{"licence","community"}))/SUM(SUMIFS('caseload data'!G:G,'caseload data'!$B:$B,{"licence","community"},'caseload data'!$C:$C,'community %'!$B$64)),"")</f>
        <v/>
      </c>
      <c r="F66" s="209" t="str">
        <f>IFERROR(SUM(SUMIFS('caseload data'!H:H,'caseload data'!$C:$C,'community %'!$B$64,'caseload data'!$D:$D,"PO",'caseload data'!$B:$B,{"licence","community"}))/SUM(SUMIFS('caseload data'!H:H,'caseload data'!$B:$B,{"licence","community"},'caseload data'!$C:$C,'community %'!$B$64)),"")</f>
        <v/>
      </c>
      <c r="G66" s="209" t="str">
        <f>IFERROR(SUM(SUMIFS('caseload data'!I:I,'caseload data'!$C:$C,'community %'!$B$64,'caseload data'!$D:$D,"PO",'caseload data'!$B:$B,{"licence","community"}))/SUM(SUMIFS('caseload data'!I:I,'caseload data'!$B:$B,{"licence","community"},'caseload data'!$C:$C,'community %'!$B$64)),"")</f>
        <v/>
      </c>
      <c r="H66" s="209" t="str">
        <f>IFERROR(SUM(SUMIFS('caseload data'!J:J,'caseload data'!$C:$C,'community %'!$B$64,'caseload data'!$D:$D,"PO",'caseload data'!$B:$B,{"licence","community"}))/SUM(SUMIFS('caseload data'!J:J,'caseload data'!$B:$B,{"licence","community"},'caseload data'!$C:$C,'community %'!$B$64)),"")</f>
        <v/>
      </c>
      <c r="I66" s="209" t="str">
        <f>IFERROR(SUM(SUMIFS('caseload data'!K:K,'caseload data'!$C:$C,'community %'!$B$64,'caseload data'!$D:$D,"PO",'caseload data'!$B:$B,{"licence","community"}))/SUM(SUMIFS('caseload data'!K:K,'caseload data'!$B:$B,{"licence","community"},'caseload data'!$C:$C,'community %'!$B$64)),"")</f>
        <v/>
      </c>
      <c r="J66" s="209" t="str">
        <f>IFERROR(SUM(SUMIFS('caseload data'!L:L,'caseload data'!$C:$C,'community %'!$B$64,'caseload data'!$D:$D,"PO",'caseload data'!$B:$B,{"licence","community"}))/SUM(SUMIFS('caseload data'!L:L,'caseload data'!$B:$B,{"licence","community"},'caseload data'!$C:$C,'community %'!$B$64)),"")</f>
        <v/>
      </c>
      <c r="K66" s="209" t="str">
        <f>IFERROR(SUM(SUMIFS('caseload data'!M:M,'caseload data'!$C:$C,'community %'!$B$64,'caseload data'!$D:$D,"PO",'caseload data'!$B:$B,{"licence","community"}))/SUM(SUMIFS('caseload data'!M:M,'caseload data'!$B:$B,{"licence","community"},'caseload data'!$C:$C,'community %'!$B$64)),"")</f>
        <v/>
      </c>
      <c r="L66" s="209" t="str">
        <f>IFERROR(SUM(SUMIFS('caseload data'!N:N,'caseload data'!$C:$C,'community %'!$B$64,'caseload data'!$D:$D,"PO",'caseload data'!$B:$B,{"licence","community"}))/SUM(SUMIFS('caseload data'!N:N,'caseload data'!$B:$B,{"licence","community"},'caseload data'!$C:$C,'community %'!$B$64)),"")</f>
        <v/>
      </c>
      <c r="M66" s="209" t="str">
        <f>IFERROR(SUM(SUMIFS('caseload data'!O:O,'caseload data'!$C:$C,'community %'!$B$64,'caseload data'!$D:$D,"PO",'caseload data'!$B:$B,{"licence","community"}))/SUM(SUMIFS('caseload data'!O:O,'caseload data'!$B:$B,{"licence","community"},'caseload data'!$C:$C,'community %'!$B$64)),"")</f>
        <v/>
      </c>
      <c r="N66" s="209" t="str">
        <f>IFERROR(SUM(SUMIFS('caseload data'!P:P,'caseload data'!$C:$C,'community %'!$B$64,'caseload data'!$D:$D,"PO",'caseload data'!$B:$B,{"licence","community"}))/SUM(SUMIFS('caseload data'!P:P,'caseload data'!$B:$B,{"licence","community"},'caseload data'!$C:$C,'community %'!$B$64)),"")</f>
        <v/>
      </c>
      <c r="O66" s="209" t="str">
        <f>IFERROR(SUM(SUMIFS('caseload data'!Q:Q,'caseload data'!$C:$C,'community %'!$B$64,'caseload data'!$D:$D,"PO",'caseload data'!$B:$B,{"licence","community"}))/SUM(SUMIFS('caseload data'!Q:Q,'caseload data'!$B:$B,{"licence","community"},'caseload data'!$C:$C,'community %'!$B$64)),"")</f>
        <v/>
      </c>
      <c r="P66" s="209" t="str">
        <f>IFERROR(SUM(SUMIFS('caseload data'!R:R,'caseload data'!$C:$C,'community %'!$B$64,'caseload data'!$D:$D,"PO",'caseload data'!$B:$B,{"licence","community"}))/SUM(SUMIFS('caseload data'!R:R,'caseload data'!$B:$B,{"licence","community"},'caseload data'!$C:$C,'community %'!$B$64)),"")</f>
        <v/>
      </c>
      <c r="Q66" s="209" t="str">
        <f>IFERROR(SUM(SUMIFS('caseload data'!S:S,'caseload data'!$C:$C,'community %'!$B$64,'caseload data'!$D:$D,"PO",'caseload data'!$B:$B,{"licence","community"}))/SUM(SUMIFS('caseload data'!S:S,'caseload data'!$B:$B,{"licence","community"},'caseload data'!$C:$C,'community %'!$B$64)),"")</f>
        <v/>
      </c>
      <c r="R66" s="209" t="str">
        <f>IFERROR(SUM(SUMIFS('caseload data'!T:T,'caseload data'!$C:$C,'community %'!$B$64,'caseload data'!$D:$D,"PO",'caseload data'!$B:$B,{"licence","community"}))/SUM(SUMIFS('caseload data'!T:T,'caseload data'!$B:$B,{"licence","community"},'caseload data'!$C:$C,'community %'!$B$64)),"")</f>
        <v/>
      </c>
      <c r="S66" s="95"/>
      <c r="T66" s="129" t="s">
        <v>184</v>
      </c>
      <c r="U66" s="209" t="str">
        <f>IFERROR(SUM(SUMIFS('caseload data'!E:E,'caseload data'!$C:$C,'community %'!$T$64,'caseload data'!$D:$D,"PO",'caseload data'!$B:$B,{"licence","community"}))/SUM(SUMIFS('caseload data'!E:E,'caseload data'!$B:$B,{"licence","community"},'caseload data'!$C:$C,'community %'!$T$64)),"")</f>
        <v/>
      </c>
      <c r="V66" s="209" t="str">
        <f>IFERROR(SUM(SUMIFS('caseload data'!F:F,'caseload data'!$C:$C,'community %'!$T$64,'caseload data'!$D:$D,"PO",'caseload data'!$B:$B,{"licence","community"}))/SUM(SUMIFS('caseload data'!F:F,'caseload data'!$B:$B,{"licence","community"},'caseload data'!$C:$C,'community %'!$T$64)),"")</f>
        <v/>
      </c>
      <c r="W66" s="209" t="str">
        <f>IFERROR(SUM(SUMIFS('caseload data'!G:G,'caseload data'!$C:$C,'community %'!$T$64,'caseload data'!$D:$D,"PO",'caseload data'!$B:$B,{"licence","community"}))/SUM(SUMIFS('caseload data'!G:G,'caseload data'!$B:$B,{"licence","community"},'caseload data'!$C:$C,'community %'!$T$64)),"")</f>
        <v/>
      </c>
      <c r="X66" s="209" t="str">
        <f>IFERROR(SUM(SUMIFS('caseload data'!H:H,'caseload data'!$C:$C,'community %'!$T$64,'caseload data'!$D:$D,"PO",'caseload data'!$B:$B,{"licence","community"}))/SUM(SUMIFS('caseload data'!H:H,'caseload data'!$B:$B,{"licence","community"},'caseload data'!$C:$C,'community %'!$T$64)),"")</f>
        <v/>
      </c>
      <c r="Y66" s="209" t="str">
        <f>IFERROR(SUM(SUMIFS('caseload data'!I:I,'caseload data'!$C:$C,'community %'!$T$64,'caseload data'!$D:$D,"PO",'caseload data'!$B:$B,{"licence","community"}))/SUM(SUMIFS('caseload data'!I:I,'caseload data'!$B:$B,{"licence","community"},'caseload data'!$C:$C,'community %'!$T$64)),"")</f>
        <v/>
      </c>
      <c r="Z66" s="209" t="str">
        <f>IFERROR(SUM(SUMIFS('caseload data'!J:J,'caseload data'!$C:$C,'community %'!$T$64,'caseload data'!$D:$D,"PO",'caseload data'!$B:$B,{"licence","community"}))/SUM(SUMIFS('caseload data'!J:J,'caseload data'!$B:$B,{"licence","community"},'caseload data'!$C:$C,'community %'!$T$64)),"")</f>
        <v/>
      </c>
      <c r="AA66" s="209" t="str">
        <f>IFERROR(SUM(SUMIFS('caseload data'!K:K,'caseload data'!$C:$C,'community %'!$T$64,'caseload data'!$D:$D,"PO",'caseload data'!$B:$B,{"licence","community"}))/SUM(SUMIFS('caseload data'!K:K,'caseload data'!$B:$B,{"licence","community"},'caseload data'!$C:$C,'community %'!$T$64)),"")</f>
        <v/>
      </c>
      <c r="AB66" s="209" t="str">
        <f>IFERROR(SUM(SUMIFS('caseload data'!L:L,'caseload data'!$C:$C,'community %'!$T$64,'caseload data'!$D:$D,"PO",'caseload data'!$B:$B,{"licence","community"}))/SUM(SUMIFS('caseload data'!L:L,'caseload data'!$B:$B,{"licence","community"},'caseload data'!$C:$C,'community %'!$T$64)),"")</f>
        <v/>
      </c>
      <c r="AC66" s="209" t="str">
        <f>IFERROR(SUM(SUMIFS('caseload data'!M:M,'caseload data'!$C:$C,'community %'!$T$64,'caseload data'!$D:$D,"PO",'caseload data'!$B:$B,{"licence","community"}))/SUM(SUMIFS('caseload data'!M:M,'caseload data'!$B:$B,{"licence","community"},'caseload data'!$C:$C,'community %'!$T$64)),"")</f>
        <v/>
      </c>
      <c r="AD66" s="209" t="str">
        <f>IFERROR(SUM(SUMIFS('caseload data'!N:N,'caseload data'!$C:$C,'community %'!$T$64,'caseload data'!$D:$D,"PO",'caseload data'!$B:$B,{"licence","community"}))/SUM(SUMIFS('caseload data'!N:N,'caseload data'!$B:$B,{"licence","community"},'caseload data'!$C:$C,'community %'!$T$64)),"")</f>
        <v/>
      </c>
      <c r="AE66" s="209" t="str">
        <f>IFERROR(SUM(SUMIFS('caseload data'!O:O,'caseload data'!$C:$C,'community %'!$T$64,'caseload data'!$D:$D,"PO",'caseload data'!$B:$B,{"licence","community"}))/SUM(SUMIFS('caseload data'!O:O,'caseload data'!$B:$B,{"licence","community"},'caseload data'!$C:$C,'community %'!$T$64)),"")</f>
        <v/>
      </c>
      <c r="AF66" s="209" t="str">
        <f>IFERROR(SUM(SUMIFS('caseload data'!P:P,'caseload data'!$C:$C,'community %'!$T$64,'caseload data'!$D:$D,"PO",'caseload data'!$B:$B,{"licence","community"}))/SUM(SUMIFS('caseload data'!P:P,'caseload data'!$B:$B,{"licence","community"},'caseload data'!$C:$C,'community %'!$T$64)),"")</f>
        <v/>
      </c>
      <c r="AG66" s="209" t="str">
        <f>IFERROR(SUM(SUMIFS('caseload data'!Q:Q,'caseload data'!$C:$C,'community %'!$T$64,'caseload data'!$D:$D,"PO",'caseload data'!$B:$B,{"licence","community"}))/SUM(SUMIFS('caseload data'!Q:Q,'caseload data'!$B:$B,{"licence","community"},'caseload data'!$C:$C,'community %'!$T$64)),"")</f>
        <v/>
      </c>
      <c r="AH66" s="209" t="str">
        <f>IFERROR(SUM(SUMIFS('caseload data'!R:R,'caseload data'!$C:$C,'community %'!$T$64,'caseload data'!$D:$D,"PO",'caseload data'!$B:$B,{"licence","community"}))/SUM(SUMIFS('caseload data'!R:R,'caseload data'!$B:$B,{"licence","community"},'caseload data'!$C:$C,'community %'!$T$64)),"")</f>
        <v/>
      </c>
      <c r="AI66" s="209" t="str">
        <f>IFERROR(SUM(SUMIFS('caseload data'!S:S,'caseload data'!$C:$C,'community %'!$T$64,'caseload data'!$D:$D,"PO",'caseload data'!$B:$B,{"licence","community"}))/SUM(SUMIFS('caseload data'!S:S,'caseload data'!$B:$B,{"licence","community"},'caseload data'!$C:$C,'community %'!$T$64)),"")</f>
        <v/>
      </c>
      <c r="AJ66" s="209" t="str">
        <f>IFERROR(SUM(SUMIFS('caseload data'!T:T,'caseload data'!$C:$C,'community %'!$T$64,'caseload data'!$D:$D,"PO",'caseload data'!$B:$B,{"licence","community"}))/SUM(SUMIFS('caseload data'!T:T,'caseload data'!$B:$B,{"licence","community"},'caseload data'!$C:$C,'community %'!$T$64)),"")</f>
        <v/>
      </c>
    </row>
    <row r="67" spans="2:36" x14ac:dyDescent="0.15">
      <c r="B67" s="130" t="s">
        <v>185</v>
      </c>
      <c r="C67" s="209" t="str">
        <f>IFERROR(SUM(SUMIFS('caseload data'!E:E,'caseload data'!$C:$C,'community %'!$B$64,'caseload data'!$D:$D,"PSO",'caseload data'!$B:$B,{"licence","community"}))/SUM(SUMIFS('caseload data'!E:E,'caseload data'!$B:$B,{"licence","community"},'caseload data'!$C:$C,'community %'!$B$64)),"")</f>
        <v/>
      </c>
      <c r="D67" s="209" t="str">
        <f>IFERROR(SUM(SUMIFS('caseload data'!F:F,'caseload data'!$C:$C,'community %'!$B$64,'caseload data'!$D:$D,"PSO",'caseload data'!$B:$B,{"licence","community"}))/SUM(SUMIFS('caseload data'!F:F,'caseload data'!$B:$B,{"licence","community"},'caseload data'!$C:$C,'community %'!$B$64)),"")</f>
        <v/>
      </c>
      <c r="E67" s="209" t="str">
        <f>IFERROR(SUM(SUMIFS('caseload data'!G:G,'caseload data'!$C:$C,'community %'!$B$64,'caseload data'!$D:$D,"PSO",'caseload data'!$B:$B,{"licence","community"}))/SUM(SUMIFS('caseload data'!G:G,'caseload data'!$B:$B,{"licence","community"},'caseload data'!$C:$C,'community %'!$B$64)),"")</f>
        <v/>
      </c>
      <c r="F67" s="209" t="str">
        <f>IFERROR(SUM(SUMIFS('caseload data'!H:H,'caseload data'!$C:$C,'community %'!$B$64,'caseload data'!$D:$D,"PSO",'caseload data'!$B:$B,{"licence","community"}))/SUM(SUMIFS('caseload data'!H:H,'caseload data'!$B:$B,{"licence","community"},'caseload data'!$C:$C,'community %'!$B$64)),"")</f>
        <v/>
      </c>
      <c r="G67" s="209" t="str">
        <f>IFERROR(SUM(SUMIFS('caseload data'!I:I,'caseload data'!$C:$C,'community %'!$B$64,'caseload data'!$D:$D,"PSO",'caseload data'!$B:$B,{"licence","community"}))/SUM(SUMIFS('caseload data'!I:I,'caseload data'!$B:$B,{"licence","community"},'caseload data'!$C:$C,'community %'!$B$64)),"")</f>
        <v/>
      </c>
      <c r="H67" s="209" t="str">
        <f>IFERROR(SUM(SUMIFS('caseload data'!J:J,'caseload data'!$C:$C,'community %'!$B$64,'caseload data'!$D:$D,"PSO",'caseload data'!$B:$B,{"licence","community"}))/SUM(SUMIFS('caseload data'!J:J,'caseload data'!$B:$B,{"licence","community"},'caseload data'!$C:$C,'community %'!$B$64)),"")</f>
        <v/>
      </c>
      <c r="I67" s="209" t="str">
        <f>IFERROR(SUM(SUMIFS('caseload data'!K:K,'caseload data'!$C:$C,'community %'!$B$64,'caseload data'!$D:$D,"PSO",'caseload data'!$B:$B,{"licence","community"}))/SUM(SUMIFS('caseload data'!K:K,'caseload data'!$B:$B,{"licence","community"},'caseload data'!$C:$C,'community %'!$B$64)),"")</f>
        <v/>
      </c>
      <c r="J67" s="209" t="str">
        <f>IFERROR(SUM(SUMIFS('caseload data'!L:L,'caseload data'!$C:$C,'community %'!$B$64,'caseload data'!$D:$D,"PSO",'caseload data'!$B:$B,{"licence","community"}))/SUM(SUMIFS('caseload data'!L:L,'caseload data'!$B:$B,{"licence","community"},'caseload data'!$C:$C,'community %'!$B$64)),"")</f>
        <v/>
      </c>
      <c r="K67" s="209" t="str">
        <f>IFERROR(SUM(SUMIFS('caseload data'!M:M,'caseload data'!$C:$C,'community %'!$B$64,'caseload data'!$D:$D,"PSO",'caseload data'!$B:$B,{"licence","community"}))/SUM(SUMIFS('caseload data'!M:M,'caseload data'!$B:$B,{"licence","community"},'caseload data'!$C:$C,'community %'!$B$64)),"")</f>
        <v/>
      </c>
      <c r="L67" s="209" t="str">
        <f>IFERROR(SUM(SUMIFS('caseload data'!N:N,'caseload data'!$C:$C,'community %'!$B$64,'caseload data'!$D:$D,"PSO",'caseload data'!$B:$B,{"licence","community"}))/SUM(SUMIFS('caseload data'!N:N,'caseload data'!$B:$B,{"licence","community"},'caseload data'!$C:$C,'community %'!$B$64)),"")</f>
        <v/>
      </c>
      <c r="M67" s="209" t="str">
        <f>IFERROR(SUM(SUMIFS('caseload data'!O:O,'caseload data'!$C:$C,'community %'!$B$64,'caseload data'!$D:$D,"PSO",'caseload data'!$B:$B,{"licence","community"}))/SUM(SUMIFS('caseload data'!O:O,'caseload data'!$B:$B,{"licence","community"},'caseload data'!$C:$C,'community %'!$B$64)),"")</f>
        <v/>
      </c>
      <c r="N67" s="209" t="str">
        <f>IFERROR(SUM(SUMIFS('caseload data'!P:P,'caseload data'!$C:$C,'community %'!$B$64,'caseload data'!$D:$D,"PSO",'caseload data'!$B:$B,{"licence","community"}))/SUM(SUMIFS('caseload data'!P:P,'caseload data'!$B:$B,{"licence","community"},'caseload data'!$C:$C,'community %'!$B$64)),"")</f>
        <v/>
      </c>
      <c r="O67" s="209" t="str">
        <f>IFERROR(SUM(SUMIFS('caseload data'!Q:Q,'caseload data'!$C:$C,'community %'!$B$64,'caseload data'!$D:$D,"PSO",'caseload data'!$B:$B,{"licence","community"}))/SUM(SUMIFS('caseload data'!Q:Q,'caseload data'!$B:$B,{"licence","community"},'caseload data'!$C:$C,'community %'!$B$64)),"")</f>
        <v/>
      </c>
      <c r="P67" s="209" t="str">
        <f>IFERROR(SUM(SUMIFS('caseload data'!R:R,'caseload data'!$C:$C,'community %'!$B$64,'caseload data'!$D:$D,"PSO",'caseload data'!$B:$B,{"licence","community"}))/SUM(SUMIFS('caseload data'!R:R,'caseload data'!$B:$B,{"licence","community"},'caseload data'!$C:$C,'community %'!$B$64)),"")</f>
        <v/>
      </c>
      <c r="Q67" s="209" t="str">
        <f>IFERROR(SUM(SUMIFS('caseload data'!S:S,'caseload data'!$C:$C,'community %'!$B$64,'caseload data'!$D:$D,"PSO",'caseload data'!$B:$B,{"licence","community"}))/SUM(SUMIFS('caseload data'!S:S,'caseload data'!$B:$B,{"licence","community"},'caseload data'!$C:$C,'community %'!$B$64)),"")</f>
        <v/>
      </c>
      <c r="R67" s="209" t="str">
        <f>IFERROR(SUM(SUMIFS('caseload data'!T:T,'caseload data'!$C:$C,'community %'!$B$64,'caseload data'!$D:$D,"PSO",'caseload data'!$B:$B,{"licence","community"}))/SUM(SUMIFS('caseload data'!T:T,'caseload data'!$B:$B,{"licence","community"},'caseload data'!$C:$C,'community %'!$B$64)),"")</f>
        <v/>
      </c>
      <c r="S67" s="95"/>
      <c r="T67" s="130" t="s">
        <v>185</v>
      </c>
      <c r="U67" s="209" t="str">
        <f>IFERROR(SUM(SUMIFS('caseload data'!E:E,'caseload data'!$C:$C,'community %'!$T$64,'caseload data'!$D:$D,"PSO",'caseload data'!$B:$B,{"licence","community"}))/SUM(SUMIFS('caseload data'!E:E,'caseload data'!$B:$B,{"licence","community"},'caseload data'!$C:$C,'community %'!$T$64)),"")</f>
        <v/>
      </c>
      <c r="V67" s="209" t="str">
        <f>IFERROR(SUM(SUMIFS('caseload data'!F:F,'caseload data'!$C:$C,'community %'!$T$64,'caseload data'!$D:$D,"PSO",'caseload data'!$B:$B,{"licence","community"}))/SUM(SUMIFS('caseload data'!F:F,'caseload data'!$B:$B,{"licence","community"},'caseload data'!$C:$C,'community %'!$T$64)),"")</f>
        <v/>
      </c>
      <c r="W67" s="209" t="str">
        <f>IFERROR(SUM(SUMIFS('caseload data'!G:G,'caseload data'!$C:$C,'community %'!$T$64,'caseload data'!$D:$D,"PSO",'caseload data'!$B:$B,{"licence","community"}))/SUM(SUMIFS('caseload data'!G:G,'caseload data'!$B:$B,{"licence","community"},'caseload data'!$C:$C,'community %'!$T$64)),"")</f>
        <v/>
      </c>
      <c r="X67" s="209" t="str">
        <f>IFERROR(SUM(SUMIFS('caseload data'!H:H,'caseload data'!$C:$C,'community %'!$T$64,'caseload data'!$D:$D,"PSO",'caseload data'!$B:$B,{"licence","community"}))/SUM(SUMIFS('caseload data'!H:H,'caseload data'!$B:$B,{"licence","community"},'caseload data'!$C:$C,'community %'!$T$64)),"")</f>
        <v/>
      </c>
      <c r="Y67" s="209" t="str">
        <f>IFERROR(SUM(SUMIFS('caseload data'!I:I,'caseload data'!$C:$C,'community %'!$T$64,'caseload data'!$D:$D,"PSO",'caseload data'!$B:$B,{"licence","community"}))/SUM(SUMIFS('caseload data'!I:I,'caseload data'!$B:$B,{"licence","community"},'caseload data'!$C:$C,'community %'!$T$64)),"")</f>
        <v/>
      </c>
      <c r="Z67" s="209" t="str">
        <f>IFERROR(SUM(SUMIFS('caseload data'!J:J,'caseload data'!$C:$C,'community %'!$T$64,'caseload data'!$D:$D,"PSO",'caseload data'!$B:$B,{"licence","community"}))/SUM(SUMIFS('caseload data'!J:J,'caseload data'!$B:$B,{"licence","community"},'caseload data'!$C:$C,'community %'!$T$64)),"")</f>
        <v/>
      </c>
      <c r="AA67" s="209" t="str">
        <f>IFERROR(SUM(SUMIFS('caseload data'!K:K,'caseload data'!$C:$C,'community %'!$T$64,'caseload data'!$D:$D,"PSO",'caseload data'!$B:$B,{"licence","community"}))/SUM(SUMIFS('caseload data'!K:K,'caseload data'!$B:$B,{"licence","community"},'caseload data'!$C:$C,'community %'!$T$64)),"")</f>
        <v/>
      </c>
      <c r="AB67" s="209" t="str">
        <f>IFERROR(SUM(SUMIFS('caseload data'!L:L,'caseload data'!$C:$C,'community %'!$T$64,'caseload data'!$D:$D,"PSO",'caseload data'!$B:$B,{"licence","community"}))/SUM(SUMIFS('caseload data'!L:L,'caseload data'!$B:$B,{"licence","community"},'caseload data'!$C:$C,'community %'!$T$64)),"")</f>
        <v/>
      </c>
      <c r="AC67" s="209" t="str">
        <f>IFERROR(SUM(SUMIFS('caseload data'!M:M,'caseload data'!$C:$C,'community %'!$T$64,'caseload data'!$D:$D,"PSO",'caseload data'!$B:$B,{"licence","community"}))/SUM(SUMIFS('caseload data'!M:M,'caseload data'!$B:$B,{"licence","community"},'caseload data'!$C:$C,'community %'!$T$64)),"")</f>
        <v/>
      </c>
      <c r="AD67" s="209" t="str">
        <f>IFERROR(SUM(SUMIFS('caseload data'!N:N,'caseload data'!$C:$C,'community %'!$T$64,'caseload data'!$D:$D,"PSO",'caseload data'!$B:$B,{"licence","community"}))/SUM(SUMIFS('caseload data'!N:N,'caseload data'!$B:$B,{"licence","community"},'caseload data'!$C:$C,'community %'!$T$64)),"")</f>
        <v/>
      </c>
      <c r="AE67" s="209" t="str">
        <f>IFERROR(SUM(SUMIFS('caseload data'!O:O,'caseload data'!$C:$C,'community %'!$T$64,'caseload data'!$D:$D,"PSO",'caseload data'!$B:$B,{"licence","community"}))/SUM(SUMIFS('caseload data'!O:O,'caseload data'!$B:$B,{"licence","community"},'caseload data'!$C:$C,'community %'!$T$64)),"")</f>
        <v/>
      </c>
      <c r="AF67" s="209" t="str">
        <f>IFERROR(SUM(SUMIFS('caseload data'!P:P,'caseload data'!$C:$C,'community %'!$T$64,'caseload data'!$D:$D,"PSO",'caseload data'!$B:$B,{"licence","community"}))/SUM(SUMIFS('caseload data'!P:P,'caseload data'!$B:$B,{"licence","community"},'caseload data'!$C:$C,'community %'!$T$64)),"")</f>
        <v/>
      </c>
      <c r="AG67" s="209" t="str">
        <f>IFERROR(SUM(SUMIFS('caseload data'!Q:Q,'caseload data'!$C:$C,'community %'!$T$64,'caseload data'!$D:$D,"PSO",'caseload data'!$B:$B,{"licence","community"}))/SUM(SUMIFS('caseload data'!Q:Q,'caseload data'!$B:$B,{"licence","community"},'caseload data'!$C:$C,'community %'!$T$64)),"")</f>
        <v/>
      </c>
      <c r="AH67" s="209" t="str">
        <f>IFERROR(SUM(SUMIFS('caseload data'!R:R,'caseload data'!$C:$C,'community %'!$T$64,'caseload data'!$D:$D,"PSO",'caseload data'!$B:$B,{"licence","community"}))/SUM(SUMIFS('caseload data'!R:R,'caseload data'!$B:$B,{"licence","community"},'caseload data'!$C:$C,'community %'!$T$64)),"")</f>
        <v/>
      </c>
      <c r="AI67" s="209" t="str">
        <f>IFERROR(SUM(SUMIFS('caseload data'!S:S,'caseload data'!$C:$C,'community %'!$T$64,'caseload data'!$D:$D,"PSO",'caseload data'!$B:$B,{"licence","community"}))/SUM(SUMIFS('caseload data'!S:S,'caseload data'!$B:$B,{"licence","community"},'caseload data'!$C:$C,'community %'!$T$64)),"")</f>
        <v/>
      </c>
      <c r="AJ67" s="209" t="str">
        <f>IFERROR(SUM(SUMIFS('caseload data'!T:T,'caseload data'!$C:$C,'community %'!$T$64,'caseload data'!$D:$D,"PSO",'caseload data'!$B:$B,{"licence","community"}))/SUM(SUMIFS('caseload data'!T:T,'caseload data'!$B:$B,{"licence","community"},'caseload data'!$C:$C,'community %'!$T$64)),"")</f>
        <v/>
      </c>
    </row>
    <row r="68" spans="2:36" x14ac:dyDescent="0.15">
      <c r="B68" s="130" t="s">
        <v>186</v>
      </c>
      <c r="C68" s="209" t="str">
        <f>IFERROR(SUM(SUMIFS('caseload data'!E:E,'caseload data'!$C:$C,'community %'!$B$64,'caseload data'!$D:$D,"TPO",'caseload data'!$B:$B,{"licence","community"}))/SUM(SUMIFS('caseload data'!E:E,'caseload data'!$B:$B,{"licence","community"},'caseload data'!$C:$C,'community %'!$B$64)),"")</f>
        <v/>
      </c>
      <c r="D68" s="209" t="str">
        <f>IFERROR(SUM(SUMIFS('caseload data'!F:F,'caseload data'!$C:$C,'community %'!$B$64,'caseload data'!$D:$D,"TPO",'caseload data'!$B:$B,{"licence","community"}))/SUM(SUMIFS('caseload data'!F:F,'caseload data'!$B:$B,{"licence","community"},'caseload data'!$C:$C,'community %'!$B$64)),"")</f>
        <v/>
      </c>
      <c r="E68" s="209" t="str">
        <f>IFERROR(SUM(SUMIFS('caseload data'!G:G,'caseload data'!$C:$C,'community %'!$B$64,'caseload data'!$D:$D,"TPO",'caseload data'!$B:$B,{"licence","community"}))/SUM(SUMIFS('caseload data'!G:G,'caseload data'!$B:$B,{"licence","community"},'caseload data'!$C:$C,'community %'!$B$64)),"")</f>
        <v/>
      </c>
      <c r="F68" s="209" t="str">
        <f>IFERROR(SUM(SUMIFS('caseload data'!H:H,'caseload data'!$C:$C,'community %'!$B$64,'caseload data'!$D:$D,"TPO",'caseload data'!$B:$B,{"licence","community"}))/SUM(SUMIFS('caseload data'!H:H,'caseload data'!$B:$B,{"licence","community"},'caseload data'!$C:$C,'community %'!$B$64)),"")</f>
        <v/>
      </c>
      <c r="G68" s="209" t="str">
        <f>IFERROR(SUM(SUMIFS('caseload data'!I:I,'caseload data'!$C:$C,'community %'!$B$64,'caseload data'!$D:$D,"TPO",'caseload data'!$B:$B,{"licence","community"}))/SUM(SUMIFS('caseload data'!I:I,'caseload data'!$B:$B,{"licence","community"},'caseload data'!$C:$C,'community %'!$B$64)),"")</f>
        <v/>
      </c>
      <c r="H68" s="209" t="str">
        <f>IFERROR(SUM(SUMIFS('caseload data'!J:J,'caseload data'!$C:$C,'community %'!$B$64,'caseload data'!$D:$D,"TPO",'caseload data'!$B:$B,{"licence","community"}))/SUM(SUMIFS('caseload data'!J:J,'caseload data'!$B:$B,{"licence","community"},'caseload data'!$C:$C,'community %'!$B$64)),"")</f>
        <v/>
      </c>
      <c r="I68" s="209" t="str">
        <f>IFERROR(SUM(SUMIFS('caseload data'!K:K,'caseload data'!$C:$C,'community %'!$B$64,'caseload data'!$D:$D,"TPO",'caseload data'!$B:$B,{"licence","community"}))/SUM(SUMIFS('caseload data'!K:K,'caseload data'!$B:$B,{"licence","community"},'caseload data'!$C:$C,'community %'!$B$64)),"")</f>
        <v/>
      </c>
      <c r="J68" s="209" t="str">
        <f>IFERROR(SUM(SUMIFS('caseload data'!L:L,'caseload data'!$C:$C,'community %'!$B$64,'caseload data'!$D:$D,"TPO",'caseload data'!$B:$B,{"licence","community"}))/SUM(SUMIFS('caseload data'!L:L,'caseload data'!$B:$B,{"licence","community"},'caseload data'!$C:$C,'community %'!$B$64)),"")</f>
        <v/>
      </c>
      <c r="K68" s="209" t="str">
        <f>IFERROR(SUM(SUMIFS('caseload data'!M:M,'caseload data'!$C:$C,'community %'!$B$64,'caseload data'!$D:$D,"TPO",'caseload data'!$B:$B,{"licence","community"}))/SUM(SUMIFS('caseload data'!M:M,'caseload data'!$B:$B,{"licence","community"},'caseload data'!$C:$C,'community %'!$B$64)),"")</f>
        <v/>
      </c>
      <c r="L68" s="209" t="str">
        <f>IFERROR(SUM(SUMIFS('caseload data'!N:N,'caseload data'!$C:$C,'community %'!$B$64,'caseload data'!$D:$D,"TPO",'caseload data'!$B:$B,{"licence","community"}))/SUM(SUMIFS('caseload data'!N:N,'caseload data'!$B:$B,{"licence","community"},'caseload data'!$C:$C,'community %'!$B$64)),"")</f>
        <v/>
      </c>
      <c r="M68" s="209" t="str">
        <f>IFERROR(SUM(SUMIFS('caseload data'!O:O,'caseload data'!$C:$C,'community %'!$B$64,'caseload data'!$D:$D,"TPO",'caseload data'!$B:$B,{"licence","community"}))/SUM(SUMIFS('caseload data'!O:O,'caseload data'!$B:$B,{"licence","community"},'caseload data'!$C:$C,'community %'!$B$64)),"")</f>
        <v/>
      </c>
      <c r="N68" s="209" t="str">
        <f>IFERROR(SUM(SUMIFS('caseload data'!P:P,'caseload data'!$C:$C,'community %'!$B$64,'caseload data'!$D:$D,"TPO",'caseload data'!$B:$B,{"licence","community"}))/SUM(SUMIFS('caseload data'!P:P,'caseload data'!$B:$B,{"licence","community"},'caseload data'!$C:$C,'community %'!$B$64)),"")</f>
        <v/>
      </c>
      <c r="O68" s="209" t="str">
        <f>IFERROR(SUM(SUMIFS('caseload data'!Q:Q,'caseload data'!$C:$C,'community %'!$B$64,'caseload data'!$D:$D,"TPO",'caseload data'!$B:$B,{"licence","community"}))/SUM(SUMIFS('caseload data'!Q:Q,'caseload data'!$B:$B,{"licence","community"},'caseload data'!$C:$C,'community %'!$B$64)),"")</f>
        <v/>
      </c>
      <c r="P68" s="209" t="str">
        <f>IFERROR(SUM(SUMIFS('caseload data'!R:R,'caseload data'!$C:$C,'community %'!$B$64,'caseload data'!$D:$D,"TPO",'caseload data'!$B:$B,{"licence","community"}))/SUM(SUMIFS('caseload data'!R:R,'caseload data'!$B:$B,{"licence","community"},'caseload data'!$C:$C,'community %'!$B$64)),"")</f>
        <v/>
      </c>
      <c r="Q68" s="209" t="str">
        <f>IFERROR(SUM(SUMIFS('caseload data'!S:S,'caseload data'!$C:$C,'community %'!$B$64,'caseload data'!$D:$D,"TPO",'caseload data'!$B:$B,{"licence","community"}))/SUM(SUMIFS('caseload data'!S:S,'caseload data'!$B:$B,{"licence","community"},'caseload data'!$C:$C,'community %'!$B$64)),"")</f>
        <v/>
      </c>
      <c r="R68" s="209" t="str">
        <f>IFERROR(SUM(SUMIFS('caseload data'!T:T,'caseload data'!$C:$C,'community %'!$B$64,'caseload data'!$D:$D,"TPO",'caseload data'!$B:$B,{"licence","community"}))/SUM(SUMIFS('caseload data'!T:T,'caseload data'!$B:$B,{"licence","community"},'caseload data'!$C:$C,'community %'!$B$64)),"")</f>
        <v/>
      </c>
      <c r="S68" s="95"/>
      <c r="T68" s="130" t="s">
        <v>186</v>
      </c>
      <c r="U68" s="209" t="str">
        <f>IFERROR(SUM(SUMIFS('caseload data'!E:E,'caseload data'!$C:$C,'community %'!$T$64,'caseload data'!$D:$D,"TPO",'caseload data'!$B:$B,{"licence","community"}))/SUM(SUMIFS('caseload data'!E:E,'caseload data'!$B:$B,{"licence","community"},'caseload data'!$C:$C,'community %'!$T$64)),"")</f>
        <v/>
      </c>
      <c r="V68" s="209" t="str">
        <f>IFERROR(SUM(SUMIFS('caseload data'!F:F,'caseload data'!$C:$C,'community %'!$T$64,'caseload data'!$D:$D,"TPO",'caseload data'!$B:$B,{"licence","community"}))/SUM(SUMIFS('caseload data'!F:F,'caseload data'!$B:$B,{"licence","community"},'caseload data'!$C:$C,'community %'!$T$64)),"")</f>
        <v/>
      </c>
      <c r="W68" s="209" t="str">
        <f>IFERROR(SUM(SUMIFS('caseload data'!G:G,'caseload data'!$C:$C,'community %'!$T$64,'caseload data'!$D:$D,"TPO",'caseload data'!$B:$B,{"licence","community"}))/SUM(SUMIFS('caseload data'!G:G,'caseload data'!$B:$B,{"licence","community"},'caseload data'!$C:$C,'community %'!$T$64)),"")</f>
        <v/>
      </c>
      <c r="X68" s="209" t="str">
        <f>IFERROR(SUM(SUMIFS('caseload data'!H:H,'caseload data'!$C:$C,'community %'!$T$64,'caseload data'!$D:$D,"TPO",'caseload data'!$B:$B,{"licence","community"}))/SUM(SUMIFS('caseload data'!H:H,'caseload data'!$B:$B,{"licence","community"},'caseload data'!$C:$C,'community %'!$T$64)),"")</f>
        <v/>
      </c>
      <c r="Y68" s="209" t="str">
        <f>IFERROR(SUM(SUMIFS('caseload data'!I:I,'caseload data'!$C:$C,'community %'!$T$64,'caseload data'!$D:$D,"TPO",'caseload data'!$B:$B,{"licence","community"}))/SUM(SUMIFS('caseload data'!I:I,'caseload data'!$B:$B,{"licence","community"},'caseload data'!$C:$C,'community %'!$T$64)),"")</f>
        <v/>
      </c>
      <c r="Z68" s="209" t="str">
        <f>IFERROR(SUM(SUMIFS('caseload data'!J:J,'caseload data'!$C:$C,'community %'!$T$64,'caseload data'!$D:$D,"TPO",'caseload data'!$B:$B,{"licence","community"}))/SUM(SUMIFS('caseload data'!J:J,'caseload data'!$B:$B,{"licence","community"},'caseload data'!$C:$C,'community %'!$T$64)),"")</f>
        <v/>
      </c>
      <c r="AA68" s="209" t="str">
        <f>IFERROR(SUM(SUMIFS('caseload data'!K:K,'caseload data'!$C:$C,'community %'!$T$64,'caseload data'!$D:$D,"TPO",'caseload data'!$B:$B,{"licence","community"}))/SUM(SUMIFS('caseload data'!K:K,'caseload data'!$B:$B,{"licence","community"},'caseload data'!$C:$C,'community %'!$T$64)),"")</f>
        <v/>
      </c>
      <c r="AB68" s="209" t="str">
        <f>IFERROR(SUM(SUMIFS('caseload data'!L:L,'caseload data'!$C:$C,'community %'!$T$64,'caseload data'!$D:$D,"TPO",'caseload data'!$B:$B,{"licence","community"}))/SUM(SUMIFS('caseload data'!L:L,'caseload data'!$B:$B,{"licence","community"},'caseload data'!$C:$C,'community %'!$T$64)),"")</f>
        <v/>
      </c>
      <c r="AC68" s="209" t="str">
        <f>IFERROR(SUM(SUMIFS('caseload data'!M:M,'caseload data'!$C:$C,'community %'!$T$64,'caseload data'!$D:$D,"TPO",'caseload data'!$B:$B,{"licence","community"}))/SUM(SUMIFS('caseload data'!M:M,'caseload data'!$B:$B,{"licence","community"},'caseload data'!$C:$C,'community %'!$T$64)),"")</f>
        <v/>
      </c>
      <c r="AD68" s="209" t="str">
        <f>IFERROR(SUM(SUMIFS('caseload data'!N:N,'caseload data'!$C:$C,'community %'!$T$64,'caseload data'!$D:$D,"TPO",'caseload data'!$B:$B,{"licence","community"}))/SUM(SUMIFS('caseload data'!N:N,'caseload data'!$B:$B,{"licence","community"},'caseload data'!$C:$C,'community %'!$T$64)),"")</f>
        <v/>
      </c>
      <c r="AE68" s="209" t="str">
        <f>IFERROR(SUM(SUMIFS('caseload data'!O:O,'caseload data'!$C:$C,'community %'!$T$64,'caseload data'!$D:$D,"TPO",'caseload data'!$B:$B,{"licence","community"}))/SUM(SUMIFS('caseload data'!O:O,'caseload data'!$B:$B,{"licence","community"},'caseload data'!$C:$C,'community %'!$T$64)),"")</f>
        <v/>
      </c>
      <c r="AF68" s="209" t="str">
        <f>IFERROR(SUM(SUMIFS('caseload data'!P:P,'caseload data'!$C:$C,'community %'!$T$64,'caseload data'!$D:$D,"TPO",'caseload data'!$B:$B,{"licence","community"}))/SUM(SUMIFS('caseload data'!P:P,'caseload data'!$B:$B,{"licence","community"},'caseload data'!$C:$C,'community %'!$T$64)),"")</f>
        <v/>
      </c>
      <c r="AG68" s="209" t="str">
        <f>IFERROR(SUM(SUMIFS('caseload data'!Q:Q,'caseload data'!$C:$C,'community %'!$T$64,'caseload data'!$D:$D,"TPO",'caseload data'!$B:$B,{"licence","community"}))/SUM(SUMIFS('caseload data'!Q:Q,'caseload data'!$B:$B,{"licence","community"},'caseload data'!$C:$C,'community %'!$T$64)),"")</f>
        <v/>
      </c>
      <c r="AH68" s="209" t="str">
        <f>IFERROR(SUM(SUMIFS('caseload data'!R:R,'caseload data'!$C:$C,'community %'!$T$64,'caseload data'!$D:$D,"TPO",'caseload data'!$B:$B,{"licence","community"}))/SUM(SUMIFS('caseload data'!R:R,'caseload data'!$B:$B,{"licence","community"},'caseload data'!$C:$C,'community %'!$T$64)),"")</f>
        <v/>
      </c>
      <c r="AI68" s="209" t="str">
        <f>IFERROR(SUM(SUMIFS('caseload data'!S:S,'caseload data'!$C:$C,'community %'!$T$64,'caseload data'!$D:$D,"TPO",'caseload data'!$B:$B,{"licence","community"}))/SUM(SUMIFS('caseload data'!S:S,'caseload data'!$B:$B,{"licence","community"},'caseload data'!$C:$C,'community %'!$T$64)),"")</f>
        <v/>
      </c>
      <c r="AJ68" s="209" t="str">
        <f>IFERROR(SUM(SUMIFS('caseload data'!T:T,'caseload data'!$C:$C,'community %'!$T$64,'caseload data'!$D:$D,"TPO",'caseload data'!$B:$B,{"licence","community"}))/SUM(SUMIFS('caseload data'!T:T,'caseload data'!$B:$B,{"licence","community"},'caseload data'!$C:$C,'community %'!$T$64)),"")</f>
        <v/>
      </c>
    </row>
    <row r="69" spans="2:36" x14ac:dyDescent="0.15">
      <c r="B69" s="131" t="s">
        <v>187</v>
      </c>
      <c r="C69" s="209" t="str">
        <f>IFERROR(SUM(SUMIFS('caseload data'!E:E,'caseload data'!$C:$C,'community %'!$B$64,'caseload data'!$D:$D,"SPO",'caseload data'!$B:$B,{"licence","community"}))/SUM(SUMIFS('caseload data'!E:E,'caseload data'!$B:$B,{"licence","community"},'caseload data'!$C:$C,'community %'!$B$64)),"")</f>
        <v/>
      </c>
      <c r="D69" s="209" t="str">
        <f>IFERROR(SUM(SUMIFS('caseload data'!F:F,'caseload data'!$C:$C,'community %'!$B$64,'caseload data'!$D:$D,"SPO",'caseload data'!$B:$B,{"licence","community"}))/SUM(SUMIFS('caseload data'!F:F,'caseload data'!$B:$B,{"licence","community"},'caseload data'!$C:$C,'community %'!$B$64)),"")</f>
        <v/>
      </c>
      <c r="E69" s="209" t="str">
        <f>IFERROR(SUM(SUMIFS('caseload data'!G:G,'caseload data'!$C:$C,'community %'!$B$64,'caseload data'!$D:$D,"SPO",'caseload data'!$B:$B,{"licence","community"}))/SUM(SUMIFS('caseload data'!G:G,'caseload data'!$B:$B,{"licence","community"},'caseload data'!$C:$C,'community %'!$B$64)),"")</f>
        <v/>
      </c>
      <c r="F69" s="209" t="str">
        <f>IFERROR(SUM(SUMIFS('caseload data'!H:H,'caseload data'!$C:$C,'community %'!$B$64,'caseload data'!$D:$D,"SPO",'caseload data'!$B:$B,{"licence","community"}))/SUM(SUMIFS('caseload data'!H:H,'caseload data'!$B:$B,{"licence","community"},'caseload data'!$C:$C,'community %'!$B$64)),"")</f>
        <v/>
      </c>
      <c r="G69" s="209" t="str">
        <f>IFERROR(SUM(SUMIFS('caseload data'!I:I,'caseload data'!$C:$C,'community %'!$B$64,'caseload data'!$D:$D,"SPO",'caseload data'!$B:$B,{"licence","community"}))/SUM(SUMIFS('caseload data'!I:I,'caseload data'!$B:$B,{"licence","community"},'caseload data'!$C:$C,'community %'!$B$64)),"")</f>
        <v/>
      </c>
      <c r="H69" s="209" t="str">
        <f>IFERROR(SUM(SUMIFS('caseload data'!J:J,'caseload data'!$C:$C,'community %'!$B$64,'caseload data'!$D:$D,"SPO",'caseload data'!$B:$B,{"licence","community"}))/SUM(SUMIFS('caseload data'!J:J,'caseload data'!$B:$B,{"licence","community"},'caseload data'!$C:$C,'community %'!$B$64)),"")</f>
        <v/>
      </c>
      <c r="I69" s="209" t="str">
        <f>IFERROR(SUM(SUMIFS('caseload data'!K:K,'caseload data'!$C:$C,'community %'!$B$64,'caseload data'!$D:$D,"SPO",'caseload data'!$B:$B,{"licence","community"}))/SUM(SUMIFS('caseload data'!K:K,'caseload data'!$B:$B,{"licence","community"},'caseload data'!$C:$C,'community %'!$B$64)),"")</f>
        <v/>
      </c>
      <c r="J69" s="209" t="str">
        <f>IFERROR(SUM(SUMIFS('caseload data'!L:L,'caseload data'!$C:$C,'community %'!$B$64,'caseload data'!$D:$D,"SPO",'caseload data'!$B:$B,{"licence","community"}))/SUM(SUMIFS('caseload data'!L:L,'caseload data'!$B:$B,{"licence","community"},'caseload data'!$C:$C,'community %'!$B$64)),"")</f>
        <v/>
      </c>
      <c r="K69" s="209" t="str">
        <f>IFERROR(SUM(SUMIFS('caseload data'!M:M,'caseload data'!$C:$C,'community %'!$B$64,'caseload data'!$D:$D,"SPO",'caseload data'!$B:$B,{"licence","community"}))/SUM(SUMIFS('caseload data'!M:M,'caseload data'!$B:$B,{"licence","community"},'caseload data'!$C:$C,'community %'!$B$64)),"")</f>
        <v/>
      </c>
      <c r="L69" s="209" t="str">
        <f>IFERROR(SUM(SUMIFS('caseload data'!N:N,'caseload data'!$C:$C,'community %'!$B$64,'caseload data'!$D:$D,"SPO",'caseload data'!$B:$B,{"licence","community"}))/SUM(SUMIFS('caseload data'!N:N,'caseload data'!$B:$B,{"licence","community"},'caseload data'!$C:$C,'community %'!$B$64)),"")</f>
        <v/>
      </c>
      <c r="M69" s="209" t="str">
        <f>IFERROR(SUM(SUMIFS('caseload data'!O:O,'caseload data'!$C:$C,'community %'!$B$64,'caseload data'!$D:$D,"SPO",'caseload data'!$B:$B,{"licence","community"}))/SUM(SUMIFS('caseload data'!O:O,'caseload data'!$B:$B,{"licence","community"},'caseload data'!$C:$C,'community %'!$B$64)),"")</f>
        <v/>
      </c>
      <c r="N69" s="209" t="str">
        <f>IFERROR(SUM(SUMIFS('caseload data'!P:P,'caseload data'!$C:$C,'community %'!$B$64,'caseload data'!$D:$D,"SPO",'caseload data'!$B:$B,{"licence","community"}))/SUM(SUMIFS('caseload data'!P:P,'caseload data'!$B:$B,{"licence","community"},'caseload data'!$C:$C,'community %'!$B$64)),"")</f>
        <v/>
      </c>
      <c r="O69" s="209" t="str">
        <f>IFERROR(SUM(SUMIFS('caseload data'!Q:Q,'caseload data'!$C:$C,'community %'!$B$64,'caseload data'!$D:$D,"SPO",'caseload data'!$B:$B,{"licence","community"}))/SUM(SUMIFS('caseload data'!Q:Q,'caseload data'!$B:$B,{"licence","community"},'caseload data'!$C:$C,'community %'!$B$64)),"")</f>
        <v/>
      </c>
      <c r="P69" s="209" t="str">
        <f>IFERROR(SUM(SUMIFS('caseload data'!R:R,'caseload data'!$C:$C,'community %'!$B$64,'caseload data'!$D:$D,"SPO",'caseload data'!$B:$B,{"licence","community"}))/SUM(SUMIFS('caseload data'!R:R,'caseload data'!$B:$B,{"licence","community"},'caseload data'!$C:$C,'community %'!$B$64)),"")</f>
        <v/>
      </c>
      <c r="Q69" s="209" t="str">
        <f>IFERROR(SUM(SUMIFS('caseload data'!S:S,'caseload data'!$C:$C,'community %'!$B$64,'caseload data'!$D:$D,"SPO",'caseload data'!$B:$B,{"licence","community"}))/SUM(SUMIFS('caseload data'!S:S,'caseload data'!$B:$B,{"licence","community"},'caseload data'!$C:$C,'community %'!$B$64)),"")</f>
        <v/>
      </c>
      <c r="R69" s="209" t="str">
        <f>IFERROR(SUM(SUMIFS('caseload data'!T:T,'caseload data'!$C:$C,'community %'!$B$64,'caseload data'!$D:$D,"SPO",'caseload data'!$B:$B,{"licence","community"}))/SUM(SUMIFS('caseload data'!T:T,'caseload data'!$B:$B,{"licence","community"},'caseload data'!$C:$C,'community %'!$B$64)),"")</f>
        <v/>
      </c>
      <c r="S69" s="95"/>
      <c r="T69" s="131" t="s">
        <v>187</v>
      </c>
      <c r="U69" s="209" t="str">
        <f>IFERROR(SUM(SUMIFS('caseload data'!E:E,'caseload data'!$C:$C,'community %'!$T$64,'caseload data'!$D:$D,"SPO",'caseload data'!$B:$B,{"licence","community"}))/SUM(SUMIFS('caseload data'!E:E,'caseload data'!$B:$B,{"licence","community"},'caseload data'!$C:$C,'community %'!$T$64)),"")</f>
        <v/>
      </c>
      <c r="V69" s="209" t="str">
        <f>IFERROR(SUM(SUMIFS('caseload data'!F:F,'caseload data'!$C:$C,'community %'!$T$64,'caseload data'!$D:$D,"SPO",'caseload data'!$B:$B,{"licence","community"}))/SUM(SUMIFS('caseload data'!F:F,'caseload data'!$B:$B,{"licence","community"},'caseload data'!$C:$C,'community %'!$T$64)),"")</f>
        <v/>
      </c>
      <c r="W69" s="209" t="str">
        <f>IFERROR(SUM(SUMIFS('caseload data'!G:G,'caseload data'!$C:$C,'community %'!$T$64,'caseload data'!$D:$D,"SPO",'caseload data'!$B:$B,{"licence","community"}))/SUM(SUMIFS('caseload data'!G:G,'caseload data'!$B:$B,{"licence","community"},'caseload data'!$C:$C,'community %'!$T$64)),"")</f>
        <v/>
      </c>
      <c r="X69" s="209" t="str">
        <f>IFERROR(SUM(SUMIFS('caseload data'!H:H,'caseload data'!$C:$C,'community %'!$T$64,'caseload data'!$D:$D,"SPO",'caseload data'!$B:$B,{"licence","community"}))/SUM(SUMIFS('caseload data'!H:H,'caseload data'!$B:$B,{"licence","community"},'caseload data'!$C:$C,'community %'!$T$64)),"")</f>
        <v/>
      </c>
      <c r="Y69" s="209" t="str">
        <f>IFERROR(SUM(SUMIFS('caseload data'!I:I,'caseload data'!$C:$C,'community %'!$T$64,'caseload data'!$D:$D,"SPO",'caseload data'!$B:$B,{"licence","community"}))/SUM(SUMIFS('caseload data'!I:I,'caseload data'!$B:$B,{"licence","community"},'caseload data'!$C:$C,'community %'!$T$64)),"")</f>
        <v/>
      </c>
      <c r="Z69" s="209" t="str">
        <f>IFERROR(SUM(SUMIFS('caseload data'!J:J,'caseload data'!$C:$C,'community %'!$T$64,'caseload data'!$D:$D,"SPO",'caseload data'!$B:$B,{"licence","community"}))/SUM(SUMIFS('caseload data'!J:J,'caseload data'!$B:$B,{"licence","community"},'caseload data'!$C:$C,'community %'!$T$64)),"")</f>
        <v/>
      </c>
      <c r="AA69" s="209" t="str">
        <f>IFERROR(SUM(SUMIFS('caseload data'!K:K,'caseload data'!$C:$C,'community %'!$T$64,'caseload data'!$D:$D,"SPO",'caseload data'!$B:$B,{"licence","community"}))/SUM(SUMIFS('caseload data'!K:K,'caseload data'!$B:$B,{"licence","community"},'caseload data'!$C:$C,'community %'!$T$64)),"")</f>
        <v/>
      </c>
      <c r="AB69" s="209" t="str">
        <f>IFERROR(SUM(SUMIFS('caseload data'!L:L,'caseload data'!$C:$C,'community %'!$T$64,'caseload data'!$D:$D,"SPO",'caseload data'!$B:$B,{"licence","community"}))/SUM(SUMIFS('caseload data'!L:L,'caseload data'!$B:$B,{"licence","community"},'caseload data'!$C:$C,'community %'!$T$64)),"")</f>
        <v/>
      </c>
      <c r="AC69" s="209" t="str">
        <f>IFERROR(SUM(SUMIFS('caseload data'!M:M,'caseload data'!$C:$C,'community %'!$T$64,'caseload data'!$D:$D,"SPO",'caseload data'!$B:$B,{"licence","community"}))/SUM(SUMIFS('caseload data'!M:M,'caseload data'!$B:$B,{"licence","community"},'caseload data'!$C:$C,'community %'!$T$64)),"")</f>
        <v/>
      </c>
      <c r="AD69" s="209" t="str">
        <f>IFERROR(SUM(SUMIFS('caseload data'!N:N,'caseload data'!$C:$C,'community %'!$T$64,'caseload data'!$D:$D,"SPO",'caseload data'!$B:$B,{"licence","community"}))/SUM(SUMIFS('caseload data'!N:N,'caseload data'!$B:$B,{"licence","community"},'caseload data'!$C:$C,'community %'!$T$64)),"")</f>
        <v/>
      </c>
      <c r="AE69" s="209" t="str">
        <f>IFERROR(SUM(SUMIFS('caseload data'!O:O,'caseload data'!$C:$C,'community %'!$T$64,'caseload data'!$D:$D,"SPO",'caseload data'!$B:$B,{"licence","community"}))/SUM(SUMIFS('caseload data'!O:O,'caseload data'!$B:$B,{"licence","community"},'caseload data'!$C:$C,'community %'!$T$64)),"")</f>
        <v/>
      </c>
      <c r="AF69" s="209" t="str">
        <f>IFERROR(SUM(SUMIFS('caseload data'!P:P,'caseload data'!$C:$C,'community %'!$T$64,'caseload data'!$D:$D,"SPO",'caseload data'!$B:$B,{"licence","community"}))/SUM(SUMIFS('caseload data'!P:P,'caseload data'!$B:$B,{"licence","community"},'caseload data'!$C:$C,'community %'!$T$64)),"")</f>
        <v/>
      </c>
      <c r="AG69" s="209" t="str">
        <f>IFERROR(SUM(SUMIFS('caseload data'!Q:Q,'caseload data'!$C:$C,'community %'!$T$64,'caseload data'!$D:$D,"SPO",'caseload data'!$B:$B,{"licence","community"}))/SUM(SUMIFS('caseload data'!Q:Q,'caseload data'!$B:$B,{"licence","community"},'caseload data'!$C:$C,'community %'!$T$64)),"")</f>
        <v/>
      </c>
      <c r="AH69" s="209" t="str">
        <f>IFERROR(SUM(SUMIFS('caseload data'!R:R,'caseload data'!$C:$C,'community %'!$T$64,'caseload data'!$D:$D,"SPO",'caseload data'!$B:$B,{"licence","community"}))/SUM(SUMIFS('caseload data'!R:R,'caseload data'!$B:$B,{"licence","community"},'caseload data'!$C:$C,'community %'!$T$64)),"")</f>
        <v/>
      </c>
      <c r="AI69" s="209" t="str">
        <f>IFERROR(SUM(SUMIFS('caseload data'!S:S,'caseload data'!$C:$C,'community %'!$T$64,'caseload data'!$D:$D,"SPO",'caseload data'!$B:$B,{"licence","community"}))/SUM(SUMIFS('caseload data'!S:S,'caseload data'!$B:$B,{"licence","community"},'caseload data'!$C:$C,'community %'!$T$64)),"")</f>
        <v/>
      </c>
      <c r="AJ69" s="209" t="str">
        <f>IFERROR(SUM(SUMIFS('caseload data'!T:T,'caseload data'!$C:$C,'community %'!$T$64,'caseload data'!$D:$D,"SPO",'caseload data'!$B:$B,{"licence","community"}))/SUM(SUMIFS('caseload data'!T:T,'caseload data'!$B:$B,{"licence","community"},'caseload data'!$C:$C,'community %'!$T$64)),"")</f>
        <v/>
      </c>
    </row>
    <row r="71" spans="2:36" x14ac:dyDescent="0.15">
      <c r="B71" s="182" t="str">
        <f>HLOOKUP($B$5,Region_Table,20,0)</f>
        <v>Lewisham and Bromley</v>
      </c>
      <c r="C71" s="359" t="s">
        <v>370</v>
      </c>
      <c r="D71" s="365"/>
      <c r="E71" s="365"/>
      <c r="F71" s="365"/>
      <c r="G71" s="365"/>
      <c r="H71" s="365"/>
      <c r="I71" s="365"/>
      <c r="J71" s="365"/>
      <c r="K71" s="365"/>
      <c r="L71" s="365"/>
      <c r="M71" s="368"/>
      <c r="N71" s="368"/>
      <c r="O71" s="369"/>
      <c r="P71" s="362" cm="1">
        <f t="array" ref="P71">SUM(SUMIFS('caseload data'!V:V,'caseload data'!B:B,{"licence","community"},'caseload data'!$C:$C,B71))</f>
        <v>0</v>
      </c>
      <c r="Q71" s="370"/>
      <c r="R71" s="371"/>
    </row>
    <row r="72" spans="2:36" x14ac:dyDescent="0.15">
      <c r="B72" s="127" t="s">
        <v>324</v>
      </c>
      <c r="C72" s="58" t="s">
        <v>504</v>
      </c>
      <c r="D72" s="58" t="s">
        <v>503</v>
      </c>
      <c r="E72" s="58" t="s">
        <v>502</v>
      </c>
      <c r="F72" s="58" t="s">
        <v>501</v>
      </c>
      <c r="G72" s="58" t="s">
        <v>510</v>
      </c>
      <c r="H72" s="58" t="s">
        <v>176</v>
      </c>
      <c r="I72" s="58" t="s">
        <v>177</v>
      </c>
      <c r="J72" s="58" t="s">
        <v>505</v>
      </c>
      <c r="K72" s="58" t="s">
        <v>507</v>
      </c>
      <c r="L72" s="58" t="s">
        <v>178</v>
      </c>
      <c r="M72" s="58" t="s">
        <v>179</v>
      </c>
      <c r="N72" s="58" t="s">
        <v>506</v>
      </c>
      <c r="O72" s="58" t="s">
        <v>508</v>
      </c>
      <c r="P72" s="58" t="s">
        <v>180</v>
      </c>
      <c r="Q72" s="58" t="s">
        <v>181</v>
      </c>
      <c r="R72" s="58" t="s">
        <v>509</v>
      </c>
    </row>
    <row r="73" spans="2:36" x14ac:dyDescent="0.15">
      <c r="B73" s="129" t="s">
        <v>184</v>
      </c>
      <c r="C73" s="209" t="str">
        <f>IFERROR(SUM(SUMIFS('caseload data'!E:E,'caseload data'!$C:$C,'community %'!$B$71,'caseload data'!$D:$D,"PO",'caseload data'!$B:$B,{"licence","community"}))/SUM(SUMIFS('caseload data'!E:E,'caseload data'!$B:$B,{"licence","community"},'caseload data'!$C:$C,'community %'!$B$71)),"")</f>
        <v/>
      </c>
      <c r="D73" s="209" t="str">
        <f>IFERROR(SUM(SUMIFS('caseload data'!F:F,'caseload data'!$C:$C,'community %'!$B$71,'caseload data'!$D:$D,"PO",'caseload data'!$B:$B,{"licence","community"}))/SUM(SUMIFS('caseload data'!F:F,'caseload data'!$B:$B,{"licence","community"},'caseload data'!$C:$C,'community %'!$B$71)),"")</f>
        <v/>
      </c>
      <c r="E73" s="209" t="str">
        <f>IFERROR(SUM(SUMIFS('caseload data'!G:G,'caseload data'!$C:$C,'community %'!$B$71,'caseload data'!$D:$D,"PO",'caseload data'!$B:$B,{"licence","community"}))/SUM(SUMIFS('caseload data'!G:G,'caseload data'!$B:$B,{"licence","community"},'caseload data'!$C:$C,'community %'!$B$71)),"")</f>
        <v/>
      </c>
      <c r="F73" s="209" t="str">
        <f>IFERROR(SUM(SUMIFS('caseload data'!H:H,'caseload data'!$C:$C,'community %'!$B$71,'caseload data'!$D:$D,"PO",'caseload data'!$B:$B,{"licence","community"}))/SUM(SUMIFS('caseload data'!H:H,'caseload data'!$B:$B,{"licence","community"},'caseload data'!$C:$C,'community %'!$B$71)),"")</f>
        <v/>
      </c>
      <c r="G73" s="209" t="str">
        <f>IFERROR(SUM(SUMIFS('caseload data'!I:I,'caseload data'!$C:$C,'community %'!$B$71,'caseload data'!$D:$D,"PO",'caseload data'!$B:$B,{"licence","community"}))/SUM(SUMIFS('caseload data'!I:I,'caseload data'!$B:$B,{"licence","community"},'caseload data'!$C:$C,'community %'!$B$71)),"")</f>
        <v/>
      </c>
      <c r="H73" s="209" t="str">
        <f>IFERROR(SUM(SUMIFS('caseload data'!J:J,'caseload data'!$C:$C,'community %'!$B$71,'caseload data'!$D:$D,"PO",'caseload data'!$B:$B,{"licence","community"}))/SUM(SUMIFS('caseload data'!J:J,'caseload data'!$B:$B,{"licence","community"},'caseload data'!$C:$C,'community %'!$B$71)),"")</f>
        <v/>
      </c>
      <c r="I73" s="209" t="str">
        <f>IFERROR(SUM(SUMIFS('caseload data'!K:K,'caseload data'!$C:$C,'community %'!$B$71,'caseload data'!$D:$D,"PO",'caseload data'!$B:$B,{"licence","community"}))/SUM(SUMIFS('caseload data'!K:K,'caseload data'!$B:$B,{"licence","community"},'caseload data'!$C:$C,'community %'!$B$71)),"")</f>
        <v/>
      </c>
      <c r="J73" s="209" t="str">
        <f>IFERROR(SUM(SUMIFS('caseload data'!L:L,'caseload data'!$C:$C,'community %'!$B$71,'caseload data'!$D:$D,"PO",'caseload data'!$B:$B,{"licence","community"}))/SUM(SUMIFS('caseload data'!L:L,'caseload data'!$B:$B,{"licence","community"},'caseload data'!$C:$C,'community %'!$B$71)),"")</f>
        <v/>
      </c>
      <c r="K73" s="209" t="str">
        <f>IFERROR(SUM(SUMIFS('caseload data'!M:M,'caseload data'!$C:$C,'community %'!$B$71,'caseload data'!$D:$D,"PO",'caseload data'!$B:$B,{"licence","community"}))/SUM(SUMIFS('caseload data'!M:M,'caseload data'!$B:$B,{"licence","community"},'caseload data'!$C:$C,'community %'!$B$71)),"")</f>
        <v/>
      </c>
      <c r="L73" s="209" t="str">
        <f>IFERROR(SUM(SUMIFS('caseload data'!N:N,'caseload data'!$C:$C,'community %'!$B$71,'caseload data'!$D:$D,"PO",'caseload data'!$B:$B,{"licence","community"}))/SUM(SUMIFS('caseload data'!N:N,'caseload data'!$B:$B,{"licence","community"},'caseload data'!$C:$C,'community %'!$B$71)),"")</f>
        <v/>
      </c>
      <c r="M73" s="209" t="str">
        <f>IFERROR(SUM(SUMIFS('caseload data'!O:O,'caseload data'!$C:$C,'community %'!$B$71,'caseload data'!$D:$D,"PO",'caseload data'!$B:$B,{"licence","community"}))/SUM(SUMIFS('caseload data'!O:O,'caseload data'!$B:$B,{"licence","community"},'caseload data'!$C:$C,'community %'!$B$71)),"")</f>
        <v/>
      </c>
      <c r="N73" s="209" t="str">
        <f>IFERROR(SUM(SUMIFS('caseload data'!P:P,'caseload data'!$C:$C,'community %'!$B$71,'caseload data'!$D:$D,"PO",'caseload data'!$B:$B,{"licence","community"}))/SUM(SUMIFS('caseload data'!P:P,'caseload data'!$B:$B,{"licence","community"},'caseload data'!$C:$C,'community %'!$B$71)),"")</f>
        <v/>
      </c>
      <c r="O73" s="209" t="str">
        <f>IFERROR(SUM(SUMIFS('caseload data'!Q:Q,'caseload data'!$C:$C,'community %'!$B$71,'caseload data'!$D:$D,"PO",'caseload data'!$B:$B,{"licence","community"}))/SUM(SUMIFS('caseload data'!Q:Q,'caseload data'!$B:$B,{"licence","community"},'caseload data'!$C:$C,'community %'!$B$71)),"")</f>
        <v/>
      </c>
      <c r="P73" s="209" t="str">
        <f>IFERROR(SUM(SUMIFS('caseload data'!R:R,'caseload data'!$C:$C,'community %'!$B$71,'caseload data'!$D:$D,"PO",'caseload data'!$B:$B,{"licence","community"}))/SUM(SUMIFS('caseload data'!R:R,'caseload data'!$B:$B,{"licence","community"},'caseload data'!$C:$C,'community %'!$B$71)),"")</f>
        <v/>
      </c>
      <c r="Q73" s="209" t="str">
        <f>IFERROR(SUM(SUMIFS('caseload data'!S:S,'caseload data'!$C:$C,'community %'!$B$71,'caseload data'!$D:$D,"PO",'caseload data'!$B:$B,{"licence","community"}))/SUM(SUMIFS('caseload data'!S:S,'caseload data'!$B:$B,{"licence","community"},'caseload data'!$C:$C,'community %'!$B$71)),"")</f>
        <v/>
      </c>
      <c r="R73" s="209" t="str">
        <f>IFERROR(SUM(SUMIFS('caseload data'!T:T,'caseload data'!$C:$C,'community %'!$B$71,'caseload data'!$D:$D,"PO",'caseload data'!$B:$B,{"licence","community"}))/SUM(SUMIFS('caseload data'!T:T,'caseload data'!$B:$B,{"licence","community"},'caseload data'!$C:$C,'community %'!$B$71)),"")</f>
        <v/>
      </c>
    </row>
    <row r="74" spans="2:36" x14ac:dyDescent="0.15">
      <c r="B74" s="130" t="s">
        <v>185</v>
      </c>
      <c r="C74" s="209" t="str">
        <f>IFERROR(SUM(SUMIFS('caseload data'!E:E,'caseload data'!$C:$C,'community %'!$B$71,'caseload data'!$D:$D,"PSO",'caseload data'!$B:$B,{"licence","community"}))/SUM(SUMIFS('caseload data'!E:E,'caseload data'!$B:$B,{"licence","community"},'caseload data'!$C:$C,'community %'!$B$71)),"")</f>
        <v/>
      </c>
      <c r="D74" s="209" t="str">
        <f>IFERROR(SUM(SUMIFS('caseload data'!F:F,'caseload data'!$C:$C,'community %'!$B$71,'caseload data'!$D:$D,"PSO",'caseload data'!$B:$B,{"licence","community"}))/SUM(SUMIFS('caseload data'!F:F,'caseload data'!$B:$B,{"licence","community"},'caseload data'!$C:$C,'community %'!$B$71)),"")</f>
        <v/>
      </c>
      <c r="E74" s="209" t="str">
        <f>IFERROR(SUM(SUMIFS('caseload data'!G:G,'caseload data'!$C:$C,'community %'!$B$71,'caseload data'!$D:$D,"PSO",'caseload data'!$B:$B,{"licence","community"}))/SUM(SUMIFS('caseload data'!G:G,'caseload data'!$B:$B,{"licence","community"},'caseload data'!$C:$C,'community %'!$B$71)),"")</f>
        <v/>
      </c>
      <c r="F74" s="209" t="str">
        <f>IFERROR(SUM(SUMIFS('caseload data'!H:H,'caseload data'!$C:$C,'community %'!$B$71,'caseload data'!$D:$D,"PSO",'caseload data'!$B:$B,{"licence","community"}))/SUM(SUMIFS('caseload data'!H:H,'caseload data'!$B:$B,{"licence","community"},'caseload data'!$C:$C,'community %'!$B$71)),"")</f>
        <v/>
      </c>
      <c r="G74" s="209" t="str">
        <f>IFERROR(SUM(SUMIFS('caseload data'!I:I,'caseload data'!$C:$C,'community %'!$B$71,'caseload data'!$D:$D,"PSO",'caseload data'!$B:$B,{"licence","community"}))/SUM(SUMIFS('caseload data'!I:I,'caseload data'!$B:$B,{"licence","community"},'caseload data'!$C:$C,'community %'!$B$71)),"")</f>
        <v/>
      </c>
      <c r="H74" s="209" t="str">
        <f>IFERROR(SUM(SUMIFS('caseload data'!J:J,'caseload data'!$C:$C,'community %'!$B$71,'caseload data'!$D:$D,"PSO",'caseload data'!$B:$B,{"licence","community"}))/SUM(SUMIFS('caseload data'!J:J,'caseload data'!$B:$B,{"licence","community"},'caseload data'!$C:$C,'community %'!$B$71)),"")</f>
        <v/>
      </c>
      <c r="I74" s="209" t="str">
        <f>IFERROR(SUM(SUMIFS('caseload data'!K:K,'caseload data'!$C:$C,'community %'!$B$71,'caseload data'!$D:$D,"PSO",'caseload data'!$B:$B,{"licence","community"}))/SUM(SUMIFS('caseload data'!K:K,'caseload data'!$B:$B,{"licence","community"},'caseload data'!$C:$C,'community %'!$B$71)),"")</f>
        <v/>
      </c>
      <c r="J74" s="209" t="str">
        <f>IFERROR(SUM(SUMIFS('caseload data'!L:L,'caseload data'!$C:$C,'community %'!$B$71,'caseload data'!$D:$D,"PSO",'caseload data'!$B:$B,{"licence","community"}))/SUM(SUMIFS('caseload data'!L:L,'caseload data'!$B:$B,{"licence","community"},'caseload data'!$C:$C,'community %'!$B$71)),"")</f>
        <v/>
      </c>
      <c r="K74" s="209" t="str">
        <f>IFERROR(SUM(SUMIFS('caseload data'!M:M,'caseload data'!$C:$C,'community %'!$B$71,'caseload data'!$D:$D,"PSO",'caseload data'!$B:$B,{"licence","community"}))/SUM(SUMIFS('caseload data'!M:M,'caseload data'!$B:$B,{"licence","community"},'caseload data'!$C:$C,'community %'!$B$71)),"")</f>
        <v/>
      </c>
      <c r="L74" s="209" t="str">
        <f>IFERROR(SUM(SUMIFS('caseload data'!N:N,'caseload data'!$C:$C,'community %'!$B$71,'caseload data'!$D:$D,"PSO",'caseload data'!$B:$B,{"licence","community"}))/SUM(SUMIFS('caseload data'!N:N,'caseload data'!$B:$B,{"licence","community"},'caseload data'!$C:$C,'community %'!$B$71)),"")</f>
        <v/>
      </c>
      <c r="M74" s="209" t="str">
        <f>IFERROR(SUM(SUMIFS('caseload data'!O:O,'caseload data'!$C:$C,'community %'!$B$71,'caseload data'!$D:$D,"PSO",'caseload data'!$B:$B,{"licence","community"}))/SUM(SUMIFS('caseload data'!O:O,'caseload data'!$B:$B,{"licence","community"},'caseload data'!$C:$C,'community %'!$B$71)),"")</f>
        <v/>
      </c>
      <c r="N74" s="209" t="str">
        <f>IFERROR(SUM(SUMIFS('caseload data'!P:P,'caseload data'!$C:$C,'community %'!$B$71,'caseload data'!$D:$D,"PSO",'caseload data'!$B:$B,{"licence","community"}))/SUM(SUMIFS('caseload data'!P:P,'caseload data'!$B:$B,{"licence","community"},'caseload data'!$C:$C,'community %'!$B$71)),"")</f>
        <v/>
      </c>
      <c r="O74" s="209" t="str">
        <f>IFERROR(SUM(SUMIFS('caseload data'!Q:Q,'caseload data'!$C:$C,'community %'!$B$71,'caseload data'!$D:$D,"PSO",'caseload data'!$B:$B,{"licence","community"}))/SUM(SUMIFS('caseload data'!Q:Q,'caseload data'!$B:$B,{"licence","community"},'caseload data'!$C:$C,'community %'!$B$71)),"")</f>
        <v/>
      </c>
      <c r="P74" s="209" t="str">
        <f>IFERROR(SUM(SUMIFS('caseload data'!R:R,'caseload data'!$C:$C,'community %'!$B$71,'caseload data'!$D:$D,"PSO",'caseload data'!$B:$B,{"licence","community"}))/SUM(SUMIFS('caseload data'!R:R,'caseload data'!$B:$B,{"licence","community"},'caseload data'!$C:$C,'community %'!$B$71)),"")</f>
        <v/>
      </c>
      <c r="Q74" s="209" t="str">
        <f>IFERROR(SUM(SUMIFS('caseload data'!S:S,'caseload data'!$C:$C,'community %'!$B$71,'caseload data'!$D:$D,"PSO",'caseload data'!$B:$B,{"licence","community"}))/SUM(SUMIFS('caseload data'!S:S,'caseload data'!$B:$B,{"licence","community"},'caseload data'!$C:$C,'community %'!$B$71)),"")</f>
        <v/>
      </c>
      <c r="R74" s="209" t="str">
        <f>IFERROR(SUM(SUMIFS('caseload data'!T:T,'caseload data'!$C:$C,'community %'!$B$71,'caseload data'!$D:$D,"PSO",'caseload data'!$B:$B,{"licence","community"}))/SUM(SUMIFS('caseload data'!T:T,'caseload data'!$B:$B,{"licence","community"},'caseload data'!$C:$C,'community %'!$B$71)),"")</f>
        <v/>
      </c>
    </row>
    <row r="75" spans="2:36" x14ac:dyDescent="0.15">
      <c r="B75" s="130" t="s">
        <v>186</v>
      </c>
      <c r="C75" s="209" t="str">
        <f>IFERROR(SUM(SUMIFS('caseload data'!E:E,'caseload data'!$C:$C,'community %'!$B$71,'caseload data'!$D:$D,"TPO",'caseload data'!$B:$B,{"licence","community"}))/SUM(SUMIFS('caseload data'!E:E,'caseload data'!$B:$B,{"licence","community"},'caseload data'!$C:$C,'community %'!$B$71)),"")</f>
        <v/>
      </c>
      <c r="D75" s="209" t="str">
        <f>IFERROR(SUM(SUMIFS('caseload data'!F:F,'caseload data'!$C:$C,'community %'!$B$71,'caseload data'!$D:$D,"TPO",'caseload data'!$B:$B,{"licence","community"}))/SUM(SUMIFS('caseload data'!F:F,'caseload data'!$B:$B,{"licence","community"},'caseload data'!$C:$C,'community %'!$B$71)),"")</f>
        <v/>
      </c>
      <c r="E75" s="209" t="str">
        <f>IFERROR(SUM(SUMIFS('caseload data'!G:G,'caseload data'!$C:$C,'community %'!$B$71,'caseload data'!$D:$D,"TPO",'caseload data'!$B:$B,{"licence","community"}))/SUM(SUMIFS('caseload data'!G:G,'caseload data'!$B:$B,{"licence","community"},'caseload data'!$C:$C,'community %'!$B$71)),"")</f>
        <v/>
      </c>
      <c r="F75" s="209" t="str">
        <f>IFERROR(SUM(SUMIFS('caseload data'!H:H,'caseload data'!$C:$C,'community %'!$B$71,'caseload data'!$D:$D,"TPO",'caseload data'!$B:$B,{"licence","community"}))/SUM(SUMIFS('caseload data'!H:H,'caseload data'!$B:$B,{"licence","community"},'caseload data'!$C:$C,'community %'!$B$71)),"")</f>
        <v/>
      </c>
      <c r="G75" s="209" t="str">
        <f>IFERROR(SUM(SUMIFS('caseload data'!I:I,'caseload data'!$C:$C,'community %'!$B$71,'caseload data'!$D:$D,"TPO",'caseload data'!$B:$B,{"licence","community"}))/SUM(SUMIFS('caseload data'!I:I,'caseload data'!$B:$B,{"licence","community"},'caseload data'!$C:$C,'community %'!$B$71)),"")</f>
        <v/>
      </c>
      <c r="H75" s="209" t="str">
        <f>IFERROR(SUM(SUMIFS('caseload data'!J:J,'caseload data'!$C:$C,'community %'!$B$71,'caseload data'!$D:$D,"TPO",'caseload data'!$B:$B,{"licence","community"}))/SUM(SUMIFS('caseload data'!J:J,'caseload data'!$B:$B,{"licence","community"},'caseload data'!$C:$C,'community %'!$B$71)),"")</f>
        <v/>
      </c>
      <c r="I75" s="209" t="str">
        <f>IFERROR(SUM(SUMIFS('caseload data'!K:K,'caseload data'!$C:$C,'community %'!$B$71,'caseload data'!$D:$D,"TPO",'caseload data'!$B:$B,{"licence","community"}))/SUM(SUMIFS('caseload data'!K:K,'caseload data'!$B:$B,{"licence","community"},'caseload data'!$C:$C,'community %'!$B$71)),"")</f>
        <v/>
      </c>
      <c r="J75" s="209" t="str">
        <f>IFERROR(SUM(SUMIFS('caseload data'!L:L,'caseload data'!$C:$C,'community %'!$B$71,'caseload data'!$D:$D,"TPO",'caseload data'!$B:$B,{"licence","community"}))/SUM(SUMIFS('caseload data'!L:L,'caseload data'!$B:$B,{"licence","community"},'caseload data'!$C:$C,'community %'!$B$71)),"")</f>
        <v/>
      </c>
      <c r="K75" s="209" t="str">
        <f>IFERROR(SUM(SUMIFS('caseload data'!M:M,'caseload data'!$C:$C,'community %'!$B$71,'caseload data'!$D:$D,"TPO",'caseload data'!$B:$B,{"licence","community"}))/SUM(SUMIFS('caseload data'!M:M,'caseload data'!$B:$B,{"licence","community"},'caseload data'!$C:$C,'community %'!$B$71)),"")</f>
        <v/>
      </c>
      <c r="L75" s="209" t="str">
        <f>IFERROR(SUM(SUMIFS('caseload data'!N:N,'caseload data'!$C:$C,'community %'!$B$71,'caseload data'!$D:$D,"TPO",'caseload data'!$B:$B,{"licence","community"}))/SUM(SUMIFS('caseload data'!N:N,'caseload data'!$B:$B,{"licence","community"},'caseload data'!$C:$C,'community %'!$B$71)),"")</f>
        <v/>
      </c>
      <c r="M75" s="209" t="str">
        <f>IFERROR(SUM(SUMIFS('caseload data'!O:O,'caseload data'!$C:$C,'community %'!$B$71,'caseload data'!$D:$D,"TPO",'caseload data'!$B:$B,{"licence","community"}))/SUM(SUMIFS('caseload data'!O:O,'caseload data'!$B:$B,{"licence","community"},'caseload data'!$C:$C,'community %'!$B$71)),"")</f>
        <v/>
      </c>
      <c r="N75" s="209" t="str">
        <f>IFERROR(SUM(SUMIFS('caseload data'!P:P,'caseload data'!$C:$C,'community %'!$B$71,'caseload data'!$D:$D,"TPO",'caseload data'!$B:$B,{"licence","community"}))/SUM(SUMIFS('caseload data'!P:P,'caseload data'!$B:$B,{"licence","community"},'caseload data'!$C:$C,'community %'!$B$71)),"")</f>
        <v/>
      </c>
      <c r="O75" s="209" t="str">
        <f>IFERROR(SUM(SUMIFS('caseload data'!Q:Q,'caseload data'!$C:$C,'community %'!$B$71,'caseload data'!$D:$D,"TPO",'caseload data'!$B:$B,{"licence","community"}))/SUM(SUMIFS('caseload data'!Q:Q,'caseload data'!$B:$B,{"licence","community"},'caseload data'!$C:$C,'community %'!$B$71)),"")</f>
        <v/>
      </c>
      <c r="P75" s="209" t="str">
        <f>IFERROR(SUM(SUMIFS('caseload data'!R:R,'caseload data'!$C:$C,'community %'!$B$71,'caseload data'!$D:$D,"TPO",'caseload data'!$B:$B,{"licence","community"}))/SUM(SUMIFS('caseload data'!R:R,'caseload data'!$B:$B,{"licence","community"},'caseload data'!$C:$C,'community %'!$B$71)),"")</f>
        <v/>
      </c>
      <c r="Q75" s="209" t="str">
        <f>IFERROR(SUM(SUMIFS('caseload data'!S:S,'caseload data'!$C:$C,'community %'!$B$71,'caseload data'!$D:$D,"TPO",'caseload data'!$B:$B,{"licence","community"}))/SUM(SUMIFS('caseload data'!S:S,'caseload data'!$B:$B,{"licence","community"},'caseload data'!$C:$C,'community %'!$B$71)),"")</f>
        <v/>
      </c>
      <c r="R75" s="209" t="str">
        <f>IFERROR(SUM(SUMIFS('caseload data'!T:T,'caseload data'!$C:$C,'community %'!$B$71,'caseload data'!$D:$D,"TPO",'caseload data'!$B:$B,{"licence","community"}))/SUM(SUMIFS('caseload data'!T:T,'caseload data'!$B:$B,{"licence","community"},'caseload data'!$C:$C,'community %'!$B$71)),"")</f>
        <v/>
      </c>
    </row>
    <row r="76" spans="2:36" x14ac:dyDescent="0.15">
      <c r="B76" s="131" t="s">
        <v>187</v>
      </c>
      <c r="C76" s="209" t="str">
        <f>IFERROR(SUM(SUMIFS('caseload data'!E:E,'caseload data'!$C:$C,'community %'!$B$71,'caseload data'!$D:$D,"SPO",'caseload data'!$B:$B,{"licence","community"}))/SUM(SUMIFS('caseload data'!E:E,'caseload data'!$B:$B,{"licence","community"},'caseload data'!$C:$C,'community %'!$B$71)),"")</f>
        <v/>
      </c>
      <c r="D76" s="209" t="str">
        <f>IFERROR(SUM(SUMIFS('caseload data'!F:F,'caseload data'!$C:$C,'community %'!$B$71,'caseload data'!$D:$D,"SPO",'caseload data'!$B:$B,{"licence","community"}))/SUM(SUMIFS('caseload data'!F:F,'caseload data'!$B:$B,{"licence","community"},'caseload data'!$C:$C,'community %'!$B$71)),"")</f>
        <v/>
      </c>
      <c r="E76" s="209" t="str">
        <f>IFERROR(SUM(SUMIFS('caseload data'!G:G,'caseload data'!$C:$C,'community %'!$B$71,'caseload data'!$D:$D,"SPO",'caseload data'!$B:$B,{"licence","community"}))/SUM(SUMIFS('caseload data'!G:G,'caseload data'!$B:$B,{"licence","community"},'caseload data'!$C:$C,'community %'!$B$71)),"")</f>
        <v/>
      </c>
      <c r="F76" s="209" t="str">
        <f>IFERROR(SUM(SUMIFS('caseload data'!H:H,'caseload data'!$C:$C,'community %'!$B$71,'caseload data'!$D:$D,"SPO",'caseload data'!$B:$B,{"licence","community"}))/SUM(SUMIFS('caseload data'!H:H,'caseload data'!$B:$B,{"licence","community"},'caseload data'!$C:$C,'community %'!$B$71)),"")</f>
        <v/>
      </c>
      <c r="G76" s="209" t="str">
        <f>IFERROR(SUM(SUMIFS('caseload data'!I:I,'caseload data'!$C:$C,'community %'!$B$71,'caseload data'!$D:$D,"SPO",'caseload data'!$B:$B,{"licence","community"}))/SUM(SUMIFS('caseload data'!I:I,'caseload data'!$B:$B,{"licence","community"},'caseload data'!$C:$C,'community %'!$B$71)),"")</f>
        <v/>
      </c>
      <c r="H76" s="209" t="str">
        <f>IFERROR(SUM(SUMIFS('caseload data'!J:J,'caseload data'!$C:$C,'community %'!$B$71,'caseload data'!$D:$D,"SPO",'caseload data'!$B:$B,{"licence","community"}))/SUM(SUMIFS('caseload data'!J:J,'caseload data'!$B:$B,{"licence","community"},'caseload data'!$C:$C,'community %'!$B$71)),"")</f>
        <v/>
      </c>
      <c r="I76" s="209" t="str">
        <f>IFERROR(SUM(SUMIFS('caseload data'!K:K,'caseload data'!$C:$C,'community %'!$B$71,'caseload data'!$D:$D,"SPO",'caseload data'!$B:$B,{"licence","community"}))/SUM(SUMIFS('caseload data'!K:K,'caseload data'!$B:$B,{"licence","community"},'caseload data'!$C:$C,'community %'!$B$71)),"")</f>
        <v/>
      </c>
      <c r="J76" s="209" t="str">
        <f>IFERROR(SUM(SUMIFS('caseload data'!L:L,'caseload data'!$C:$C,'community %'!$B$71,'caseload data'!$D:$D,"SPO",'caseload data'!$B:$B,{"licence","community"}))/SUM(SUMIFS('caseload data'!L:L,'caseload data'!$B:$B,{"licence","community"},'caseload data'!$C:$C,'community %'!$B$71)),"")</f>
        <v/>
      </c>
      <c r="K76" s="209" t="str">
        <f>IFERROR(SUM(SUMIFS('caseload data'!M:M,'caseload data'!$C:$C,'community %'!$B$71,'caseload data'!$D:$D,"SPO",'caseload data'!$B:$B,{"licence","community"}))/SUM(SUMIFS('caseload data'!M:M,'caseload data'!$B:$B,{"licence","community"},'caseload data'!$C:$C,'community %'!$B$71)),"")</f>
        <v/>
      </c>
      <c r="L76" s="209" t="str">
        <f>IFERROR(SUM(SUMIFS('caseload data'!N:N,'caseload data'!$C:$C,'community %'!$B$71,'caseload data'!$D:$D,"SPO",'caseload data'!$B:$B,{"licence","community"}))/SUM(SUMIFS('caseload data'!N:N,'caseload data'!$B:$B,{"licence","community"},'caseload data'!$C:$C,'community %'!$B$71)),"")</f>
        <v/>
      </c>
      <c r="M76" s="209" t="str">
        <f>IFERROR(SUM(SUMIFS('caseload data'!O:O,'caseload data'!$C:$C,'community %'!$B$71,'caseload data'!$D:$D,"SPO",'caseload data'!$B:$B,{"licence","community"}))/SUM(SUMIFS('caseload data'!O:O,'caseload data'!$B:$B,{"licence","community"},'caseload data'!$C:$C,'community %'!$B$71)),"")</f>
        <v/>
      </c>
      <c r="N76" s="209" t="str">
        <f>IFERROR(SUM(SUMIFS('caseload data'!P:P,'caseload data'!$C:$C,'community %'!$B$71,'caseload data'!$D:$D,"SPO",'caseload data'!$B:$B,{"licence","community"}))/SUM(SUMIFS('caseload data'!P:P,'caseload data'!$B:$B,{"licence","community"},'caseload data'!$C:$C,'community %'!$B$71)),"")</f>
        <v/>
      </c>
      <c r="O76" s="209" t="str">
        <f>IFERROR(SUM(SUMIFS('caseload data'!Q:Q,'caseload data'!$C:$C,'community %'!$B$71,'caseload data'!$D:$D,"SPO",'caseload data'!$B:$B,{"licence","community"}))/SUM(SUMIFS('caseload data'!Q:Q,'caseload data'!$B:$B,{"licence","community"},'caseload data'!$C:$C,'community %'!$B$71)),"")</f>
        <v/>
      </c>
      <c r="P76" s="209" t="str">
        <f>IFERROR(SUM(SUMIFS('caseload data'!R:R,'caseload data'!$C:$C,'community %'!$B$71,'caseload data'!$D:$D,"SPO",'caseload data'!$B:$B,{"licence","community"}))/SUM(SUMIFS('caseload data'!R:R,'caseload data'!$B:$B,{"licence","community"},'caseload data'!$C:$C,'community %'!$B$71)),"")</f>
        <v/>
      </c>
      <c r="Q76" s="209" t="str">
        <f>IFERROR(SUM(SUMIFS('caseload data'!S:S,'caseload data'!$C:$C,'community %'!$B$71,'caseload data'!$D:$D,"SPO",'caseload data'!$B:$B,{"licence","community"}))/SUM(SUMIFS('caseload data'!S:S,'caseload data'!$B:$B,{"licence","community"},'caseload data'!$C:$C,'community %'!$B$71)),"")</f>
        <v/>
      </c>
      <c r="R76" s="209" t="str">
        <f>IFERROR(SUM(SUMIFS('caseload data'!T:T,'caseload data'!$C:$C,'community %'!$B$71,'caseload data'!$D:$D,"SPO",'caseload data'!$B:$B,{"licence","community"}))/SUM(SUMIFS('caseload data'!T:T,'caseload data'!$B:$B,{"licence","community"},'caseload data'!$C:$C,'community %'!$B$71)),"")</f>
        <v/>
      </c>
    </row>
  </sheetData>
  <mergeCells count="40">
    <mergeCell ref="C64:O64"/>
    <mergeCell ref="P64:R64"/>
    <mergeCell ref="U64:AG64"/>
    <mergeCell ref="AH64:AJ64"/>
    <mergeCell ref="C71:O71"/>
    <mergeCell ref="P71:R71"/>
    <mergeCell ref="C8:O8"/>
    <mergeCell ref="P8:R8"/>
    <mergeCell ref="U8:AG8"/>
    <mergeCell ref="AH8:AJ8"/>
    <mergeCell ref="A1:AX1"/>
    <mergeCell ref="A2:AX2"/>
    <mergeCell ref="C15:O15"/>
    <mergeCell ref="P15:R15"/>
    <mergeCell ref="U15:AG15"/>
    <mergeCell ref="AH15:AJ15"/>
    <mergeCell ref="C22:O22"/>
    <mergeCell ref="P22:R22"/>
    <mergeCell ref="U22:AG22"/>
    <mergeCell ref="AH22:AJ22"/>
    <mergeCell ref="C29:O29"/>
    <mergeCell ref="P29:R29"/>
    <mergeCell ref="U29:AG29"/>
    <mergeCell ref="AH29:AJ29"/>
    <mergeCell ref="C36:O36"/>
    <mergeCell ref="P36:R36"/>
    <mergeCell ref="U36:AG36"/>
    <mergeCell ref="AH36:AJ36"/>
    <mergeCell ref="C57:O57"/>
    <mergeCell ref="P57:R57"/>
    <mergeCell ref="U57:AG57"/>
    <mergeCell ref="AH57:AJ57"/>
    <mergeCell ref="C43:O43"/>
    <mergeCell ref="P43:R43"/>
    <mergeCell ref="U43:AG43"/>
    <mergeCell ref="AH43:AJ43"/>
    <mergeCell ref="C50:O50"/>
    <mergeCell ref="P50:R50"/>
    <mergeCell ref="U50:AG50"/>
    <mergeCell ref="AH50:AJ50"/>
  </mergeCells>
  <conditionalFormatting sqref="C11:C12">
    <cfRule type="cellIs" dxfId="461" priority="455" operator="equal">
      <formula>0</formula>
    </cfRule>
    <cfRule type="cellIs" dxfId="460" priority="456" operator="notEqual">
      <formula>0</formula>
    </cfRule>
  </conditionalFormatting>
  <conditionalFormatting sqref="D11:D12">
    <cfRule type="cellIs" dxfId="459" priority="453" operator="equal">
      <formula>0</formula>
    </cfRule>
    <cfRule type="cellIs" dxfId="458" priority="454" operator="notEqual">
      <formula>0</formula>
    </cfRule>
  </conditionalFormatting>
  <conditionalFormatting sqref="E11:E12">
    <cfRule type="cellIs" dxfId="457" priority="451" operator="equal">
      <formula>0</formula>
    </cfRule>
    <cfRule type="cellIs" dxfId="456" priority="452" operator="notEqual">
      <formula>0</formula>
    </cfRule>
  </conditionalFormatting>
  <conditionalFormatting sqref="F11:F12">
    <cfRule type="cellIs" dxfId="455" priority="449" operator="equal">
      <formula>0</formula>
    </cfRule>
    <cfRule type="cellIs" dxfId="454" priority="450" operator="notEqual">
      <formula>0</formula>
    </cfRule>
  </conditionalFormatting>
  <conditionalFormatting sqref="G11:G12">
    <cfRule type="cellIs" dxfId="453" priority="447" operator="equal">
      <formula>0</formula>
    </cfRule>
    <cfRule type="cellIs" dxfId="452" priority="448" operator="notEqual">
      <formula>0</formula>
    </cfRule>
  </conditionalFormatting>
  <conditionalFormatting sqref="H11:H12">
    <cfRule type="cellIs" dxfId="451" priority="445" operator="equal">
      <formula>0</formula>
    </cfRule>
    <cfRule type="cellIs" dxfId="450" priority="446" operator="notEqual">
      <formula>0</formula>
    </cfRule>
  </conditionalFormatting>
  <conditionalFormatting sqref="I11:I12">
    <cfRule type="cellIs" dxfId="449" priority="443" operator="equal">
      <formula>0</formula>
    </cfRule>
    <cfRule type="cellIs" dxfId="448" priority="444" operator="notEqual">
      <formula>0</formula>
    </cfRule>
  </conditionalFormatting>
  <conditionalFormatting sqref="J11:J12">
    <cfRule type="cellIs" dxfId="447" priority="441" operator="equal">
      <formula>0</formula>
    </cfRule>
    <cfRule type="cellIs" dxfId="446" priority="442" operator="notEqual">
      <formula>0</formula>
    </cfRule>
  </conditionalFormatting>
  <conditionalFormatting sqref="O10">
    <cfRule type="cellIs" dxfId="445" priority="439" operator="equal">
      <formula>0</formula>
    </cfRule>
    <cfRule type="cellIs" dxfId="444" priority="440" operator="greaterThan">
      <formula>0</formula>
    </cfRule>
  </conditionalFormatting>
  <conditionalFormatting sqref="P10">
    <cfRule type="cellIs" dxfId="443" priority="437" operator="equal">
      <formula>0</formula>
    </cfRule>
    <cfRule type="cellIs" dxfId="442" priority="438" operator="greaterThan">
      <formula>0</formula>
    </cfRule>
  </conditionalFormatting>
  <conditionalFormatting sqref="Q10">
    <cfRule type="cellIs" dxfId="441" priority="435" operator="equal">
      <formula>0</formula>
    </cfRule>
    <cfRule type="cellIs" dxfId="440" priority="436" operator="greaterThan">
      <formula>0</formula>
    </cfRule>
  </conditionalFormatting>
  <conditionalFormatting sqref="R10">
    <cfRule type="cellIs" dxfId="439" priority="433" operator="equal">
      <formula>0</formula>
    </cfRule>
    <cfRule type="cellIs" dxfId="438" priority="434" operator="greaterThan">
      <formula>0</formula>
    </cfRule>
  </conditionalFormatting>
  <conditionalFormatting sqref="C18:C19">
    <cfRule type="cellIs" dxfId="437" priority="431" operator="equal">
      <formula>0</formula>
    </cfRule>
    <cfRule type="cellIs" dxfId="436" priority="432" operator="notEqual">
      <formula>0</formula>
    </cfRule>
  </conditionalFormatting>
  <conditionalFormatting sqref="D18:D19">
    <cfRule type="cellIs" dxfId="435" priority="429" operator="equal">
      <formula>0</formula>
    </cfRule>
    <cfRule type="cellIs" dxfId="434" priority="430" operator="notEqual">
      <formula>0</formula>
    </cfRule>
  </conditionalFormatting>
  <conditionalFormatting sqref="E18:E19">
    <cfRule type="cellIs" dxfId="433" priority="427" operator="equal">
      <formula>0</formula>
    </cfRule>
    <cfRule type="cellIs" dxfId="432" priority="428" operator="notEqual">
      <formula>0</formula>
    </cfRule>
  </conditionalFormatting>
  <conditionalFormatting sqref="F18:F19">
    <cfRule type="cellIs" dxfId="431" priority="425" operator="equal">
      <formula>0</formula>
    </cfRule>
    <cfRule type="cellIs" dxfId="430" priority="426" operator="notEqual">
      <formula>0</formula>
    </cfRule>
  </conditionalFormatting>
  <conditionalFormatting sqref="G18:G19">
    <cfRule type="cellIs" dxfId="429" priority="423" operator="equal">
      <formula>0</formula>
    </cfRule>
    <cfRule type="cellIs" dxfId="428" priority="424" operator="notEqual">
      <formula>0</formula>
    </cfRule>
  </conditionalFormatting>
  <conditionalFormatting sqref="H18:H19">
    <cfRule type="cellIs" dxfId="427" priority="421" operator="equal">
      <formula>0</formula>
    </cfRule>
    <cfRule type="cellIs" dxfId="426" priority="422" operator="notEqual">
      <formula>0</formula>
    </cfRule>
  </conditionalFormatting>
  <conditionalFormatting sqref="I18:I19">
    <cfRule type="cellIs" dxfId="425" priority="419" operator="equal">
      <formula>0</formula>
    </cfRule>
    <cfRule type="cellIs" dxfId="424" priority="420" operator="notEqual">
      <formula>0</formula>
    </cfRule>
  </conditionalFormatting>
  <conditionalFormatting sqref="J18:J19">
    <cfRule type="cellIs" dxfId="423" priority="417" operator="equal">
      <formula>0</formula>
    </cfRule>
    <cfRule type="cellIs" dxfId="422" priority="418" operator="notEqual">
      <formula>0</formula>
    </cfRule>
  </conditionalFormatting>
  <conditionalFormatting sqref="O17">
    <cfRule type="cellIs" dxfId="421" priority="415" operator="equal">
      <formula>0</formula>
    </cfRule>
    <cfRule type="cellIs" dxfId="420" priority="416" operator="greaterThan">
      <formula>0</formula>
    </cfRule>
  </conditionalFormatting>
  <conditionalFormatting sqref="P17">
    <cfRule type="cellIs" dxfId="419" priority="413" operator="equal">
      <formula>0</formula>
    </cfRule>
    <cfRule type="cellIs" dxfId="418" priority="414" operator="greaterThan">
      <formula>0</formula>
    </cfRule>
  </conditionalFormatting>
  <conditionalFormatting sqref="Q17">
    <cfRule type="cellIs" dxfId="417" priority="411" operator="equal">
      <formula>0</formula>
    </cfRule>
    <cfRule type="cellIs" dxfId="416" priority="412" operator="greaterThan">
      <formula>0</formula>
    </cfRule>
  </conditionalFormatting>
  <conditionalFormatting sqref="R17">
    <cfRule type="cellIs" dxfId="415" priority="409" operator="equal">
      <formula>0</formula>
    </cfRule>
    <cfRule type="cellIs" dxfId="414" priority="410" operator="greaterThan">
      <formula>0</formula>
    </cfRule>
  </conditionalFormatting>
  <conditionalFormatting sqref="C25:C26">
    <cfRule type="cellIs" dxfId="413" priority="407" operator="equal">
      <formula>0</formula>
    </cfRule>
    <cfRule type="cellIs" dxfId="412" priority="408" operator="notEqual">
      <formula>0</formula>
    </cfRule>
  </conditionalFormatting>
  <conditionalFormatting sqref="D25:D26">
    <cfRule type="cellIs" dxfId="411" priority="405" operator="equal">
      <formula>0</formula>
    </cfRule>
    <cfRule type="cellIs" dxfId="410" priority="406" operator="notEqual">
      <formula>0</formula>
    </cfRule>
  </conditionalFormatting>
  <conditionalFormatting sqref="E25:E26">
    <cfRule type="cellIs" dxfId="409" priority="403" operator="equal">
      <formula>0</formula>
    </cfRule>
    <cfRule type="cellIs" dxfId="408" priority="404" operator="notEqual">
      <formula>0</formula>
    </cfRule>
  </conditionalFormatting>
  <conditionalFormatting sqref="F25:F26">
    <cfRule type="cellIs" dxfId="407" priority="401" operator="equal">
      <formula>0</formula>
    </cfRule>
    <cfRule type="cellIs" dxfId="406" priority="402" operator="notEqual">
      <formula>0</formula>
    </cfRule>
  </conditionalFormatting>
  <conditionalFormatting sqref="G25:G26">
    <cfRule type="cellIs" dxfId="405" priority="399" operator="equal">
      <formula>0</formula>
    </cfRule>
    <cfRule type="cellIs" dxfId="404" priority="400" operator="notEqual">
      <formula>0</formula>
    </cfRule>
  </conditionalFormatting>
  <conditionalFormatting sqref="H25:H26">
    <cfRule type="cellIs" dxfId="403" priority="397" operator="equal">
      <formula>0</formula>
    </cfRule>
    <cfRule type="cellIs" dxfId="402" priority="398" operator="notEqual">
      <formula>0</formula>
    </cfRule>
  </conditionalFormatting>
  <conditionalFormatting sqref="I25:I26">
    <cfRule type="cellIs" dxfId="401" priority="395" operator="equal">
      <formula>0</formula>
    </cfRule>
    <cfRule type="cellIs" dxfId="400" priority="396" operator="notEqual">
      <formula>0</formula>
    </cfRule>
  </conditionalFormatting>
  <conditionalFormatting sqref="J25:J26">
    <cfRule type="cellIs" dxfId="399" priority="393" operator="equal">
      <formula>0</formula>
    </cfRule>
    <cfRule type="cellIs" dxfId="398" priority="394" operator="notEqual">
      <formula>0</formula>
    </cfRule>
  </conditionalFormatting>
  <conditionalFormatting sqref="O24">
    <cfRule type="cellIs" dxfId="397" priority="391" operator="equal">
      <formula>0</formula>
    </cfRule>
    <cfRule type="cellIs" dxfId="396" priority="392" operator="greaterThan">
      <formula>0</formula>
    </cfRule>
  </conditionalFormatting>
  <conditionalFormatting sqref="P24">
    <cfRule type="cellIs" dxfId="395" priority="389" operator="equal">
      <formula>0</formula>
    </cfRule>
    <cfRule type="cellIs" dxfId="394" priority="390" operator="greaterThan">
      <formula>0</formula>
    </cfRule>
  </conditionalFormatting>
  <conditionalFormatting sqref="Q24">
    <cfRule type="cellIs" dxfId="393" priority="387" operator="equal">
      <formula>0</formula>
    </cfRule>
    <cfRule type="cellIs" dxfId="392" priority="388" operator="greaterThan">
      <formula>0</formula>
    </cfRule>
  </conditionalFormatting>
  <conditionalFormatting sqref="R24">
    <cfRule type="cellIs" dxfId="391" priority="385" operator="equal">
      <formula>0</formula>
    </cfRule>
    <cfRule type="cellIs" dxfId="390" priority="386" operator="greaterThan">
      <formula>0</formula>
    </cfRule>
  </conditionalFormatting>
  <conditionalFormatting sqref="C32:C33">
    <cfRule type="cellIs" dxfId="389" priority="383" operator="equal">
      <formula>0</formula>
    </cfRule>
    <cfRule type="cellIs" dxfId="388" priority="384" operator="notEqual">
      <formula>0</formula>
    </cfRule>
  </conditionalFormatting>
  <conditionalFormatting sqref="D32:D33">
    <cfRule type="cellIs" dxfId="387" priority="381" operator="equal">
      <formula>0</formula>
    </cfRule>
    <cfRule type="cellIs" dxfId="386" priority="382" operator="notEqual">
      <formula>0</formula>
    </cfRule>
  </conditionalFormatting>
  <conditionalFormatting sqref="E32:E33">
    <cfRule type="cellIs" dxfId="385" priority="379" operator="equal">
      <formula>0</formula>
    </cfRule>
    <cfRule type="cellIs" dxfId="384" priority="380" operator="notEqual">
      <formula>0</formula>
    </cfRule>
  </conditionalFormatting>
  <conditionalFormatting sqref="F32:F33">
    <cfRule type="cellIs" dxfId="383" priority="377" operator="equal">
      <formula>0</formula>
    </cfRule>
    <cfRule type="cellIs" dxfId="382" priority="378" operator="notEqual">
      <formula>0</formula>
    </cfRule>
  </conditionalFormatting>
  <conditionalFormatting sqref="G32:G33">
    <cfRule type="cellIs" dxfId="381" priority="375" operator="equal">
      <formula>0</formula>
    </cfRule>
    <cfRule type="cellIs" dxfId="380" priority="376" operator="notEqual">
      <formula>0</formula>
    </cfRule>
  </conditionalFormatting>
  <conditionalFormatting sqref="H32:H33">
    <cfRule type="cellIs" dxfId="379" priority="373" operator="equal">
      <formula>0</formula>
    </cfRule>
    <cfRule type="cellIs" dxfId="378" priority="374" operator="notEqual">
      <formula>0</formula>
    </cfRule>
  </conditionalFormatting>
  <conditionalFormatting sqref="I32:I33">
    <cfRule type="cellIs" dxfId="377" priority="371" operator="equal">
      <formula>0</formula>
    </cfRule>
    <cfRule type="cellIs" dxfId="376" priority="372" operator="notEqual">
      <formula>0</formula>
    </cfRule>
  </conditionalFormatting>
  <conditionalFormatting sqref="J32:J33">
    <cfRule type="cellIs" dxfId="375" priority="369" operator="equal">
      <formula>0</formula>
    </cfRule>
    <cfRule type="cellIs" dxfId="374" priority="370" operator="notEqual">
      <formula>0</formula>
    </cfRule>
  </conditionalFormatting>
  <conditionalFormatting sqref="O31">
    <cfRule type="cellIs" dxfId="373" priority="367" operator="equal">
      <formula>0</formula>
    </cfRule>
    <cfRule type="cellIs" dxfId="372" priority="368" operator="greaterThan">
      <formula>0</formula>
    </cfRule>
  </conditionalFormatting>
  <conditionalFormatting sqref="P31">
    <cfRule type="cellIs" dxfId="371" priority="365" operator="equal">
      <formula>0</formula>
    </cfRule>
    <cfRule type="cellIs" dxfId="370" priority="366" operator="greaterThan">
      <formula>0</formula>
    </cfRule>
  </conditionalFormatting>
  <conditionalFormatting sqref="Q31">
    <cfRule type="cellIs" dxfId="369" priority="363" operator="equal">
      <formula>0</formula>
    </cfRule>
    <cfRule type="cellIs" dxfId="368" priority="364" operator="greaterThan">
      <formula>0</formula>
    </cfRule>
  </conditionalFormatting>
  <conditionalFormatting sqref="R31">
    <cfRule type="cellIs" dxfId="367" priority="361" operator="equal">
      <formula>0</formula>
    </cfRule>
    <cfRule type="cellIs" dxfId="366" priority="362" operator="greaterThan">
      <formula>0</formula>
    </cfRule>
  </conditionalFormatting>
  <conditionalFormatting sqref="C39:C40">
    <cfRule type="cellIs" dxfId="365" priority="359" operator="equal">
      <formula>0</formula>
    </cfRule>
    <cfRule type="cellIs" dxfId="364" priority="360" operator="notEqual">
      <formula>0</formula>
    </cfRule>
  </conditionalFormatting>
  <conditionalFormatting sqref="D39:D40">
    <cfRule type="cellIs" dxfId="363" priority="357" operator="equal">
      <formula>0</formula>
    </cfRule>
    <cfRule type="cellIs" dxfId="362" priority="358" operator="notEqual">
      <formula>0</formula>
    </cfRule>
  </conditionalFormatting>
  <conditionalFormatting sqref="E39:E40">
    <cfRule type="cellIs" dxfId="361" priority="355" operator="equal">
      <formula>0</formula>
    </cfRule>
    <cfRule type="cellIs" dxfId="360" priority="356" operator="notEqual">
      <formula>0</formula>
    </cfRule>
  </conditionalFormatting>
  <conditionalFormatting sqref="F39:F40">
    <cfRule type="cellIs" dxfId="359" priority="353" operator="equal">
      <formula>0</formula>
    </cfRule>
    <cfRule type="cellIs" dxfId="358" priority="354" operator="notEqual">
      <formula>0</formula>
    </cfRule>
  </conditionalFormatting>
  <conditionalFormatting sqref="G39:G40">
    <cfRule type="cellIs" dxfId="357" priority="351" operator="equal">
      <formula>0</formula>
    </cfRule>
    <cfRule type="cellIs" dxfId="356" priority="352" operator="notEqual">
      <formula>0</formula>
    </cfRule>
  </conditionalFormatting>
  <conditionalFormatting sqref="H39:H40">
    <cfRule type="cellIs" dxfId="355" priority="349" operator="equal">
      <formula>0</formula>
    </cfRule>
    <cfRule type="cellIs" dxfId="354" priority="350" operator="notEqual">
      <formula>0</formula>
    </cfRule>
  </conditionalFormatting>
  <conditionalFormatting sqref="I39:I40">
    <cfRule type="cellIs" dxfId="353" priority="347" operator="equal">
      <formula>0</formula>
    </cfRule>
    <cfRule type="cellIs" dxfId="352" priority="348" operator="notEqual">
      <formula>0</formula>
    </cfRule>
  </conditionalFormatting>
  <conditionalFormatting sqref="J39:J40">
    <cfRule type="cellIs" dxfId="351" priority="345" operator="equal">
      <formula>0</formula>
    </cfRule>
    <cfRule type="cellIs" dxfId="350" priority="346" operator="notEqual">
      <formula>0</formula>
    </cfRule>
  </conditionalFormatting>
  <conditionalFormatting sqref="O38">
    <cfRule type="cellIs" dxfId="349" priority="343" operator="equal">
      <formula>0</formula>
    </cfRule>
    <cfRule type="cellIs" dxfId="348" priority="344" operator="greaterThan">
      <formula>0</formula>
    </cfRule>
  </conditionalFormatting>
  <conditionalFormatting sqref="P38">
    <cfRule type="cellIs" dxfId="347" priority="341" operator="equal">
      <formula>0</formula>
    </cfRule>
    <cfRule type="cellIs" dxfId="346" priority="342" operator="greaterThan">
      <formula>0</formula>
    </cfRule>
  </conditionalFormatting>
  <conditionalFormatting sqref="Q38">
    <cfRule type="cellIs" dxfId="345" priority="339" operator="equal">
      <formula>0</formula>
    </cfRule>
    <cfRule type="cellIs" dxfId="344" priority="340" operator="greaterThan">
      <formula>0</formula>
    </cfRule>
  </conditionalFormatting>
  <conditionalFormatting sqref="R38">
    <cfRule type="cellIs" dxfId="343" priority="337" operator="equal">
      <formula>0</formula>
    </cfRule>
    <cfRule type="cellIs" dxfId="342" priority="338" operator="greaterThan">
      <formula>0</formula>
    </cfRule>
  </conditionalFormatting>
  <conditionalFormatting sqref="C46:C47">
    <cfRule type="cellIs" dxfId="341" priority="335" operator="equal">
      <formula>0</formula>
    </cfRule>
    <cfRule type="cellIs" dxfId="340" priority="336" operator="notEqual">
      <formula>0</formula>
    </cfRule>
  </conditionalFormatting>
  <conditionalFormatting sqref="D46:D47">
    <cfRule type="cellIs" dxfId="339" priority="333" operator="equal">
      <formula>0</formula>
    </cfRule>
    <cfRule type="cellIs" dxfId="338" priority="334" operator="notEqual">
      <formula>0</formula>
    </cfRule>
  </conditionalFormatting>
  <conditionalFormatting sqref="E46:E47">
    <cfRule type="cellIs" dxfId="337" priority="331" operator="equal">
      <formula>0</formula>
    </cfRule>
    <cfRule type="cellIs" dxfId="336" priority="332" operator="notEqual">
      <formula>0</formula>
    </cfRule>
  </conditionalFormatting>
  <conditionalFormatting sqref="F46:F47">
    <cfRule type="cellIs" dxfId="335" priority="329" operator="equal">
      <formula>0</formula>
    </cfRule>
    <cfRule type="cellIs" dxfId="334" priority="330" operator="notEqual">
      <formula>0</formula>
    </cfRule>
  </conditionalFormatting>
  <conditionalFormatting sqref="G46:G47">
    <cfRule type="cellIs" dxfId="333" priority="327" operator="equal">
      <formula>0</formula>
    </cfRule>
    <cfRule type="cellIs" dxfId="332" priority="328" operator="notEqual">
      <formula>0</formula>
    </cfRule>
  </conditionalFormatting>
  <conditionalFormatting sqref="H46:H47">
    <cfRule type="cellIs" dxfId="331" priority="325" operator="equal">
      <formula>0</formula>
    </cfRule>
    <cfRule type="cellIs" dxfId="330" priority="326" operator="notEqual">
      <formula>0</formula>
    </cfRule>
  </conditionalFormatting>
  <conditionalFormatting sqref="I46:I47">
    <cfRule type="cellIs" dxfId="329" priority="323" operator="equal">
      <formula>0</formula>
    </cfRule>
    <cfRule type="cellIs" dxfId="328" priority="324" operator="notEqual">
      <formula>0</formula>
    </cfRule>
  </conditionalFormatting>
  <conditionalFormatting sqref="J46:J47">
    <cfRule type="cellIs" dxfId="327" priority="321" operator="equal">
      <formula>0</formula>
    </cfRule>
    <cfRule type="cellIs" dxfId="326" priority="322" operator="notEqual">
      <formula>0</formula>
    </cfRule>
  </conditionalFormatting>
  <conditionalFormatting sqref="O45">
    <cfRule type="cellIs" dxfId="325" priority="319" operator="equal">
      <formula>0</formula>
    </cfRule>
    <cfRule type="cellIs" dxfId="324" priority="320" operator="greaterThan">
      <formula>0</formula>
    </cfRule>
  </conditionalFormatting>
  <conditionalFormatting sqref="P45">
    <cfRule type="cellIs" dxfId="323" priority="317" operator="equal">
      <formula>0</formula>
    </cfRule>
    <cfRule type="cellIs" dxfId="322" priority="318" operator="greaterThan">
      <formula>0</formula>
    </cfRule>
  </conditionalFormatting>
  <conditionalFormatting sqref="Q45">
    <cfRule type="cellIs" dxfId="321" priority="315" operator="equal">
      <formula>0</formula>
    </cfRule>
    <cfRule type="cellIs" dxfId="320" priority="316" operator="greaterThan">
      <formula>0</formula>
    </cfRule>
  </conditionalFormatting>
  <conditionalFormatting sqref="R45">
    <cfRule type="cellIs" dxfId="319" priority="313" operator="equal">
      <formula>0</formula>
    </cfRule>
    <cfRule type="cellIs" dxfId="318" priority="314" operator="greaterThan">
      <formula>0</formula>
    </cfRule>
  </conditionalFormatting>
  <conditionalFormatting sqref="C53:C54">
    <cfRule type="cellIs" dxfId="317" priority="311" operator="equal">
      <formula>0</formula>
    </cfRule>
    <cfRule type="cellIs" dxfId="316" priority="312" operator="notEqual">
      <formula>0</formula>
    </cfRule>
  </conditionalFormatting>
  <conditionalFormatting sqref="D53:D54">
    <cfRule type="cellIs" dxfId="315" priority="309" operator="equal">
      <formula>0</formula>
    </cfRule>
    <cfRule type="cellIs" dxfId="314" priority="310" operator="notEqual">
      <formula>0</formula>
    </cfRule>
  </conditionalFormatting>
  <conditionalFormatting sqref="E53:E54">
    <cfRule type="cellIs" dxfId="313" priority="307" operator="equal">
      <formula>0</formula>
    </cfRule>
    <cfRule type="cellIs" dxfId="312" priority="308" operator="notEqual">
      <formula>0</formula>
    </cfRule>
  </conditionalFormatting>
  <conditionalFormatting sqref="F53:F54">
    <cfRule type="cellIs" dxfId="311" priority="305" operator="equal">
      <formula>0</formula>
    </cfRule>
    <cfRule type="cellIs" dxfId="310" priority="306" operator="notEqual">
      <formula>0</formula>
    </cfRule>
  </conditionalFormatting>
  <conditionalFormatting sqref="G53:G54">
    <cfRule type="cellIs" dxfId="309" priority="303" operator="equal">
      <formula>0</formula>
    </cfRule>
    <cfRule type="cellIs" dxfId="308" priority="304" operator="notEqual">
      <formula>0</formula>
    </cfRule>
  </conditionalFormatting>
  <conditionalFormatting sqref="H53:H54">
    <cfRule type="cellIs" dxfId="307" priority="301" operator="equal">
      <formula>0</formula>
    </cfRule>
    <cfRule type="cellIs" dxfId="306" priority="302" operator="notEqual">
      <formula>0</formula>
    </cfRule>
  </conditionalFormatting>
  <conditionalFormatting sqref="I53:I54">
    <cfRule type="cellIs" dxfId="305" priority="299" operator="equal">
      <formula>0</formula>
    </cfRule>
    <cfRule type="cellIs" dxfId="304" priority="300" operator="notEqual">
      <formula>0</formula>
    </cfRule>
  </conditionalFormatting>
  <conditionalFormatting sqref="J53:J54">
    <cfRule type="cellIs" dxfId="303" priority="297" operator="equal">
      <formula>0</formula>
    </cfRule>
    <cfRule type="cellIs" dxfId="302" priority="298" operator="notEqual">
      <formula>0</formula>
    </cfRule>
  </conditionalFormatting>
  <conditionalFormatting sqref="O52">
    <cfRule type="cellIs" dxfId="301" priority="295" operator="equal">
      <formula>0</formula>
    </cfRule>
    <cfRule type="cellIs" dxfId="300" priority="296" operator="greaterThan">
      <formula>0</formula>
    </cfRule>
  </conditionalFormatting>
  <conditionalFormatting sqref="P52">
    <cfRule type="cellIs" dxfId="299" priority="293" operator="equal">
      <formula>0</formula>
    </cfRule>
    <cfRule type="cellIs" dxfId="298" priority="294" operator="greaterThan">
      <formula>0</formula>
    </cfRule>
  </conditionalFormatting>
  <conditionalFormatting sqref="Q52">
    <cfRule type="cellIs" dxfId="297" priority="291" operator="equal">
      <formula>0</formula>
    </cfRule>
    <cfRule type="cellIs" dxfId="296" priority="292" operator="greaterThan">
      <formula>0</formula>
    </cfRule>
  </conditionalFormatting>
  <conditionalFormatting sqref="R52">
    <cfRule type="cellIs" dxfId="295" priority="289" operator="equal">
      <formula>0</formula>
    </cfRule>
    <cfRule type="cellIs" dxfId="294" priority="290" operator="greaterThan">
      <formula>0</formula>
    </cfRule>
  </conditionalFormatting>
  <conditionalFormatting sqref="C60:C61">
    <cfRule type="cellIs" dxfId="293" priority="287" operator="equal">
      <formula>0</formula>
    </cfRule>
    <cfRule type="cellIs" dxfId="292" priority="288" operator="notEqual">
      <formula>0</formula>
    </cfRule>
  </conditionalFormatting>
  <conditionalFormatting sqref="D60:D61">
    <cfRule type="cellIs" dxfId="291" priority="285" operator="equal">
      <formula>0</formula>
    </cfRule>
    <cfRule type="cellIs" dxfId="290" priority="286" operator="notEqual">
      <formula>0</formula>
    </cfRule>
  </conditionalFormatting>
  <conditionalFormatting sqref="E60:E61">
    <cfRule type="cellIs" dxfId="289" priority="283" operator="equal">
      <formula>0</formula>
    </cfRule>
    <cfRule type="cellIs" dxfId="288" priority="284" operator="notEqual">
      <formula>0</formula>
    </cfRule>
  </conditionalFormatting>
  <conditionalFormatting sqref="F60:F61">
    <cfRule type="cellIs" dxfId="287" priority="281" operator="equal">
      <formula>0</formula>
    </cfRule>
    <cfRule type="cellIs" dxfId="286" priority="282" operator="notEqual">
      <formula>0</formula>
    </cfRule>
  </conditionalFormatting>
  <conditionalFormatting sqref="G60:G61">
    <cfRule type="cellIs" dxfId="285" priority="279" operator="equal">
      <formula>0</formula>
    </cfRule>
    <cfRule type="cellIs" dxfId="284" priority="280" operator="notEqual">
      <formula>0</formula>
    </cfRule>
  </conditionalFormatting>
  <conditionalFormatting sqref="H60:H61">
    <cfRule type="cellIs" dxfId="283" priority="277" operator="equal">
      <formula>0</formula>
    </cfRule>
    <cfRule type="cellIs" dxfId="282" priority="278" operator="notEqual">
      <formula>0</formula>
    </cfRule>
  </conditionalFormatting>
  <conditionalFormatting sqref="I60:I61">
    <cfRule type="cellIs" dxfId="281" priority="275" operator="equal">
      <formula>0</formula>
    </cfRule>
    <cfRule type="cellIs" dxfId="280" priority="276" operator="notEqual">
      <formula>0</formula>
    </cfRule>
  </conditionalFormatting>
  <conditionalFormatting sqref="J60:J61">
    <cfRule type="cellIs" dxfId="279" priority="273" operator="equal">
      <formula>0</formula>
    </cfRule>
    <cfRule type="cellIs" dxfId="278" priority="274" operator="notEqual">
      <formula>0</formula>
    </cfRule>
  </conditionalFormatting>
  <conditionalFormatting sqref="O59">
    <cfRule type="cellIs" dxfId="277" priority="271" operator="equal">
      <formula>0</formula>
    </cfRule>
    <cfRule type="cellIs" dxfId="276" priority="272" operator="greaterThan">
      <formula>0</formula>
    </cfRule>
  </conditionalFormatting>
  <conditionalFormatting sqref="P59">
    <cfRule type="cellIs" dxfId="275" priority="269" operator="equal">
      <formula>0</formula>
    </cfRule>
    <cfRule type="cellIs" dxfId="274" priority="270" operator="greaterThan">
      <formula>0</formula>
    </cfRule>
  </conditionalFormatting>
  <conditionalFormatting sqref="Q59">
    <cfRule type="cellIs" dxfId="273" priority="267" operator="equal">
      <formula>0</formula>
    </cfRule>
    <cfRule type="cellIs" dxfId="272" priority="268" operator="greaterThan">
      <formula>0</formula>
    </cfRule>
  </conditionalFormatting>
  <conditionalFormatting sqref="R59">
    <cfRule type="cellIs" dxfId="271" priority="265" operator="equal">
      <formula>0</formula>
    </cfRule>
    <cfRule type="cellIs" dxfId="270" priority="266" operator="greaterThan">
      <formula>0</formula>
    </cfRule>
  </conditionalFormatting>
  <conditionalFormatting sqref="C67:C68">
    <cfRule type="cellIs" dxfId="269" priority="263" operator="equal">
      <formula>0</formula>
    </cfRule>
    <cfRule type="cellIs" dxfId="268" priority="264" operator="notEqual">
      <formula>0</formula>
    </cfRule>
  </conditionalFormatting>
  <conditionalFormatting sqref="D67:D68">
    <cfRule type="cellIs" dxfId="267" priority="261" operator="equal">
      <formula>0</formula>
    </cfRule>
    <cfRule type="cellIs" dxfId="266" priority="262" operator="notEqual">
      <formula>0</formula>
    </cfRule>
  </conditionalFormatting>
  <conditionalFormatting sqref="E67:E68">
    <cfRule type="cellIs" dxfId="265" priority="259" operator="equal">
      <formula>0</formula>
    </cfRule>
    <cfRule type="cellIs" dxfId="264" priority="260" operator="notEqual">
      <formula>0</formula>
    </cfRule>
  </conditionalFormatting>
  <conditionalFormatting sqref="F67:F68">
    <cfRule type="cellIs" dxfId="263" priority="257" operator="equal">
      <formula>0</formula>
    </cfRule>
    <cfRule type="cellIs" dxfId="262" priority="258" operator="notEqual">
      <formula>0</formula>
    </cfRule>
  </conditionalFormatting>
  <conditionalFormatting sqref="G67:G68">
    <cfRule type="cellIs" dxfId="261" priority="255" operator="equal">
      <formula>0</formula>
    </cfRule>
    <cfRule type="cellIs" dxfId="260" priority="256" operator="notEqual">
      <formula>0</formula>
    </cfRule>
  </conditionalFormatting>
  <conditionalFormatting sqref="H67:H68">
    <cfRule type="cellIs" dxfId="259" priority="253" operator="equal">
      <formula>0</formula>
    </cfRule>
    <cfRule type="cellIs" dxfId="258" priority="254" operator="notEqual">
      <formula>0</formula>
    </cfRule>
  </conditionalFormatting>
  <conditionalFormatting sqref="I67:I68">
    <cfRule type="cellIs" dxfId="257" priority="251" operator="equal">
      <formula>0</formula>
    </cfRule>
    <cfRule type="cellIs" dxfId="256" priority="252" operator="notEqual">
      <formula>0</formula>
    </cfRule>
  </conditionalFormatting>
  <conditionalFormatting sqref="J67:J68">
    <cfRule type="cellIs" dxfId="255" priority="249" operator="equal">
      <formula>0</formula>
    </cfRule>
    <cfRule type="cellIs" dxfId="254" priority="250" operator="notEqual">
      <formula>0</formula>
    </cfRule>
  </conditionalFormatting>
  <conditionalFormatting sqref="O66">
    <cfRule type="cellIs" dxfId="253" priority="247" operator="equal">
      <formula>0</formula>
    </cfRule>
    <cfRule type="cellIs" dxfId="252" priority="248" operator="greaterThan">
      <formula>0</formula>
    </cfRule>
  </conditionalFormatting>
  <conditionalFormatting sqref="P66">
    <cfRule type="cellIs" dxfId="251" priority="245" operator="equal">
      <formula>0</formula>
    </cfRule>
    <cfRule type="cellIs" dxfId="250" priority="246" operator="greaterThan">
      <formula>0</formula>
    </cfRule>
  </conditionalFormatting>
  <conditionalFormatting sqref="Q66">
    <cfRule type="cellIs" dxfId="249" priority="243" operator="equal">
      <formula>0</formula>
    </cfRule>
    <cfRule type="cellIs" dxfId="248" priority="244" operator="greaterThan">
      <formula>0</formula>
    </cfRule>
  </conditionalFormatting>
  <conditionalFormatting sqref="R66">
    <cfRule type="cellIs" dxfId="247" priority="241" operator="equal">
      <formula>0</formula>
    </cfRule>
    <cfRule type="cellIs" dxfId="246" priority="242" operator="greaterThan">
      <formula>0</formula>
    </cfRule>
  </conditionalFormatting>
  <conditionalFormatting sqref="C74:C75">
    <cfRule type="cellIs" dxfId="245" priority="239" operator="equal">
      <formula>0</formula>
    </cfRule>
    <cfRule type="cellIs" dxfId="244" priority="240" operator="notEqual">
      <formula>0</formula>
    </cfRule>
  </conditionalFormatting>
  <conditionalFormatting sqref="D74:D75">
    <cfRule type="cellIs" dxfId="243" priority="237" operator="equal">
      <formula>0</formula>
    </cfRule>
    <cfRule type="cellIs" dxfId="242" priority="238" operator="notEqual">
      <formula>0</formula>
    </cfRule>
  </conditionalFormatting>
  <conditionalFormatting sqref="E74:E75">
    <cfRule type="cellIs" dxfId="241" priority="235" operator="equal">
      <formula>0</formula>
    </cfRule>
    <cfRule type="cellIs" dxfId="240" priority="236" operator="notEqual">
      <formula>0</formula>
    </cfRule>
  </conditionalFormatting>
  <conditionalFormatting sqref="F74:F75">
    <cfRule type="cellIs" dxfId="239" priority="233" operator="equal">
      <formula>0</formula>
    </cfRule>
    <cfRule type="cellIs" dxfId="238" priority="234" operator="notEqual">
      <formula>0</formula>
    </cfRule>
  </conditionalFormatting>
  <conditionalFormatting sqref="G74:G75">
    <cfRule type="cellIs" dxfId="237" priority="231" operator="equal">
      <formula>0</formula>
    </cfRule>
    <cfRule type="cellIs" dxfId="236" priority="232" operator="notEqual">
      <formula>0</formula>
    </cfRule>
  </conditionalFormatting>
  <conditionalFormatting sqref="H74:H75">
    <cfRule type="cellIs" dxfId="235" priority="229" operator="equal">
      <formula>0</formula>
    </cfRule>
    <cfRule type="cellIs" dxfId="234" priority="230" operator="notEqual">
      <formula>0</formula>
    </cfRule>
  </conditionalFormatting>
  <conditionalFormatting sqref="I74:I75">
    <cfRule type="cellIs" dxfId="233" priority="227" operator="equal">
      <formula>0</formula>
    </cfRule>
    <cfRule type="cellIs" dxfId="232" priority="228" operator="notEqual">
      <formula>0</formula>
    </cfRule>
  </conditionalFormatting>
  <conditionalFormatting sqref="J74:J75">
    <cfRule type="cellIs" dxfId="231" priority="225" operator="equal">
      <formula>0</formula>
    </cfRule>
    <cfRule type="cellIs" dxfId="230" priority="226" operator="notEqual">
      <formula>0</formula>
    </cfRule>
  </conditionalFormatting>
  <conditionalFormatting sqref="O73">
    <cfRule type="cellIs" dxfId="229" priority="223" operator="equal">
      <formula>0</formula>
    </cfRule>
    <cfRule type="cellIs" dxfId="228" priority="224" operator="greaterThan">
      <formula>0</formula>
    </cfRule>
  </conditionalFormatting>
  <conditionalFormatting sqref="P73">
    <cfRule type="cellIs" dxfId="227" priority="221" operator="equal">
      <formula>0</formula>
    </cfRule>
    <cfRule type="cellIs" dxfId="226" priority="222" operator="greaterThan">
      <formula>0</formula>
    </cfRule>
  </conditionalFormatting>
  <conditionalFormatting sqref="Q73">
    <cfRule type="cellIs" dxfId="225" priority="219" operator="equal">
      <formula>0</formula>
    </cfRule>
    <cfRule type="cellIs" dxfId="224" priority="220" operator="greaterThan">
      <formula>0</formula>
    </cfRule>
  </conditionalFormatting>
  <conditionalFormatting sqref="R73">
    <cfRule type="cellIs" dxfId="223" priority="217" operator="equal">
      <formula>0</formula>
    </cfRule>
    <cfRule type="cellIs" dxfId="222" priority="218" operator="greaterThan">
      <formula>0</formula>
    </cfRule>
  </conditionalFormatting>
  <conditionalFormatting sqref="U67:U68">
    <cfRule type="cellIs" dxfId="221" priority="215" operator="equal">
      <formula>0</formula>
    </cfRule>
    <cfRule type="cellIs" dxfId="220" priority="216" operator="notEqual">
      <formula>0</formula>
    </cfRule>
  </conditionalFormatting>
  <conditionalFormatting sqref="V67:V68">
    <cfRule type="cellIs" dxfId="219" priority="213" operator="equal">
      <formula>0</formula>
    </cfRule>
    <cfRule type="cellIs" dxfId="218" priority="214" operator="notEqual">
      <formula>0</formula>
    </cfRule>
  </conditionalFormatting>
  <conditionalFormatting sqref="W67:W68">
    <cfRule type="cellIs" dxfId="217" priority="211" operator="equal">
      <formula>0</formula>
    </cfRule>
    <cfRule type="cellIs" dxfId="216" priority="212" operator="notEqual">
      <formula>0</formula>
    </cfRule>
  </conditionalFormatting>
  <conditionalFormatting sqref="X67:X68">
    <cfRule type="cellIs" dxfId="215" priority="209" operator="equal">
      <formula>0</formula>
    </cfRule>
    <cfRule type="cellIs" dxfId="214" priority="210" operator="notEqual">
      <formula>0</formula>
    </cfRule>
  </conditionalFormatting>
  <conditionalFormatting sqref="Y67:Y68">
    <cfRule type="cellIs" dxfId="213" priority="207" operator="equal">
      <formula>0</formula>
    </cfRule>
    <cfRule type="cellIs" dxfId="212" priority="208" operator="notEqual">
      <formula>0</formula>
    </cfRule>
  </conditionalFormatting>
  <conditionalFormatting sqref="Z67:Z68">
    <cfRule type="cellIs" dxfId="211" priority="205" operator="equal">
      <formula>0</formula>
    </cfRule>
    <cfRule type="cellIs" dxfId="210" priority="206" operator="notEqual">
      <formula>0</formula>
    </cfRule>
  </conditionalFormatting>
  <conditionalFormatting sqref="AA67:AA68">
    <cfRule type="cellIs" dxfId="209" priority="203" operator="equal">
      <formula>0</formula>
    </cfRule>
    <cfRule type="cellIs" dxfId="208" priority="204" operator="notEqual">
      <formula>0</formula>
    </cfRule>
  </conditionalFormatting>
  <conditionalFormatting sqref="AB67:AB68">
    <cfRule type="cellIs" dxfId="207" priority="201" operator="equal">
      <formula>0</formula>
    </cfRule>
    <cfRule type="cellIs" dxfId="206" priority="202" operator="notEqual">
      <formula>0</formula>
    </cfRule>
  </conditionalFormatting>
  <conditionalFormatting sqref="AG66">
    <cfRule type="cellIs" dxfId="205" priority="199" operator="equal">
      <formula>0</formula>
    </cfRule>
    <cfRule type="cellIs" dxfId="204" priority="200" operator="greaterThan">
      <formula>0</formula>
    </cfRule>
  </conditionalFormatting>
  <conditionalFormatting sqref="AH66">
    <cfRule type="cellIs" dxfId="203" priority="197" operator="equal">
      <formula>0</formula>
    </cfRule>
    <cfRule type="cellIs" dxfId="202" priority="198" operator="greaterThan">
      <formula>0</formula>
    </cfRule>
  </conditionalFormatting>
  <conditionalFormatting sqref="AI66">
    <cfRule type="cellIs" dxfId="201" priority="195" operator="equal">
      <formula>0</formula>
    </cfRule>
    <cfRule type="cellIs" dxfId="200" priority="196" operator="greaterThan">
      <formula>0</formula>
    </cfRule>
  </conditionalFormatting>
  <conditionalFormatting sqref="AJ66">
    <cfRule type="cellIs" dxfId="199" priority="193" operator="equal">
      <formula>0</formula>
    </cfRule>
    <cfRule type="cellIs" dxfId="198" priority="194" operator="greaterThan">
      <formula>0</formula>
    </cfRule>
  </conditionalFormatting>
  <conditionalFormatting sqref="U60:U61">
    <cfRule type="cellIs" dxfId="197" priority="191" operator="equal">
      <formula>0</formula>
    </cfRule>
    <cfRule type="cellIs" dxfId="196" priority="192" operator="notEqual">
      <formula>0</formula>
    </cfRule>
  </conditionalFormatting>
  <conditionalFormatting sqref="V60:V61">
    <cfRule type="cellIs" dxfId="195" priority="189" operator="equal">
      <formula>0</formula>
    </cfRule>
    <cfRule type="cellIs" dxfId="194" priority="190" operator="notEqual">
      <formula>0</formula>
    </cfRule>
  </conditionalFormatting>
  <conditionalFormatting sqref="W60:W61">
    <cfRule type="cellIs" dxfId="193" priority="187" operator="equal">
      <formula>0</formula>
    </cfRule>
    <cfRule type="cellIs" dxfId="192" priority="188" operator="notEqual">
      <formula>0</formula>
    </cfRule>
  </conditionalFormatting>
  <conditionalFormatting sqref="X60:X61">
    <cfRule type="cellIs" dxfId="191" priority="185" operator="equal">
      <formula>0</formula>
    </cfRule>
    <cfRule type="cellIs" dxfId="190" priority="186" operator="notEqual">
      <formula>0</formula>
    </cfRule>
  </conditionalFormatting>
  <conditionalFormatting sqref="Y60:Y61">
    <cfRule type="cellIs" dxfId="189" priority="183" operator="equal">
      <formula>0</formula>
    </cfRule>
    <cfRule type="cellIs" dxfId="188" priority="184" operator="notEqual">
      <formula>0</formula>
    </cfRule>
  </conditionalFormatting>
  <conditionalFormatting sqref="Z60:Z61">
    <cfRule type="cellIs" dxfId="187" priority="181" operator="equal">
      <formula>0</formula>
    </cfRule>
    <cfRule type="cellIs" dxfId="186" priority="182" operator="notEqual">
      <formula>0</formula>
    </cfRule>
  </conditionalFormatting>
  <conditionalFormatting sqref="AA60:AA61">
    <cfRule type="cellIs" dxfId="185" priority="179" operator="equal">
      <formula>0</formula>
    </cfRule>
    <cfRule type="cellIs" dxfId="184" priority="180" operator="notEqual">
      <formula>0</formula>
    </cfRule>
  </conditionalFormatting>
  <conditionalFormatting sqref="AB60:AB61">
    <cfRule type="cellIs" dxfId="183" priority="177" operator="equal">
      <formula>0</formula>
    </cfRule>
    <cfRule type="cellIs" dxfId="182" priority="178" operator="notEqual">
      <formula>0</formula>
    </cfRule>
  </conditionalFormatting>
  <conditionalFormatting sqref="AG59">
    <cfRule type="cellIs" dxfId="181" priority="175" operator="equal">
      <formula>0</formula>
    </cfRule>
    <cfRule type="cellIs" dxfId="180" priority="176" operator="greaterThan">
      <formula>0</formula>
    </cfRule>
  </conditionalFormatting>
  <conditionalFormatting sqref="AH59">
    <cfRule type="cellIs" dxfId="179" priority="173" operator="equal">
      <formula>0</formula>
    </cfRule>
    <cfRule type="cellIs" dxfId="178" priority="174" operator="greaterThan">
      <formula>0</formula>
    </cfRule>
  </conditionalFormatting>
  <conditionalFormatting sqref="AI59">
    <cfRule type="cellIs" dxfId="177" priority="171" operator="equal">
      <formula>0</formula>
    </cfRule>
    <cfRule type="cellIs" dxfId="176" priority="172" operator="greaterThan">
      <formula>0</formula>
    </cfRule>
  </conditionalFormatting>
  <conditionalFormatting sqref="AJ59">
    <cfRule type="cellIs" dxfId="175" priority="169" operator="equal">
      <formula>0</formula>
    </cfRule>
    <cfRule type="cellIs" dxfId="174" priority="170" operator="greaterThan">
      <formula>0</formula>
    </cfRule>
  </conditionalFormatting>
  <conditionalFormatting sqref="U53:U54">
    <cfRule type="cellIs" dxfId="173" priority="167" operator="equal">
      <formula>0</formula>
    </cfRule>
    <cfRule type="cellIs" dxfId="172" priority="168" operator="notEqual">
      <formula>0</formula>
    </cfRule>
  </conditionalFormatting>
  <conditionalFormatting sqref="V53:V54">
    <cfRule type="cellIs" dxfId="171" priority="165" operator="equal">
      <formula>0</formula>
    </cfRule>
    <cfRule type="cellIs" dxfId="170" priority="166" operator="notEqual">
      <formula>0</formula>
    </cfRule>
  </conditionalFormatting>
  <conditionalFormatting sqref="W53:W54">
    <cfRule type="cellIs" dxfId="169" priority="163" operator="equal">
      <formula>0</formula>
    </cfRule>
    <cfRule type="cellIs" dxfId="168" priority="164" operator="notEqual">
      <formula>0</formula>
    </cfRule>
  </conditionalFormatting>
  <conditionalFormatting sqref="X53:X54">
    <cfRule type="cellIs" dxfId="167" priority="161" operator="equal">
      <formula>0</formula>
    </cfRule>
    <cfRule type="cellIs" dxfId="166" priority="162" operator="notEqual">
      <formula>0</formula>
    </cfRule>
  </conditionalFormatting>
  <conditionalFormatting sqref="Y53:Y54">
    <cfRule type="cellIs" dxfId="165" priority="159" operator="equal">
      <formula>0</formula>
    </cfRule>
    <cfRule type="cellIs" dxfId="164" priority="160" operator="notEqual">
      <formula>0</formula>
    </cfRule>
  </conditionalFormatting>
  <conditionalFormatting sqref="Z53:Z54">
    <cfRule type="cellIs" dxfId="163" priority="157" operator="equal">
      <formula>0</formula>
    </cfRule>
    <cfRule type="cellIs" dxfId="162" priority="158" operator="notEqual">
      <formula>0</formula>
    </cfRule>
  </conditionalFormatting>
  <conditionalFormatting sqref="AA53:AA54">
    <cfRule type="cellIs" dxfId="161" priority="155" operator="equal">
      <formula>0</formula>
    </cfRule>
    <cfRule type="cellIs" dxfId="160" priority="156" operator="notEqual">
      <formula>0</formula>
    </cfRule>
  </conditionalFormatting>
  <conditionalFormatting sqref="AB53:AB54">
    <cfRule type="cellIs" dxfId="159" priority="153" operator="equal">
      <formula>0</formula>
    </cfRule>
    <cfRule type="cellIs" dxfId="158" priority="154" operator="notEqual">
      <formula>0</formula>
    </cfRule>
  </conditionalFormatting>
  <conditionalFormatting sqref="AG52">
    <cfRule type="cellIs" dxfId="157" priority="151" operator="equal">
      <formula>0</formula>
    </cfRule>
    <cfRule type="cellIs" dxfId="156" priority="152" operator="greaterThan">
      <formula>0</formula>
    </cfRule>
  </conditionalFormatting>
  <conditionalFormatting sqref="AH52">
    <cfRule type="cellIs" dxfId="155" priority="149" operator="equal">
      <formula>0</formula>
    </cfRule>
    <cfRule type="cellIs" dxfId="154" priority="150" operator="greaterThan">
      <formula>0</formula>
    </cfRule>
  </conditionalFormatting>
  <conditionalFormatting sqref="AI52">
    <cfRule type="cellIs" dxfId="153" priority="147" operator="equal">
      <formula>0</formula>
    </cfRule>
    <cfRule type="cellIs" dxfId="152" priority="148" operator="greaterThan">
      <formula>0</formula>
    </cfRule>
  </conditionalFormatting>
  <conditionalFormatting sqref="AJ52">
    <cfRule type="cellIs" dxfId="151" priority="145" operator="equal">
      <formula>0</formula>
    </cfRule>
    <cfRule type="cellIs" dxfId="150" priority="146" operator="greaterThan">
      <formula>0</formula>
    </cfRule>
  </conditionalFormatting>
  <conditionalFormatting sqref="U46:U47">
    <cfRule type="cellIs" dxfId="149" priority="143" operator="equal">
      <formula>0</formula>
    </cfRule>
    <cfRule type="cellIs" dxfId="148" priority="144" operator="notEqual">
      <formula>0</formula>
    </cfRule>
  </conditionalFormatting>
  <conditionalFormatting sqref="V46:V47">
    <cfRule type="cellIs" dxfId="147" priority="141" operator="equal">
      <formula>0</formula>
    </cfRule>
    <cfRule type="cellIs" dxfId="146" priority="142" operator="notEqual">
      <formula>0</formula>
    </cfRule>
  </conditionalFormatting>
  <conditionalFormatting sqref="W46:W47">
    <cfRule type="cellIs" dxfId="145" priority="139" operator="equal">
      <formula>0</formula>
    </cfRule>
    <cfRule type="cellIs" dxfId="144" priority="140" operator="notEqual">
      <formula>0</formula>
    </cfRule>
  </conditionalFormatting>
  <conditionalFormatting sqref="X46:X47">
    <cfRule type="cellIs" dxfId="143" priority="137" operator="equal">
      <formula>0</formula>
    </cfRule>
    <cfRule type="cellIs" dxfId="142" priority="138" operator="notEqual">
      <formula>0</formula>
    </cfRule>
  </conditionalFormatting>
  <conditionalFormatting sqref="Y46:Y47">
    <cfRule type="cellIs" dxfId="141" priority="135" operator="equal">
      <formula>0</formula>
    </cfRule>
    <cfRule type="cellIs" dxfId="140" priority="136" operator="notEqual">
      <formula>0</formula>
    </cfRule>
  </conditionalFormatting>
  <conditionalFormatting sqref="Z46:Z47">
    <cfRule type="cellIs" dxfId="139" priority="133" operator="equal">
      <formula>0</formula>
    </cfRule>
    <cfRule type="cellIs" dxfId="138" priority="134" operator="notEqual">
      <formula>0</formula>
    </cfRule>
  </conditionalFormatting>
  <conditionalFormatting sqref="AA46:AA47">
    <cfRule type="cellIs" dxfId="137" priority="131" operator="equal">
      <formula>0</formula>
    </cfRule>
    <cfRule type="cellIs" dxfId="136" priority="132" operator="notEqual">
      <formula>0</formula>
    </cfRule>
  </conditionalFormatting>
  <conditionalFormatting sqref="AB46:AB47">
    <cfRule type="cellIs" dxfId="135" priority="129" operator="equal">
      <formula>0</formula>
    </cfRule>
    <cfRule type="cellIs" dxfId="134" priority="130" operator="notEqual">
      <formula>0</formula>
    </cfRule>
  </conditionalFormatting>
  <conditionalFormatting sqref="AG45">
    <cfRule type="cellIs" dxfId="133" priority="127" operator="equal">
      <formula>0</formula>
    </cfRule>
    <cfRule type="cellIs" dxfId="132" priority="128" operator="greaterThan">
      <formula>0</formula>
    </cfRule>
  </conditionalFormatting>
  <conditionalFormatting sqref="AH45">
    <cfRule type="cellIs" dxfId="131" priority="125" operator="equal">
      <formula>0</formula>
    </cfRule>
    <cfRule type="cellIs" dxfId="130" priority="126" operator="greaterThan">
      <formula>0</formula>
    </cfRule>
  </conditionalFormatting>
  <conditionalFormatting sqref="AI45">
    <cfRule type="cellIs" dxfId="129" priority="123" operator="equal">
      <formula>0</formula>
    </cfRule>
    <cfRule type="cellIs" dxfId="128" priority="124" operator="greaterThan">
      <formula>0</formula>
    </cfRule>
  </conditionalFormatting>
  <conditionalFormatting sqref="AJ45">
    <cfRule type="cellIs" dxfId="127" priority="121" operator="equal">
      <formula>0</formula>
    </cfRule>
    <cfRule type="cellIs" dxfId="126" priority="122" operator="greaterThan">
      <formula>0</formula>
    </cfRule>
  </conditionalFormatting>
  <conditionalFormatting sqref="U39:U40">
    <cfRule type="cellIs" dxfId="125" priority="119" operator="equal">
      <formula>0</formula>
    </cfRule>
    <cfRule type="cellIs" dxfId="124" priority="120" operator="notEqual">
      <formula>0</formula>
    </cfRule>
  </conditionalFormatting>
  <conditionalFormatting sqref="V39:V40">
    <cfRule type="cellIs" dxfId="123" priority="117" operator="equal">
      <formula>0</formula>
    </cfRule>
    <cfRule type="cellIs" dxfId="122" priority="118" operator="notEqual">
      <formula>0</formula>
    </cfRule>
  </conditionalFormatting>
  <conditionalFormatting sqref="W39:W40">
    <cfRule type="cellIs" dxfId="121" priority="115" operator="equal">
      <formula>0</formula>
    </cfRule>
    <cfRule type="cellIs" dxfId="120" priority="116" operator="notEqual">
      <formula>0</formula>
    </cfRule>
  </conditionalFormatting>
  <conditionalFormatting sqref="X39:X40">
    <cfRule type="cellIs" dxfId="119" priority="113" operator="equal">
      <formula>0</formula>
    </cfRule>
    <cfRule type="cellIs" dxfId="118" priority="114" operator="notEqual">
      <formula>0</formula>
    </cfRule>
  </conditionalFormatting>
  <conditionalFormatting sqref="Y39:Y40">
    <cfRule type="cellIs" dxfId="117" priority="111" operator="equal">
      <formula>0</formula>
    </cfRule>
    <cfRule type="cellIs" dxfId="116" priority="112" operator="notEqual">
      <formula>0</formula>
    </cfRule>
  </conditionalFormatting>
  <conditionalFormatting sqref="Z39:Z40">
    <cfRule type="cellIs" dxfId="115" priority="109" operator="equal">
      <formula>0</formula>
    </cfRule>
    <cfRule type="cellIs" dxfId="114" priority="110" operator="notEqual">
      <formula>0</formula>
    </cfRule>
  </conditionalFormatting>
  <conditionalFormatting sqref="AA39:AA40">
    <cfRule type="cellIs" dxfId="113" priority="107" operator="equal">
      <formula>0</formula>
    </cfRule>
    <cfRule type="cellIs" dxfId="112" priority="108" operator="notEqual">
      <formula>0</formula>
    </cfRule>
  </conditionalFormatting>
  <conditionalFormatting sqref="AB39:AB40">
    <cfRule type="cellIs" dxfId="111" priority="105" operator="equal">
      <formula>0</formula>
    </cfRule>
    <cfRule type="cellIs" dxfId="110" priority="106" operator="notEqual">
      <formula>0</formula>
    </cfRule>
  </conditionalFormatting>
  <conditionalFormatting sqref="AG38">
    <cfRule type="cellIs" dxfId="109" priority="103" operator="equal">
      <formula>0</formula>
    </cfRule>
    <cfRule type="cellIs" dxfId="108" priority="104" operator="greaterThan">
      <formula>0</formula>
    </cfRule>
  </conditionalFormatting>
  <conditionalFormatting sqref="AH38">
    <cfRule type="cellIs" dxfId="107" priority="101" operator="equal">
      <formula>0</formula>
    </cfRule>
    <cfRule type="cellIs" dxfId="106" priority="102" operator="greaterThan">
      <formula>0</formula>
    </cfRule>
  </conditionalFormatting>
  <conditionalFormatting sqref="AI38">
    <cfRule type="cellIs" dxfId="105" priority="99" operator="equal">
      <formula>0</formula>
    </cfRule>
    <cfRule type="cellIs" dxfId="104" priority="100" operator="greaterThan">
      <formula>0</formula>
    </cfRule>
  </conditionalFormatting>
  <conditionalFormatting sqref="AJ38">
    <cfRule type="cellIs" dxfId="103" priority="97" operator="equal">
      <formula>0</formula>
    </cfRule>
    <cfRule type="cellIs" dxfId="102" priority="98" operator="greaterThan">
      <formula>0</formula>
    </cfRule>
  </conditionalFormatting>
  <conditionalFormatting sqref="U32:U33">
    <cfRule type="cellIs" dxfId="101" priority="95" operator="equal">
      <formula>0</formula>
    </cfRule>
    <cfRule type="cellIs" dxfId="100" priority="96" operator="notEqual">
      <formula>0</formula>
    </cfRule>
  </conditionalFormatting>
  <conditionalFormatting sqref="V32:V33">
    <cfRule type="cellIs" dxfId="99" priority="93" operator="equal">
      <formula>0</formula>
    </cfRule>
    <cfRule type="cellIs" dxfId="98" priority="94" operator="notEqual">
      <formula>0</formula>
    </cfRule>
  </conditionalFormatting>
  <conditionalFormatting sqref="W32:W33">
    <cfRule type="cellIs" dxfId="97" priority="91" operator="equal">
      <formula>0</formula>
    </cfRule>
    <cfRule type="cellIs" dxfId="96" priority="92" operator="notEqual">
      <formula>0</formula>
    </cfRule>
  </conditionalFormatting>
  <conditionalFormatting sqref="X32:X33">
    <cfRule type="cellIs" dxfId="95" priority="89" operator="equal">
      <formula>0</formula>
    </cfRule>
    <cfRule type="cellIs" dxfId="94" priority="90" operator="notEqual">
      <formula>0</formula>
    </cfRule>
  </conditionalFormatting>
  <conditionalFormatting sqref="Y32:Y33">
    <cfRule type="cellIs" dxfId="93" priority="87" operator="equal">
      <formula>0</formula>
    </cfRule>
    <cfRule type="cellIs" dxfId="92" priority="88" operator="notEqual">
      <formula>0</formula>
    </cfRule>
  </conditionalFormatting>
  <conditionalFormatting sqref="Z32:Z33">
    <cfRule type="cellIs" dxfId="91" priority="85" operator="equal">
      <formula>0</formula>
    </cfRule>
    <cfRule type="cellIs" dxfId="90" priority="86" operator="notEqual">
      <formula>0</formula>
    </cfRule>
  </conditionalFormatting>
  <conditionalFormatting sqref="AA32:AA33">
    <cfRule type="cellIs" dxfId="89" priority="83" operator="equal">
      <formula>0</formula>
    </cfRule>
    <cfRule type="cellIs" dxfId="88" priority="84" operator="notEqual">
      <formula>0</formula>
    </cfRule>
  </conditionalFormatting>
  <conditionalFormatting sqref="AB32:AB33">
    <cfRule type="cellIs" dxfId="87" priority="81" operator="equal">
      <formula>0</formula>
    </cfRule>
    <cfRule type="cellIs" dxfId="86" priority="82" operator="notEqual">
      <formula>0</formula>
    </cfRule>
  </conditionalFormatting>
  <conditionalFormatting sqref="AG31">
    <cfRule type="cellIs" dxfId="85" priority="79" operator="equal">
      <formula>0</formula>
    </cfRule>
    <cfRule type="cellIs" dxfId="84" priority="80" operator="greaterThan">
      <formula>0</formula>
    </cfRule>
  </conditionalFormatting>
  <conditionalFormatting sqref="AH31">
    <cfRule type="cellIs" dxfId="83" priority="77" operator="equal">
      <formula>0</formula>
    </cfRule>
    <cfRule type="cellIs" dxfId="82" priority="78" operator="greaterThan">
      <formula>0</formula>
    </cfRule>
  </conditionalFormatting>
  <conditionalFormatting sqref="AI31">
    <cfRule type="cellIs" dxfId="81" priority="75" operator="equal">
      <formula>0</formula>
    </cfRule>
    <cfRule type="cellIs" dxfId="80" priority="76" operator="greaterThan">
      <formula>0</formula>
    </cfRule>
  </conditionalFormatting>
  <conditionalFormatting sqref="AJ31">
    <cfRule type="cellIs" dxfId="79" priority="73" operator="equal">
      <formula>0</formula>
    </cfRule>
    <cfRule type="cellIs" dxfId="78" priority="74" operator="greaterThan">
      <formula>0</formula>
    </cfRule>
  </conditionalFormatting>
  <conditionalFormatting sqref="U25:U26">
    <cfRule type="cellIs" dxfId="77" priority="71" operator="equal">
      <formula>0</formula>
    </cfRule>
    <cfRule type="cellIs" dxfId="76" priority="72" operator="notEqual">
      <formula>0</formula>
    </cfRule>
  </conditionalFormatting>
  <conditionalFormatting sqref="V25:V26">
    <cfRule type="cellIs" dxfId="75" priority="69" operator="equal">
      <formula>0</formula>
    </cfRule>
    <cfRule type="cellIs" dxfId="74" priority="70" operator="notEqual">
      <formula>0</formula>
    </cfRule>
  </conditionalFormatting>
  <conditionalFormatting sqref="W25:W26">
    <cfRule type="cellIs" dxfId="73" priority="67" operator="equal">
      <formula>0</formula>
    </cfRule>
    <cfRule type="cellIs" dxfId="72" priority="68" operator="notEqual">
      <formula>0</formula>
    </cfRule>
  </conditionalFormatting>
  <conditionalFormatting sqref="X25:X26">
    <cfRule type="cellIs" dxfId="71" priority="65" operator="equal">
      <formula>0</formula>
    </cfRule>
    <cfRule type="cellIs" dxfId="70" priority="66" operator="notEqual">
      <formula>0</formula>
    </cfRule>
  </conditionalFormatting>
  <conditionalFormatting sqref="Y25:Y26">
    <cfRule type="cellIs" dxfId="69" priority="63" operator="equal">
      <formula>0</formula>
    </cfRule>
    <cfRule type="cellIs" dxfId="68" priority="64" operator="notEqual">
      <formula>0</formula>
    </cfRule>
  </conditionalFormatting>
  <conditionalFormatting sqref="Z25:Z26">
    <cfRule type="cellIs" dxfId="67" priority="61" operator="equal">
      <formula>0</formula>
    </cfRule>
    <cfRule type="cellIs" dxfId="66" priority="62" operator="notEqual">
      <formula>0</formula>
    </cfRule>
  </conditionalFormatting>
  <conditionalFormatting sqref="AA25:AA26">
    <cfRule type="cellIs" dxfId="65" priority="59" operator="equal">
      <formula>0</formula>
    </cfRule>
    <cfRule type="cellIs" dxfId="64" priority="60" operator="notEqual">
      <formula>0</formula>
    </cfRule>
  </conditionalFormatting>
  <conditionalFormatting sqref="AB25:AB26">
    <cfRule type="cellIs" dxfId="63" priority="57" operator="equal">
      <formula>0</formula>
    </cfRule>
    <cfRule type="cellIs" dxfId="62" priority="58" operator="notEqual">
      <formula>0</formula>
    </cfRule>
  </conditionalFormatting>
  <conditionalFormatting sqref="AG24">
    <cfRule type="cellIs" dxfId="61" priority="55" operator="equal">
      <formula>0</formula>
    </cfRule>
    <cfRule type="cellIs" dxfId="60" priority="56" operator="greaterThan">
      <formula>0</formula>
    </cfRule>
  </conditionalFormatting>
  <conditionalFormatting sqref="AH24">
    <cfRule type="cellIs" dxfId="59" priority="53" operator="equal">
      <formula>0</formula>
    </cfRule>
    <cfRule type="cellIs" dxfId="58" priority="54" operator="greaterThan">
      <formula>0</formula>
    </cfRule>
  </conditionalFormatting>
  <conditionalFormatting sqref="AI24">
    <cfRule type="cellIs" dxfId="57" priority="51" operator="equal">
      <formula>0</formula>
    </cfRule>
    <cfRule type="cellIs" dxfId="56" priority="52" operator="greaterThan">
      <formula>0</formula>
    </cfRule>
  </conditionalFormatting>
  <conditionalFormatting sqref="AJ24">
    <cfRule type="cellIs" dxfId="55" priority="49" operator="equal">
      <formula>0</formula>
    </cfRule>
    <cfRule type="cellIs" dxfId="54" priority="50" operator="greaterThan">
      <formula>0</formula>
    </cfRule>
  </conditionalFormatting>
  <conditionalFormatting sqref="U18:U19">
    <cfRule type="cellIs" dxfId="53" priority="47" operator="equal">
      <formula>0</formula>
    </cfRule>
    <cfRule type="cellIs" dxfId="52" priority="48" operator="notEqual">
      <formula>0</formula>
    </cfRule>
  </conditionalFormatting>
  <conditionalFormatting sqref="V18:V19">
    <cfRule type="cellIs" dxfId="51" priority="45" operator="equal">
      <formula>0</formula>
    </cfRule>
    <cfRule type="cellIs" dxfId="50" priority="46" operator="notEqual">
      <formula>0</formula>
    </cfRule>
  </conditionalFormatting>
  <conditionalFormatting sqref="W18:W19">
    <cfRule type="cellIs" dxfId="49" priority="43" operator="equal">
      <formula>0</formula>
    </cfRule>
    <cfRule type="cellIs" dxfId="48" priority="44" operator="notEqual">
      <formula>0</formula>
    </cfRule>
  </conditionalFormatting>
  <conditionalFormatting sqref="X18:X19">
    <cfRule type="cellIs" dxfId="47" priority="41" operator="equal">
      <formula>0</formula>
    </cfRule>
    <cfRule type="cellIs" dxfId="46" priority="42" operator="notEqual">
      <formula>0</formula>
    </cfRule>
  </conditionalFormatting>
  <conditionalFormatting sqref="Y18:Y19">
    <cfRule type="cellIs" dxfId="45" priority="39" operator="equal">
      <formula>0</formula>
    </cfRule>
    <cfRule type="cellIs" dxfId="44" priority="40" operator="notEqual">
      <formula>0</formula>
    </cfRule>
  </conditionalFormatting>
  <conditionalFormatting sqref="Z18:Z19">
    <cfRule type="cellIs" dxfId="43" priority="37" operator="equal">
      <formula>0</formula>
    </cfRule>
    <cfRule type="cellIs" dxfId="42" priority="38" operator="notEqual">
      <formula>0</formula>
    </cfRule>
  </conditionalFormatting>
  <conditionalFormatting sqref="AA18:AA19">
    <cfRule type="cellIs" dxfId="41" priority="35" operator="equal">
      <formula>0</formula>
    </cfRule>
    <cfRule type="cellIs" dxfId="40" priority="36" operator="notEqual">
      <formula>0</formula>
    </cfRule>
  </conditionalFormatting>
  <conditionalFormatting sqref="AB18:AB19">
    <cfRule type="cellIs" dxfId="39" priority="33" operator="equal">
      <formula>0</formula>
    </cfRule>
    <cfRule type="cellIs" dxfId="38" priority="34" operator="notEqual">
      <formula>0</formula>
    </cfRule>
  </conditionalFormatting>
  <conditionalFormatting sqref="AG17">
    <cfRule type="cellIs" dxfId="37" priority="31" operator="equal">
      <formula>0</formula>
    </cfRule>
    <cfRule type="cellIs" dxfId="36" priority="32" operator="greaterThan">
      <formula>0</formula>
    </cfRule>
  </conditionalFormatting>
  <conditionalFormatting sqref="AH17">
    <cfRule type="cellIs" dxfId="35" priority="29" operator="equal">
      <formula>0</formula>
    </cfRule>
    <cfRule type="cellIs" dxfId="34" priority="30" operator="greaterThan">
      <formula>0</formula>
    </cfRule>
  </conditionalFormatting>
  <conditionalFormatting sqref="AI17">
    <cfRule type="cellIs" dxfId="33" priority="27" operator="equal">
      <formula>0</formula>
    </cfRule>
    <cfRule type="cellIs" dxfId="32" priority="28" operator="greaterThan">
      <formula>0</formula>
    </cfRule>
  </conditionalFormatting>
  <conditionalFormatting sqref="AJ17">
    <cfRule type="cellIs" dxfId="31" priority="25" operator="equal">
      <formula>0</formula>
    </cfRule>
    <cfRule type="cellIs" dxfId="30" priority="26" operator="greaterThan">
      <formula>0</formula>
    </cfRule>
  </conditionalFormatting>
  <conditionalFormatting sqref="U11:U12">
    <cfRule type="cellIs" dxfId="29" priority="23" operator="equal">
      <formula>0</formula>
    </cfRule>
    <cfRule type="cellIs" dxfId="28" priority="24" operator="notEqual">
      <formula>0</formula>
    </cfRule>
  </conditionalFormatting>
  <conditionalFormatting sqref="V11:V12">
    <cfRule type="cellIs" dxfId="27" priority="21" operator="equal">
      <formula>0</formula>
    </cfRule>
    <cfRule type="cellIs" dxfId="26" priority="22" operator="notEqual">
      <formula>0</formula>
    </cfRule>
  </conditionalFormatting>
  <conditionalFormatting sqref="W11:W12">
    <cfRule type="cellIs" dxfId="25" priority="19" operator="equal">
      <formula>0</formula>
    </cfRule>
    <cfRule type="cellIs" dxfId="24" priority="20" operator="notEqual">
      <formula>0</formula>
    </cfRule>
  </conditionalFormatting>
  <conditionalFormatting sqref="X11:X12">
    <cfRule type="cellIs" dxfId="23" priority="17" operator="equal">
      <formula>0</formula>
    </cfRule>
    <cfRule type="cellIs" dxfId="22" priority="18" operator="notEqual">
      <formula>0</formula>
    </cfRule>
  </conditionalFormatting>
  <conditionalFormatting sqref="Y11:Y12">
    <cfRule type="cellIs" dxfId="21" priority="15" operator="equal">
      <formula>0</formula>
    </cfRule>
    <cfRule type="cellIs" dxfId="20" priority="16" operator="notEqual">
      <formula>0</formula>
    </cfRule>
  </conditionalFormatting>
  <conditionalFormatting sqref="Z11:Z12">
    <cfRule type="cellIs" dxfId="19" priority="13" operator="equal">
      <formula>0</formula>
    </cfRule>
    <cfRule type="cellIs" dxfId="18" priority="14" operator="notEqual">
      <formula>0</formula>
    </cfRule>
  </conditionalFormatting>
  <conditionalFormatting sqref="AA11:AA12">
    <cfRule type="cellIs" dxfId="17" priority="11" operator="equal">
      <formula>0</formula>
    </cfRule>
    <cfRule type="cellIs" dxfId="16" priority="12" operator="notEqual">
      <formula>0</formula>
    </cfRule>
  </conditionalFormatting>
  <conditionalFormatting sqref="AB11:AB12">
    <cfRule type="cellIs" dxfId="15" priority="9" operator="equal">
      <formula>0</formula>
    </cfRule>
    <cfRule type="cellIs" dxfId="14" priority="10" operator="notEqual">
      <formula>0</formula>
    </cfRule>
  </conditionalFormatting>
  <conditionalFormatting sqref="AG10">
    <cfRule type="cellIs" dxfId="13" priority="7" operator="equal">
      <formula>0</formula>
    </cfRule>
    <cfRule type="cellIs" dxfId="12" priority="8" operator="greaterThan">
      <formula>0</formula>
    </cfRule>
  </conditionalFormatting>
  <conditionalFormatting sqref="AH10">
    <cfRule type="cellIs" dxfId="11" priority="5" operator="equal">
      <formula>0</formula>
    </cfRule>
    <cfRule type="cellIs" dxfId="10" priority="6" operator="greaterThan">
      <formula>0</formula>
    </cfRule>
  </conditionalFormatting>
  <conditionalFormatting sqref="AI10">
    <cfRule type="cellIs" dxfId="9" priority="3" operator="equal">
      <formula>0</formula>
    </cfRule>
    <cfRule type="cellIs" dxfId="8" priority="4" operator="greaterThan">
      <formula>0</formula>
    </cfRule>
  </conditionalFormatting>
  <conditionalFormatting sqref="AJ10">
    <cfRule type="cellIs" dxfId="7" priority="1" operator="equal">
      <formula>0</formula>
    </cfRule>
    <cfRule type="cellIs" dxfId="6" priority="2" operator="greaterThan">
      <formula>0</formula>
    </cfRule>
  </conditionalFormatting>
  <dataValidations count="1">
    <dataValidation type="list" allowBlank="1" showInputMessage="1" showErrorMessage="1" sqref="B5" xr:uid="{829D0DA9-C009-443E-8D65-0F2737C055E6}">
      <formula1>Regions</formula1>
    </dataValidation>
  </dataValidation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pageSetUpPr fitToPage="1"/>
  </sheetPr>
  <dimension ref="A1:Y33"/>
  <sheetViews>
    <sheetView showGridLines="0" topLeftCell="A14" zoomScale="85" zoomScaleNormal="85" workbookViewId="0">
      <selection activeCell="F15" sqref="F15"/>
    </sheetView>
  </sheetViews>
  <sheetFormatPr baseColWidth="10" defaultColWidth="9.1640625" defaultRowHeight="16" x14ac:dyDescent="0.2"/>
  <cols>
    <col min="1" max="1" width="3.5" style="2" customWidth="1"/>
    <col min="2" max="2" width="31.5" style="2" bestFit="1" customWidth="1"/>
    <col min="3" max="3" width="14.5" style="2" bestFit="1" customWidth="1"/>
    <col min="4" max="4" width="15.5" style="2" customWidth="1"/>
    <col min="5" max="5" width="13" style="2" bestFit="1" customWidth="1"/>
    <col min="6" max="6" width="15.5" style="2" customWidth="1"/>
    <col min="7" max="7" width="9.1640625" style="2"/>
    <col min="8" max="8" width="15.5" style="2" customWidth="1"/>
    <col min="9" max="9" width="15.1640625" style="2" customWidth="1"/>
    <col min="10" max="10" width="12.83203125" style="2" bestFit="1" customWidth="1"/>
    <col min="11" max="11" width="14.5" style="2" customWidth="1"/>
    <col min="12" max="12" width="13.1640625" style="2" customWidth="1"/>
    <col min="13" max="13" width="10.5" style="2" bestFit="1" customWidth="1"/>
    <col min="14" max="16384" width="9.1640625" style="2"/>
  </cols>
  <sheetData>
    <row r="1" spans="1:25" ht="45" customHeight="1" x14ac:dyDescent="0.2">
      <c r="A1" s="383" t="s">
        <v>371</v>
      </c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/>
      <c r="U1" s="383"/>
      <c r="V1" s="383"/>
      <c r="W1" s="383"/>
      <c r="X1" s="383"/>
      <c r="Y1" s="383"/>
    </row>
    <row r="2" spans="1:25" ht="39" customHeight="1" x14ac:dyDescent="0.2">
      <c r="A2" s="382"/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</row>
    <row r="3" spans="1:25" ht="14.25" customHeight="1" x14ac:dyDescent="0.2"/>
    <row r="4" spans="1:25" ht="56" x14ac:dyDescent="0.2">
      <c r="B4" s="187"/>
      <c r="C4" s="269" t="s">
        <v>259</v>
      </c>
      <c r="D4" s="94" t="s">
        <v>260</v>
      </c>
      <c r="E4" s="94" t="s">
        <v>261</v>
      </c>
      <c r="F4" s="94" t="s">
        <v>262</v>
      </c>
      <c r="G4" s="183"/>
      <c r="H4" s="269" t="s">
        <v>263</v>
      </c>
      <c r="I4" s="269" t="s">
        <v>264</v>
      </c>
      <c r="J4" s="183"/>
      <c r="K4" s="269" t="s">
        <v>265</v>
      </c>
      <c r="L4" s="269" t="s">
        <v>266</v>
      </c>
    </row>
    <row r="5" spans="1:25" x14ac:dyDescent="0.2">
      <c r="B5" s="181" t="s">
        <v>4</v>
      </c>
      <c r="C5" s="98" t="e">
        <f>SUM((SUMIFS('capacity data'!G:G,'capacity data'!A:A,B5,'capacity data'!E:E,"PO"))-SUMIFS('capacity data'!H:H,'capacity data'!A:A,B5,'capacity data'!E:E,"PO"))/SUMIFS('capacity data'!G:G,'capacity data'!A:A,B5,'capacity data'!E:E,"PO")</f>
        <v>#DIV/0!</v>
      </c>
      <c r="D5" s="98" t="e">
        <f>SUM((SUMIFS('capacity data'!G:G,'capacity data'!A:A,B5,'capacity data'!E:E,"PSO"))-SUMIFS('capacity data'!H:H,'capacity data'!A:A,B5,'capacity data'!E:E,"PSO"))/SUMIFS('capacity data'!G:G,'capacity data'!A:A,B5,'capacity data'!E:E,"PSO")</f>
        <v>#DIV/0!</v>
      </c>
      <c r="E5" s="98" t="e">
        <f>SUM((SUMIFS('capacity data'!G:G,'capacity data'!A:A,B5,'capacity data'!E:E,"TPO"))-SUMIFS('capacity data'!H:H,'capacity data'!A:A,B5,'capacity data'!E:E,"TPO"))/SUMIFS('capacity data'!G:G,'capacity data'!A:A,B5,'capacity data'!E:E,"TPO")</f>
        <v>#DIV/0!</v>
      </c>
      <c r="F5" s="188" t="e">
        <f>SUM((SUMIFS('capacity data'!G:G,'capacity data'!A:A,B5))-SUMIFS('capacity data'!H:H,'capacity data'!A:A,B5))/SUMIFS('capacity data'!G:G,'capacity data'!A:A,B5)</f>
        <v>#DIV/0!</v>
      </c>
      <c r="G5" s="189"/>
      <c r="H5" s="97" t="e">
        <f>SUMIFS('capacity data'!$L:$L,'capacity data'!$A:$A,B5,'capacity data'!$E:$E,"PSO")/SUM((SUMIFS('capacity data'!$G:$G,'capacity data'!$E:$E,"PSO",'capacity data'!$A:$A,B5))-SUMIFS('capacity data'!$H:$H,'capacity data'!$E:$E,"PSO",'capacity data'!$A:$A,B5))</f>
        <v>#DIV/0!</v>
      </c>
      <c r="I5" s="97" t="e">
        <f>SUMIFS('capacity data'!$L:$L,'capacity data'!$A:$A,B5,'capacity data'!$E:$E,"PSO")/SUMIFS('capacity data'!$G:$G,'capacity data'!$E:$E,"PSO",'capacity data'!$A:$A,B5)</f>
        <v>#DIV/0!</v>
      </c>
      <c r="J5" s="183"/>
      <c r="K5" s="97" t="e">
        <f>SUMIFS('capacity data'!$L:$L,'capacity data'!$A:$A,B5,'capacity data'!$E:$E,"TPO")/SUM((SUMIFS('capacity data'!$G:$G,'capacity data'!$E:$E,"TPO",'capacity data'!$A:$A,B5))-SUMIFS('capacity data'!$H:$H,'capacity data'!$E:$E,"TPO",'capacity data'!$A:$A,B5))</f>
        <v>#DIV/0!</v>
      </c>
      <c r="L5" s="97" t="e">
        <f>SUMIFS('capacity data'!$L:$L,'capacity data'!$A:$A,B5,'capacity data'!$E:$E,"TPO")/SUMIFS('capacity data'!$G:$G,'capacity data'!$E:$E,"TPO",'capacity data'!$A:$A,B5)</f>
        <v>#DIV/0!</v>
      </c>
    </row>
    <row r="6" spans="1:25" x14ac:dyDescent="0.2">
      <c r="B6" s="181" t="s">
        <v>1014</v>
      </c>
      <c r="C6" s="98" t="e">
        <f>SUM((SUMIFS('capacity data'!G:G,'capacity data'!A:A,B6,'capacity data'!E:E,"PO"))-SUMIFS('capacity data'!H:H,'capacity data'!A:A,B6,'capacity data'!E:E,"PO"))/SUMIFS('capacity data'!G:G,'capacity data'!A:A,B6,'capacity data'!E:E,"PO")</f>
        <v>#DIV/0!</v>
      </c>
      <c r="D6" s="98" t="e">
        <f>SUM((SUMIFS('capacity data'!G:G,'capacity data'!A:A,B6,'capacity data'!E:E,"PSO"))-SUMIFS('capacity data'!H:H,'capacity data'!A:A,B6,'capacity data'!E:E,"PSO"))/SUMIFS('capacity data'!G:G,'capacity data'!A:A,B6,'capacity data'!E:E,"PSO")</f>
        <v>#DIV/0!</v>
      </c>
      <c r="E6" s="98" t="e">
        <f>SUM((SUMIFS('capacity data'!G:G,'capacity data'!A:A,B6,'capacity data'!E:E,"TPO"))-SUMIFS('capacity data'!H:H,'capacity data'!A:A,B6,'capacity data'!E:E,"TPO"))/SUMIFS('capacity data'!G:G,'capacity data'!A:A,B6,'capacity data'!E:E,"TPO")</f>
        <v>#DIV/0!</v>
      </c>
      <c r="F6" s="188" t="e">
        <f>SUM((SUMIFS('capacity data'!G:G,'capacity data'!A:A,B6))-SUMIFS('capacity data'!H:H,'capacity data'!A:A,B6))/SUMIFS('capacity data'!G:G,'capacity data'!A:A,B6)</f>
        <v>#DIV/0!</v>
      </c>
      <c r="G6" s="189"/>
      <c r="H6" s="97" t="e">
        <f>SUMIFS('capacity data'!$L:$L,'capacity data'!$A:$A,B6,'capacity data'!$E:$E,"PSO")/SUM((SUMIFS('capacity data'!$G:$G,'capacity data'!$E:$E,"PSO",'capacity data'!$A:$A,B6))-SUMIFS('capacity data'!$H:$H,'capacity data'!$E:$E,"PSO",'capacity data'!$A:$A,B6))</f>
        <v>#DIV/0!</v>
      </c>
      <c r="I6" s="97" t="e">
        <f>SUMIFS('capacity data'!$L:$L,'capacity data'!$A:$A,B6,'capacity data'!$E:$E,"PSO")/SUMIFS('capacity data'!$G:$G,'capacity data'!$E:$E,"PSO",'capacity data'!$A:$A,B6)</f>
        <v>#DIV/0!</v>
      </c>
      <c r="J6" s="183"/>
      <c r="K6" s="97" t="e">
        <f>SUMIFS('capacity data'!$L:$L,'capacity data'!$A:$A,B6,'capacity data'!$E:$E,"TPO")/SUM((SUMIFS('capacity data'!$G:$G,'capacity data'!$E:$E,"TPO",'capacity data'!$A:$A,B6))-SUMIFS('capacity data'!$H:$H,'capacity data'!$E:$E,"TPO",'capacity data'!$A:$A,B6))</f>
        <v>#DIV/0!</v>
      </c>
      <c r="L6" s="97" t="e">
        <f>SUMIFS('capacity data'!$L:$L,'capacity data'!$A:$A,B6,'capacity data'!$E:$E,"TPO")/SUMIFS('capacity data'!$G:$G,'capacity data'!$E:$E,"TPO",'capacity data'!$A:$A,B6)</f>
        <v>#DIV/0!</v>
      </c>
    </row>
    <row r="7" spans="1:25" x14ac:dyDescent="0.2">
      <c r="B7" s="181" t="s">
        <v>5</v>
      </c>
      <c r="C7" s="98" t="e">
        <f>SUM((SUMIFS('capacity data'!G:G,'capacity data'!A:A,B7,'capacity data'!E:E,"PO"))-SUMIFS('capacity data'!H:H,'capacity data'!A:A,B7,'capacity data'!E:E,"PO"))/SUMIFS('capacity data'!G:G,'capacity data'!A:A,B7,'capacity data'!E:E,"PO")</f>
        <v>#DIV/0!</v>
      </c>
      <c r="D7" s="98" t="e">
        <f>SUM((SUMIFS('capacity data'!G:G,'capacity data'!A:A,B7,'capacity data'!E:E,"PSO"))-SUMIFS('capacity data'!H:H,'capacity data'!A:A,B7,'capacity data'!E:E,"PSO"))/SUMIFS('capacity data'!G:G,'capacity data'!A:A,B7,'capacity data'!E:E,"PSO")</f>
        <v>#DIV/0!</v>
      </c>
      <c r="E7" s="98" t="e">
        <f>SUM((SUMIFS('capacity data'!G:G,'capacity data'!A:A,B7,'capacity data'!E:E,"TPO"))-SUMIFS('capacity data'!H:H,'capacity data'!A:A,B7,'capacity data'!E:E,"TPO"))/SUMIFS('capacity data'!G:G,'capacity data'!A:A,B7,'capacity data'!E:E,"TPO")</f>
        <v>#DIV/0!</v>
      </c>
      <c r="F7" s="188" t="e">
        <f>SUM((SUMIFS('capacity data'!G:G,'capacity data'!A:A,B7))-SUMIFS('capacity data'!H:H,'capacity data'!A:A,B7))/SUMIFS('capacity data'!G:G,'capacity data'!A:A,B7)</f>
        <v>#DIV/0!</v>
      </c>
      <c r="G7" s="189"/>
      <c r="H7" s="97" t="e">
        <f>SUMIFS('capacity data'!$L:$L,'capacity data'!$A:$A,B7,'capacity data'!$E:$E,"PSO")/SUM((SUMIFS('capacity data'!$G:$G,'capacity data'!$E:$E,"PSO",'capacity data'!$A:$A,B7))-SUMIFS('capacity data'!$H:$H,'capacity data'!$E:$E,"PSO",'capacity data'!$A:$A,B7))</f>
        <v>#DIV/0!</v>
      </c>
      <c r="I7" s="97" t="e">
        <f>SUMIFS('capacity data'!$L:$L,'capacity data'!$A:$A,B7,'capacity data'!$E:$E,"PSO")/SUMIFS('capacity data'!$G:$G,'capacity data'!$E:$E,"PSO",'capacity data'!$A:$A,B7)</f>
        <v>#DIV/0!</v>
      </c>
      <c r="J7" s="183"/>
      <c r="K7" s="97" t="e">
        <f>SUMIFS('capacity data'!$L:$L,'capacity data'!$A:$A,B7,'capacity data'!$E:$E,"TPO")/SUM((SUMIFS('capacity data'!$G:$G,'capacity data'!$E:$E,"TPO",'capacity data'!$A:$A,B7))-SUMIFS('capacity data'!$H:$H,'capacity data'!$E:$E,"TPO",'capacity data'!$A:$A,B7))</f>
        <v>#DIV/0!</v>
      </c>
      <c r="L7" s="97" t="e">
        <f>SUMIFS('capacity data'!$L:$L,'capacity data'!$A:$A,B7,'capacity data'!$E:$E,"TPO")/SUMIFS('capacity data'!$G:$G,'capacity data'!$E:$E,"TPO",'capacity data'!$A:$A,B7)</f>
        <v>#DIV/0!</v>
      </c>
    </row>
    <row r="8" spans="1:25" x14ac:dyDescent="0.2">
      <c r="B8" s="181" t="s">
        <v>6</v>
      </c>
      <c r="C8" s="98" t="e">
        <f>SUM((SUMIFS('capacity data'!G:G,'capacity data'!A:A,B8,'capacity data'!E:E,"PO"))-SUMIFS('capacity data'!H:H,'capacity data'!A:A,B8,'capacity data'!E:E,"PO"))/SUMIFS('capacity data'!G:G,'capacity data'!A:A,B8,'capacity data'!E:E,"PO")</f>
        <v>#DIV/0!</v>
      </c>
      <c r="D8" s="98" t="e">
        <f>SUM((SUMIFS('capacity data'!G:G,'capacity data'!A:A,B8,'capacity data'!E:E,"PSO"))-SUMIFS('capacity data'!H:H,'capacity data'!A:A,B8,'capacity data'!E:E,"PSO"))/SUMIFS('capacity data'!G:G,'capacity data'!A:A,B8,'capacity data'!E:E,"PSO")</f>
        <v>#DIV/0!</v>
      </c>
      <c r="E8" s="98" t="e">
        <f>SUM((SUMIFS('capacity data'!G:G,'capacity data'!A:A,B8,'capacity data'!E:E,"TPO"))-SUMIFS('capacity data'!H:H,'capacity data'!A:A,B8,'capacity data'!E:E,"TPO"))/SUMIFS('capacity data'!G:G,'capacity data'!A:A,B8,'capacity data'!E:E,"TPO")</f>
        <v>#DIV/0!</v>
      </c>
      <c r="F8" s="188" t="e">
        <f>SUM((SUMIFS('capacity data'!G:G,'capacity data'!A:A,B8))-SUMIFS('capacity data'!H:H,'capacity data'!A:A,B8))/SUMIFS('capacity data'!G:G,'capacity data'!A:A,B8)</f>
        <v>#DIV/0!</v>
      </c>
      <c r="G8" s="189"/>
      <c r="H8" s="97" t="e">
        <f>SUMIFS('capacity data'!$L:$L,'capacity data'!$A:$A,B8,'capacity data'!$E:$E,"PSO")/SUM((SUMIFS('capacity data'!$G:$G,'capacity data'!$E:$E,"PSO",'capacity data'!$A:$A,B8))-SUMIFS('capacity data'!$H:$H,'capacity data'!$E:$E,"PSO",'capacity data'!$A:$A,B8))</f>
        <v>#DIV/0!</v>
      </c>
      <c r="I8" s="97" t="e">
        <f>SUMIFS('capacity data'!$L:$L,'capacity data'!$A:$A,B8,'capacity data'!$E:$E,"PSO")/SUMIFS('capacity data'!$G:$G,'capacity data'!$E:$E,"PSO",'capacity data'!$A:$A,B8)</f>
        <v>#DIV/0!</v>
      </c>
      <c r="J8" s="183"/>
      <c r="K8" s="97" t="e">
        <f>SUMIFS('capacity data'!$L:$L,'capacity data'!$A:$A,B8,'capacity data'!$E:$E,"TPO")/SUM((SUMIFS('capacity data'!$G:$G,'capacity data'!$E:$E,"TPO",'capacity data'!$A:$A,B8))-SUMIFS('capacity data'!$H:$H,'capacity data'!$E:$E,"TPO",'capacity data'!$A:$A,B8))</f>
        <v>#DIV/0!</v>
      </c>
      <c r="L8" s="97" t="e">
        <f>SUMIFS('capacity data'!$L:$L,'capacity data'!$A:$A,B8,'capacity data'!$E:$E,"TPO")/SUMIFS('capacity data'!$G:$G,'capacity data'!$E:$E,"TPO",'capacity data'!$A:$A,B8)</f>
        <v>#DIV/0!</v>
      </c>
    </row>
    <row r="9" spans="1:25" x14ac:dyDescent="0.2">
      <c r="B9" s="181" t="s">
        <v>376</v>
      </c>
      <c r="C9" s="98" t="e">
        <f>SUM((SUMIFS('capacity data'!G:G,'capacity data'!A:A,B9,'capacity data'!E:E,"PO"))-SUMIFS('capacity data'!H:H,'capacity data'!A:A,B9,'capacity data'!E:E,"PO"))/SUMIFS('capacity data'!G:G,'capacity data'!A:A,B9,'capacity data'!E:E,"PO")</f>
        <v>#DIV/0!</v>
      </c>
      <c r="D9" s="98" t="e">
        <f>SUM((SUMIFS('capacity data'!G:G,'capacity data'!A:A,B9,'capacity data'!E:E,"PSO"))-SUMIFS('capacity data'!H:H,'capacity data'!A:A,B9,'capacity data'!E:E,"PSO"))/SUMIFS('capacity data'!G:G,'capacity data'!A:A,B9,'capacity data'!E:E,"PSO")</f>
        <v>#DIV/0!</v>
      </c>
      <c r="E9" s="98" t="e">
        <f>SUM((SUMIFS('capacity data'!G:G,'capacity data'!A:A,B9,'capacity data'!E:E,"TPO"))-SUMIFS('capacity data'!H:H,'capacity data'!A:A,B9,'capacity data'!E:E,"TPO"))/SUMIFS('capacity data'!G:G,'capacity data'!A:A,B9,'capacity data'!E:E,"TPO")</f>
        <v>#DIV/0!</v>
      </c>
      <c r="F9" s="188" t="e">
        <f>SUM((SUMIFS('capacity data'!G:G,'capacity data'!A:A,B9))-SUMIFS('capacity data'!H:H,'capacity data'!A:A,B9))/SUMIFS('capacity data'!G:G,'capacity data'!A:A,B9)</f>
        <v>#DIV/0!</v>
      </c>
      <c r="G9" s="189"/>
      <c r="H9" s="97" t="e">
        <f>SUMIFS('capacity data'!$L:$L,'capacity data'!$A:$A,B9,'capacity data'!$E:$E,"PSO")/SUM((SUMIFS('capacity data'!$G:$G,'capacity data'!$E:$E,"PSO",'capacity data'!$A:$A,B9))-SUMIFS('capacity data'!$H:$H,'capacity data'!$E:$E,"PSO",'capacity data'!$A:$A,B9))</f>
        <v>#DIV/0!</v>
      </c>
      <c r="I9" s="97" t="e">
        <f>SUMIFS('capacity data'!$L:$L,'capacity data'!$A:$A,B9,'capacity data'!$E:$E,"PSO")/SUMIFS('capacity data'!$G:$G,'capacity data'!$E:$E,"PSO",'capacity data'!$A:$A,B9)</f>
        <v>#DIV/0!</v>
      </c>
      <c r="J9" s="183"/>
      <c r="K9" s="97" t="e">
        <f>SUMIFS('capacity data'!$L:$L,'capacity data'!$A:$A,B9,'capacity data'!$E:$E,"TPO")/SUM((SUMIFS('capacity data'!$G:$G,'capacity data'!$E:$E,"TPO",'capacity data'!$A:$A,B9))-SUMIFS('capacity data'!$H:$H,'capacity data'!$E:$E,"TPO",'capacity data'!$A:$A,B9))</f>
        <v>#DIV/0!</v>
      </c>
      <c r="L9" s="97" t="e">
        <f>SUMIFS('capacity data'!$L:$L,'capacity data'!$A:$A,B9,'capacity data'!$E:$E,"TPO")/SUMIFS('capacity data'!$G:$G,'capacity data'!$E:$E,"TPO",'capacity data'!$A:$A,B9)</f>
        <v>#DIV/0!</v>
      </c>
    </row>
    <row r="10" spans="1:25" x14ac:dyDescent="0.2">
      <c r="B10" s="181" t="s">
        <v>1130</v>
      </c>
      <c r="C10" s="98" t="e">
        <f>SUM((SUMIFS('capacity data'!G:G,'capacity data'!A:A,B10,'capacity data'!E:E,"PO"))-SUMIFS('capacity data'!H:H,'capacity data'!A:A,B10,'capacity data'!E:E,"PO"))/SUMIFS('capacity data'!G:G,'capacity data'!A:A,B10,'capacity data'!E:E,"PO")</f>
        <v>#DIV/0!</v>
      </c>
      <c r="D10" s="98" t="e">
        <f>SUM((SUMIFS('capacity data'!G:G,'capacity data'!A:A,B10,'capacity data'!E:E,"PSO"))-SUMIFS('capacity data'!H:H,'capacity data'!A:A,B10,'capacity data'!E:E,"PSO"))/SUMIFS('capacity data'!G:G,'capacity data'!A:A,B10,'capacity data'!E:E,"PSO")</f>
        <v>#DIV/0!</v>
      </c>
      <c r="E10" s="98" t="e">
        <f>SUM((SUMIFS('capacity data'!G:G,'capacity data'!A:A,B10,'capacity data'!E:E,"TPO"))-SUMIFS('capacity data'!H:H,'capacity data'!A:A,B10,'capacity data'!E:E,"TPO"))/SUMIFS('capacity data'!G:G,'capacity data'!A:A,B10,'capacity data'!E:E,"TPO")</f>
        <v>#DIV/0!</v>
      </c>
      <c r="F10" s="188" t="e">
        <f>SUM((SUMIFS('capacity data'!G:G,'capacity data'!A:A,B10))-SUMIFS('capacity data'!H:H,'capacity data'!A:A,B10))/SUMIFS('capacity data'!G:G,'capacity data'!A:A,B10)</f>
        <v>#DIV/0!</v>
      </c>
      <c r="G10" s="189"/>
      <c r="H10" s="97" t="e">
        <f>SUMIFS('capacity data'!$L:$L,'capacity data'!$A:$A,B10,'capacity data'!$E:$E,"PSO")/SUM((SUMIFS('capacity data'!$G:$G,'capacity data'!$E:$E,"PSO",'capacity data'!$A:$A,B10))-SUMIFS('capacity data'!$H:$H,'capacity data'!$E:$E,"PSO",'capacity data'!$A:$A,B10))</f>
        <v>#DIV/0!</v>
      </c>
      <c r="I10" s="97" t="e">
        <f>SUMIFS('capacity data'!$L:$L,'capacity data'!$A:$A,B10,'capacity data'!$E:$E,"PSO")/SUMIFS('capacity data'!$G:$G,'capacity data'!$E:$E,"PSO",'capacity data'!$A:$A,B10)</f>
        <v>#DIV/0!</v>
      </c>
      <c r="J10" s="183"/>
      <c r="K10" s="97" t="e">
        <f>SUMIFS('capacity data'!$L:$L,'capacity data'!$A:$A,B10,'capacity data'!$E:$E,"TPO")/SUM((SUMIFS('capacity data'!$G:$G,'capacity data'!$E:$E,"TPO",'capacity data'!$A:$A,B10))-SUMIFS('capacity data'!$H:$H,'capacity data'!$E:$E,"TPO",'capacity data'!$A:$A,B10))</f>
        <v>#DIV/0!</v>
      </c>
      <c r="L10" s="97" t="e">
        <f>SUMIFS('capacity data'!$L:$L,'capacity data'!$A:$A,B10,'capacity data'!$E:$E,"TPO")/SUMIFS('capacity data'!$G:$G,'capacity data'!$E:$E,"TPO",'capacity data'!$A:$A,B10)</f>
        <v>#DIV/0!</v>
      </c>
    </row>
    <row r="11" spans="1:25" x14ac:dyDescent="0.2">
      <c r="B11" s="181" t="s">
        <v>7</v>
      </c>
      <c r="C11" s="98" t="e">
        <f>SUM((SUMIFS('capacity data'!G:G,'capacity data'!A:A,B11,'capacity data'!E:E,"PO"))-SUMIFS('capacity data'!H:H,'capacity data'!A:A,B11,'capacity data'!E:E,"PO"))/SUMIFS('capacity data'!G:G,'capacity data'!A:A,B11,'capacity data'!E:E,"PO")</f>
        <v>#DIV/0!</v>
      </c>
      <c r="D11" s="98" t="e">
        <f>SUM((SUMIFS('capacity data'!G:G,'capacity data'!A:A,B11,'capacity data'!E:E,"PSO"))-SUMIFS('capacity data'!H:H,'capacity data'!A:A,B11,'capacity data'!E:E,"PSO"))/SUMIFS('capacity data'!G:G,'capacity data'!A:A,B11,'capacity data'!E:E,"PSO")</f>
        <v>#DIV/0!</v>
      </c>
      <c r="E11" s="98" t="e">
        <f>SUM((SUMIFS('capacity data'!G:G,'capacity data'!A:A,B11,'capacity data'!E:E,"TPO"))-SUMIFS('capacity data'!H:H,'capacity data'!A:A,B11,'capacity data'!E:E,"TPO"))/SUMIFS('capacity data'!G:G,'capacity data'!A:A,B11,'capacity data'!E:E,"TPO")</f>
        <v>#DIV/0!</v>
      </c>
      <c r="F11" s="188" t="e">
        <f>SUM((SUMIFS('capacity data'!G:G,'capacity data'!A:A,B11))-SUMIFS('capacity data'!H:H,'capacity data'!A:A,B11))/SUMIFS('capacity data'!G:G,'capacity data'!A:A,B11)</f>
        <v>#DIV/0!</v>
      </c>
      <c r="G11" s="189"/>
      <c r="H11" s="97" t="e">
        <f>SUMIFS('capacity data'!$L:$L,'capacity data'!$A:$A,B11,'capacity data'!$E:$E,"PSO")/SUM((SUMIFS('capacity data'!$G:$G,'capacity data'!$E:$E,"PSO",'capacity data'!$A:$A,B11))-SUMIFS('capacity data'!$H:$H,'capacity data'!$E:$E,"PSO",'capacity data'!$A:$A,B11))</f>
        <v>#DIV/0!</v>
      </c>
      <c r="I11" s="97" t="e">
        <f>SUMIFS('capacity data'!$L:$L,'capacity data'!$A:$A,B11,'capacity data'!$E:$E,"PSO")/SUMIFS('capacity data'!$G:$G,'capacity data'!$E:$E,"PSO",'capacity data'!$A:$A,B11)</f>
        <v>#DIV/0!</v>
      </c>
      <c r="J11" s="183"/>
      <c r="K11" s="97" t="e">
        <f>SUMIFS('capacity data'!$L:$L,'capacity data'!$A:$A,B11,'capacity data'!$E:$E,"TPO")/SUM((SUMIFS('capacity data'!$G:$G,'capacity data'!$E:$E,"TPO",'capacity data'!$A:$A,B11))-SUMIFS('capacity data'!$H:$H,'capacity data'!$E:$E,"TPO",'capacity data'!$A:$A,B11))</f>
        <v>#DIV/0!</v>
      </c>
      <c r="L11" s="97" t="e">
        <f>SUMIFS('capacity data'!$L:$L,'capacity data'!$A:$A,B11,'capacity data'!$E:$E,"TPO")/SUMIFS('capacity data'!$G:$G,'capacity data'!$E:$E,"TPO",'capacity data'!$A:$A,B11)</f>
        <v>#DIV/0!</v>
      </c>
    </row>
    <row r="12" spans="1:25" x14ac:dyDescent="0.2">
      <c r="B12" s="181" t="s">
        <v>1132</v>
      </c>
      <c r="C12" s="98" t="e">
        <f>SUM((SUMIFS('capacity data'!G:G,'capacity data'!A:A,B12,'capacity data'!E:E,"PO"))-SUMIFS('capacity data'!H:H,'capacity data'!A:A,B12,'capacity data'!E:E,"PO"))/SUMIFS('capacity data'!G:G,'capacity data'!A:A,B12,'capacity data'!E:E,"PO")</f>
        <v>#DIV/0!</v>
      </c>
      <c r="D12" s="98" t="e">
        <f>SUM((SUMIFS('capacity data'!G:G,'capacity data'!A:A,B12,'capacity data'!E:E,"PSO"))-SUMIFS('capacity data'!H:H,'capacity data'!A:A,B12,'capacity data'!E:E,"PSO"))/SUMIFS('capacity data'!G:G,'capacity data'!A:A,B12,'capacity data'!E:E,"PSO")</f>
        <v>#DIV/0!</v>
      </c>
      <c r="E12" s="98" t="e">
        <f>SUM((SUMIFS('capacity data'!G:G,'capacity data'!A:A,B12,'capacity data'!E:E,"TPO"))-SUMIFS('capacity data'!H:H,'capacity data'!A:A,B12,'capacity data'!E:E,"TPO"))/SUMIFS('capacity data'!G:G,'capacity data'!A:A,B12,'capacity data'!E:E,"TPO")</f>
        <v>#DIV/0!</v>
      </c>
      <c r="F12" s="188" t="e">
        <f>SUM((SUMIFS('capacity data'!G:G,'capacity data'!A:A,B12))-SUMIFS('capacity data'!H:H,'capacity data'!A:A,B12))/SUMIFS('capacity data'!G:G,'capacity data'!A:A,B12)</f>
        <v>#DIV/0!</v>
      </c>
      <c r="G12" s="189"/>
      <c r="H12" s="97" t="e">
        <f>SUMIFS('capacity data'!$L:$L,'capacity data'!$A:$A,B12,'capacity data'!$E:$E,"PSO")/SUM((SUMIFS('capacity data'!$G:$G,'capacity data'!$E:$E,"PSO",'capacity data'!$A:$A,B12))-SUMIFS('capacity data'!$H:$H,'capacity data'!$E:$E,"PSO",'capacity data'!$A:$A,B12))</f>
        <v>#DIV/0!</v>
      </c>
      <c r="I12" s="97" t="e">
        <f>SUMIFS('capacity data'!$L:$L,'capacity data'!$A:$A,B12,'capacity data'!$E:$E,"PSO")/SUMIFS('capacity data'!$G:$G,'capacity data'!$E:$E,"PSO",'capacity data'!$A:$A,B12)</f>
        <v>#DIV/0!</v>
      </c>
      <c r="J12" s="183"/>
      <c r="K12" s="97" t="e">
        <f>SUMIFS('capacity data'!$L:$L,'capacity data'!$A:$A,B12,'capacity data'!$E:$E,"TPO")/SUM((SUMIFS('capacity data'!$G:$G,'capacity data'!$E:$E,"TPO",'capacity data'!$A:$A,B12))-SUMIFS('capacity data'!$H:$H,'capacity data'!$E:$E,"TPO",'capacity data'!$A:$A,B12))</f>
        <v>#DIV/0!</v>
      </c>
      <c r="L12" s="97" t="e">
        <f>SUMIFS('capacity data'!$L:$L,'capacity data'!$A:$A,B12,'capacity data'!$E:$E,"TPO")/SUMIFS('capacity data'!$G:$G,'capacity data'!$E:$E,"TPO",'capacity data'!$A:$A,B12)</f>
        <v>#DIV/0!</v>
      </c>
    </row>
    <row r="13" spans="1:25" x14ac:dyDescent="0.2">
      <c r="B13" s="181" t="s">
        <v>1217</v>
      </c>
      <c r="C13" s="98" t="e">
        <f>SUM((SUMIFS('capacity data'!G:G,'capacity data'!A:A,B13,'capacity data'!E:E,"PO"))-SUMIFS('capacity data'!H:H,'capacity data'!A:A,B13,'capacity data'!E:E,"PO"))/SUMIFS('capacity data'!G:G,'capacity data'!A:A,B13,'capacity data'!E:E,"PO")</f>
        <v>#DIV/0!</v>
      </c>
      <c r="D13" s="98" t="e">
        <f>SUM((SUMIFS('capacity data'!G:G,'capacity data'!A:A,B13,'capacity data'!E:E,"PSO"))-SUMIFS('capacity data'!H:H,'capacity data'!A:A,B13,'capacity data'!E:E,"PSO"))/SUMIFS('capacity data'!G:G,'capacity data'!A:A,B13,'capacity data'!E:E,"PSO")</f>
        <v>#DIV/0!</v>
      </c>
      <c r="E13" s="98" t="e">
        <f>SUM((SUMIFS('capacity data'!G:G,'capacity data'!A:A,B13,'capacity data'!E:E,"TPO"))-SUMIFS('capacity data'!H:H,'capacity data'!A:A,B13,'capacity data'!E:E,"TPO"))/SUMIFS('capacity data'!G:G,'capacity data'!A:A,B13,'capacity data'!E:E,"TPO")</f>
        <v>#DIV/0!</v>
      </c>
      <c r="F13" s="188" t="e">
        <f>SUM((SUMIFS('capacity data'!G:G,'capacity data'!A:A,B13))-SUMIFS('capacity data'!H:H,'capacity data'!A:A,B13))/SUMIFS('capacity data'!G:G,'capacity data'!A:A,B13)</f>
        <v>#DIV/0!</v>
      </c>
      <c r="G13" s="189"/>
      <c r="H13" s="97" t="e">
        <f>SUMIFS('capacity data'!$L:$L,'capacity data'!$A:$A,B13,'capacity data'!$E:$E,"PSO")/SUM((SUMIFS('capacity data'!$G:$G,'capacity data'!$E:$E,"PSO",'capacity data'!$A:$A,B13))-SUMIFS('capacity data'!$H:$H,'capacity data'!$E:$E,"PSO",'capacity data'!$A:$A,B13))</f>
        <v>#DIV/0!</v>
      </c>
      <c r="I13" s="97" t="e">
        <f>SUMIFS('capacity data'!$L:$L,'capacity data'!$A:$A,B13,'capacity data'!$E:$E,"PSO")/SUMIFS('capacity data'!$G:$G,'capacity data'!$E:$E,"PSO",'capacity data'!$A:$A,B13)</f>
        <v>#DIV/0!</v>
      </c>
      <c r="J13" s="183"/>
      <c r="K13" s="97" t="e">
        <f>SUMIFS('capacity data'!$L:$L,'capacity data'!$A:$A,B13,'capacity data'!$E:$E,"TPO")/SUM((SUMIFS('capacity data'!$G:$G,'capacity data'!$E:$E,"TPO",'capacity data'!$A:$A,B13))-SUMIFS('capacity data'!$H:$H,'capacity data'!$E:$E,"TPO",'capacity data'!$A:$A,B13))</f>
        <v>#DIV/0!</v>
      </c>
      <c r="L13" s="97" t="e">
        <f>SUMIFS('capacity data'!$L:$L,'capacity data'!$A:$A,B13,'capacity data'!$E:$E,"TPO")/SUMIFS('capacity data'!$G:$G,'capacity data'!$E:$E,"TPO",'capacity data'!$A:$A,B13)</f>
        <v>#DIV/0!</v>
      </c>
    </row>
    <row r="14" spans="1:25" x14ac:dyDescent="0.2">
      <c r="B14" s="181" t="s">
        <v>382</v>
      </c>
      <c r="C14" s="98" t="e">
        <f>SUM((SUMIFS('capacity data'!G:G,'capacity data'!A:A,B14,'capacity data'!E:E,"PO"))-SUMIFS('capacity data'!H:H,'capacity data'!A:A,B14,'capacity data'!E:E,"PO"))/SUMIFS('capacity data'!G:G,'capacity data'!A:A,B14,'capacity data'!E:E,"PO")</f>
        <v>#DIV/0!</v>
      </c>
      <c r="D14" s="98" t="e">
        <f>SUM((SUMIFS('capacity data'!G:G,'capacity data'!A:A,B14,'capacity data'!E:E,"PSO"))-SUMIFS('capacity data'!H:H,'capacity data'!A:A,B14,'capacity data'!E:E,"PSO"))/SUMIFS('capacity data'!G:G,'capacity data'!A:A,B14,'capacity data'!E:E,"PSO")</f>
        <v>#DIV/0!</v>
      </c>
      <c r="E14" s="98" t="e">
        <f>SUM((SUMIFS('capacity data'!G:G,'capacity data'!A:A,B14,'capacity data'!E:E,"TPO"))-SUMIFS('capacity data'!H:H,'capacity data'!A:A,B14,'capacity data'!E:E,"TPO"))/SUMIFS('capacity data'!G:G,'capacity data'!A:A,B14,'capacity data'!E:E,"TPO")</f>
        <v>#DIV/0!</v>
      </c>
      <c r="F14" s="188" t="e">
        <f>SUM((SUMIFS('capacity data'!G:G,'capacity data'!A:A,B14))-SUMIFS('capacity data'!H:H,'capacity data'!A:A,B14))/SUMIFS('capacity data'!G:G,'capacity data'!A:A,B14)</f>
        <v>#DIV/0!</v>
      </c>
      <c r="G14" s="189"/>
      <c r="H14" s="97" t="e">
        <f>SUMIFS('capacity data'!$L:$L,'capacity data'!$A:$A,B14,'capacity data'!$E:$E,"PSO")/SUM((SUMIFS('capacity data'!$G:$G,'capacity data'!$E:$E,"PSO",'capacity data'!$A:$A,B14))-SUMIFS('capacity data'!$H:$H,'capacity data'!$E:$E,"PSO",'capacity data'!$A:$A,B14))</f>
        <v>#DIV/0!</v>
      </c>
      <c r="I14" s="97" t="e">
        <f>SUMIFS('capacity data'!$L:$L,'capacity data'!$A:$A,B14,'capacity data'!$E:$E,"PSO")/SUMIFS('capacity data'!$G:$G,'capacity data'!$E:$E,"PSO",'capacity data'!$A:$A,B14)</f>
        <v>#DIV/0!</v>
      </c>
      <c r="J14" s="183"/>
      <c r="K14" s="97" t="e">
        <f>SUMIFS('capacity data'!$L:$L,'capacity data'!$A:$A,B14,'capacity data'!$E:$E,"TPO")/SUM((SUMIFS('capacity data'!$G:$G,'capacity data'!$E:$E,"TPO",'capacity data'!$A:$A,B14))-SUMIFS('capacity data'!$H:$H,'capacity data'!$E:$E,"TPO",'capacity data'!$A:$A,B14))</f>
        <v>#DIV/0!</v>
      </c>
      <c r="L14" s="97" t="e">
        <f>SUMIFS('capacity data'!$L:$L,'capacity data'!$A:$A,B14,'capacity data'!$E:$E,"TPO")/SUMIFS('capacity data'!$G:$G,'capacity data'!$E:$E,"TPO",'capacity data'!$A:$A,B14)</f>
        <v>#DIV/0!</v>
      </c>
    </row>
    <row r="15" spans="1:25" x14ac:dyDescent="0.2">
      <c r="B15" s="181" t="s">
        <v>8</v>
      </c>
      <c r="C15" s="98" t="e">
        <f>SUM((SUMIFS('capacity data'!G:G,'capacity data'!A:A,B15,'capacity data'!E:E,"PO"))-SUMIFS('capacity data'!H:H,'capacity data'!A:A,B15,'capacity data'!E:E,"PO"))/SUMIFS('capacity data'!G:G,'capacity data'!A:A,B15,'capacity data'!E:E,"PO")</f>
        <v>#DIV/0!</v>
      </c>
      <c r="D15" s="98" t="e">
        <f>SUM((SUMIFS('capacity data'!G:G,'capacity data'!A:A,B15,'capacity data'!E:E,"PSO"))-SUMIFS('capacity data'!H:H,'capacity data'!A:A,B15,'capacity data'!E:E,"PSO"))/SUMIFS('capacity data'!G:G,'capacity data'!A:A,B15,'capacity data'!E:E,"PSO")</f>
        <v>#DIV/0!</v>
      </c>
      <c r="E15" s="98" t="e">
        <f>SUM((SUMIFS('capacity data'!G:G,'capacity data'!A:A,B15,'capacity data'!E:E,"TPO"))-SUMIFS('capacity data'!H:H,'capacity data'!A:A,B15,'capacity data'!E:E,"TPO"))/SUMIFS('capacity data'!G:G,'capacity data'!A:A,B15,'capacity data'!E:E,"TPO")</f>
        <v>#DIV/0!</v>
      </c>
      <c r="F15" s="188" t="e">
        <f>SUM((SUMIFS('capacity data'!G:G,'capacity data'!A:A,B15))-SUMIFS('capacity data'!H:H,'capacity data'!A:A,B15))/SUMIFS('capacity data'!G:G,'capacity data'!A:A,B15)</f>
        <v>#DIV/0!</v>
      </c>
      <c r="G15" s="189"/>
      <c r="H15" s="97" t="e">
        <f>SUMIFS('capacity data'!$L:$L,'capacity data'!$A:$A,B15,'capacity data'!$E:$E,"PSO")/SUM((SUMIFS('capacity data'!$G:$G,'capacity data'!$E:$E,"PSO",'capacity data'!$A:$A,B15))-SUMIFS('capacity data'!$H:$H,'capacity data'!$E:$E,"PSO",'capacity data'!$A:$A,B15))</f>
        <v>#DIV/0!</v>
      </c>
      <c r="I15" s="97" t="e">
        <f>SUMIFS('capacity data'!$L:$L,'capacity data'!$A:$A,B15,'capacity data'!$E:$E,"PSO")/SUMIFS('capacity data'!$G:$G,'capacity data'!$E:$E,"PSO",'capacity data'!$A:$A,B15)</f>
        <v>#DIV/0!</v>
      </c>
      <c r="J15" s="183"/>
      <c r="K15" s="97" t="e">
        <f>SUMIFS('capacity data'!$L:$L,'capacity data'!$A:$A,B15,'capacity data'!$E:$E,"TPO")/SUM((SUMIFS('capacity data'!$G:$G,'capacity data'!$E:$E,"TPO",'capacity data'!$A:$A,B15))-SUMIFS('capacity data'!$H:$H,'capacity data'!$E:$E,"TPO",'capacity data'!$A:$A,B15))</f>
        <v>#DIV/0!</v>
      </c>
      <c r="L15" s="97" t="e">
        <f>SUMIFS('capacity data'!$L:$L,'capacity data'!$A:$A,B15,'capacity data'!$E:$E,"TPO")/SUMIFS('capacity data'!$G:$G,'capacity data'!$E:$E,"TPO",'capacity data'!$A:$A,B15)</f>
        <v>#DIV/0!</v>
      </c>
    </row>
    <row r="16" spans="1:25" x14ac:dyDescent="0.2">
      <c r="B16" s="181" t="s">
        <v>9</v>
      </c>
      <c r="C16" s="98" t="e">
        <f>SUM((SUMIFS('capacity data'!G:G,'capacity data'!A:A,B16,'capacity data'!E:E,"PO"))-SUMIFS('capacity data'!H:H,'capacity data'!A:A,B16,'capacity data'!E:E,"PO"))/SUMIFS('capacity data'!G:G,'capacity data'!A:A,B16,'capacity data'!E:E,"PO")</f>
        <v>#DIV/0!</v>
      </c>
      <c r="D16" s="98" t="e">
        <f>SUM((SUMIFS('capacity data'!G:G,'capacity data'!A:A,B16,'capacity data'!E:E,"PSO"))-SUMIFS('capacity data'!H:H,'capacity data'!A:A,B16,'capacity data'!E:E,"PSO"))/SUMIFS('capacity data'!G:G,'capacity data'!A:A,B16,'capacity data'!E:E,"PSO")</f>
        <v>#DIV/0!</v>
      </c>
      <c r="E16" s="98" t="e">
        <f>SUM((SUMIFS('capacity data'!G:G,'capacity data'!A:A,B16,'capacity data'!E:E,"TPO"))-SUMIFS('capacity data'!H:H,'capacity data'!A:A,B16,'capacity data'!E:E,"TPO"))/SUMIFS('capacity data'!G:G,'capacity data'!A:A,B16,'capacity data'!E:E,"TPO")</f>
        <v>#DIV/0!</v>
      </c>
      <c r="F16" s="188" t="e">
        <f>SUM((SUMIFS('capacity data'!G:G,'capacity data'!A:A,B16))-SUMIFS('capacity data'!H:H,'capacity data'!A:A,B16))/SUMIFS('capacity data'!G:G,'capacity data'!A:A,B16)</f>
        <v>#DIV/0!</v>
      </c>
      <c r="G16" s="189"/>
      <c r="H16" s="97" t="e">
        <f>SUMIFS('capacity data'!$L:$L,'capacity data'!$A:$A,B16,'capacity data'!$E:$E,"PSO")/SUM((SUMIFS('capacity data'!$G:$G,'capacity data'!$E:$E,"PSO",'capacity data'!$A:$A,B16))-SUMIFS('capacity data'!$H:$H,'capacity data'!$E:$E,"PSO",'capacity data'!$A:$A,B16))</f>
        <v>#DIV/0!</v>
      </c>
      <c r="I16" s="97" t="e">
        <f>SUMIFS('capacity data'!$L:$L,'capacity data'!$A:$A,B16,'capacity data'!$E:$E,"PSO")/SUMIFS('capacity data'!$G:$G,'capacity data'!$E:$E,"PSO",'capacity data'!$A:$A,B16)</f>
        <v>#DIV/0!</v>
      </c>
      <c r="J16" s="183"/>
      <c r="K16" s="97" t="e">
        <f>SUMIFS('capacity data'!$L:$L,'capacity data'!$A:$A,B16,'capacity data'!$E:$E,"TPO")/SUM((SUMIFS('capacity data'!$G:$G,'capacity data'!$E:$E,"TPO",'capacity data'!$A:$A,B16))-SUMIFS('capacity data'!$H:$H,'capacity data'!$E:$E,"TPO",'capacity data'!$A:$A,B16))</f>
        <v>#DIV/0!</v>
      </c>
      <c r="L16" s="97" t="e">
        <f>SUMIFS('capacity data'!$L:$L,'capacity data'!$A:$A,B16,'capacity data'!$E:$E,"TPO")/SUMIFS('capacity data'!$G:$G,'capacity data'!$E:$E,"TPO",'capacity data'!$A:$A,B16)</f>
        <v>#DIV/0!</v>
      </c>
    </row>
    <row r="17" spans="2:12" x14ac:dyDescent="0.2">
      <c r="B17" s="181" t="s">
        <v>514</v>
      </c>
      <c r="C17" s="98" t="e">
        <f>SUM((SUMIFS('capacity data'!G:G,'capacity data'!A:A,B17,'capacity data'!E:E,"PO"))-SUMIFS('capacity data'!H:H,'capacity data'!A:A,B17,'capacity data'!E:E,"PO"))/SUMIFS('capacity data'!G:G,'capacity data'!A:A,B17,'capacity data'!E:E,"PO")</f>
        <v>#DIV/0!</v>
      </c>
      <c r="D17" s="98" t="e">
        <f>SUM((SUMIFS('capacity data'!G:G,'capacity data'!A:A,B17,'capacity data'!E:E,"PSO"))-SUMIFS('capacity data'!H:H,'capacity data'!A:A,B17,'capacity data'!E:E,"PSO"))/SUMIFS('capacity data'!G:G,'capacity data'!A:A,B17,'capacity data'!E:E,"PSO")</f>
        <v>#DIV/0!</v>
      </c>
      <c r="E17" s="98" t="e">
        <f>SUM((SUMIFS('capacity data'!G:G,'capacity data'!A:A,B17,'capacity data'!E:E,"TPO"))-SUMIFS('capacity data'!H:H,'capacity data'!A:A,B17,'capacity data'!E:E,"TPO"))/SUMIFS('capacity data'!G:G,'capacity data'!A:A,B17,'capacity data'!E:E,"TPO")</f>
        <v>#DIV/0!</v>
      </c>
      <c r="F17" s="188" t="e">
        <f>SUM((SUMIFS('capacity data'!G:G,'capacity data'!A:A,B17))-SUMIFS('capacity data'!H:H,'capacity data'!A:A,B17))/SUMIFS('capacity data'!G:G,'capacity data'!A:A,B17)</f>
        <v>#DIV/0!</v>
      </c>
      <c r="G17" s="189"/>
      <c r="H17" s="97" t="e">
        <f>SUMIFS('capacity data'!$L:$L,'capacity data'!$A:$A,B17,'capacity data'!$E:$E,"PSO")/SUM((SUMIFS('capacity data'!$G:$G,'capacity data'!$E:$E,"PSO",'capacity data'!$A:$A,B17))-SUMIFS('capacity data'!$H:$H,'capacity data'!$E:$E,"PSO",'capacity data'!$A:$A,B17))</f>
        <v>#DIV/0!</v>
      </c>
      <c r="I17" s="97" t="e">
        <f>SUMIFS('capacity data'!$L:$L,'capacity data'!$A:$A,B17,'capacity data'!$E:$E,"PSO")/SUMIFS('capacity data'!$G:$G,'capacity data'!$E:$E,"PSO",'capacity data'!$A:$A,B17)</f>
        <v>#DIV/0!</v>
      </c>
      <c r="J17" s="183"/>
      <c r="K17" s="97" t="e">
        <f>SUMIFS('capacity data'!$L:$L,'capacity data'!$A:$A,B17,'capacity data'!$E:$E,"TPO")/SUM((SUMIFS('capacity data'!$G:$G,'capacity data'!$E:$E,"TPO",'capacity data'!$A:$A,B17))-SUMIFS('capacity data'!$H:$H,'capacity data'!$E:$E,"TPO",'capacity data'!$A:$A,B17))</f>
        <v>#DIV/0!</v>
      </c>
      <c r="L17" s="97" t="e">
        <f>SUMIFS('capacity data'!$L:$L,'capacity data'!$A:$A,B17,'capacity data'!$E:$E,"TPO")/SUMIFS('capacity data'!$G:$G,'capacity data'!$E:$E,"TPO",'capacity data'!$A:$A,B17)</f>
        <v>#DIV/0!</v>
      </c>
    </row>
    <row r="18" spans="2:12" x14ac:dyDescent="0.2">
      <c r="B18" s="181" t="s">
        <v>515</v>
      </c>
      <c r="C18" s="98" t="e">
        <f>SUM((SUMIFS('capacity data'!G:G,'capacity data'!A:A,B18,'capacity data'!E:E,"PO"))-SUMIFS('capacity data'!H:H,'capacity data'!A:A,B18,'capacity data'!E:E,"PO"))/SUMIFS('capacity data'!G:G,'capacity data'!A:A,B18,'capacity data'!E:E,"PO")</f>
        <v>#DIV/0!</v>
      </c>
      <c r="D18" s="98" t="e">
        <f>SUM((SUMIFS('capacity data'!G:G,'capacity data'!A:A,B18,'capacity data'!E:E,"PSO"))-SUMIFS('capacity data'!H:H,'capacity data'!A:A,B18,'capacity data'!E:E,"PSO"))/SUMIFS('capacity data'!G:G,'capacity data'!A:A,B18,'capacity data'!E:E,"PSO")</f>
        <v>#DIV/0!</v>
      </c>
      <c r="E18" s="98" t="e">
        <f>SUM((SUMIFS('capacity data'!G:G,'capacity data'!A:A,B18,'capacity data'!E:E,"TPO"))-SUMIFS('capacity data'!H:H,'capacity data'!A:A,B18,'capacity data'!E:E,"TPO"))/SUMIFS('capacity data'!G:G,'capacity data'!A:A,B18,'capacity data'!E:E,"TPO")</f>
        <v>#DIV/0!</v>
      </c>
      <c r="F18" s="188" t="e">
        <f>SUM((SUMIFS('capacity data'!G:G,'capacity data'!A:A,B18))-SUMIFS('capacity data'!H:H,'capacity data'!A:A,B18))/SUMIFS('capacity data'!G:G,'capacity data'!A:A,B18)</f>
        <v>#DIV/0!</v>
      </c>
      <c r="G18" s="189"/>
      <c r="H18" s="97" t="e">
        <f>SUMIFS('capacity data'!$L:$L,'capacity data'!$A:$A,B18,'capacity data'!$E:$E,"PSO")/SUM((SUMIFS('capacity data'!$G:$G,'capacity data'!$E:$E,"PSO",'capacity data'!$A:$A,B18))-SUMIFS('capacity data'!$H:$H,'capacity data'!$E:$E,"PSO",'capacity data'!$A:$A,B18))</f>
        <v>#DIV/0!</v>
      </c>
      <c r="I18" s="97" t="e">
        <f>SUMIFS('capacity data'!$L:$L,'capacity data'!$A:$A,B18,'capacity data'!$E:$E,"PSO")/SUMIFS('capacity data'!$G:$G,'capacity data'!$E:$E,"PSO",'capacity data'!$A:$A,B18)</f>
        <v>#DIV/0!</v>
      </c>
      <c r="J18" s="183"/>
      <c r="K18" s="97" t="e">
        <f>SUMIFS('capacity data'!$L:$L,'capacity data'!$A:$A,B18,'capacity data'!$E:$E,"TPO")/SUM((SUMIFS('capacity data'!$G:$G,'capacity data'!$E:$E,"TPO",'capacity data'!$A:$A,B18))-SUMIFS('capacity data'!$H:$H,'capacity data'!$E:$E,"TPO",'capacity data'!$A:$A,B18))</f>
        <v>#DIV/0!</v>
      </c>
      <c r="L18" s="97" t="e">
        <f>SUMIFS('capacity data'!$L:$L,'capacity data'!$A:$A,B18,'capacity data'!$E:$E,"TPO")/SUMIFS('capacity data'!$G:$G,'capacity data'!$E:$E,"TPO",'capacity data'!$A:$A,B18)</f>
        <v>#DIV/0!</v>
      </c>
    </row>
    <row r="19" spans="2:12" x14ac:dyDescent="0.2">
      <c r="B19" s="181" t="s">
        <v>516</v>
      </c>
      <c r="C19" s="98" t="e">
        <f>SUM((SUMIFS('capacity data'!G:G,'capacity data'!A:A,B19,'capacity data'!E:E,"PO"))-SUMIFS('capacity data'!H:H,'capacity data'!A:A,B19,'capacity data'!E:E,"PO"))/SUMIFS('capacity data'!G:G,'capacity data'!A:A,B19,'capacity data'!E:E,"PO")</f>
        <v>#DIV/0!</v>
      </c>
      <c r="D19" s="98" t="e">
        <f>SUM((SUMIFS('capacity data'!G:G,'capacity data'!A:A,B19,'capacity data'!E:E,"PSO"))-SUMIFS('capacity data'!H:H,'capacity data'!A:A,B19,'capacity data'!E:E,"PSO"))/SUMIFS('capacity data'!G:G,'capacity data'!A:A,B19,'capacity data'!E:E,"PSO")</f>
        <v>#DIV/0!</v>
      </c>
      <c r="E19" s="98" t="e">
        <f>SUM((SUMIFS('capacity data'!G:G,'capacity data'!A:A,B19,'capacity data'!E:E,"TPO"))-SUMIFS('capacity data'!H:H,'capacity data'!A:A,B19,'capacity data'!E:E,"TPO"))/SUMIFS('capacity data'!G:G,'capacity data'!A:A,B19,'capacity data'!E:E,"TPO")</f>
        <v>#DIV/0!</v>
      </c>
      <c r="F19" s="188" t="e">
        <f>SUM((SUMIFS('capacity data'!G:G,'capacity data'!A:A,B19))-SUMIFS('capacity data'!H:H,'capacity data'!A:A,B19))/SUMIFS('capacity data'!G:G,'capacity data'!A:A,B19)</f>
        <v>#DIV/0!</v>
      </c>
      <c r="G19" s="189"/>
      <c r="H19" s="97" t="e">
        <f>SUMIFS('capacity data'!$L:$L,'capacity data'!$A:$A,B19,'capacity data'!$E:$E,"PSO")/SUM((SUMIFS('capacity data'!$G:$G,'capacity data'!$E:$E,"PSO",'capacity data'!$A:$A,B19))-SUMIFS('capacity data'!$H:$H,'capacity data'!$E:$E,"PSO",'capacity data'!$A:$A,B19))</f>
        <v>#DIV/0!</v>
      </c>
      <c r="I19" s="97" t="e">
        <f>SUMIFS('capacity data'!$L:$L,'capacity data'!$A:$A,B19,'capacity data'!$E:$E,"PSO")/SUMIFS('capacity data'!$G:$G,'capacity data'!$E:$E,"PSO",'capacity data'!$A:$A,B19)</f>
        <v>#DIV/0!</v>
      </c>
      <c r="J19" s="183"/>
      <c r="K19" s="97" t="e">
        <f>SUMIFS('capacity data'!$L:$L,'capacity data'!$A:$A,B19,'capacity data'!$E:$E,"TPO")/SUM((SUMIFS('capacity data'!$G:$G,'capacity data'!$E:$E,"TPO",'capacity data'!$A:$A,B19))-SUMIFS('capacity data'!$H:$H,'capacity data'!$E:$E,"TPO",'capacity data'!$A:$A,B19))</f>
        <v>#DIV/0!</v>
      </c>
      <c r="L19" s="97" t="e">
        <f>SUMIFS('capacity data'!$L:$L,'capacity data'!$A:$A,B19,'capacity data'!$E:$E,"TPO")/SUMIFS('capacity data'!$G:$G,'capacity data'!$E:$E,"TPO",'capacity data'!$A:$A,B19)</f>
        <v>#DIV/0!</v>
      </c>
    </row>
    <row r="20" spans="2:12" x14ac:dyDescent="0.2">
      <c r="B20" s="181" t="s">
        <v>517</v>
      </c>
      <c r="C20" s="98" t="e">
        <f>SUM((SUMIFS('capacity data'!G:G,'capacity data'!A:A,B20,'capacity data'!E:E,"PO"))-SUMIFS('capacity data'!H:H,'capacity data'!A:A,B20,'capacity data'!E:E,"PO"))/SUMIFS('capacity data'!G:G,'capacity data'!A:A,B20,'capacity data'!E:E,"PO")</f>
        <v>#DIV/0!</v>
      </c>
      <c r="D20" s="98" t="e">
        <f>SUM((SUMIFS('capacity data'!G:G,'capacity data'!A:A,B20,'capacity data'!E:E,"PSO"))-SUMIFS('capacity data'!H:H,'capacity data'!A:A,B20,'capacity data'!E:E,"PSO"))/SUMIFS('capacity data'!G:G,'capacity data'!A:A,B20,'capacity data'!E:E,"PSO")</f>
        <v>#DIV/0!</v>
      </c>
      <c r="E20" s="98" t="e">
        <f>SUM((SUMIFS('capacity data'!G:G,'capacity data'!A:A,B20,'capacity data'!E:E,"TPO"))-SUMIFS('capacity data'!H:H,'capacity data'!A:A,B20,'capacity data'!E:E,"TPO"))/SUMIFS('capacity data'!G:G,'capacity data'!A:A,B20,'capacity data'!E:E,"TPO")</f>
        <v>#DIV/0!</v>
      </c>
      <c r="F20" s="188" t="e">
        <f>SUM((SUMIFS('capacity data'!G:G,'capacity data'!A:A,B20))-SUMIFS('capacity data'!H:H,'capacity data'!A:A,B20))/SUMIFS('capacity data'!G:G,'capacity data'!A:A,B20)</f>
        <v>#DIV/0!</v>
      </c>
      <c r="G20" s="189"/>
      <c r="H20" s="97" t="e">
        <f>SUMIFS('capacity data'!$L:$L,'capacity data'!$A:$A,B20,'capacity data'!$E:$E,"PSO")/SUM((SUMIFS('capacity data'!$G:$G,'capacity data'!$E:$E,"PSO",'capacity data'!$A:$A,B20))-SUMIFS('capacity data'!$H:$H,'capacity data'!$E:$E,"PSO",'capacity data'!$A:$A,B20))</f>
        <v>#DIV/0!</v>
      </c>
      <c r="I20" s="97" t="e">
        <f>SUMIFS('capacity data'!$L:$L,'capacity data'!$A:$A,B20,'capacity data'!$E:$E,"PSO")/SUMIFS('capacity data'!$G:$G,'capacity data'!$E:$E,"PSO",'capacity data'!$A:$A,B20)</f>
        <v>#DIV/0!</v>
      </c>
      <c r="J20" s="183"/>
      <c r="K20" s="97" t="e">
        <f>SUMIFS('capacity data'!$L:$L,'capacity data'!$A:$A,B20,'capacity data'!$E:$E,"TPO")/SUM((SUMIFS('capacity data'!$G:$G,'capacity data'!$E:$E,"TPO",'capacity data'!$A:$A,B20))-SUMIFS('capacity data'!$H:$H,'capacity data'!$E:$E,"TPO",'capacity data'!$A:$A,B20))</f>
        <v>#DIV/0!</v>
      </c>
      <c r="L20" s="97" t="e">
        <f>SUMIFS('capacity data'!$L:$L,'capacity data'!$A:$A,B20,'capacity data'!$E:$E,"TPO")/SUMIFS('capacity data'!$G:$G,'capacity data'!$E:$E,"TPO",'capacity data'!$A:$A,B20)</f>
        <v>#DIV/0!</v>
      </c>
    </row>
    <row r="21" spans="2:12" x14ac:dyDescent="0.2">
      <c r="B21" s="181" t="s">
        <v>518</v>
      </c>
      <c r="C21" s="98" t="e">
        <f>SUM((SUMIFS('capacity data'!G:G,'capacity data'!A:A,B21,'capacity data'!E:E,"PO"))-SUMIFS('capacity data'!H:H,'capacity data'!A:A,B21,'capacity data'!E:E,"PO"))/SUMIFS('capacity data'!G:G,'capacity data'!A:A,B21,'capacity data'!E:E,"PO")</f>
        <v>#DIV/0!</v>
      </c>
      <c r="D21" s="98" t="e">
        <f>SUM((SUMIFS('capacity data'!G:G,'capacity data'!A:A,B21,'capacity data'!E:E,"PSO"))-SUMIFS('capacity data'!H:H,'capacity data'!A:A,B21,'capacity data'!E:E,"PSO"))/SUMIFS('capacity data'!G:G,'capacity data'!A:A,B21,'capacity data'!E:E,"PSO")</f>
        <v>#DIV/0!</v>
      </c>
      <c r="E21" s="98" t="e">
        <f>SUM((SUMIFS('capacity data'!G:G,'capacity data'!A:A,B21,'capacity data'!E:E,"TPO"))-SUMIFS('capacity data'!H:H,'capacity data'!A:A,B21,'capacity data'!E:E,"TPO"))/SUMIFS('capacity data'!G:G,'capacity data'!A:A,B21,'capacity data'!E:E,"TPO")</f>
        <v>#DIV/0!</v>
      </c>
      <c r="F21" s="188" t="e">
        <f>SUM((SUMIFS('capacity data'!G:G,'capacity data'!A:A,B21))-SUMIFS('capacity data'!H:H,'capacity data'!A:A,B21))/SUMIFS('capacity data'!G:G,'capacity data'!A:A,B21)</f>
        <v>#DIV/0!</v>
      </c>
      <c r="G21" s="189"/>
      <c r="H21" s="97" t="e">
        <f>SUMIFS('capacity data'!$L:$L,'capacity data'!$A:$A,B21,'capacity data'!$E:$E,"PSO")/SUM((SUMIFS('capacity data'!$G:$G,'capacity data'!$E:$E,"PSO",'capacity data'!$A:$A,B21))-SUMIFS('capacity data'!$H:$H,'capacity data'!$E:$E,"PSO",'capacity data'!$A:$A,B21))</f>
        <v>#DIV/0!</v>
      </c>
      <c r="I21" s="97" t="e">
        <f>SUMIFS('capacity data'!$L:$L,'capacity data'!$A:$A,B21,'capacity data'!$E:$E,"PSO")/SUMIFS('capacity data'!$G:$G,'capacity data'!$E:$E,"PSO",'capacity data'!$A:$A,B21)</f>
        <v>#DIV/0!</v>
      </c>
      <c r="J21" s="183"/>
      <c r="K21" s="97" t="e">
        <f>SUMIFS('capacity data'!$L:$L,'capacity data'!$A:$A,B21,'capacity data'!$E:$E,"TPO")/SUM((SUMIFS('capacity data'!$G:$G,'capacity data'!$E:$E,"TPO",'capacity data'!$A:$A,B21))-SUMIFS('capacity data'!$H:$H,'capacity data'!$E:$E,"TPO",'capacity data'!$A:$A,B21))</f>
        <v>#DIV/0!</v>
      </c>
      <c r="L21" s="97" t="e">
        <f>SUMIFS('capacity data'!$L:$L,'capacity data'!$A:$A,B21,'capacity data'!$E:$E,"TPO")/SUMIFS('capacity data'!$G:$G,'capacity data'!$E:$E,"TPO",'capacity data'!$A:$A,B21)</f>
        <v>#DIV/0!</v>
      </c>
    </row>
    <row r="22" spans="2:12" x14ac:dyDescent="0.2">
      <c r="B22" s="181" t="s">
        <v>519</v>
      </c>
      <c r="C22" s="98" t="e">
        <f>SUM((SUMIFS('capacity data'!G:G,'capacity data'!A:A,B22,'capacity data'!E:E,"PO"))-SUMIFS('capacity data'!H:H,'capacity data'!A:A,B22,'capacity data'!E:E,"PO"))/SUMIFS('capacity data'!G:G,'capacity data'!A:A,B22,'capacity data'!E:E,"PO")</f>
        <v>#DIV/0!</v>
      </c>
      <c r="D22" s="98" t="e">
        <f>SUM((SUMIFS('capacity data'!G:G,'capacity data'!A:A,B22,'capacity data'!E:E,"PSO"))-SUMIFS('capacity data'!H:H,'capacity data'!A:A,B22,'capacity data'!E:E,"PSO"))/SUMIFS('capacity data'!G:G,'capacity data'!A:A,B22,'capacity data'!E:E,"PSO")</f>
        <v>#DIV/0!</v>
      </c>
      <c r="E22" s="98" t="e">
        <f>SUM((SUMIFS('capacity data'!G:G,'capacity data'!A:A,B22,'capacity data'!E:E,"TPO"))-SUMIFS('capacity data'!H:H,'capacity data'!A:A,B22,'capacity data'!E:E,"TPO"))/SUMIFS('capacity data'!G:G,'capacity data'!A:A,B22,'capacity data'!E:E,"TPO")</f>
        <v>#DIV/0!</v>
      </c>
      <c r="F22" s="188" t="e">
        <f>SUM((SUMIFS('capacity data'!G:G,'capacity data'!A:A,B22))-SUMIFS('capacity data'!H:H,'capacity data'!A:A,B22))/SUMIFS('capacity data'!G:G,'capacity data'!A:A,B22)</f>
        <v>#DIV/0!</v>
      </c>
      <c r="G22" s="189"/>
      <c r="H22" s="97" t="e">
        <f>SUMIFS('capacity data'!$L:$L,'capacity data'!$A:$A,B22,'capacity data'!$E:$E,"PSO")/SUM((SUMIFS('capacity data'!$G:$G,'capacity data'!$E:$E,"PSO",'capacity data'!$A:$A,B22))-SUMIFS('capacity data'!$H:$H,'capacity data'!$E:$E,"PSO",'capacity data'!$A:$A,B22))</f>
        <v>#DIV/0!</v>
      </c>
      <c r="I22" s="97" t="e">
        <f>SUMIFS('capacity data'!$L:$L,'capacity data'!$A:$A,B22,'capacity data'!$E:$E,"PSO")/SUMIFS('capacity data'!$G:$G,'capacity data'!$E:$E,"PSO",'capacity data'!$A:$A,B22)</f>
        <v>#DIV/0!</v>
      </c>
      <c r="J22" s="183"/>
      <c r="K22" s="97" t="e">
        <f>SUMIFS('capacity data'!$L:$L,'capacity data'!$A:$A,B22,'capacity data'!$E:$E,"TPO")/SUM((SUMIFS('capacity data'!$G:$G,'capacity data'!$E:$E,"TPO",'capacity data'!$A:$A,B22))-SUMIFS('capacity data'!$H:$H,'capacity data'!$E:$E,"TPO",'capacity data'!$A:$A,B22))</f>
        <v>#DIV/0!</v>
      </c>
      <c r="L22" s="97" t="e">
        <f>SUMIFS('capacity data'!$L:$L,'capacity data'!$A:$A,B22,'capacity data'!$E:$E,"TPO")/SUMIFS('capacity data'!$G:$G,'capacity data'!$E:$E,"TPO",'capacity data'!$A:$A,B22)</f>
        <v>#DIV/0!</v>
      </c>
    </row>
    <row r="23" spans="2:12" x14ac:dyDescent="0.2">
      <c r="B23" s="181" t="s">
        <v>520</v>
      </c>
      <c r="C23" s="98" t="e">
        <f>SUM((SUMIFS('capacity data'!G:G,'capacity data'!A:A,B23,'capacity data'!E:E,"PO"))-SUMIFS('capacity data'!H:H,'capacity data'!A:A,B23,'capacity data'!E:E,"PO"))/SUMIFS('capacity data'!G:G,'capacity data'!A:A,B23,'capacity data'!E:E,"PO")</f>
        <v>#DIV/0!</v>
      </c>
      <c r="D23" s="98" t="e">
        <f>SUM((SUMIFS('capacity data'!G:G,'capacity data'!A:A,B23,'capacity data'!E:E,"PSO"))-SUMIFS('capacity data'!H:H,'capacity data'!A:A,B23,'capacity data'!E:E,"PSO"))/SUMIFS('capacity data'!G:G,'capacity data'!A:A,B23,'capacity data'!E:E,"PSO")</f>
        <v>#DIV/0!</v>
      </c>
      <c r="E23" s="98" t="e">
        <f>SUM((SUMIFS('capacity data'!G:G,'capacity data'!A:A,B23,'capacity data'!E:E,"TPO"))-SUMIFS('capacity data'!H:H,'capacity data'!A:A,B23,'capacity data'!E:E,"TPO"))/SUMIFS('capacity data'!G:G,'capacity data'!A:A,B23,'capacity data'!E:E,"TPO")</f>
        <v>#DIV/0!</v>
      </c>
      <c r="F23" s="188" t="e">
        <f>SUM((SUMIFS('capacity data'!G:G,'capacity data'!A:A,B23))-SUMIFS('capacity data'!H:H,'capacity data'!A:A,B23))/SUMIFS('capacity data'!G:G,'capacity data'!A:A,B23)</f>
        <v>#DIV/0!</v>
      </c>
      <c r="G23" s="189"/>
      <c r="H23" s="97" t="e">
        <f>SUMIFS('capacity data'!$L:$L,'capacity data'!$A:$A,B23,'capacity data'!$E:$E,"PSO")/SUM((SUMIFS('capacity data'!$G:$G,'capacity data'!$E:$E,"PSO",'capacity data'!$A:$A,B23))-SUMIFS('capacity data'!$H:$H,'capacity data'!$E:$E,"PSO",'capacity data'!$A:$A,B23))</f>
        <v>#DIV/0!</v>
      </c>
      <c r="I23" s="97" t="e">
        <f>SUMIFS('capacity data'!$L:$L,'capacity data'!$A:$A,B23,'capacity data'!$E:$E,"PSO")/SUMIFS('capacity data'!$G:$G,'capacity data'!$E:$E,"PSO",'capacity data'!$A:$A,B23)</f>
        <v>#DIV/0!</v>
      </c>
      <c r="J23" s="183"/>
      <c r="K23" s="97" t="e">
        <f>SUMIFS('capacity data'!$L:$L,'capacity data'!$A:$A,B23,'capacity data'!$E:$E,"TPO")/SUM((SUMIFS('capacity data'!$G:$G,'capacity data'!$E:$E,"TPO",'capacity data'!$A:$A,B23))-SUMIFS('capacity data'!$H:$H,'capacity data'!$E:$E,"TPO",'capacity data'!$A:$A,B23))</f>
        <v>#DIV/0!</v>
      </c>
      <c r="L23" s="97" t="e">
        <f>SUMIFS('capacity data'!$L:$L,'capacity data'!$A:$A,B23,'capacity data'!$E:$E,"TPO")/SUMIFS('capacity data'!$G:$G,'capacity data'!$E:$E,"TPO",'capacity data'!$A:$A,B23)</f>
        <v>#DIV/0!</v>
      </c>
    </row>
    <row r="24" spans="2:12" x14ac:dyDescent="0.2">
      <c r="B24" s="181" t="s">
        <v>521</v>
      </c>
      <c r="C24" s="98" t="e">
        <f>SUM((SUMIFS('capacity data'!G:G,'capacity data'!A:A,B24,'capacity data'!E:E,"PO"))-SUMIFS('capacity data'!H:H,'capacity data'!A:A,B24,'capacity data'!E:E,"PO"))/SUMIFS('capacity data'!G:G,'capacity data'!A:A,B24,'capacity data'!E:E,"PO")</f>
        <v>#DIV/0!</v>
      </c>
      <c r="D24" s="98" t="e">
        <f>SUM((SUMIFS('capacity data'!G:G,'capacity data'!A:A,B24,'capacity data'!E:E,"PSO"))-SUMIFS('capacity data'!H:H,'capacity data'!A:A,B24,'capacity data'!E:E,"PSO"))/SUMIFS('capacity data'!G:G,'capacity data'!A:A,B24,'capacity data'!E:E,"PSO")</f>
        <v>#DIV/0!</v>
      </c>
      <c r="E24" s="98" t="e">
        <f>SUM((SUMIFS('capacity data'!G:G,'capacity data'!A:A,B24,'capacity data'!E:E,"TPO"))-SUMIFS('capacity data'!H:H,'capacity data'!A:A,B24,'capacity data'!E:E,"TPO"))/SUMIFS('capacity data'!G:G,'capacity data'!A:A,B24,'capacity data'!E:E,"TPO")</f>
        <v>#DIV/0!</v>
      </c>
      <c r="F24" s="188" t="e">
        <f>SUM((SUMIFS('capacity data'!G:G,'capacity data'!A:A,B24))-SUMIFS('capacity data'!H:H,'capacity data'!A:A,B24))/SUMIFS('capacity data'!G:G,'capacity data'!A:A,B24)</f>
        <v>#DIV/0!</v>
      </c>
      <c r="G24" s="189"/>
      <c r="H24" s="97" t="e">
        <f>SUMIFS('capacity data'!$L:$L,'capacity data'!$A:$A,B24,'capacity data'!$E:$E,"PSO")/SUM((SUMIFS('capacity data'!$G:$G,'capacity data'!$E:$E,"PSO",'capacity data'!$A:$A,B24))-SUMIFS('capacity data'!$H:$H,'capacity data'!$E:$E,"PSO",'capacity data'!$A:$A,B24))</f>
        <v>#DIV/0!</v>
      </c>
      <c r="I24" s="97" t="e">
        <f>SUMIFS('capacity data'!$L:$L,'capacity data'!$A:$A,B24,'capacity data'!$E:$E,"PSO")/SUMIFS('capacity data'!$G:$G,'capacity data'!$E:$E,"PSO",'capacity data'!$A:$A,B24)</f>
        <v>#DIV/0!</v>
      </c>
      <c r="J24" s="183"/>
      <c r="K24" s="97" t="e">
        <f>SUMIFS('capacity data'!$L:$L,'capacity data'!$A:$A,B24,'capacity data'!$E:$E,"TPO")/SUM((SUMIFS('capacity data'!$G:$G,'capacity data'!$E:$E,"TPO",'capacity data'!$A:$A,B24))-SUMIFS('capacity data'!$H:$H,'capacity data'!$E:$E,"TPO",'capacity data'!$A:$A,B24))</f>
        <v>#DIV/0!</v>
      </c>
      <c r="L24" s="97" t="e">
        <f>SUMIFS('capacity data'!$L:$L,'capacity data'!$A:$A,B24,'capacity data'!$E:$E,"TPO")/SUMIFS('capacity data'!$G:$G,'capacity data'!$E:$E,"TPO",'capacity data'!$A:$A,B24)</f>
        <v>#DIV/0!</v>
      </c>
    </row>
    <row r="25" spans="2:12" x14ac:dyDescent="0.2">
      <c r="B25" s="181" t="s">
        <v>522</v>
      </c>
      <c r="C25" s="98" t="e">
        <f>SUM((SUMIFS('capacity data'!G:G,'capacity data'!A:A,B25,'capacity data'!E:E,"PO"))-SUMIFS('capacity data'!H:H,'capacity data'!A:A,B25,'capacity data'!E:E,"PO"))/SUMIFS('capacity data'!G:G,'capacity data'!A:A,B25,'capacity data'!E:E,"PO")</f>
        <v>#DIV/0!</v>
      </c>
      <c r="D25" s="98" t="e">
        <f>SUM((SUMIFS('capacity data'!G:G,'capacity data'!A:A,B25,'capacity data'!E:E,"PSO"))-SUMIFS('capacity data'!H:H,'capacity data'!A:A,B25,'capacity data'!E:E,"PSO"))/SUMIFS('capacity data'!G:G,'capacity data'!A:A,B25,'capacity data'!E:E,"PSO")</f>
        <v>#DIV/0!</v>
      </c>
      <c r="E25" s="98" t="e">
        <f>SUM((SUMIFS('capacity data'!G:G,'capacity data'!A:A,B25,'capacity data'!E:E,"TPO"))-SUMIFS('capacity data'!H:H,'capacity data'!A:A,B25,'capacity data'!E:E,"TPO"))/SUMIFS('capacity data'!G:G,'capacity data'!A:A,B25,'capacity data'!E:E,"TPO")</f>
        <v>#DIV/0!</v>
      </c>
      <c r="F25" s="188" t="e">
        <f>SUM((SUMIFS('capacity data'!G:G,'capacity data'!A:A,B25))-SUMIFS('capacity data'!H:H,'capacity data'!A:A,B25))/SUMIFS('capacity data'!G:G,'capacity data'!A:A,B25)</f>
        <v>#DIV/0!</v>
      </c>
      <c r="G25" s="189"/>
      <c r="H25" s="97" t="e">
        <f>SUMIFS('capacity data'!$L:$L,'capacity data'!$A:$A,B25,'capacity data'!$E:$E,"PSO")/SUM((SUMIFS('capacity data'!$G:$G,'capacity data'!$E:$E,"PSO",'capacity data'!$A:$A,B25))-SUMIFS('capacity data'!$H:$H,'capacity data'!$E:$E,"PSO",'capacity data'!$A:$A,B25))</f>
        <v>#DIV/0!</v>
      </c>
      <c r="I25" s="97" t="e">
        <f>SUMIFS('capacity data'!$L:$L,'capacity data'!$A:$A,B25,'capacity data'!$E:$E,"PSO")/SUMIFS('capacity data'!$G:$G,'capacity data'!$E:$E,"PSO",'capacity data'!$A:$A,B25)</f>
        <v>#DIV/0!</v>
      </c>
      <c r="J25" s="183"/>
      <c r="K25" s="97" t="e">
        <f>SUMIFS('capacity data'!$L:$L,'capacity data'!$A:$A,B25,'capacity data'!$E:$E,"TPO")/SUM((SUMIFS('capacity data'!$G:$G,'capacity data'!$E:$E,"TPO",'capacity data'!$A:$A,B25))-SUMIFS('capacity data'!$H:$H,'capacity data'!$E:$E,"TPO",'capacity data'!$A:$A,B25))</f>
        <v>#DIV/0!</v>
      </c>
      <c r="L25" s="97" t="e">
        <f>SUMIFS('capacity data'!$L:$L,'capacity data'!$A:$A,B25,'capacity data'!$E:$E,"TPO")/SUMIFS('capacity data'!$G:$G,'capacity data'!$E:$E,"TPO",'capacity data'!$A:$A,B25)</f>
        <v>#DIV/0!</v>
      </c>
    </row>
    <row r="26" spans="2:12" ht="17" thickBot="1" x14ac:dyDescent="0.25">
      <c r="B26" s="181" t="s">
        <v>523</v>
      </c>
      <c r="C26" s="98" t="e">
        <f>SUM((SUMIFS('capacity data'!G:G,'capacity data'!A:A,B26,'capacity data'!E:E,"PO"))-SUMIFS('capacity data'!H:H,'capacity data'!A:A,B26,'capacity data'!E:E,"PO"))/SUMIFS('capacity data'!G:G,'capacity data'!A:A,B26,'capacity data'!E:E,"PO")</f>
        <v>#DIV/0!</v>
      </c>
      <c r="D26" s="98" t="e">
        <f>SUM((SUMIFS('capacity data'!G:G,'capacity data'!A:A,B26,'capacity data'!E:E,"PSO"))-SUMIFS('capacity data'!H:H,'capacity data'!A:A,B26,'capacity data'!E:E,"PSO"))/SUMIFS('capacity data'!G:G,'capacity data'!A:A,B26,'capacity data'!E:E,"PSO")</f>
        <v>#DIV/0!</v>
      </c>
      <c r="E26" s="98" t="e">
        <f>SUM((SUMIFS('capacity data'!G:G,'capacity data'!A:A,B26,'capacity data'!E:E,"TPO"))-SUMIFS('capacity data'!H:H,'capacity data'!A:A,B26,'capacity data'!E:E,"TPO"))/SUMIFS('capacity data'!G:G,'capacity data'!A:A,B26,'capacity data'!E:E,"TPO")</f>
        <v>#DIV/0!</v>
      </c>
      <c r="F26" s="188" t="e">
        <f>SUM((SUMIFS('capacity data'!G:G,'capacity data'!A:A,B26))-SUMIFS('capacity data'!H:H,'capacity data'!A:A,B26))/SUMIFS('capacity data'!G:G,'capacity data'!A:A,B26)</f>
        <v>#DIV/0!</v>
      </c>
      <c r="G26" s="189"/>
      <c r="H26" s="97" t="e">
        <f>SUMIFS('capacity data'!$L:$L,'capacity data'!$A:$A,B26,'capacity data'!$E:$E,"PSO")/SUM((SUMIFS('capacity data'!$G:$G,'capacity data'!$E:$E,"PSO",'capacity data'!$A:$A,B26))-SUMIFS('capacity data'!$H:$H,'capacity data'!$E:$E,"PSO",'capacity data'!$A:$A,B26))</f>
        <v>#DIV/0!</v>
      </c>
      <c r="I26" s="97" t="e">
        <f>SUMIFS('capacity data'!$L:$L,'capacity data'!$A:$A,B26,'capacity data'!$E:$E,"PSO")/SUMIFS('capacity data'!$G:$G,'capacity data'!$E:$E,"PSO",'capacity data'!$A:$A,B26)</f>
        <v>#DIV/0!</v>
      </c>
      <c r="J26" s="183"/>
      <c r="K26" s="97" t="e">
        <f>SUMIFS('capacity data'!$L:$L,'capacity data'!$A:$A,B26,'capacity data'!$E:$E,"TPO")/SUM((SUMIFS('capacity data'!$G:$G,'capacity data'!$E:$E,"TPO",'capacity data'!$A:$A,B26))-SUMIFS('capacity data'!$H:$H,'capacity data'!$E:$E,"TPO",'capacity data'!$A:$A,B26))</f>
        <v>#DIV/0!</v>
      </c>
      <c r="L26" s="97" t="e">
        <f>SUMIFS('capacity data'!$L:$L,'capacity data'!$A:$A,B26,'capacity data'!$E:$E,"TPO")/SUMIFS('capacity data'!$G:$G,'capacity data'!$E:$E,"TPO",'capacity data'!$A:$A,B26)</f>
        <v>#DIV/0!</v>
      </c>
    </row>
    <row r="27" spans="2:12" ht="17" thickBot="1" x14ac:dyDescent="0.25">
      <c r="B27" s="191" t="s">
        <v>318</v>
      </c>
      <c r="C27" s="192" t="e">
        <f>SUM((SUMIF('capacity data'!E:E,"PO",'capacity data'!G:G))-SUMIF('capacity data'!E:E,"PO",'capacity data'!H:H))/SUMIF('capacity data'!E:E,"PO",'capacity data'!G:G)</f>
        <v>#DIV/0!</v>
      </c>
      <c r="D27" s="192" t="e">
        <f>SUM((SUMIF('capacity data'!E:E,"PSO",'capacity data'!G:G))-SUMIF('capacity data'!E:E,"PSO",'capacity data'!H:H))/SUMIF('capacity data'!E:E,"PSO",'capacity data'!G:G)</f>
        <v>#DIV/0!</v>
      </c>
      <c r="E27" s="192" t="e">
        <f>SUM((SUMIF('capacity data'!E:E,"TPO",'capacity data'!G:G))-SUMIF('capacity data'!E:E,"TPO",'capacity data'!H:H))/SUMIF('capacity data'!E:E,"TPO",'capacity data'!G:G)</f>
        <v>#DIV/0!</v>
      </c>
      <c r="F27" s="192" t="e">
        <f>SUM((SUM('capacity data'!G:G)-SUM('capacity data'!H:H))/SUM('capacity data'!G:G))</f>
        <v>#DIV/0!</v>
      </c>
      <c r="G27" s="183"/>
      <c r="H27" s="193" t="e">
        <f>SUMIF('capacity data'!$E:$E,"PSO",'capacity data'!$L:$L)/SUM(SUMIF('capacity data'!$E:$E,"PSO",'capacity data'!$G:$G)-SUMIF('capacity data'!$E:$E,"PSO",'capacity data'!$H:$H))</f>
        <v>#DIV/0!</v>
      </c>
      <c r="I27" s="193" t="e">
        <f>SUMIF('capacity data'!$E:$E,"PSO",'capacity data'!$L:$L)/SUMIF('capacity data'!$E:$E,"PSO",'capacity data'!$G:$G)</f>
        <v>#DIV/0!</v>
      </c>
      <c r="J27" s="183"/>
      <c r="K27" s="193" t="e">
        <f>SUMIF('capacity data'!$E:$E,"TPO",'capacity data'!$L:$L)/SUM(SUMIF('capacity data'!$E:$E,"TPO",'capacity data'!$G:$G)-SUMIF('capacity data'!$E:$E,"TPO",'capacity data'!$H:$H))</f>
        <v>#DIV/0!</v>
      </c>
      <c r="L27" s="193" t="e">
        <f>SUMIF('capacity data'!$E:$E,"TPO",'capacity data'!$L:$L)/SUMIF('capacity data'!$E:$E,"TPO",'capacity data'!$G:$G)</f>
        <v>#DIV/0!</v>
      </c>
    </row>
    <row r="33" spans="3:3" x14ac:dyDescent="0.2">
      <c r="C33" s="74"/>
    </row>
  </sheetData>
  <mergeCells count="2">
    <mergeCell ref="A2:Y2"/>
    <mergeCell ref="A1:Y1"/>
  </mergeCells>
  <conditionalFormatting sqref="C5:F27">
    <cfRule type="cellIs" dxfId="5" priority="3" operator="lessThan">
      <formula>0.9</formula>
    </cfRule>
    <cfRule type="cellIs" dxfId="4" priority="4" operator="greaterThanOrEqual">
      <formula>1.1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7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6"/>
  <dimension ref="A1:Z93"/>
  <sheetViews>
    <sheetView showGridLines="0" topLeftCell="B1" zoomScale="85" zoomScaleNormal="85" workbookViewId="0">
      <selection activeCell="B15" sqref="B15"/>
    </sheetView>
  </sheetViews>
  <sheetFormatPr baseColWidth="10" defaultColWidth="8.83203125" defaultRowHeight="14" x14ac:dyDescent="0.15"/>
  <cols>
    <col min="1" max="1" width="36.5" style="15" hidden="1" customWidth="1"/>
    <col min="2" max="2" width="58" customWidth="1"/>
    <col min="3" max="3" width="15" style="36" bestFit="1" customWidth="1"/>
    <col min="4" max="4" width="13.5" style="36" customWidth="1"/>
    <col min="5" max="5" width="15.83203125" style="36" customWidth="1"/>
    <col min="6" max="6" width="10.83203125" style="36" bestFit="1" customWidth="1"/>
    <col min="7" max="7" width="12.5" style="36" customWidth="1"/>
    <col min="8" max="8" width="14.83203125" style="36" bestFit="1" customWidth="1"/>
    <col min="9" max="9" width="13" style="36" customWidth="1"/>
    <col min="10" max="10" width="15.1640625" style="36" customWidth="1"/>
    <col min="11" max="11" width="13.5" style="36" customWidth="1"/>
    <col min="12" max="12" width="10.5" style="36" bestFit="1" customWidth="1"/>
    <col min="13" max="13" width="12" style="36" customWidth="1"/>
    <col min="14" max="15" width="13.5" style="36" customWidth="1"/>
    <col min="16" max="16" width="10.5" style="36" bestFit="1" customWidth="1"/>
    <col min="17" max="17" width="9.5" style="36" bestFit="1" customWidth="1"/>
    <col min="18" max="18" width="12.5" style="36" customWidth="1"/>
    <col min="19" max="19" width="14.83203125" style="36" bestFit="1" customWidth="1"/>
    <col min="20" max="20" width="15.1640625" style="36" customWidth="1"/>
    <col min="21" max="21" width="15.5" style="36" customWidth="1"/>
    <col min="22" max="22" width="16" style="36" customWidth="1"/>
    <col min="23" max="23" width="12.5" bestFit="1" customWidth="1"/>
  </cols>
  <sheetData>
    <row r="1" spans="1:26" ht="67.5" customHeight="1" x14ac:dyDescent="0.15">
      <c r="A1" s="6"/>
      <c r="B1" s="384" t="s">
        <v>372</v>
      </c>
      <c r="C1" s="384"/>
      <c r="D1" s="384"/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/>
      <c r="Q1" s="384"/>
      <c r="R1" s="384"/>
      <c r="S1" s="384"/>
      <c r="T1" s="384"/>
      <c r="U1" s="384"/>
      <c r="V1" s="384"/>
      <c r="W1" s="384"/>
      <c r="X1" s="384"/>
      <c r="Y1" s="384"/>
      <c r="Z1" s="384"/>
    </row>
    <row r="2" spans="1:26" ht="42" customHeight="1" x14ac:dyDescent="0.15">
      <c r="A2" s="6"/>
      <c r="B2" s="385"/>
      <c r="C2" s="381"/>
      <c r="D2" s="381"/>
      <c r="E2" s="381"/>
      <c r="F2" s="381"/>
      <c r="G2" s="381"/>
      <c r="H2" s="381"/>
      <c r="I2" s="381"/>
      <c r="J2" s="381"/>
      <c r="K2" s="381"/>
      <c r="L2" s="381"/>
      <c r="M2" s="381"/>
      <c r="N2" s="381"/>
      <c r="O2" s="381"/>
      <c r="P2" s="381"/>
      <c r="Q2" s="381"/>
      <c r="R2" s="381"/>
      <c r="S2" s="381"/>
      <c r="T2" s="381"/>
      <c r="U2" s="381"/>
      <c r="V2" s="381"/>
      <c r="W2" s="381"/>
      <c r="X2" s="381"/>
      <c r="Y2" s="381"/>
      <c r="Z2" s="381"/>
    </row>
    <row r="3" spans="1:26" ht="78.75" customHeight="1" x14ac:dyDescent="0.15">
      <c r="A3" s="6"/>
      <c r="B3" s="233" t="s">
        <v>470</v>
      </c>
      <c r="C3" s="43"/>
      <c r="D3" s="43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30"/>
      <c r="X3" s="30"/>
      <c r="Y3" s="30"/>
      <c r="Z3" s="30"/>
    </row>
    <row r="4" spans="1:26" ht="16" x14ac:dyDescent="0.2">
      <c r="A4" s="17"/>
      <c r="B4" s="78" t="s">
        <v>376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2"/>
      <c r="X4" s="30"/>
      <c r="Y4" s="30"/>
      <c r="Z4" s="30"/>
    </row>
    <row r="5" spans="1:26" ht="16" x14ac:dyDescent="0.2">
      <c r="A5" s="17"/>
      <c r="B5" s="2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2"/>
      <c r="X5" s="30"/>
      <c r="Y5" s="30"/>
      <c r="Z5" s="30"/>
    </row>
    <row r="6" spans="1:26" ht="105" customHeight="1" x14ac:dyDescent="0.15">
      <c r="A6" s="21"/>
      <c r="B6" s="37" t="s">
        <v>473</v>
      </c>
      <c r="C6" s="269" t="s">
        <v>373</v>
      </c>
      <c r="D6" s="269" t="s">
        <v>374</v>
      </c>
      <c r="E6" s="269" t="s">
        <v>375</v>
      </c>
      <c r="F6" s="194"/>
      <c r="G6" s="269" t="s">
        <v>263</v>
      </c>
      <c r="H6" s="269" t="s">
        <v>264</v>
      </c>
      <c r="I6" s="194"/>
      <c r="J6" s="269" t="s">
        <v>265</v>
      </c>
      <c r="K6" s="269" t="s">
        <v>266</v>
      </c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30"/>
      <c r="X6" s="30"/>
      <c r="Y6" s="30"/>
      <c r="Z6" s="30"/>
    </row>
    <row r="7" spans="1:26" ht="16" x14ac:dyDescent="0.15">
      <c r="A7" s="18"/>
      <c r="B7" s="195" t="s">
        <v>267</v>
      </c>
      <c r="C7" s="196" t="e">
        <f>SUM((SUMIF('capacity data'!E:E,"PO",'capacity data'!G:G))-SUMIF('capacity data'!E:E,"PO",'capacity data'!H:H))/SUMIF('capacity data'!E:E,"PO",'capacity data'!G:G)</f>
        <v>#DIV/0!</v>
      </c>
      <c r="D7" s="197" t="e">
        <f>SUM((SUMIF('capacity data'!E:E,"PSO",'capacity data'!G:G))-SUMIF('capacity data'!E:E,"PSO",'capacity data'!H:H))/SUMIF('capacity data'!E:E,"PSO",'capacity data'!G:G)</f>
        <v>#DIV/0!</v>
      </c>
      <c r="E7" s="197" t="e">
        <f>SUM((SUMIF('capacity data'!E:E,"TPO",'capacity data'!G:G))-SUMIF('capacity data'!E:E,"TPO",'capacity data'!H:H))/SUMIF('capacity data'!E:E,"TPO",'capacity data'!G:G)</f>
        <v>#DIV/0!</v>
      </c>
      <c r="F7" s="194"/>
      <c r="G7" s="250" t="e">
        <f>SUMIF('capacity data'!$E:$E,"PSO",'capacity data'!$L:$L)/SUM(SUMIF('capacity data'!$E:$E,"PSO",'capacity data'!$G:$G)-SUMIF('capacity data'!$E:$E,"PSO",'capacity data'!$H:$H))</f>
        <v>#DIV/0!</v>
      </c>
      <c r="H7" s="250" t="e">
        <f>SUMIF('capacity data'!$E:$E,"PSO",'capacity data'!$L:$L)/SUMIF('capacity data'!$E:$E,"PSO",'capacity data'!$G:$G)</f>
        <v>#DIV/0!</v>
      </c>
      <c r="I7" s="194"/>
      <c r="J7" s="251" t="e">
        <f>SUMIF('capacity data'!$E:$E,"TPO",'capacity data'!$L:$L)/SUM(SUMIF('capacity data'!$E:$E,"TPO",'capacity data'!$G:$G)-SUMIF('capacity data'!$E:$E,"TPO",'capacity data'!$H:$H))</f>
        <v>#DIV/0!</v>
      </c>
      <c r="K7" s="251" t="e">
        <f>SUMIF('capacity data'!$E:$E,"TPO",'capacity data'!$L:$L)/SUMIF('capacity data'!$E:$E,"TPO",'capacity data'!$G:$G)</f>
        <v>#DIV/0!</v>
      </c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30"/>
      <c r="X7" s="30"/>
      <c r="Y7" s="30"/>
      <c r="Z7" s="30"/>
    </row>
    <row r="8" spans="1:26" ht="16" x14ac:dyDescent="0.2">
      <c r="A8" s="17"/>
      <c r="B8" s="93" t="str">
        <f>HLOOKUP($B$4,Region_Table,2,0)</f>
        <v>Accredited Programmes and Structured Interventions - N07</v>
      </c>
      <c r="C8" s="98" t="str">
        <f>IFERROR(SUM((SUMIFS('capacity data'!$G:$G,'capacity data'!$E:$E,"PO",'capacity data'!$B:$B,'cluster capacity, unallocateds'!B8))-SUMIFS('capacity data'!$H:$H,'capacity data'!$E:$E,"PO",'capacity data'!$B:$B,'cluster capacity, unallocateds'!B8))/SUMIFS('capacity data'!$G:$G,'capacity data'!$E:$E,"PO",'capacity data'!$B:$B,'cluster capacity, unallocateds'!B8),"")</f>
        <v/>
      </c>
      <c r="D8" s="98" t="str">
        <f>IFERROR(SUM((SUMIFS('capacity data'!$G:$G,'capacity data'!$E:$E,"PSO",'capacity data'!$B:$B,'cluster capacity, unallocateds'!B8))-SUMIFS('capacity data'!$H:$H,'capacity data'!$E:$E,"PSO",'capacity data'!$B:$B,'cluster capacity, unallocateds'!B8))/SUMIFS('capacity data'!$G:$G,'capacity data'!$E:$E,"PSO",'capacity data'!$B:$B,'cluster capacity, unallocateds'!B8),"")</f>
        <v/>
      </c>
      <c r="E8" s="98" t="str">
        <f>IFERROR(SUM((SUMIFS('capacity data'!$G:$G,'capacity data'!$E:$E,"TPO",'capacity data'!$B:$B,'cluster capacity, unallocateds'!B8))-SUMIFS('capacity data'!$H:$H,'capacity data'!$E:$E,"TPO",'capacity data'!$B:$B,'cluster capacity, unallocateds'!B8))/SUMIFS('capacity data'!$G:$G,'capacity data'!$E:$E,"TPO",'capacity data'!$B:$B,'cluster capacity, unallocateds'!B8),"")</f>
        <v/>
      </c>
      <c r="F8" s="194"/>
      <c r="G8" s="261" t="str">
        <f>IFERROR(SUMIFS('capacity data'!$L:$L,'capacity data'!$B:$B,B8,'capacity data'!$E:$E,"PSO")/SUM((SUMIFS('capacity data'!$G:$G,'capacity data'!$E:$E,"PSO",'capacity data'!$B:$B,B8))-SUMIFS('capacity data'!$H:$H,'capacity data'!$E:$E,"PSO",'capacity data'!$B:$B,B8)),"")</f>
        <v/>
      </c>
      <c r="H8" s="261" t="str">
        <f>IFERROR(SUMIFS('capacity data'!$L:$L,'capacity data'!$B:$B,B8,'capacity data'!$E:$E,"PSO")/SUMIFS('capacity data'!$G:$G,'capacity data'!$E:$E,"PSO",'capacity data'!$B:$B,B8),"")</f>
        <v/>
      </c>
      <c r="I8" s="194"/>
      <c r="J8" s="97" t="str">
        <f>IFERROR(SUMIFS('capacity data'!$L:$L,'capacity data'!$B:$B,B8,'capacity data'!$E:$E,"TPO")/SUM((SUMIFS('capacity data'!$G:$G,'capacity data'!$E:$E,"TPO",'capacity data'!$B:$B,B8))-SUMIFS('capacity data'!$H:$H,'capacity data'!$E:$E,"TPO",'capacity data'!$B:$B,B8)),"")</f>
        <v/>
      </c>
      <c r="K8" s="97" t="str">
        <f>IFERROR(SUMIFS('capacity data'!$L:$L,'capacity data'!$B:$B,B8,'capacity data'!$E:$E,"TPO")/SUMIFS('capacity data'!$G:$G,'capacity data'!$E:$E,"TPO",'capacity data'!$B:$B,B8),"")</f>
        <v/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30"/>
      <c r="X8" s="30"/>
      <c r="Y8" s="30"/>
      <c r="Z8" s="30"/>
    </row>
    <row r="9" spans="1:26" ht="16" x14ac:dyDescent="0.2">
      <c r="A9" s="17"/>
      <c r="B9" s="93" t="str">
        <f>HLOOKUP($B$4,Region_Table,3,0)</f>
        <v>All London</v>
      </c>
      <c r="C9" s="98" t="str">
        <f>IFERROR(SUM((SUMIFS('capacity data'!$G:$G,'capacity data'!$E:$E,"PO",'capacity data'!$B:$B,'cluster capacity, unallocateds'!B9))-SUMIFS('capacity data'!$H:$H,'capacity data'!$E:$E,"PO",'capacity data'!$B:$B,'cluster capacity, unallocateds'!B9))/SUMIFS('capacity data'!$G:$G,'capacity data'!$E:$E,"PO",'capacity data'!$B:$B,'cluster capacity, unallocateds'!B9),"")</f>
        <v/>
      </c>
      <c r="D9" s="98" t="str">
        <f>IFERROR(SUM((SUMIFS('capacity data'!$G:$G,'capacity data'!$E:$E,"PSO",'capacity data'!$B:$B,'cluster capacity, unallocateds'!B9))-SUMIFS('capacity data'!$H:$H,'capacity data'!$E:$E,"PSO",'capacity data'!$B:$B,'cluster capacity, unallocateds'!B9))/SUMIFS('capacity data'!$G:$G,'capacity data'!$E:$E,"PSO",'capacity data'!$B:$B,'cluster capacity, unallocateds'!B9),"")</f>
        <v/>
      </c>
      <c r="E9" s="98" t="str">
        <f>IFERROR(SUM((SUMIFS('capacity data'!$G:$G,'capacity data'!$E:$E,"TPO",'capacity data'!$B:$B,'cluster capacity, unallocateds'!B9))-SUMIFS('capacity data'!$H:$H,'capacity data'!$E:$E,"TPO",'capacity data'!$B:$B,'cluster capacity, unallocateds'!B9))/SUMIFS('capacity data'!$G:$G,'capacity data'!$E:$E,"TPO",'capacity data'!$B:$B,'cluster capacity, unallocateds'!B9),"")</f>
        <v/>
      </c>
      <c r="F9" s="194"/>
      <c r="G9" s="261" t="str">
        <f>IFERROR(SUMIFS('capacity data'!$L:$L,'capacity data'!$B:$B,B9,'capacity data'!$E:$E,"PSO")/SUM((SUMIFS('capacity data'!$G:$G,'capacity data'!$E:$E,"PSO",'capacity data'!$B:$B,B9))-SUMIFS('capacity data'!$H:$H,'capacity data'!$E:$E,"PSO",'capacity data'!$B:$B,B9)),"")</f>
        <v/>
      </c>
      <c r="H9" s="261" t="str">
        <f>IFERROR(SUMIFS('capacity data'!$L:$L,'capacity data'!$B:$B,B9,'capacity data'!$E:$E,"PSO")/SUMIFS('capacity data'!$G:$G,'capacity data'!$E:$E,"PSO",'capacity data'!$B:$B,B9),"")</f>
        <v/>
      </c>
      <c r="I9" s="194"/>
      <c r="J9" s="97" t="str">
        <f>IFERROR(SUMIFS('capacity data'!$L:$L,'capacity data'!$B:$B,B9,'capacity data'!$E:$E,"TPO")/SUM((SUMIFS('capacity data'!$G:$G,'capacity data'!$E:$E,"TPO",'capacity data'!$B:$B,B9))-SUMIFS('capacity data'!$H:$H,'capacity data'!$E:$E,"TPO",'capacity data'!$B:$B,B9)),"")</f>
        <v/>
      </c>
      <c r="K9" s="97" t="str">
        <f>IFERROR(SUMIFS('capacity data'!$L:$L,'capacity data'!$B:$B,B9,'capacity data'!$E:$E,"TPO")/SUMIFS('capacity data'!$G:$G,'capacity data'!$E:$E,"TPO",'capacity data'!$B:$B,B9),"")</f>
        <v/>
      </c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30"/>
      <c r="X9" s="30"/>
      <c r="Y9" s="30"/>
      <c r="Z9" s="30"/>
    </row>
    <row r="10" spans="1:26" ht="16" x14ac:dyDescent="0.2">
      <c r="A10" s="17"/>
      <c r="B10" s="93" t="str">
        <f>HLOOKUP($B$4,Region_Table,4,0)</f>
        <v>Barking and Dagenham and Havering</v>
      </c>
      <c r="C10" s="98" t="str">
        <f>IFERROR(SUM((SUMIFS('capacity data'!$G:$G,'capacity data'!$E:$E,"PO",'capacity data'!$B:$B,'cluster capacity, unallocateds'!B10))-SUMIFS('capacity data'!$H:$H,'capacity data'!$E:$E,"PO",'capacity data'!$B:$B,'cluster capacity, unallocateds'!B10))/SUMIFS('capacity data'!$G:$G,'capacity data'!$E:$E,"PO",'capacity data'!$B:$B,'cluster capacity, unallocateds'!B10),"")</f>
        <v/>
      </c>
      <c r="D10" s="98" t="str">
        <f>IFERROR(SUM((SUMIFS('capacity data'!$G:$G,'capacity data'!$E:$E,"PSO",'capacity data'!$B:$B,'cluster capacity, unallocateds'!B10))-SUMIFS('capacity data'!$H:$H,'capacity data'!$E:$E,"PSO",'capacity data'!$B:$B,'cluster capacity, unallocateds'!B10))/SUMIFS('capacity data'!$G:$G,'capacity data'!$E:$E,"PSO",'capacity data'!$B:$B,'cluster capacity, unallocateds'!B10),"")</f>
        <v/>
      </c>
      <c r="E10" s="98" t="str">
        <f>IFERROR(SUM((SUMIFS('capacity data'!$G:$G,'capacity data'!$E:$E,"TPO",'capacity data'!$B:$B,'cluster capacity, unallocateds'!B10))-SUMIFS('capacity data'!$H:$H,'capacity data'!$E:$E,"TPO",'capacity data'!$B:$B,'cluster capacity, unallocateds'!B10))/SUMIFS('capacity data'!$G:$G,'capacity data'!$E:$E,"TPO",'capacity data'!$B:$B,'cluster capacity, unallocateds'!B10),"")</f>
        <v/>
      </c>
      <c r="F10" s="194"/>
      <c r="G10" s="261" t="str">
        <f>IFERROR(SUMIFS('capacity data'!$L:$L,'capacity data'!$B:$B,B10,'capacity data'!$E:$E,"PSO")/SUM((SUMIFS('capacity data'!$G:$G,'capacity data'!$E:$E,"PSO",'capacity data'!$B:$B,B10))-SUMIFS('capacity data'!$H:$H,'capacity data'!$E:$E,"PSO",'capacity data'!$B:$B,B10)),"")</f>
        <v/>
      </c>
      <c r="H10" s="261" t="str">
        <f>IFERROR(SUMIFS('capacity data'!$L:$L,'capacity data'!$B:$B,B10,'capacity data'!$E:$E,"PSO")/SUMIFS('capacity data'!$G:$G,'capacity data'!$E:$E,"PSO",'capacity data'!$B:$B,B10),"")</f>
        <v/>
      </c>
      <c r="I10" s="194"/>
      <c r="J10" s="97" t="str">
        <f>IFERROR(SUMIFS('capacity data'!$L:$L,'capacity data'!$B:$B,B10,'capacity data'!$E:$E,"TPO")/SUM((SUMIFS('capacity data'!$G:$G,'capacity data'!$E:$E,"TPO",'capacity data'!$B:$B,B10))-SUMIFS('capacity data'!$H:$H,'capacity data'!$E:$E,"TPO",'capacity data'!$B:$B,B10)),"")</f>
        <v/>
      </c>
      <c r="K10" s="97" t="str">
        <f>IFERROR(SUMIFS('capacity data'!$L:$L,'capacity data'!$B:$B,B10,'capacity data'!$E:$E,"TPO")/SUMIFS('capacity data'!$G:$G,'capacity data'!$E:$E,"TPO",'capacity data'!$B:$B,B10),"")</f>
        <v/>
      </c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30"/>
      <c r="X10" s="30"/>
      <c r="Y10" s="30"/>
      <c r="Z10" s="30"/>
    </row>
    <row r="11" spans="1:26" ht="16" x14ac:dyDescent="0.2">
      <c r="A11" s="17"/>
      <c r="B11" s="93" t="str">
        <f>HLOOKUP($B$4,Region_Table,5,0)</f>
        <v>Brent - N07</v>
      </c>
      <c r="C11" s="98" t="str">
        <f>IFERROR(SUM((SUMIFS('capacity data'!$G:$G,'capacity data'!$E:$E,"PO",'capacity data'!$B:$B,'cluster capacity, unallocateds'!B11))-SUMIFS('capacity data'!$H:$H,'capacity data'!$E:$E,"PO",'capacity data'!$B:$B,'cluster capacity, unallocateds'!B11))/SUMIFS('capacity data'!$G:$G,'capacity data'!$E:$E,"PO",'capacity data'!$B:$B,'cluster capacity, unallocateds'!B11),"")</f>
        <v/>
      </c>
      <c r="D11" s="98" t="str">
        <f>IFERROR(SUM((SUMIFS('capacity data'!$G:$G,'capacity data'!$E:$E,"PSO",'capacity data'!$B:$B,'cluster capacity, unallocateds'!B11))-SUMIFS('capacity data'!$H:$H,'capacity data'!$E:$E,"PSO",'capacity data'!$B:$B,'cluster capacity, unallocateds'!B11))/SUMIFS('capacity data'!$G:$G,'capacity data'!$E:$E,"PSO",'capacity data'!$B:$B,'cluster capacity, unallocateds'!B11),"")</f>
        <v/>
      </c>
      <c r="E11" s="98" t="str">
        <f>IFERROR(SUM((SUMIFS('capacity data'!$G:$G,'capacity data'!$E:$E,"TPO",'capacity data'!$B:$B,'cluster capacity, unallocateds'!B11))-SUMIFS('capacity data'!$H:$H,'capacity data'!$E:$E,"TPO",'capacity data'!$B:$B,'cluster capacity, unallocateds'!B11))/SUMIFS('capacity data'!$G:$G,'capacity data'!$E:$E,"TPO",'capacity data'!$B:$B,'cluster capacity, unallocateds'!B11),"")</f>
        <v/>
      </c>
      <c r="F11" s="194"/>
      <c r="G11" s="261" t="str">
        <f>IFERROR(SUMIFS('capacity data'!$L:$L,'capacity data'!$B:$B,B11,'capacity data'!$E:$E,"PSO")/SUM((SUMIFS('capacity data'!$G:$G,'capacity data'!$E:$E,"PSO",'capacity data'!$B:$B,B11))-SUMIFS('capacity data'!$H:$H,'capacity data'!$E:$E,"PSO",'capacity data'!$B:$B,B11)),"")</f>
        <v/>
      </c>
      <c r="H11" s="261" t="str">
        <f>IFERROR(SUMIFS('capacity data'!$L:$L,'capacity data'!$B:$B,B11,'capacity data'!$E:$E,"PSO")/SUMIFS('capacity data'!$G:$G,'capacity data'!$E:$E,"PSO",'capacity data'!$B:$B,B11),"")</f>
        <v/>
      </c>
      <c r="I11" s="194"/>
      <c r="J11" s="97" t="str">
        <f>IFERROR(SUMIFS('capacity data'!$L:$L,'capacity data'!$B:$B,B11,'capacity data'!$E:$E,"TPO")/SUM((SUMIFS('capacity data'!$G:$G,'capacity data'!$E:$E,"TPO",'capacity data'!$B:$B,B11))-SUMIFS('capacity data'!$H:$H,'capacity data'!$E:$E,"TPO",'capacity data'!$B:$B,B11)),"")</f>
        <v/>
      </c>
      <c r="K11" s="97" t="str">
        <f>IFERROR(SUMIFS('capacity data'!$L:$L,'capacity data'!$B:$B,B11,'capacity data'!$E:$E,"TPO")/SUMIFS('capacity data'!$G:$G,'capacity data'!$E:$E,"TPO",'capacity data'!$B:$B,B11),"")</f>
        <v/>
      </c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30"/>
      <c r="X11" s="30"/>
      <c r="Y11" s="30"/>
      <c r="Z11" s="30"/>
    </row>
    <row r="12" spans="1:26" ht="16" x14ac:dyDescent="0.2">
      <c r="A12" s="17"/>
      <c r="B12" s="93" t="str">
        <f>HLOOKUP($B$4,Region_Table,6,0)</f>
        <v>Camden, Islington</v>
      </c>
      <c r="C12" s="98" t="str">
        <f>IFERROR(SUM((SUMIFS('capacity data'!$G:$G,'capacity data'!$E:$E,"PO",'capacity data'!$B:$B,'cluster capacity, unallocateds'!B12))-SUMIFS('capacity data'!$H:$H,'capacity data'!$E:$E,"PO",'capacity data'!$B:$B,'cluster capacity, unallocateds'!B12))/SUMIFS('capacity data'!$G:$G,'capacity data'!$E:$E,"PO",'capacity data'!$B:$B,'cluster capacity, unallocateds'!B12),"")</f>
        <v/>
      </c>
      <c r="D12" s="98" t="str">
        <f>IFERROR(SUM((SUMIFS('capacity data'!$G:$G,'capacity data'!$E:$E,"PSO",'capacity data'!$B:$B,'cluster capacity, unallocateds'!B12))-SUMIFS('capacity data'!$H:$H,'capacity data'!$E:$E,"PSO",'capacity data'!$B:$B,'cluster capacity, unallocateds'!B12))/SUMIFS('capacity data'!$G:$G,'capacity data'!$E:$E,"PSO",'capacity data'!$B:$B,'cluster capacity, unallocateds'!B12),"")</f>
        <v/>
      </c>
      <c r="E12" s="98" t="str">
        <f>IFERROR(SUM((SUMIFS('capacity data'!$G:$G,'capacity data'!$E:$E,"TPO",'capacity data'!$B:$B,'cluster capacity, unallocateds'!B12))-SUMIFS('capacity data'!$H:$H,'capacity data'!$E:$E,"TPO",'capacity data'!$B:$B,'cluster capacity, unallocateds'!B12))/SUMIFS('capacity data'!$G:$G,'capacity data'!$E:$E,"TPO",'capacity data'!$B:$B,'cluster capacity, unallocateds'!B12),"")</f>
        <v/>
      </c>
      <c r="F12" s="194"/>
      <c r="G12" s="261" t="str">
        <f>IFERROR(SUMIFS('capacity data'!$L:$L,'capacity data'!$B:$B,B12,'capacity data'!$E:$E,"PSO")/SUM((SUMIFS('capacity data'!$G:$G,'capacity data'!$E:$E,"PSO",'capacity data'!$B:$B,B12))-SUMIFS('capacity data'!$H:$H,'capacity data'!$E:$E,"PSO",'capacity data'!$B:$B,B12)),"")</f>
        <v/>
      </c>
      <c r="H12" s="261" t="str">
        <f>IFERROR(SUMIFS('capacity data'!$L:$L,'capacity data'!$B:$B,B12,'capacity data'!$E:$E,"PSO")/SUMIFS('capacity data'!$G:$G,'capacity data'!$E:$E,"PSO",'capacity data'!$B:$B,B12),"")</f>
        <v/>
      </c>
      <c r="I12" s="194"/>
      <c r="J12" s="97" t="str">
        <f>IFERROR(SUMIFS('capacity data'!$L:$L,'capacity data'!$B:$B,B12,'capacity data'!$E:$E,"TPO")/SUM((SUMIFS('capacity data'!$G:$G,'capacity data'!$E:$E,"TPO",'capacity data'!$B:$B,B12))-SUMIFS('capacity data'!$H:$H,'capacity data'!$E:$E,"TPO",'capacity data'!$B:$B,B12)),"")</f>
        <v/>
      </c>
      <c r="K12" s="97" t="str">
        <f>IFERROR(SUMIFS('capacity data'!$L:$L,'capacity data'!$B:$B,B12,'capacity data'!$E:$E,"TPO")/SUMIFS('capacity data'!$G:$G,'capacity data'!$E:$E,"TPO",'capacity data'!$B:$B,B12),"")</f>
        <v/>
      </c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30"/>
      <c r="X12" s="30"/>
      <c r="Y12" s="30"/>
      <c r="Z12" s="30"/>
    </row>
    <row r="13" spans="1:26" ht="16" x14ac:dyDescent="0.2">
      <c r="A13" s="17"/>
      <c r="B13" s="93" t="str">
        <f>HLOOKUP($B$4,Region_Table,7,0)</f>
        <v>Commumity Integration</v>
      </c>
      <c r="C13" s="98" t="str">
        <f>IFERROR(SUM((SUMIFS('capacity data'!$G:$G,'capacity data'!$E:$E,"PO",'capacity data'!$B:$B,'cluster capacity, unallocateds'!B13))-SUMIFS('capacity data'!$H:$H,'capacity data'!$E:$E,"PO",'capacity data'!$B:$B,'cluster capacity, unallocateds'!B13))/SUMIFS('capacity data'!$G:$G,'capacity data'!$E:$E,"PO",'capacity data'!$B:$B,'cluster capacity, unallocateds'!B13),"")</f>
        <v/>
      </c>
      <c r="D13" s="98" t="str">
        <f>IFERROR(SUM((SUMIFS('capacity data'!$G:$G,'capacity data'!$E:$E,"PSO",'capacity data'!$B:$B,'cluster capacity, unallocateds'!B13))-SUMIFS('capacity data'!$H:$H,'capacity data'!$E:$E,"PSO",'capacity data'!$B:$B,'cluster capacity, unallocateds'!B13))/SUMIFS('capacity data'!$G:$G,'capacity data'!$E:$E,"PSO",'capacity data'!$B:$B,'cluster capacity, unallocateds'!B13),"")</f>
        <v/>
      </c>
      <c r="E13" s="98" t="str">
        <f>IFERROR(SUM((SUMIFS('capacity data'!$G:$G,'capacity data'!$E:$E,"TPO",'capacity data'!$B:$B,'cluster capacity, unallocateds'!B13))-SUMIFS('capacity data'!$H:$H,'capacity data'!$E:$E,"TPO",'capacity data'!$B:$B,'cluster capacity, unallocateds'!B13))/SUMIFS('capacity data'!$G:$G,'capacity data'!$E:$E,"TPO",'capacity data'!$B:$B,'cluster capacity, unallocateds'!B13),"")</f>
        <v/>
      </c>
      <c r="F13" s="194"/>
      <c r="G13" s="261" t="str">
        <f>IFERROR(SUMIFS('capacity data'!$L:$L,'capacity data'!$B:$B,B13,'capacity data'!$E:$E,"PSO")/SUM((SUMIFS('capacity data'!$G:$G,'capacity data'!$E:$E,"PSO",'capacity data'!$B:$B,B13))-SUMIFS('capacity data'!$H:$H,'capacity data'!$E:$E,"PSO",'capacity data'!$B:$B,B13)),"")</f>
        <v/>
      </c>
      <c r="H13" s="261" t="str">
        <f>IFERROR(SUMIFS('capacity data'!$L:$L,'capacity data'!$B:$B,B13,'capacity data'!$E:$E,"PSO")/SUMIFS('capacity data'!$G:$G,'capacity data'!$E:$E,"PSO",'capacity data'!$B:$B,B13),"")</f>
        <v/>
      </c>
      <c r="I13" s="194"/>
      <c r="J13" s="97" t="str">
        <f>IFERROR(SUMIFS('capacity data'!$L:$L,'capacity data'!$B:$B,B13,'capacity data'!$E:$E,"TPO")/SUM((SUMIFS('capacity data'!$G:$G,'capacity data'!$E:$E,"TPO",'capacity data'!$B:$B,B13))-SUMIFS('capacity data'!$H:$H,'capacity data'!$E:$E,"TPO",'capacity data'!$B:$B,B13)),"")</f>
        <v/>
      </c>
      <c r="K13" s="97" t="str">
        <f>IFERROR(SUMIFS('capacity data'!$L:$L,'capacity data'!$B:$B,B13,'capacity data'!$E:$E,"TPO")/SUMIFS('capacity data'!$G:$G,'capacity data'!$E:$E,"TPO",'capacity data'!$B:$B,B13),"")</f>
        <v/>
      </c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30"/>
      <c r="X13" s="30"/>
      <c r="Y13" s="30"/>
      <c r="Z13" s="30"/>
    </row>
    <row r="14" spans="1:26" ht="16" x14ac:dyDescent="0.2">
      <c r="A14" s="17"/>
      <c r="B14" s="93" t="str">
        <f>HLOOKUP($B$4,Region_Table,8,0)</f>
        <v>Corporate Services - N07</v>
      </c>
      <c r="C14" s="98" t="str">
        <f>IFERROR(SUM((SUMIFS('capacity data'!$G:$G,'capacity data'!$E:$E,"PO",'capacity data'!$B:$B,'cluster capacity, unallocateds'!B14))-SUMIFS('capacity data'!$H:$H,'capacity data'!$E:$E,"PO",'capacity data'!$B:$B,'cluster capacity, unallocateds'!B14))/SUMIFS('capacity data'!$G:$G,'capacity data'!$E:$E,"PO",'capacity data'!$B:$B,'cluster capacity, unallocateds'!B14),"")</f>
        <v/>
      </c>
      <c r="D14" s="98" t="str">
        <f>IFERROR(SUM((SUMIFS('capacity data'!$G:$G,'capacity data'!$E:$E,"PSO",'capacity data'!$B:$B,'cluster capacity, unallocateds'!B14))-SUMIFS('capacity data'!$H:$H,'capacity data'!$E:$E,"PSO",'capacity data'!$B:$B,'cluster capacity, unallocateds'!B14))/SUMIFS('capacity data'!$G:$G,'capacity data'!$E:$E,"PSO",'capacity data'!$B:$B,'cluster capacity, unallocateds'!B14),"")</f>
        <v/>
      </c>
      <c r="E14" s="98" t="str">
        <f>IFERROR(SUM((SUMIFS('capacity data'!$G:$G,'capacity data'!$E:$E,"TPO",'capacity data'!$B:$B,'cluster capacity, unallocateds'!B14))-SUMIFS('capacity data'!$H:$H,'capacity data'!$E:$E,"TPO",'capacity data'!$B:$B,'cluster capacity, unallocateds'!B14))/SUMIFS('capacity data'!$G:$G,'capacity data'!$E:$E,"TPO",'capacity data'!$B:$B,'cluster capacity, unallocateds'!B14),"")</f>
        <v/>
      </c>
      <c r="F14" s="194"/>
      <c r="G14" s="261" t="str">
        <f>IFERROR(SUMIFS('capacity data'!$L:$L,'capacity data'!$B:$B,B14,'capacity data'!$E:$E,"PSO")/SUM((SUMIFS('capacity data'!$G:$G,'capacity data'!$E:$E,"PSO",'capacity data'!$B:$B,B14))-SUMIFS('capacity data'!$H:$H,'capacity data'!$E:$E,"PSO",'capacity data'!$B:$B,B14)),"")</f>
        <v/>
      </c>
      <c r="H14" s="261" t="str">
        <f>IFERROR(SUMIFS('capacity data'!$L:$L,'capacity data'!$B:$B,B14,'capacity data'!$E:$E,"PSO")/SUMIFS('capacity data'!$G:$G,'capacity data'!$E:$E,"PSO",'capacity data'!$B:$B,B14),"")</f>
        <v/>
      </c>
      <c r="I14" s="194"/>
      <c r="J14" s="97" t="str">
        <f>IFERROR(SUMIFS('capacity data'!$L:$L,'capacity data'!$B:$B,B14,'capacity data'!$E:$E,"TPO")/SUM((SUMIFS('capacity data'!$G:$G,'capacity data'!$E:$E,"TPO",'capacity data'!$B:$B,B14))-SUMIFS('capacity data'!$H:$H,'capacity data'!$E:$E,"TPO",'capacity data'!$B:$B,B14)),"")</f>
        <v/>
      </c>
      <c r="K14" s="97" t="str">
        <f>IFERROR(SUMIFS('capacity data'!$L:$L,'capacity data'!$B:$B,B14,'capacity data'!$E:$E,"TPO")/SUMIFS('capacity data'!$G:$G,'capacity data'!$E:$E,"TPO",'capacity data'!$B:$B,B14),"")</f>
        <v/>
      </c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30"/>
      <c r="X14" s="30"/>
      <c r="Y14" s="30"/>
      <c r="Z14" s="30"/>
    </row>
    <row r="15" spans="1:26" ht="16" x14ac:dyDescent="0.2">
      <c r="A15" s="17"/>
      <c r="B15" s="93" t="str">
        <f>HLOOKUP($B$4,Region_Table,9,0)</f>
        <v>Croydon - N07</v>
      </c>
      <c r="C15" s="98" t="str">
        <f>IFERROR(SUM((SUMIFS('capacity data'!$G:$G,'capacity data'!$E:$E,"PO",'capacity data'!$B:$B,'cluster capacity, unallocateds'!B15))-SUMIFS('capacity data'!$H:$H,'capacity data'!$E:$E,"PO",'capacity data'!$B:$B,'cluster capacity, unallocateds'!B15))/SUMIFS('capacity data'!$G:$G,'capacity data'!$E:$E,"PO",'capacity data'!$B:$B,'cluster capacity, unallocateds'!B15),"")</f>
        <v/>
      </c>
      <c r="D15" s="98" t="str">
        <f>IFERROR(SUM((SUMIFS('capacity data'!$G:$G,'capacity data'!$E:$E,"PSO",'capacity data'!$B:$B,'cluster capacity, unallocateds'!B15))-SUMIFS('capacity data'!$H:$H,'capacity data'!$E:$E,"PSO",'capacity data'!$B:$B,'cluster capacity, unallocateds'!B15))/SUMIFS('capacity data'!$G:$G,'capacity data'!$E:$E,"PSO",'capacity data'!$B:$B,'cluster capacity, unallocateds'!B15),"")</f>
        <v/>
      </c>
      <c r="E15" s="98" t="str">
        <f>IFERROR(SUM((SUMIFS('capacity data'!$G:$G,'capacity data'!$E:$E,"TPO",'capacity data'!$B:$B,'cluster capacity, unallocateds'!B15))-SUMIFS('capacity data'!$H:$H,'capacity data'!$E:$E,"TPO",'capacity data'!$B:$B,'cluster capacity, unallocateds'!B15))/SUMIFS('capacity data'!$G:$G,'capacity data'!$E:$E,"TPO",'capacity data'!$B:$B,'cluster capacity, unallocateds'!B15),"")</f>
        <v/>
      </c>
      <c r="F15" s="194"/>
      <c r="G15" s="261" t="str">
        <f>IFERROR(SUMIFS('capacity data'!$L:$L,'capacity data'!$B:$B,B15,'capacity data'!$E:$E,"PSO")/SUM((SUMIFS('capacity data'!$G:$G,'capacity data'!$E:$E,"PSO",'capacity data'!$B:$B,B15))-SUMIFS('capacity data'!$H:$H,'capacity data'!$E:$E,"PSO",'capacity data'!$B:$B,B15)),"")</f>
        <v/>
      </c>
      <c r="H15" s="261" t="str">
        <f>IFERROR(SUMIFS('capacity data'!$L:$L,'capacity data'!$B:$B,B15,'capacity data'!$E:$E,"PSO")/SUMIFS('capacity data'!$G:$G,'capacity data'!$E:$E,"PSO",'capacity data'!$B:$B,B15),"")</f>
        <v/>
      </c>
      <c r="I15" s="194"/>
      <c r="J15" s="97" t="str">
        <f>IFERROR(SUMIFS('capacity data'!$L:$L,'capacity data'!$B:$B,B15,'capacity data'!$E:$E,"TPO")/SUM((SUMIFS('capacity data'!$G:$G,'capacity data'!$E:$E,"TPO",'capacity data'!$B:$B,B15))-SUMIFS('capacity data'!$H:$H,'capacity data'!$E:$E,"TPO",'capacity data'!$B:$B,B15)),"")</f>
        <v/>
      </c>
      <c r="K15" s="97" t="str">
        <f>IFERROR(SUMIFS('capacity data'!$L:$L,'capacity data'!$B:$B,B15,'capacity data'!$E:$E,"TPO")/SUMIFS('capacity data'!$G:$G,'capacity data'!$E:$E,"TPO",'capacity data'!$B:$B,B15),"")</f>
        <v/>
      </c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30"/>
      <c r="X15" s="30"/>
      <c r="Y15" s="30"/>
      <c r="Z15" s="30"/>
    </row>
    <row r="16" spans="1:26" ht="16" x14ac:dyDescent="0.2">
      <c r="A16" s="17"/>
      <c r="B16" s="93" t="str">
        <f>HLOOKUP($B$4,Region_Table,10,0)</f>
        <v>Ealing and Hillingdon</v>
      </c>
      <c r="C16" s="98" t="str">
        <f>IFERROR(SUM((SUMIFS('capacity data'!$G:$G,'capacity data'!$E:$E,"PO",'capacity data'!$B:$B,'cluster capacity, unallocateds'!B16))-SUMIFS('capacity data'!$H:$H,'capacity data'!$E:$E,"PO",'capacity data'!$B:$B,'cluster capacity, unallocateds'!B16))/SUMIFS('capacity data'!$G:$G,'capacity data'!$E:$E,"PO",'capacity data'!$B:$B,'cluster capacity, unallocateds'!B16),"")</f>
        <v/>
      </c>
      <c r="D16" s="98" t="str">
        <f>IFERROR(SUM((SUMIFS('capacity data'!$G:$G,'capacity data'!$E:$E,"PSO",'capacity data'!$B:$B,'cluster capacity, unallocateds'!B16))-SUMIFS('capacity data'!$H:$H,'capacity data'!$E:$E,"PSO",'capacity data'!$B:$B,'cluster capacity, unallocateds'!B16))/SUMIFS('capacity data'!$G:$G,'capacity data'!$E:$E,"PSO",'capacity data'!$B:$B,'cluster capacity, unallocateds'!B16),"")</f>
        <v/>
      </c>
      <c r="E16" s="98" t="str">
        <f>IFERROR(SUM((SUMIFS('capacity data'!$G:$G,'capacity data'!$E:$E,"TPO",'capacity data'!$B:$B,'cluster capacity, unallocateds'!B16))-SUMIFS('capacity data'!$H:$H,'capacity data'!$E:$E,"TPO",'capacity data'!$B:$B,'cluster capacity, unallocateds'!B16))/SUMIFS('capacity data'!$G:$G,'capacity data'!$E:$E,"TPO",'capacity data'!$B:$B,'cluster capacity, unallocateds'!B16),"")</f>
        <v/>
      </c>
      <c r="F16" s="194"/>
      <c r="G16" s="261" t="str">
        <f>IFERROR(SUMIFS('capacity data'!$L:$L,'capacity data'!$B:$B,B16,'capacity data'!$E:$E,"PSO")/SUM((SUMIFS('capacity data'!$G:$G,'capacity data'!$E:$E,"PSO",'capacity data'!$B:$B,B16))-SUMIFS('capacity data'!$H:$H,'capacity data'!$E:$E,"PSO",'capacity data'!$B:$B,B16)),"")</f>
        <v/>
      </c>
      <c r="H16" s="261" t="str">
        <f>IFERROR(SUMIFS('capacity data'!$L:$L,'capacity data'!$B:$B,B16,'capacity data'!$E:$E,"PSO")/SUMIFS('capacity data'!$G:$G,'capacity data'!$E:$E,"PSO",'capacity data'!$B:$B,B16),"")</f>
        <v/>
      </c>
      <c r="I16" s="194"/>
      <c r="J16" s="97" t="str">
        <f>IFERROR(SUMIFS('capacity data'!$L:$L,'capacity data'!$B:$B,B16,'capacity data'!$E:$E,"TPO")/SUM((SUMIFS('capacity data'!$G:$G,'capacity data'!$E:$E,"TPO",'capacity data'!$B:$B,B16))-SUMIFS('capacity data'!$H:$H,'capacity data'!$E:$E,"TPO",'capacity data'!$B:$B,B16)),"")</f>
        <v/>
      </c>
      <c r="K16" s="97" t="str">
        <f>IFERROR(SUMIFS('capacity data'!$L:$L,'capacity data'!$B:$B,B16,'capacity data'!$E:$E,"TPO")/SUMIFS('capacity data'!$G:$G,'capacity data'!$E:$E,"TPO",'capacity data'!$B:$B,B16),"")</f>
        <v/>
      </c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30"/>
      <c r="X16" s="30"/>
      <c r="Y16" s="30"/>
      <c r="Z16" s="30"/>
    </row>
    <row r="17" spans="1:23" ht="16" x14ac:dyDescent="0.2">
      <c r="A17" s="19" t="s">
        <v>376</v>
      </c>
      <c r="B17" s="93" t="str">
        <f>HLOOKUP($B$4,Region_Table,11,0)</f>
        <v>Enfield and Haringey</v>
      </c>
      <c r="C17" s="98" t="str">
        <f>IFERROR(SUM((SUMIFS('capacity data'!$G:$G,'capacity data'!$E:$E,"PO",'capacity data'!$B:$B,'cluster capacity, unallocateds'!B17))-SUMIFS('capacity data'!$H:$H,'capacity data'!$E:$E,"PO",'capacity data'!$B:$B,'cluster capacity, unallocateds'!B17))/SUMIFS('capacity data'!$G:$G,'capacity data'!$E:$E,"PO",'capacity data'!$B:$B,'cluster capacity, unallocateds'!B17),"")</f>
        <v/>
      </c>
      <c r="D17" s="98" t="str">
        <f>IFERROR(SUM((SUMIFS('capacity data'!$G:$G,'capacity data'!$E:$E,"PSO",'capacity data'!$B:$B,'cluster capacity, unallocateds'!B17))-SUMIFS('capacity data'!$H:$H,'capacity data'!$E:$E,"PSO",'capacity data'!$B:$B,'cluster capacity, unallocateds'!B17))/SUMIFS('capacity data'!$G:$G,'capacity data'!$E:$E,"PSO",'capacity data'!$B:$B,'cluster capacity, unallocateds'!B17),"")</f>
        <v/>
      </c>
      <c r="E17" s="98" t="str">
        <f>IFERROR(SUM((SUMIFS('capacity data'!$G:$G,'capacity data'!$E:$E,"TPO",'capacity data'!$B:$B,'cluster capacity, unallocateds'!B17))-SUMIFS('capacity data'!$H:$H,'capacity data'!$E:$E,"TPO",'capacity data'!$B:$B,'cluster capacity, unallocateds'!B17))/SUMIFS('capacity data'!$G:$G,'capacity data'!$E:$E,"TPO",'capacity data'!$B:$B,'cluster capacity, unallocateds'!B17),"")</f>
        <v/>
      </c>
      <c r="F17" s="194"/>
      <c r="G17" s="261" t="str">
        <f>IFERROR(SUMIFS('capacity data'!$L:$L,'capacity data'!$B:$B,B17,'capacity data'!$E:$E,"PSO")/SUM((SUMIFS('capacity data'!$G:$G,'capacity data'!$E:$E,"PSO",'capacity data'!$B:$B,B17))-SUMIFS('capacity data'!$H:$H,'capacity data'!$E:$E,"PSO",'capacity data'!$B:$B,B17)),"")</f>
        <v/>
      </c>
      <c r="H17" s="261" t="str">
        <f>IFERROR(SUMIFS('capacity data'!$L:$L,'capacity data'!$B:$B,B17,'capacity data'!$E:$E,"PSO")/SUMIFS('capacity data'!$G:$G,'capacity data'!$E:$E,"PSO",'capacity data'!$B:$B,B17),"")</f>
        <v/>
      </c>
      <c r="I17" s="194"/>
      <c r="J17" s="97" t="str">
        <f>IFERROR(SUMIFS('capacity data'!$L:$L,'capacity data'!$B:$B,B17,'capacity data'!$E:$E,"TPO")/SUM((SUMIFS('capacity data'!$G:$G,'capacity data'!$E:$E,"TPO",'capacity data'!$B:$B,B17))-SUMIFS('capacity data'!$H:$H,'capacity data'!$E:$E,"TPO",'capacity data'!$B:$B,B17)),"")</f>
        <v/>
      </c>
      <c r="K17" s="97" t="str">
        <f>IFERROR(SUMIFS('capacity data'!$L:$L,'capacity data'!$B:$B,B17,'capacity data'!$E:$E,"TPO")/SUMIFS('capacity data'!$G:$G,'capacity data'!$E:$E,"TPO",'capacity data'!$B:$B,B17),"")</f>
        <v/>
      </c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30"/>
    </row>
    <row r="18" spans="1:23" ht="16" x14ac:dyDescent="0.2">
      <c r="A18" s="19" t="s">
        <v>377</v>
      </c>
      <c r="B18" s="93" t="str">
        <f>HLOOKUP($B$4,Region_Table,12,0)</f>
        <v>Greenwich and Bexley</v>
      </c>
      <c r="C18" s="98" t="str">
        <f>IFERROR(SUM((SUMIFS('capacity data'!$G:$G,'capacity data'!$E:$E,"PO",'capacity data'!$B:$B,'cluster capacity, unallocateds'!B18))-SUMIFS('capacity data'!$H:$H,'capacity data'!$E:$E,"PO",'capacity data'!$B:$B,'cluster capacity, unallocateds'!B18))/SUMIFS('capacity data'!$G:$G,'capacity data'!$E:$E,"PO",'capacity data'!$B:$B,'cluster capacity, unallocateds'!B18),"")</f>
        <v/>
      </c>
      <c r="D18" s="98" t="str">
        <f>IFERROR(SUM((SUMIFS('capacity data'!$G:$G,'capacity data'!$E:$E,"PSO",'capacity data'!$B:$B,'cluster capacity, unallocateds'!B18))-SUMIFS('capacity data'!$H:$H,'capacity data'!$E:$E,"PSO",'capacity data'!$B:$B,'cluster capacity, unallocateds'!B18))/SUMIFS('capacity data'!$G:$G,'capacity data'!$E:$E,"PSO",'capacity data'!$B:$B,'cluster capacity, unallocateds'!B18),"")</f>
        <v/>
      </c>
      <c r="E18" s="98" t="str">
        <f>IFERROR(SUM((SUMIFS('capacity data'!$G:$G,'capacity data'!$E:$E,"TPO",'capacity data'!$B:$B,'cluster capacity, unallocateds'!B18))-SUMIFS('capacity data'!$H:$H,'capacity data'!$E:$E,"TPO",'capacity data'!$B:$B,'cluster capacity, unallocateds'!B18))/SUMIFS('capacity data'!$G:$G,'capacity data'!$E:$E,"TPO",'capacity data'!$B:$B,'cluster capacity, unallocateds'!B18),"")</f>
        <v/>
      </c>
      <c r="F18" s="194"/>
      <c r="G18" s="261" t="str">
        <f>IFERROR(SUMIFS('capacity data'!$L:$L,'capacity data'!$B:$B,B18,'capacity data'!$E:$E,"PSO")/SUM((SUMIFS('capacity data'!$G:$G,'capacity data'!$E:$E,"PSO",'capacity data'!$B:$B,B18))-SUMIFS('capacity data'!$H:$H,'capacity data'!$E:$E,"PSO",'capacity data'!$B:$B,B18)),"")</f>
        <v/>
      </c>
      <c r="H18" s="261" t="str">
        <f>IFERROR(SUMIFS('capacity data'!$L:$L,'capacity data'!$B:$B,B18,'capacity data'!$E:$E,"PSO")/SUMIFS('capacity data'!$G:$G,'capacity data'!$E:$E,"PSO",'capacity data'!$B:$B,B18),"")</f>
        <v/>
      </c>
      <c r="I18" s="194"/>
      <c r="J18" s="97" t="str">
        <f>IFERROR(SUMIFS('capacity data'!$L:$L,'capacity data'!$B:$B,B18,'capacity data'!$E:$E,"TPO")/SUM((SUMIFS('capacity data'!$G:$G,'capacity data'!$E:$E,"TPO",'capacity data'!$B:$B,B18))-SUMIFS('capacity data'!$H:$H,'capacity data'!$E:$E,"TPO",'capacity data'!$B:$B,B18)),"")</f>
        <v/>
      </c>
      <c r="K18" s="97" t="str">
        <f>IFERROR(SUMIFS('capacity data'!$L:$L,'capacity data'!$B:$B,B18,'capacity data'!$E:$E,"TPO")/SUMIFS('capacity data'!$G:$G,'capacity data'!$E:$E,"TPO",'capacity data'!$B:$B,B18),"")</f>
        <v/>
      </c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30"/>
    </row>
    <row r="19" spans="1:23" ht="16" x14ac:dyDescent="0.2">
      <c r="A19" s="19" t="s">
        <v>378</v>
      </c>
      <c r="B19" s="93" t="str">
        <f>HLOOKUP($B$4,Region_Table,13,0)</f>
        <v>Hackney and City</v>
      </c>
      <c r="C19" s="98" t="str">
        <f>IFERROR(SUM((SUMIFS('capacity data'!$G:$G,'capacity data'!$E:$E,"PO",'capacity data'!$B:$B,'cluster capacity, unallocateds'!B19))-SUMIFS('capacity data'!$H:$H,'capacity data'!$E:$E,"PO",'capacity data'!$B:$B,'cluster capacity, unallocateds'!B19))/SUMIFS('capacity data'!$G:$G,'capacity data'!$E:$E,"PO",'capacity data'!$B:$B,'cluster capacity, unallocateds'!B19),"")</f>
        <v/>
      </c>
      <c r="D19" s="98" t="str">
        <f>IFERROR(SUM((SUMIFS('capacity data'!$G:$G,'capacity data'!$E:$E,"PSO",'capacity data'!$B:$B,'cluster capacity, unallocateds'!B19))-SUMIFS('capacity data'!$H:$H,'capacity data'!$E:$E,"PSO",'capacity data'!$B:$B,'cluster capacity, unallocateds'!B19))/SUMIFS('capacity data'!$G:$G,'capacity data'!$E:$E,"PSO",'capacity data'!$B:$B,'cluster capacity, unallocateds'!B19),"")</f>
        <v/>
      </c>
      <c r="E19" s="98" t="str">
        <f>IFERROR(SUM((SUMIFS('capacity data'!$G:$G,'capacity data'!$E:$E,"TPO",'capacity data'!$B:$B,'cluster capacity, unallocateds'!B19))-SUMIFS('capacity data'!$H:$H,'capacity data'!$E:$E,"TPO",'capacity data'!$B:$B,'cluster capacity, unallocateds'!B19))/SUMIFS('capacity data'!$G:$G,'capacity data'!$E:$E,"TPO",'capacity data'!$B:$B,'cluster capacity, unallocateds'!B19),"")</f>
        <v/>
      </c>
      <c r="F19" s="194"/>
      <c r="G19" s="261" t="str">
        <f>IFERROR(SUMIFS('capacity data'!$L:$L,'capacity data'!$B:$B,B19,'capacity data'!$E:$E,"PSO")/SUM((SUMIFS('capacity data'!$G:$G,'capacity data'!$E:$E,"PSO",'capacity data'!$B:$B,B19))-SUMIFS('capacity data'!$H:$H,'capacity data'!$E:$E,"PSO",'capacity data'!$B:$B,B19)),"")</f>
        <v/>
      </c>
      <c r="H19" s="261" t="str">
        <f>IFERROR(SUMIFS('capacity data'!$L:$L,'capacity data'!$B:$B,B19,'capacity data'!$E:$E,"PSO")/SUMIFS('capacity data'!$G:$G,'capacity data'!$E:$E,"PSO",'capacity data'!$B:$B,B19),"")</f>
        <v/>
      </c>
      <c r="I19" s="194"/>
      <c r="J19" s="97" t="str">
        <f>IFERROR(SUMIFS('capacity data'!$L:$L,'capacity data'!$B:$B,B19,'capacity data'!$E:$E,"TPO")/SUM((SUMIFS('capacity data'!$G:$G,'capacity data'!$E:$E,"TPO",'capacity data'!$B:$B,B19))-SUMIFS('capacity data'!$H:$H,'capacity data'!$E:$E,"TPO",'capacity data'!$B:$B,B19)),"")</f>
        <v/>
      </c>
      <c r="K19" s="97" t="str">
        <f>IFERROR(SUMIFS('capacity data'!$L:$L,'capacity data'!$B:$B,B19,'capacity data'!$E:$E,"TPO")/SUMIFS('capacity data'!$G:$G,'capacity data'!$E:$E,"TPO",'capacity data'!$B:$B,B19),"")</f>
        <v/>
      </c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30"/>
    </row>
    <row r="20" spans="1:23" ht="16" x14ac:dyDescent="0.2">
      <c r="A20" s="19" t="s">
        <v>379</v>
      </c>
      <c r="B20" s="93" t="str">
        <f>HLOOKUP($B$4,Region_Table,14,0)</f>
        <v>Hammersmith, Fulham, Kensington, Chelsea and Westminster</v>
      </c>
      <c r="C20" s="98" t="str">
        <f>IFERROR(SUM((SUMIFS('capacity data'!$G:$G,'capacity data'!$E:$E,"PO",'capacity data'!$B:$B,'cluster capacity, unallocateds'!B20))-SUMIFS('capacity data'!$H:$H,'capacity data'!$E:$E,"PO",'capacity data'!$B:$B,'cluster capacity, unallocateds'!B20))/SUMIFS('capacity data'!$G:$G,'capacity data'!$E:$E,"PO",'capacity data'!$B:$B,'cluster capacity, unallocateds'!B20),"")</f>
        <v/>
      </c>
      <c r="D20" s="98" t="str">
        <f>IFERROR(SUM((SUMIFS('capacity data'!$G:$G,'capacity data'!$E:$E,"PSO",'capacity data'!$B:$B,'cluster capacity, unallocateds'!B20))-SUMIFS('capacity data'!$H:$H,'capacity data'!$E:$E,"PSO",'capacity data'!$B:$B,'cluster capacity, unallocateds'!B20))/SUMIFS('capacity data'!$G:$G,'capacity data'!$E:$E,"PSO",'capacity data'!$B:$B,'cluster capacity, unallocateds'!B20),"")</f>
        <v/>
      </c>
      <c r="E20" s="98" t="str">
        <f>IFERROR(SUM((SUMIFS('capacity data'!$G:$G,'capacity data'!$E:$E,"TPO",'capacity data'!$B:$B,'cluster capacity, unallocateds'!B20))-SUMIFS('capacity data'!$H:$H,'capacity data'!$E:$E,"TPO",'capacity data'!$B:$B,'cluster capacity, unallocateds'!B20))/SUMIFS('capacity data'!$G:$G,'capacity data'!$E:$E,"TPO",'capacity data'!$B:$B,'cluster capacity, unallocateds'!B20),"")</f>
        <v/>
      </c>
      <c r="F20" s="194"/>
      <c r="G20" s="261" t="str">
        <f>IFERROR(SUMIFS('capacity data'!$L:$L,'capacity data'!$B:$B,B20,'capacity data'!$E:$E,"PSO")/SUM((SUMIFS('capacity data'!$G:$G,'capacity data'!$E:$E,"PSO",'capacity data'!$B:$B,B20))-SUMIFS('capacity data'!$H:$H,'capacity data'!$E:$E,"PSO",'capacity data'!$B:$B,B20)),"")</f>
        <v/>
      </c>
      <c r="H20" s="261" t="str">
        <f>IFERROR(SUMIFS('capacity data'!$L:$L,'capacity data'!$B:$B,B20,'capacity data'!$E:$E,"PSO")/SUMIFS('capacity data'!$G:$G,'capacity data'!$E:$E,"PSO",'capacity data'!$B:$B,B20),"")</f>
        <v/>
      </c>
      <c r="I20" s="194"/>
      <c r="J20" s="97" t="str">
        <f>IFERROR(SUMIFS('capacity data'!$L:$L,'capacity data'!$B:$B,B20,'capacity data'!$E:$E,"TPO")/SUM((SUMIFS('capacity data'!$G:$G,'capacity data'!$E:$E,"TPO",'capacity data'!$B:$B,B20))-SUMIFS('capacity data'!$H:$H,'capacity data'!$E:$E,"TPO",'capacity data'!$B:$B,B20)),"")</f>
        <v/>
      </c>
      <c r="K20" s="97" t="str">
        <f>IFERROR(SUMIFS('capacity data'!$L:$L,'capacity data'!$B:$B,B20,'capacity data'!$E:$E,"TPO")/SUMIFS('capacity data'!$G:$G,'capacity data'!$E:$E,"TPO",'capacity data'!$B:$B,B20),"")</f>
        <v/>
      </c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30"/>
    </row>
    <row r="21" spans="1:23" ht="16" x14ac:dyDescent="0.2">
      <c r="A21" s="19" t="s">
        <v>380</v>
      </c>
      <c r="B21" s="93" t="str">
        <f>HLOOKUP($B$4,Region_Table,15,0)</f>
        <v>Harrow and Barnet</v>
      </c>
      <c r="C21" s="98" t="str">
        <f>IFERROR(SUM((SUMIFS('capacity data'!$G:$G,'capacity data'!$E:$E,"PO",'capacity data'!$B:$B,'cluster capacity, unallocateds'!B21))-SUMIFS('capacity data'!$H:$H,'capacity data'!$E:$E,"PO",'capacity data'!$B:$B,'cluster capacity, unallocateds'!B21))/SUMIFS('capacity data'!$G:$G,'capacity data'!$E:$E,"PO",'capacity data'!$B:$B,'cluster capacity, unallocateds'!B21),"")</f>
        <v/>
      </c>
      <c r="D21" s="98" t="str">
        <f>IFERROR(SUM((SUMIFS('capacity data'!$G:$G,'capacity data'!$E:$E,"PSO",'capacity data'!$B:$B,'cluster capacity, unallocateds'!B21))-SUMIFS('capacity data'!$H:$H,'capacity data'!$E:$E,"PSO",'capacity data'!$B:$B,'cluster capacity, unallocateds'!B21))/SUMIFS('capacity data'!$G:$G,'capacity data'!$E:$E,"PSO",'capacity data'!$B:$B,'cluster capacity, unallocateds'!B21),"")</f>
        <v/>
      </c>
      <c r="E21" s="98" t="str">
        <f>IFERROR(SUM((SUMIFS('capacity data'!$G:$G,'capacity data'!$E:$E,"TPO",'capacity data'!$B:$B,'cluster capacity, unallocateds'!B21))-SUMIFS('capacity data'!$H:$H,'capacity data'!$E:$E,"TPO",'capacity data'!$B:$B,'cluster capacity, unallocateds'!B21))/SUMIFS('capacity data'!$G:$G,'capacity data'!$E:$E,"TPO",'capacity data'!$B:$B,'cluster capacity, unallocateds'!B21),"")</f>
        <v/>
      </c>
      <c r="F21" s="194"/>
      <c r="G21" s="261" t="str">
        <f>IFERROR(SUMIFS('capacity data'!$L:$L,'capacity data'!$B:$B,B21,'capacity data'!$E:$E,"PSO")/SUM((SUMIFS('capacity data'!$G:$G,'capacity data'!$E:$E,"PSO",'capacity data'!$B:$B,B21))-SUMIFS('capacity data'!$H:$H,'capacity data'!$E:$E,"PSO",'capacity data'!$B:$B,B21)),"")</f>
        <v/>
      </c>
      <c r="H21" s="261" t="str">
        <f>IFERROR(SUMIFS('capacity data'!$L:$L,'capacity data'!$B:$B,B21,'capacity data'!$E:$E,"PSO")/SUMIFS('capacity data'!$G:$G,'capacity data'!$E:$E,"PSO",'capacity data'!$B:$B,B21),"")</f>
        <v/>
      </c>
      <c r="I21" s="194"/>
      <c r="J21" s="97" t="str">
        <f>IFERROR(SUMIFS('capacity data'!$L:$L,'capacity data'!$B:$B,B21,'capacity data'!$E:$E,"TPO")/SUM((SUMIFS('capacity data'!$G:$G,'capacity data'!$E:$E,"TPO",'capacity data'!$B:$B,B21))-SUMIFS('capacity data'!$H:$H,'capacity data'!$E:$E,"TPO",'capacity data'!$B:$B,B21)),"")</f>
        <v/>
      </c>
      <c r="K21" s="97" t="str">
        <f>IFERROR(SUMIFS('capacity data'!$L:$L,'capacity data'!$B:$B,B21,'capacity data'!$E:$E,"TPO")/SUMIFS('capacity data'!$G:$G,'capacity data'!$E:$E,"TPO",'capacity data'!$B:$B,B21),"")</f>
        <v/>
      </c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30"/>
    </row>
    <row r="22" spans="1:23" ht="16" x14ac:dyDescent="0.2">
      <c r="A22" s="19" t="s">
        <v>381</v>
      </c>
      <c r="B22" s="93" t="str">
        <f>HLOOKUP($B$4,Region_Table,16,0)</f>
        <v>Headquarters - N07</v>
      </c>
      <c r="C22" s="98" t="str">
        <f>IFERROR(SUM((SUMIFS('capacity data'!$G:$G,'capacity data'!$E:$E,"PO",'capacity data'!$B:$B,'cluster capacity, unallocateds'!B22))-SUMIFS('capacity data'!$H:$H,'capacity data'!$E:$E,"PO",'capacity data'!$B:$B,'cluster capacity, unallocateds'!B22))/SUMIFS('capacity data'!$G:$G,'capacity data'!$E:$E,"PO",'capacity data'!$B:$B,'cluster capacity, unallocateds'!B22),"")</f>
        <v/>
      </c>
      <c r="D22" s="98" t="str">
        <f>IFERROR(SUM((SUMIFS('capacity data'!$G:$G,'capacity data'!$E:$E,"PSO",'capacity data'!$B:$B,'cluster capacity, unallocateds'!B22))-SUMIFS('capacity data'!$H:$H,'capacity data'!$E:$E,"PSO",'capacity data'!$B:$B,'cluster capacity, unallocateds'!B22))/SUMIFS('capacity data'!$G:$G,'capacity data'!$E:$E,"PSO",'capacity data'!$B:$B,'cluster capacity, unallocateds'!B22),"")</f>
        <v/>
      </c>
      <c r="E22" s="98" t="str">
        <f>IFERROR(SUM((SUMIFS('capacity data'!$G:$G,'capacity data'!$E:$E,"TPO",'capacity data'!$B:$B,'cluster capacity, unallocateds'!B22))-SUMIFS('capacity data'!$H:$H,'capacity data'!$E:$E,"TPO",'capacity data'!$B:$B,'cluster capacity, unallocateds'!B22))/SUMIFS('capacity data'!$G:$G,'capacity data'!$E:$E,"TPO",'capacity data'!$B:$B,'cluster capacity, unallocateds'!B22),"")</f>
        <v/>
      </c>
      <c r="F22" s="194"/>
      <c r="G22" s="261" t="str">
        <f>IFERROR(SUMIFS('capacity data'!$L:$L,'capacity data'!$B:$B,B22,'capacity data'!$E:$E,"PSO")/SUM((SUMIFS('capacity data'!$G:$G,'capacity data'!$E:$E,"PSO",'capacity data'!$B:$B,B22))-SUMIFS('capacity data'!$H:$H,'capacity data'!$E:$E,"PSO",'capacity data'!$B:$B,B22)),"")</f>
        <v/>
      </c>
      <c r="H22" s="261" t="str">
        <f>IFERROR(SUMIFS('capacity data'!$L:$L,'capacity data'!$B:$B,B22,'capacity data'!$E:$E,"PSO")/SUMIFS('capacity data'!$G:$G,'capacity data'!$E:$E,"PSO",'capacity data'!$B:$B,B22),"")</f>
        <v/>
      </c>
      <c r="I22" s="194"/>
      <c r="J22" s="97" t="str">
        <f>IFERROR(SUMIFS('capacity data'!$L:$L,'capacity data'!$B:$B,B22,'capacity data'!$E:$E,"TPO")/SUM((SUMIFS('capacity data'!$G:$G,'capacity data'!$E:$E,"TPO",'capacity data'!$B:$B,B22))-SUMIFS('capacity data'!$H:$H,'capacity data'!$E:$E,"TPO",'capacity data'!$B:$B,B22)),"")</f>
        <v/>
      </c>
      <c r="K22" s="97" t="str">
        <f>IFERROR(SUMIFS('capacity data'!$L:$L,'capacity data'!$B:$B,B22,'capacity data'!$E:$E,"TPO")/SUMIFS('capacity data'!$G:$G,'capacity data'!$E:$E,"TPO",'capacity data'!$B:$B,B22),"")</f>
        <v/>
      </c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30"/>
    </row>
    <row r="23" spans="1:23" ht="16" customHeight="1" x14ac:dyDescent="0.2">
      <c r="A23" s="19" t="s">
        <v>382</v>
      </c>
      <c r="B23" s="93" t="str">
        <f>HLOOKUP($B$4,Region_Table,17,0)</f>
        <v>Inactive Level 2(N07)</v>
      </c>
      <c r="C23" s="98" t="str">
        <f>IFERROR(SUM((SUMIFS('capacity data'!$G:$G,'capacity data'!$E:$E,"PO",'capacity data'!$B:$B,'cluster capacity, unallocateds'!B23))-SUMIFS('capacity data'!$H:$H,'capacity data'!$E:$E,"PO",'capacity data'!$B:$B,'cluster capacity, unallocateds'!B23))/SUMIFS('capacity data'!$G:$G,'capacity data'!$E:$E,"PO",'capacity data'!$B:$B,'cluster capacity, unallocateds'!B23),"")</f>
        <v/>
      </c>
      <c r="D23" s="98" t="str">
        <f>IFERROR(SUM((SUMIFS('capacity data'!$G:$G,'capacity data'!$E:$E,"PSO",'capacity data'!$B:$B,'cluster capacity, unallocateds'!B23))-SUMIFS('capacity data'!$H:$H,'capacity data'!$E:$E,"PSO",'capacity data'!$B:$B,'cluster capacity, unallocateds'!B23))/SUMIFS('capacity data'!$G:$G,'capacity data'!$E:$E,"PSO",'capacity data'!$B:$B,'cluster capacity, unallocateds'!B23),"")</f>
        <v/>
      </c>
      <c r="E23" s="98" t="str">
        <f>IFERROR(SUM((SUMIFS('capacity data'!$G:$G,'capacity data'!$E:$E,"TPO",'capacity data'!$B:$B,'cluster capacity, unallocateds'!B23))-SUMIFS('capacity data'!$H:$H,'capacity data'!$E:$E,"TPO",'capacity data'!$B:$B,'cluster capacity, unallocateds'!B23))/SUMIFS('capacity data'!$G:$G,'capacity data'!$E:$E,"TPO",'capacity data'!$B:$B,'cluster capacity, unallocateds'!B23),"")</f>
        <v/>
      </c>
      <c r="F23" s="194"/>
      <c r="G23" s="261" t="str">
        <f>IFERROR(SUMIFS('capacity data'!$L:$L,'capacity data'!$B:$B,B23,'capacity data'!$E:$E,"PSO")/SUM((SUMIFS('capacity data'!$G:$G,'capacity data'!$E:$E,"PSO",'capacity data'!$B:$B,B23))-SUMIFS('capacity data'!$H:$H,'capacity data'!$E:$E,"PSO",'capacity data'!$B:$B,B23)),"")</f>
        <v/>
      </c>
      <c r="H23" s="261" t="str">
        <f>IFERROR(SUMIFS('capacity data'!$L:$L,'capacity data'!$B:$B,B23,'capacity data'!$E:$E,"PSO")/SUMIFS('capacity data'!$G:$G,'capacity data'!$E:$E,"PSO",'capacity data'!$B:$B,B23),"")</f>
        <v/>
      </c>
      <c r="I23" s="194"/>
      <c r="J23" s="97" t="str">
        <f>IFERROR(SUMIFS('capacity data'!$L:$L,'capacity data'!$B:$B,B23,'capacity data'!$E:$E,"TPO")/SUM((SUMIFS('capacity data'!$G:$G,'capacity data'!$E:$E,"TPO",'capacity data'!$B:$B,B23))-SUMIFS('capacity data'!$H:$H,'capacity data'!$E:$E,"TPO",'capacity data'!$B:$B,B23)),"")</f>
        <v/>
      </c>
      <c r="K23" s="97" t="str">
        <f>IFERROR(SUMIFS('capacity data'!$L:$L,'capacity data'!$B:$B,B23,'capacity data'!$E:$E,"TPO")/SUMIFS('capacity data'!$G:$G,'capacity data'!$E:$E,"TPO",'capacity data'!$B:$B,B23),"")</f>
        <v/>
      </c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30"/>
    </row>
    <row r="24" spans="1:23" s="30" customFormat="1" ht="16" x14ac:dyDescent="0.2">
      <c r="A24" s="272"/>
      <c r="B24" s="93" t="str">
        <f>HLOOKUP($B$4,Region_Table,18,0)</f>
        <v>Kingston, Richmond and Hounslow</v>
      </c>
      <c r="C24" s="98" t="str">
        <f>IFERROR(SUM((SUMIFS('capacity data'!$G:$G,'capacity data'!$E:$E,"PO",'capacity data'!$B:$B,'cluster capacity, unallocateds'!B24))-SUMIFS('capacity data'!$H:$H,'capacity data'!$E:$E,"PO",'capacity data'!$B:$B,'cluster capacity, unallocateds'!B24))/SUMIFS('capacity data'!$G:$G,'capacity data'!$E:$E,"PO",'capacity data'!$B:$B,'cluster capacity, unallocateds'!B24),"")</f>
        <v/>
      </c>
      <c r="D24" s="98" t="str">
        <f>IFERROR(SUM((SUMIFS('capacity data'!$G:$G,'capacity data'!$E:$E,"PSO",'capacity data'!$B:$B,'cluster capacity, unallocateds'!B24))-SUMIFS('capacity data'!$H:$H,'capacity data'!$E:$E,"PSO",'capacity data'!$B:$B,'cluster capacity, unallocateds'!B24))/SUMIFS('capacity data'!$G:$G,'capacity data'!$E:$E,"PSO",'capacity data'!$B:$B,'cluster capacity, unallocateds'!B24),"")</f>
        <v/>
      </c>
      <c r="E24" s="98" t="str">
        <f>IFERROR(SUM((SUMIFS('capacity data'!$G:$G,'capacity data'!$E:$E,"TPO",'capacity data'!$B:$B,'cluster capacity, unallocateds'!B24))-SUMIFS('capacity data'!$H:$H,'capacity data'!$E:$E,"TPO",'capacity data'!$B:$B,'cluster capacity, unallocateds'!B24))/SUMIFS('capacity data'!$G:$G,'capacity data'!$E:$E,"TPO",'capacity data'!$B:$B,'cluster capacity, unallocateds'!B24),"")</f>
        <v/>
      </c>
      <c r="F24" s="194"/>
      <c r="G24" s="271" t="str">
        <f>IFERROR(SUMIFS('capacity data'!$L:$L,'capacity data'!$B:$B,B24,'capacity data'!$E:$E,"PSO")/SUM((SUMIFS('capacity data'!$G:$G,'capacity data'!$E:$E,"PSO",'capacity data'!$B:$B,B24))-SUMIFS('capacity data'!$H:$H,'capacity data'!$E:$E,"PSO",'capacity data'!$B:$B,B24)),"")</f>
        <v/>
      </c>
      <c r="H24" s="271" t="str">
        <f>IFERROR(SUMIFS('capacity data'!$L:$L,'capacity data'!$B:$B,B24,'capacity data'!$E:$E,"PSO")/SUMIFS('capacity data'!$G:$G,'capacity data'!$E:$E,"PSO",'capacity data'!$B:$B,B24),"")</f>
        <v/>
      </c>
      <c r="I24" s="194"/>
      <c r="J24" s="97" t="str">
        <f>IFERROR(SUMIFS('capacity data'!$L:$L,'capacity data'!$B:$B,B24,'capacity data'!$E:$E,"TPO")/SUM((SUMIFS('capacity data'!$G:$G,'capacity data'!$E:$E,"TPO",'capacity data'!$B:$B,B24))-SUMIFS('capacity data'!$H:$H,'capacity data'!$E:$E,"TPO",'capacity data'!$B:$B,B24)),"")</f>
        <v/>
      </c>
      <c r="K24" s="97" t="str">
        <f>IFERROR(SUMIFS('capacity data'!$L:$L,'capacity data'!$B:$B,B24,'capacity data'!$E:$E,"TPO")/SUMIFS('capacity data'!$G:$G,'capacity data'!$E:$E,"TPO",'capacity data'!$B:$B,B24),"")</f>
        <v/>
      </c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</row>
    <row r="25" spans="1:23" s="30" customFormat="1" ht="16" x14ac:dyDescent="0.2">
      <c r="A25" s="272"/>
      <c r="B25" s="93" t="str">
        <f>HLOOKUP($B$4,Region_Table,19,0)</f>
        <v>Lambeth - N07</v>
      </c>
      <c r="C25" s="98" t="str">
        <f>IFERROR(SUM((SUMIFS('capacity data'!$G:$G,'capacity data'!$E:$E,"PO",'capacity data'!$B:$B,'cluster capacity, unallocateds'!B25))-SUMIFS('capacity data'!$H:$H,'capacity data'!$E:$E,"PO",'capacity data'!$B:$B,'cluster capacity, unallocateds'!B25))/SUMIFS('capacity data'!$G:$G,'capacity data'!$E:$E,"PO",'capacity data'!$B:$B,'cluster capacity, unallocateds'!B25),"")</f>
        <v/>
      </c>
      <c r="D25" s="98" t="str">
        <f>IFERROR(SUM((SUMIFS('capacity data'!$G:$G,'capacity data'!$E:$E,"PSO",'capacity data'!$B:$B,'cluster capacity, unallocateds'!B25))-SUMIFS('capacity data'!$H:$H,'capacity data'!$E:$E,"PSO",'capacity data'!$B:$B,'cluster capacity, unallocateds'!B25))/SUMIFS('capacity data'!$G:$G,'capacity data'!$E:$E,"PSO",'capacity data'!$B:$B,'cluster capacity, unallocateds'!B25),"")</f>
        <v/>
      </c>
      <c r="E25" s="98" t="str">
        <f>IFERROR(SUM((SUMIFS('capacity data'!$G:$G,'capacity data'!$E:$E,"TPO",'capacity data'!$B:$B,'cluster capacity, unallocateds'!B25))-SUMIFS('capacity data'!$H:$H,'capacity data'!$E:$E,"TPO",'capacity data'!$B:$B,'cluster capacity, unallocateds'!B25))/SUMIFS('capacity data'!$G:$G,'capacity data'!$E:$E,"TPO",'capacity data'!$B:$B,'cluster capacity, unallocateds'!B25),"")</f>
        <v/>
      </c>
      <c r="F25" s="194"/>
      <c r="G25" s="271" t="str">
        <f>IFERROR(SUMIFS('capacity data'!$L:$L,'capacity data'!$B:$B,B25,'capacity data'!$E:$E,"PSO")/SUM((SUMIFS('capacity data'!$G:$G,'capacity data'!$E:$E,"PSO",'capacity data'!$B:$B,B25))-SUMIFS('capacity data'!$H:$H,'capacity data'!$E:$E,"PSO",'capacity data'!$B:$B,B25)),"")</f>
        <v/>
      </c>
      <c r="H25" s="271" t="str">
        <f>IFERROR(SUMIFS('capacity data'!$L:$L,'capacity data'!$B:$B,B25,'capacity data'!$E:$E,"PSO")/SUMIFS('capacity data'!$G:$G,'capacity data'!$E:$E,"PSO",'capacity data'!$B:$B,B25),"")</f>
        <v/>
      </c>
      <c r="I25" s="194"/>
      <c r="J25" s="97" t="str">
        <f>IFERROR(SUMIFS('capacity data'!$L:$L,'capacity data'!$B:$B,B25,'capacity data'!$E:$E,"TPO")/SUM((SUMIFS('capacity data'!$G:$G,'capacity data'!$E:$E,"TPO",'capacity data'!$B:$B,B25))-SUMIFS('capacity data'!$H:$H,'capacity data'!$E:$E,"TPO",'capacity data'!$B:$B,B25)),"")</f>
        <v/>
      </c>
      <c r="K25" s="97" t="str">
        <f>IFERROR(SUMIFS('capacity data'!$L:$L,'capacity data'!$B:$B,B25,'capacity data'!$E:$E,"TPO")/SUMIFS('capacity data'!$G:$G,'capacity data'!$E:$E,"TPO",'capacity data'!$B:$B,B25),"")</f>
        <v/>
      </c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</row>
    <row r="26" spans="1:23" s="30" customFormat="1" ht="16" x14ac:dyDescent="0.2">
      <c r="A26" s="272"/>
      <c r="B26" s="93" t="str">
        <f>HLOOKUP($B$4,Region_Table,20,0)</f>
        <v>Lewisham and Bromley</v>
      </c>
      <c r="C26" s="98" t="str">
        <f>IFERROR(SUM((SUMIFS('capacity data'!$G:$G,'capacity data'!$E:$E,"PO",'capacity data'!$B:$B,'cluster capacity, unallocateds'!B26))-SUMIFS('capacity data'!$H:$H,'capacity data'!$E:$E,"PO",'capacity data'!$B:$B,'cluster capacity, unallocateds'!B26))/SUMIFS('capacity data'!$G:$G,'capacity data'!$E:$E,"PO",'capacity data'!$B:$B,'cluster capacity, unallocateds'!B26),"")</f>
        <v/>
      </c>
      <c r="D26" s="98" t="str">
        <f>IFERROR(SUM((SUMIFS('capacity data'!$G:$G,'capacity data'!$E:$E,"PSO",'capacity data'!$B:$B,'cluster capacity, unallocateds'!B26))-SUMIFS('capacity data'!$H:$H,'capacity data'!$E:$E,"PSO",'capacity data'!$B:$B,'cluster capacity, unallocateds'!B26))/SUMIFS('capacity data'!$G:$G,'capacity data'!$E:$E,"PSO",'capacity data'!$B:$B,'cluster capacity, unallocateds'!B26),"")</f>
        <v/>
      </c>
      <c r="E26" s="98" t="str">
        <f>IFERROR(SUM((SUMIFS('capacity data'!$G:$G,'capacity data'!$E:$E,"TPO",'capacity data'!$B:$B,'cluster capacity, unallocateds'!B26))-SUMIFS('capacity data'!$H:$H,'capacity data'!$E:$E,"TPO",'capacity data'!$B:$B,'cluster capacity, unallocateds'!B26))/SUMIFS('capacity data'!$G:$G,'capacity data'!$E:$E,"TPO",'capacity data'!$B:$B,'cluster capacity, unallocateds'!B26),"")</f>
        <v/>
      </c>
      <c r="F26" s="194"/>
      <c r="G26" s="271" t="str">
        <f>IFERROR(SUMIFS('capacity data'!$L:$L,'capacity data'!$B:$B,B26,'capacity data'!$E:$E,"PSO")/SUM((SUMIFS('capacity data'!$G:$G,'capacity data'!$E:$E,"PSO",'capacity data'!$B:$B,B26))-SUMIFS('capacity data'!$H:$H,'capacity data'!$E:$E,"PSO",'capacity data'!$B:$B,B26)),"")</f>
        <v/>
      </c>
      <c r="H26" s="271" t="str">
        <f>IFERROR(SUMIFS('capacity data'!$L:$L,'capacity data'!$B:$B,B26,'capacity data'!$E:$E,"PSO")/SUMIFS('capacity data'!$G:$G,'capacity data'!$E:$E,"PSO",'capacity data'!$B:$B,B26),"")</f>
        <v/>
      </c>
      <c r="I26" s="194"/>
      <c r="J26" s="97" t="str">
        <f>IFERROR(SUMIFS('capacity data'!$L:$L,'capacity data'!$B:$B,B26,'capacity data'!$E:$E,"TPO")/SUM((SUMIFS('capacity data'!$G:$G,'capacity data'!$E:$E,"TPO",'capacity data'!$B:$B,B26))-SUMIFS('capacity data'!$H:$H,'capacity data'!$E:$E,"TPO",'capacity data'!$B:$B,B26)),"")</f>
        <v/>
      </c>
      <c r="K26" s="97" t="str">
        <f>IFERROR(SUMIFS('capacity data'!$L:$L,'capacity data'!$B:$B,B26,'capacity data'!$E:$E,"TPO")/SUMIFS('capacity data'!$G:$G,'capacity data'!$E:$E,"TPO",'capacity data'!$B:$B,B26),"")</f>
        <v/>
      </c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</row>
    <row r="27" spans="1:23" ht="16" x14ac:dyDescent="0.2">
      <c r="A27" s="17"/>
      <c r="B27" s="2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2"/>
    </row>
    <row r="28" spans="1:23" s="30" customFormat="1" ht="84" x14ac:dyDescent="0.2">
      <c r="A28" s="17"/>
      <c r="B28" s="37" t="s">
        <v>473</v>
      </c>
      <c r="C28" s="198" t="s">
        <v>383</v>
      </c>
      <c r="D28" s="198" t="s">
        <v>384</v>
      </c>
      <c r="E28" s="198" t="s">
        <v>385</v>
      </c>
      <c r="F28" s="198" t="s">
        <v>386</v>
      </c>
      <c r="G28" s="198" t="s">
        <v>387</v>
      </c>
      <c r="H28" s="198" t="s">
        <v>388</v>
      </c>
      <c r="I28" s="198" t="s">
        <v>389</v>
      </c>
      <c r="J28" s="199" t="s">
        <v>390</v>
      </c>
      <c r="K28" s="198" t="s">
        <v>391</v>
      </c>
      <c r="L28" s="198" t="s">
        <v>392</v>
      </c>
      <c r="M28" s="198" t="s">
        <v>393</v>
      </c>
      <c r="N28" s="31"/>
      <c r="O28" s="31"/>
      <c r="P28" s="31"/>
      <c r="Q28" s="31"/>
      <c r="R28" s="31"/>
      <c r="S28" s="31"/>
      <c r="T28" s="31"/>
      <c r="U28" s="31"/>
      <c r="V28" s="31"/>
      <c r="W28" s="2"/>
    </row>
    <row r="29" spans="1:23" s="30" customFormat="1" ht="16" x14ac:dyDescent="0.2">
      <c r="A29" s="17"/>
      <c r="B29" s="195" t="s">
        <v>267</v>
      </c>
      <c r="C29" s="200">
        <f>COUNTIF('capacity data'!E:E,"PO")</f>
        <v>0</v>
      </c>
      <c r="D29" s="200">
        <f>COUNTIFS('capacity data'!E:E,"PO",'capacity data'!F:F,"&gt;110%")</f>
        <v>0</v>
      </c>
      <c r="E29" s="201" t="str">
        <f>IFERROR((D29/C29),"0")</f>
        <v>0</v>
      </c>
      <c r="F29" s="200">
        <f>COUNTIF('capacity data'!E:E,"PSO")</f>
        <v>0</v>
      </c>
      <c r="G29" s="200">
        <f>COUNTIFS('capacity data'!E:E,"PSO",'capacity data'!F:F,"&gt;110%")</f>
        <v>0</v>
      </c>
      <c r="H29" s="201" t="str">
        <f>IFERROR((G29/F29),"")</f>
        <v/>
      </c>
      <c r="I29" s="200">
        <f>COUNTIFS('capacity data'!E:E,"PSO",'capacity data'!F:F,"&lt;90%")</f>
        <v>0</v>
      </c>
      <c r="J29" s="201" t="str">
        <f>IFERROR((I29/F29),"")</f>
        <v/>
      </c>
      <c r="K29" s="200">
        <f>COUNTIF('capacity data'!E:E,"TPO")</f>
        <v>0</v>
      </c>
      <c r="L29" s="200">
        <f>COUNTIFS('capacity data'!E:E,"TPO",'capacity data'!F:F,"&gt;110%")</f>
        <v>0</v>
      </c>
      <c r="M29" s="201" t="str">
        <f>IFERROR((L29/K29),"")</f>
        <v/>
      </c>
      <c r="N29" s="31"/>
      <c r="O29" s="31"/>
      <c r="P29" s="31"/>
      <c r="Q29" s="31"/>
      <c r="R29" s="31"/>
      <c r="S29" s="31"/>
      <c r="T29" s="31"/>
      <c r="U29" s="31"/>
      <c r="V29" s="31"/>
      <c r="W29" s="2"/>
    </row>
    <row r="30" spans="1:23" s="30" customFormat="1" ht="16" x14ac:dyDescent="0.2">
      <c r="A30" s="17"/>
      <c r="B30" s="93" t="str">
        <f>HLOOKUP($B$4,Region_Table,2,0)</f>
        <v>Accredited Programmes and Structured Interventions - N07</v>
      </c>
      <c r="C30" s="106">
        <f>COUNTIFS('capacity data'!$B:$B,'cluster capacity, unallocateds'!B30,'capacity data'!$E:$E,"PO")</f>
        <v>0</v>
      </c>
      <c r="D30" s="106">
        <f>COUNTIFS('capacity data'!$B:$B,'cluster capacity, unallocateds'!B30,'capacity data'!$E:$E,"PO",'capacity data'!$F:$F,"&gt;110%")</f>
        <v>0</v>
      </c>
      <c r="E30" s="97" t="str">
        <f t="shared" ref="E30:E48" si="0">IFERROR((D30/C30),"")</f>
        <v/>
      </c>
      <c r="F30" s="106">
        <f>COUNTIFS('capacity data'!$B:$B,'cluster capacity, unallocateds'!B30,'capacity data'!$E:$E,"PSO")</f>
        <v>0</v>
      </c>
      <c r="G30" s="106">
        <f>COUNTIFS('capacity data'!$B:$B,'cluster capacity, unallocateds'!B30,'capacity data'!$E:$E,"PSO",'capacity data'!$F:$F,"&gt;110%")</f>
        <v>0</v>
      </c>
      <c r="H30" s="97" t="str">
        <f t="shared" ref="H30:H48" si="1">IFERROR((G30/F30),"")</f>
        <v/>
      </c>
      <c r="I30" s="106">
        <f>COUNTIFS('capacity data'!$B:$B,'cluster capacity, unallocateds'!B30,'capacity data'!$E:$E,"PSO",'capacity data'!$F:$F,"&lt;90%")</f>
        <v>0</v>
      </c>
      <c r="J30" s="97" t="str">
        <f t="shared" ref="J30:J48" si="2">IFERROR((I30/F30),"")</f>
        <v/>
      </c>
      <c r="K30" s="106">
        <f>COUNTIFS('capacity data'!$B:$B,'cluster capacity, unallocateds'!B30,'capacity data'!$E:$E,"TPO")</f>
        <v>0</v>
      </c>
      <c r="L30" s="106">
        <f>COUNTIFS('capacity data'!$B:$B,'cluster capacity, unallocateds'!B30,'capacity data'!$E:$E,"TPO",'capacity data'!$F:$F,"&gt;110%")</f>
        <v>0</v>
      </c>
      <c r="M30" s="97" t="str">
        <f t="shared" ref="M30:M48" si="3">IFERROR((L30/K30),"")</f>
        <v/>
      </c>
      <c r="N30" s="31"/>
      <c r="O30" s="31"/>
      <c r="P30" s="31"/>
      <c r="Q30" s="31"/>
      <c r="R30" s="31"/>
      <c r="S30" s="31"/>
      <c r="T30" s="31"/>
      <c r="U30" s="31"/>
      <c r="V30" s="31"/>
      <c r="W30" s="2"/>
    </row>
    <row r="31" spans="1:23" s="30" customFormat="1" ht="16" x14ac:dyDescent="0.2">
      <c r="A31" s="17"/>
      <c r="B31" s="93" t="str">
        <f>HLOOKUP($B$4,Region_Table,3,0)</f>
        <v>All London</v>
      </c>
      <c r="C31" s="106">
        <f>COUNTIFS('capacity data'!$B:$B,'cluster capacity, unallocateds'!B31,'capacity data'!$E:$E,"PO")</f>
        <v>0</v>
      </c>
      <c r="D31" s="106">
        <f>COUNTIFS('capacity data'!$B:$B,'cluster capacity, unallocateds'!B31,'capacity data'!$E:$E,"PO",'capacity data'!$F:$F,"&gt;110%")</f>
        <v>0</v>
      </c>
      <c r="E31" s="97" t="str">
        <f t="shared" si="0"/>
        <v/>
      </c>
      <c r="F31" s="106">
        <f>COUNTIFS('capacity data'!$B:$B,'cluster capacity, unallocateds'!B31,'capacity data'!$E:$E,"PSO")</f>
        <v>0</v>
      </c>
      <c r="G31" s="106">
        <f>COUNTIFS('capacity data'!$B:$B,'cluster capacity, unallocateds'!B31,'capacity data'!$E:$E,"PSO",'capacity data'!$F:$F,"&gt;110%")</f>
        <v>0</v>
      </c>
      <c r="H31" s="97" t="str">
        <f t="shared" si="1"/>
        <v/>
      </c>
      <c r="I31" s="106">
        <f>COUNTIFS('capacity data'!$B:$B,'cluster capacity, unallocateds'!B31,'capacity data'!$E:$E,"PSO",'capacity data'!$F:$F,"&lt;90%")</f>
        <v>0</v>
      </c>
      <c r="J31" s="97" t="str">
        <f t="shared" si="2"/>
        <v/>
      </c>
      <c r="K31" s="106">
        <f>COUNTIFS('capacity data'!$B:$B,'cluster capacity, unallocateds'!B31,'capacity data'!$E:$E,"TPO")</f>
        <v>0</v>
      </c>
      <c r="L31" s="106">
        <f>COUNTIFS('capacity data'!$B:$B,'cluster capacity, unallocateds'!B31,'capacity data'!$E:$E,"TPO",'capacity data'!$F:$F,"&gt;110%")</f>
        <v>0</v>
      </c>
      <c r="M31" s="97" t="str">
        <f t="shared" si="3"/>
        <v/>
      </c>
      <c r="N31" s="31"/>
      <c r="O31" s="31"/>
      <c r="P31" s="31"/>
      <c r="Q31" s="31"/>
      <c r="R31" s="31"/>
      <c r="S31" s="31"/>
      <c r="T31" s="31"/>
      <c r="U31" s="31"/>
      <c r="V31" s="31"/>
      <c r="W31" s="2"/>
    </row>
    <row r="32" spans="1:23" s="30" customFormat="1" ht="16" x14ac:dyDescent="0.2">
      <c r="A32" s="17"/>
      <c r="B32" s="93" t="str">
        <f>HLOOKUP($B$4,Region_Table,4,0)</f>
        <v>Barking and Dagenham and Havering</v>
      </c>
      <c r="C32" s="106">
        <f>COUNTIFS('capacity data'!$B:$B,'cluster capacity, unallocateds'!B32,'capacity data'!$E:$E,"PO")</f>
        <v>0</v>
      </c>
      <c r="D32" s="106">
        <f>COUNTIFS('capacity data'!$B:$B,'cluster capacity, unallocateds'!B32,'capacity data'!$E:$E,"PO",'capacity data'!$F:$F,"&gt;110%")</f>
        <v>0</v>
      </c>
      <c r="E32" s="97" t="str">
        <f t="shared" si="0"/>
        <v/>
      </c>
      <c r="F32" s="106">
        <f>COUNTIFS('capacity data'!$B:$B,'cluster capacity, unallocateds'!B32,'capacity data'!$E:$E,"PSO")</f>
        <v>0</v>
      </c>
      <c r="G32" s="106">
        <f>COUNTIFS('capacity data'!$B:$B,'cluster capacity, unallocateds'!B32,'capacity data'!$E:$E,"PSO",'capacity data'!$F:$F,"&gt;110%")</f>
        <v>0</v>
      </c>
      <c r="H32" s="97" t="str">
        <f t="shared" si="1"/>
        <v/>
      </c>
      <c r="I32" s="106">
        <f>COUNTIFS('capacity data'!$B:$B,'cluster capacity, unallocateds'!B32,'capacity data'!$E:$E,"PSO",'capacity data'!$F:$F,"&lt;90%")</f>
        <v>0</v>
      </c>
      <c r="J32" s="97" t="str">
        <f t="shared" si="2"/>
        <v/>
      </c>
      <c r="K32" s="106">
        <f>COUNTIFS('capacity data'!$B:$B,'cluster capacity, unallocateds'!B32,'capacity data'!$E:$E,"TPO")</f>
        <v>0</v>
      </c>
      <c r="L32" s="106">
        <f>COUNTIFS('capacity data'!$B:$B,'cluster capacity, unallocateds'!B32,'capacity data'!$E:$E,"TPO",'capacity data'!$F:$F,"&gt;110%")</f>
        <v>0</v>
      </c>
      <c r="M32" s="97" t="str">
        <f t="shared" si="3"/>
        <v/>
      </c>
      <c r="N32" s="31"/>
      <c r="O32" s="31"/>
      <c r="P32" s="31"/>
      <c r="Q32" s="31"/>
      <c r="R32" s="31"/>
      <c r="S32" s="31"/>
      <c r="T32" s="31"/>
      <c r="U32" s="31"/>
      <c r="V32" s="31"/>
      <c r="W32" s="2"/>
    </row>
    <row r="33" spans="1:23" s="30" customFormat="1" ht="16" x14ac:dyDescent="0.2">
      <c r="A33" s="17"/>
      <c r="B33" s="93" t="str">
        <f>HLOOKUP($B$4,Region_Table,5,0)</f>
        <v>Brent - N07</v>
      </c>
      <c r="C33" s="106">
        <f>COUNTIFS('capacity data'!$B:$B,'cluster capacity, unallocateds'!B33,'capacity data'!$E:$E,"PO")</f>
        <v>0</v>
      </c>
      <c r="D33" s="106">
        <f>COUNTIFS('capacity data'!$B:$B,'cluster capacity, unallocateds'!B33,'capacity data'!$E:$E,"PO",'capacity data'!$F:$F,"&gt;110%")</f>
        <v>0</v>
      </c>
      <c r="E33" s="97" t="str">
        <f t="shared" si="0"/>
        <v/>
      </c>
      <c r="F33" s="106">
        <f>COUNTIFS('capacity data'!$B:$B,'cluster capacity, unallocateds'!B33,'capacity data'!$E:$E,"PSO")</f>
        <v>0</v>
      </c>
      <c r="G33" s="106">
        <f>COUNTIFS('capacity data'!$B:$B,'cluster capacity, unallocateds'!B33,'capacity data'!$E:$E,"PSO",'capacity data'!$F:$F,"&gt;110%")</f>
        <v>0</v>
      </c>
      <c r="H33" s="97" t="str">
        <f t="shared" si="1"/>
        <v/>
      </c>
      <c r="I33" s="106">
        <f>COUNTIFS('capacity data'!$B:$B,'cluster capacity, unallocateds'!B33,'capacity data'!$E:$E,"PSO",'capacity data'!$F:$F,"&lt;90%")</f>
        <v>0</v>
      </c>
      <c r="J33" s="97" t="str">
        <f t="shared" si="2"/>
        <v/>
      </c>
      <c r="K33" s="106">
        <f>COUNTIFS('capacity data'!$B:$B,'cluster capacity, unallocateds'!B33,'capacity data'!$E:$E,"TPO")</f>
        <v>0</v>
      </c>
      <c r="L33" s="106">
        <f>COUNTIFS('capacity data'!$B:$B,'cluster capacity, unallocateds'!B33,'capacity data'!$E:$E,"TPO",'capacity data'!$F:$F,"&gt;110%")</f>
        <v>0</v>
      </c>
      <c r="M33" s="97" t="str">
        <f t="shared" si="3"/>
        <v/>
      </c>
      <c r="N33" s="31"/>
      <c r="O33" s="31"/>
      <c r="P33" s="31"/>
      <c r="Q33" s="31"/>
      <c r="R33" s="31"/>
      <c r="S33" s="31"/>
      <c r="T33" s="31"/>
      <c r="U33" s="31"/>
      <c r="V33" s="31"/>
      <c r="W33" s="2"/>
    </row>
    <row r="34" spans="1:23" s="30" customFormat="1" ht="16" x14ac:dyDescent="0.2">
      <c r="A34" s="17"/>
      <c r="B34" s="93" t="str">
        <f>HLOOKUP($B$4,Region_Table,6,0)</f>
        <v>Camden, Islington</v>
      </c>
      <c r="C34" s="106">
        <f>COUNTIFS('capacity data'!$B:$B,'cluster capacity, unallocateds'!B34,'capacity data'!$E:$E,"PO")</f>
        <v>0</v>
      </c>
      <c r="D34" s="106">
        <f>COUNTIFS('capacity data'!$B:$B,'cluster capacity, unallocateds'!B34,'capacity data'!$E:$E,"PO",'capacity data'!$F:$F,"&gt;110%")</f>
        <v>0</v>
      </c>
      <c r="E34" s="97" t="str">
        <f t="shared" si="0"/>
        <v/>
      </c>
      <c r="F34" s="106">
        <f>COUNTIFS('capacity data'!$B:$B,'cluster capacity, unallocateds'!B34,'capacity data'!$E:$E,"PSO")</f>
        <v>0</v>
      </c>
      <c r="G34" s="106">
        <f>COUNTIFS('capacity data'!$B:$B,'cluster capacity, unallocateds'!B34,'capacity data'!$E:$E,"PSO",'capacity data'!$F:$F,"&gt;110%")</f>
        <v>0</v>
      </c>
      <c r="H34" s="97" t="str">
        <f t="shared" si="1"/>
        <v/>
      </c>
      <c r="I34" s="106">
        <f>COUNTIFS('capacity data'!$B:$B,'cluster capacity, unallocateds'!B34,'capacity data'!$E:$E,"PSO",'capacity data'!$F:$F,"&lt;90%")</f>
        <v>0</v>
      </c>
      <c r="J34" s="97" t="str">
        <f t="shared" si="2"/>
        <v/>
      </c>
      <c r="K34" s="106">
        <f>COUNTIFS('capacity data'!$B:$B,'cluster capacity, unallocateds'!B34,'capacity data'!$E:$E,"TPO")</f>
        <v>0</v>
      </c>
      <c r="L34" s="106">
        <f>COUNTIFS('capacity data'!$B:$B,'cluster capacity, unallocateds'!B34,'capacity data'!$E:$E,"TPO",'capacity data'!$F:$F,"&gt;110%")</f>
        <v>0</v>
      </c>
      <c r="M34" s="97" t="str">
        <f t="shared" si="3"/>
        <v/>
      </c>
      <c r="N34" s="31"/>
      <c r="O34" s="31"/>
      <c r="P34" s="31"/>
      <c r="Q34" s="31"/>
      <c r="R34" s="31"/>
      <c r="S34" s="31"/>
      <c r="T34" s="31"/>
      <c r="U34" s="31"/>
      <c r="V34" s="31"/>
      <c r="W34" s="2"/>
    </row>
    <row r="35" spans="1:23" s="30" customFormat="1" ht="16" x14ac:dyDescent="0.2">
      <c r="A35" s="17"/>
      <c r="B35" s="93" t="str">
        <f>HLOOKUP($B$4,Region_Table,7,0)</f>
        <v>Commumity Integration</v>
      </c>
      <c r="C35" s="106">
        <f>COUNTIFS('capacity data'!$B:$B,'cluster capacity, unallocateds'!B35,'capacity data'!$E:$E,"PO")</f>
        <v>0</v>
      </c>
      <c r="D35" s="106">
        <f>COUNTIFS('capacity data'!$B:$B,'cluster capacity, unallocateds'!B35,'capacity data'!$E:$E,"PO",'capacity data'!$F:$F,"&gt;110%")</f>
        <v>0</v>
      </c>
      <c r="E35" s="97" t="str">
        <f t="shared" si="0"/>
        <v/>
      </c>
      <c r="F35" s="106">
        <f>COUNTIFS('capacity data'!$B:$B,'cluster capacity, unallocateds'!B35,'capacity data'!$E:$E,"PSO")</f>
        <v>0</v>
      </c>
      <c r="G35" s="106">
        <f>COUNTIFS('capacity data'!$B:$B,'cluster capacity, unallocateds'!B35,'capacity data'!$E:$E,"PSO",'capacity data'!$F:$F,"&gt;110%")</f>
        <v>0</v>
      </c>
      <c r="H35" s="97" t="str">
        <f t="shared" si="1"/>
        <v/>
      </c>
      <c r="I35" s="106">
        <f>COUNTIFS('capacity data'!$B:$B,'cluster capacity, unallocateds'!B35,'capacity data'!$E:$E,"PSO",'capacity data'!$F:$F,"&lt;90%")</f>
        <v>0</v>
      </c>
      <c r="J35" s="97" t="str">
        <f t="shared" si="2"/>
        <v/>
      </c>
      <c r="K35" s="106">
        <f>COUNTIFS('capacity data'!$B:$B,'cluster capacity, unallocateds'!B35,'capacity data'!$E:$E,"TPO")</f>
        <v>0</v>
      </c>
      <c r="L35" s="106">
        <f>COUNTIFS('capacity data'!$B:$B,'cluster capacity, unallocateds'!B35,'capacity data'!$E:$E,"TPO",'capacity data'!$F:$F,"&gt;110%")</f>
        <v>0</v>
      </c>
      <c r="M35" s="97" t="str">
        <f t="shared" si="3"/>
        <v/>
      </c>
      <c r="N35" s="31"/>
      <c r="O35" s="31"/>
      <c r="P35" s="31"/>
      <c r="Q35" s="31"/>
      <c r="R35" s="31"/>
      <c r="S35" s="31"/>
      <c r="T35" s="31"/>
      <c r="U35" s="31"/>
      <c r="V35" s="31"/>
      <c r="W35" s="2"/>
    </row>
    <row r="36" spans="1:23" s="30" customFormat="1" ht="16" x14ac:dyDescent="0.2">
      <c r="A36" s="17"/>
      <c r="B36" s="93" t="str">
        <f>HLOOKUP($B$4,Region_Table,8,0)</f>
        <v>Corporate Services - N07</v>
      </c>
      <c r="C36" s="106">
        <f>COUNTIFS('capacity data'!$B:$B,'cluster capacity, unallocateds'!B36,'capacity data'!$E:$E,"PO")</f>
        <v>0</v>
      </c>
      <c r="D36" s="106">
        <f>COUNTIFS('capacity data'!$B:$B,'cluster capacity, unallocateds'!B36,'capacity data'!$E:$E,"PO",'capacity data'!$F:$F,"&gt;110%")</f>
        <v>0</v>
      </c>
      <c r="E36" s="97" t="str">
        <f t="shared" si="0"/>
        <v/>
      </c>
      <c r="F36" s="106">
        <f>COUNTIFS('capacity data'!$B:$B,'cluster capacity, unallocateds'!B36,'capacity data'!$E:$E,"PSO")</f>
        <v>0</v>
      </c>
      <c r="G36" s="106">
        <f>COUNTIFS('capacity data'!$B:$B,'cluster capacity, unallocateds'!B36,'capacity data'!$E:$E,"PSO",'capacity data'!$F:$F,"&gt;110%")</f>
        <v>0</v>
      </c>
      <c r="H36" s="97" t="str">
        <f t="shared" si="1"/>
        <v/>
      </c>
      <c r="I36" s="106">
        <f>COUNTIFS('capacity data'!$B:$B,'cluster capacity, unallocateds'!B36,'capacity data'!$E:$E,"PSO",'capacity data'!$F:$F,"&lt;90%")</f>
        <v>0</v>
      </c>
      <c r="J36" s="97" t="str">
        <f t="shared" si="2"/>
        <v/>
      </c>
      <c r="K36" s="106">
        <f>COUNTIFS('capacity data'!$B:$B,'cluster capacity, unallocateds'!B36,'capacity data'!$E:$E,"TPO")</f>
        <v>0</v>
      </c>
      <c r="L36" s="106">
        <f>COUNTIFS('capacity data'!$B:$B,'cluster capacity, unallocateds'!B36,'capacity data'!$E:$E,"TPO",'capacity data'!$F:$F,"&gt;110%")</f>
        <v>0</v>
      </c>
      <c r="M36" s="97" t="str">
        <f t="shared" si="3"/>
        <v/>
      </c>
      <c r="N36" s="31"/>
      <c r="O36" s="31"/>
      <c r="P36" s="31"/>
      <c r="Q36" s="31"/>
      <c r="R36" s="31"/>
      <c r="S36" s="31"/>
      <c r="T36" s="31"/>
      <c r="U36" s="31"/>
      <c r="V36" s="31"/>
      <c r="W36" s="2"/>
    </row>
    <row r="37" spans="1:23" s="30" customFormat="1" ht="16" x14ac:dyDescent="0.2">
      <c r="A37" s="17"/>
      <c r="B37" s="93" t="str">
        <f>HLOOKUP($B$4,Region_Table,9,0)</f>
        <v>Croydon - N07</v>
      </c>
      <c r="C37" s="106">
        <f>COUNTIFS('capacity data'!$B:$B,'cluster capacity, unallocateds'!B37,'capacity data'!$E:$E,"PO")</f>
        <v>0</v>
      </c>
      <c r="D37" s="106">
        <f>COUNTIFS('capacity data'!$B:$B,'cluster capacity, unallocateds'!B37,'capacity data'!$E:$E,"PO",'capacity data'!$F:$F,"&gt;110%")</f>
        <v>0</v>
      </c>
      <c r="E37" s="97" t="str">
        <f t="shared" si="0"/>
        <v/>
      </c>
      <c r="F37" s="106">
        <f>COUNTIFS('capacity data'!$B:$B,'cluster capacity, unallocateds'!B37,'capacity data'!$E:$E,"PSO")</f>
        <v>0</v>
      </c>
      <c r="G37" s="106">
        <f>COUNTIFS('capacity data'!$B:$B,'cluster capacity, unallocateds'!B37,'capacity data'!$E:$E,"PSO",'capacity data'!$F:$F,"&gt;110%")</f>
        <v>0</v>
      </c>
      <c r="H37" s="97" t="str">
        <f t="shared" si="1"/>
        <v/>
      </c>
      <c r="I37" s="106">
        <f>COUNTIFS('capacity data'!$B:$B,'cluster capacity, unallocateds'!B37,'capacity data'!$E:$E,"PSO",'capacity data'!$F:$F,"&lt;90%")</f>
        <v>0</v>
      </c>
      <c r="J37" s="97" t="str">
        <f t="shared" si="2"/>
        <v/>
      </c>
      <c r="K37" s="106">
        <f>COUNTIFS('capacity data'!$B:$B,'cluster capacity, unallocateds'!B37,'capacity data'!$E:$E,"TPO")</f>
        <v>0</v>
      </c>
      <c r="L37" s="106">
        <f>COUNTIFS('capacity data'!$B:$B,'cluster capacity, unallocateds'!B37,'capacity data'!$E:$E,"TPO",'capacity data'!$F:$F,"&gt;110%")</f>
        <v>0</v>
      </c>
      <c r="M37" s="97" t="str">
        <f t="shared" si="3"/>
        <v/>
      </c>
      <c r="N37" s="31"/>
      <c r="O37" s="31"/>
      <c r="P37" s="31"/>
      <c r="Q37" s="31"/>
      <c r="R37" s="31"/>
      <c r="S37" s="31"/>
      <c r="T37" s="31"/>
      <c r="U37" s="31"/>
      <c r="V37" s="31"/>
      <c r="W37" s="2"/>
    </row>
    <row r="38" spans="1:23" s="30" customFormat="1" ht="16" x14ac:dyDescent="0.2">
      <c r="A38" s="17"/>
      <c r="B38" s="93" t="str">
        <f>HLOOKUP($B$4,Region_Table,10,0)</f>
        <v>Ealing and Hillingdon</v>
      </c>
      <c r="C38" s="106">
        <f>COUNTIFS('capacity data'!$B:$B,'cluster capacity, unallocateds'!B38,'capacity data'!$E:$E,"PO")</f>
        <v>0</v>
      </c>
      <c r="D38" s="106">
        <f>COUNTIFS('capacity data'!$B:$B,'cluster capacity, unallocateds'!B38,'capacity data'!$E:$E,"PO",'capacity data'!$F:$F,"&gt;110%")</f>
        <v>0</v>
      </c>
      <c r="E38" s="97" t="str">
        <f t="shared" si="0"/>
        <v/>
      </c>
      <c r="F38" s="106">
        <f>COUNTIFS('capacity data'!$B:$B,'cluster capacity, unallocateds'!B38,'capacity data'!$E:$E,"PSO")</f>
        <v>0</v>
      </c>
      <c r="G38" s="106">
        <f>COUNTIFS('capacity data'!$B:$B,'cluster capacity, unallocateds'!B38,'capacity data'!$E:$E,"PSO",'capacity data'!$F:$F,"&gt;110%")</f>
        <v>0</v>
      </c>
      <c r="H38" s="97" t="str">
        <f t="shared" si="1"/>
        <v/>
      </c>
      <c r="I38" s="106">
        <f>COUNTIFS('capacity data'!$B:$B,'cluster capacity, unallocateds'!B38,'capacity data'!$E:$E,"PSO",'capacity data'!$F:$F,"&lt;90%")</f>
        <v>0</v>
      </c>
      <c r="J38" s="97" t="str">
        <f t="shared" si="2"/>
        <v/>
      </c>
      <c r="K38" s="106">
        <f>COUNTIFS('capacity data'!$B:$B,'cluster capacity, unallocateds'!B38,'capacity data'!$E:$E,"TPO")</f>
        <v>0</v>
      </c>
      <c r="L38" s="106">
        <f>COUNTIFS('capacity data'!$B:$B,'cluster capacity, unallocateds'!B38,'capacity data'!$E:$E,"TPO",'capacity data'!$F:$F,"&gt;110%")</f>
        <v>0</v>
      </c>
      <c r="M38" s="97" t="str">
        <f t="shared" si="3"/>
        <v/>
      </c>
      <c r="N38" s="31"/>
      <c r="O38" s="31"/>
      <c r="P38" s="31"/>
      <c r="Q38" s="31"/>
      <c r="R38" s="31"/>
      <c r="S38" s="31"/>
      <c r="T38" s="31"/>
      <c r="U38" s="31"/>
      <c r="V38" s="31"/>
      <c r="W38" s="2"/>
    </row>
    <row r="39" spans="1:23" s="30" customFormat="1" ht="16" x14ac:dyDescent="0.2">
      <c r="A39" s="17"/>
      <c r="B39" s="93" t="str">
        <f>HLOOKUP($B$4,Region_Table,11,0)</f>
        <v>Enfield and Haringey</v>
      </c>
      <c r="C39" s="106">
        <f>COUNTIFS('capacity data'!$B:$B,'cluster capacity, unallocateds'!B39,'capacity data'!$E:$E,"PO")</f>
        <v>0</v>
      </c>
      <c r="D39" s="106">
        <f>COUNTIFS('capacity data'!$B:$B,'cluster capacity, unallocateds'!B39,'capacity data'!$E:$E,"PO",'capacity data'!$F:$F,"&gt;110%")</f>
        <v>0</v>
      </c>
      <c r="E39" s="97" t="str">
        <f t="shared" si="0"/>
        <v/>
      </c>
      <c r="F39" s="106">
        <f>COUNTIFS('capacity data'!$B:$B,'cluster capacity, unallocateds'!B39,'capacity data'!$E:$E,"PSO")</f>
        <v>0</v>
      </c>
      <c r="G39" s="106">
        <f>COUNTIFS('capacity data'!$B:$B,'cluster capacity, unallocateds'!B39,'capacity data'!$E:$E,"PSO",'capacity data'!$F:$F,"&gt;110%")</f>
        <v>0</v>
      </c>
      <c r="H39" s="97" t="str">
        <f t="shared" si="1"/>
        <v/>
      </c>
      <c r="I39" s="106">
        <f>COUNTIFS('capacity data'!$B:$B,'cluster capacity, unallocateds'!B39,'capacity data'!$E:$E,"PSO",'capacity data'!$F:$F,"&lt;90%")</f>
        <v>0</v>
      </c>
      <c r="J39" s="97" t="str">
        <f t="shared" si="2"/>
        <v/>
      </c>
      <c r="K39" s="106">
        <f>COUNTIFS('capacity data'!$B:$B,'cluster capacity, unallocateds'!B39,'capacity data'!$E:$E,"TPO")</f>
        <v>0</v>
      </c>
      <c r="L39" s="106">
        <f>COUNTIFS('capacity data'!$B:$B,'cluster capacity, unallocateds'!B39,'capacity data'!$E:$E,"TPO",'capacity data'!$F:$F,"&gt;110%")</f>
        <v>0</v>
      </c>
      <c r="M39" s="97" t="str">
        <f t="shared" si="3"/>
        <v/>
      </c>
      <c r="N39" s="31"/>
      <c r="O39" s="31"/>
      <c r="P39" s="31"/>
      <c r="Q39" s="31"/>
      <c r="R39" s="31"/>
      <c r="S39" s="31"/>
      <c r="T39" s="31"/>
      <c r="U39" s="31"/>
      <c r="V39" s="31"/>
      <c r="W39" s="2"/>
    </row>
    <row r="40" spans="1:23" s="30" customFormat="1" ht="16" x14ac:dyDescent="0.2">
      <c r="A40" s="17"/>
      <c r="B40" s="93" t="str">
        <f>HLOOKUP($B$4,Region_Table,12,0)</f>
        <v>Greenwich and Bexley</v>
      </c>
      <c r="C40" s="106">
        <f>COUNTIFS('capacity data'!$B:$B,'cluster capacity, unallocateds'!B40,'capacity data'!$E:$E,"PO")</f>
        <v>0</v>
      </c>
      <c r="D40" s="106">
        <f>COUNTIFS('capacity data'!$B:$B,'cluster capacity, unallocateds'!B40,'capacity data'!$E:$E,"PO",'capacity data'!$F:$F,"&gt;110%")</f>
        <v>0</v>
      </c>
      <c r="E40" s="97" t="str">
        <f t="shared" si="0"/>
        <v/>
      </c>
      <c r="F40" s="106">
        <f>COUNTIFS('capacity data'!$B:$B,'cluster capacity, unallocateds'!B40,'capacity data'!$E:$E,"PSO")</f>
        <v>0</v>
      </c>
      <c r="G40" s="106">
        <f>COUNTIFS('capacity data'!$B:$B,'cluster capacity, unallocateds'!B40,'capacity data'!$E:$E,"PSO",'capacity data'!$F:$F,"&gt;110%")</f>
        <v>0</v>
      </c>
      <c r="H40" s="97" t="str">
        <f t="shared" si="1"/>
        <v/>
      </c>
      <c r="I40" s="106">
        <f>COUNTIFS('capacity data'!$B:$B,'cluster capacity, unallocateds'!B40,'capacity data'!$E:$E,"PSO",'capacity data'!$F:$F,"&lt;90%")</f>
        <v>0</v>
      </c>
      <c r="J40" s="97" t="str">
        <f t="shared" si="2"/>
        <v/>
      </c>
      <c r="K40" s="106">
        <f>COUNTIFS('capacity data'!$B:$B,'cluster capacity, unallocateds'!B40,'capacity data'!$E:$E,"TPO")</f>
        <v>0</v>
      </c>
      <c r="L40" s="106">
        <f>COUNTIFS('capacity data'!$B:$B,'cluster capacity, unallocateds'!B40,'capacity data'!$E:$E,"TPO",'capacity data'!$F:$F,"&gt;110%")</f>
        <v>0</v>
      </c>
      <c r="M40" s="97" t="str">
        <f t="shared" si="3"/>
        <v/>
      </c>
      <c r="N40" s="31"/>
      <c r="O40" s="31"/>
      <c r="P40" s="31"/>
      <c r="Q40" s="31"/>
      <c r="R40" s="31"/>
      <c r="S40" s="31"/>
      <c r="T40" s="31"/>
      <c r="U40" s="31"/>
      <c r="V40" s="31"/>
      <c r="W40" s="2"/>
    </row>
    <row r="41" spans="1:23" s="30" customFormat="1" ht="16" x14ac:dyDescent="0.2">
      <c r="A41" s="17"/>
      <c r="B41" s="93" t="str">
        <f>HLOOKUP($B$4,Region_Table,13,0)</f>
        <v>Hackney and City</v>
      </c>
      <c r="C41" s="106">
        <f>COUNTIFS('capacity data'!$B:$B,'cluster capacity, unallocateds'!B41,'capacity data'!$E:$E,"PO")</f>
        <v>0</v>
      </c>
      <c r="D41" s="106">
        <f>COUNTIFS('capacity data'!$B:$B,'cluster capacity, unallocateds'!B41,'capacity data'!$E:$E,"PO",'capacity data'!$F:$F,"&gt;110%")</f>
        <v>0</v>
      </c>
      <c r="E41" s="97" t="str">
        <f t="shared" si="0"/>
        <v/>
      </c>
      <c r="F41" s="106">
        <f>COUNTIFS('capacity data'!$B:$B,'cluster capacity, unallocateds'!B41,'capacity data'!$E:$E,"PSO")</f>
        <v>0</v>
      </c>
      <c r="G41" s="106">
        <f>COUNTIFS('capacity data'!$B:$B,'cluster capacity, unallocateds'!B41,'capacity data'!$E:$E,"PSO",'capacity data'!$F:$F,"&gt;110%")</f>
        <v>0</v>
      </c>
      <c r="H41" s="97" t="str">
        <f t="shared" si="1"/>
        <v/>
      </c>
      <c r="I41" s="106">
        <f>COUNTIFS('capacity data'!$B:$B,'cluster capacity, unallocateds'!B41,'capacity data'!$E:$E,"PSO",'capacity data'!$F:$F,"&lt;90%")</f>
        <v>0</v>
      </c>
      <c r="J41" s="97" t="str">
        <f t="shared" si="2"/>
        <v/>
      </c>
      <c r="K41" s="106">
        <f>COUNTIFS('capacity data'!$B:$B,'cluster capacity, unallocateds'!B41,'capacity data'!$E:$E,"TPO")</f>
        <v>0</v>
      </c>
      <c r="L41" s="106">
        <f>COUNTIFS('capacity data'!$B:$B,'cluster capacity, unallocateds'!B41,'capacity data'!$E:$E,"TPO",'capacity data'!$F:$F,"&gt;110%")</f>
        <v>0</v>
      </c>
      <c r="M41" s="97" t="str">
        <f t="shared" si="3"/>
        <v/>
      </c>
      <c r="N41" s="31"/>
      <c r="O41" s="31"/>
      <c r="P41" s="31"/>
      <c r="Q41" s="31"/>
      <c r="R41" s="31"/>
      <c r="S41" s="31"/>
      <c r="T41" s="31"/>
      <c r="U41" s="31"/>
      <c r="V41" s="31"/>
      <c r="W41" s="2"/>
    </row>
    <row r="42" spans="1:23" s="30" customFormat="1" ht="16" x14ac:dyDescent="0.2">
      <c r="A42" s="17"/>
      <c r="B42" s="93" t="str">
        <f>HLOOKUP($B$4,Region_Table,14,0)</f>
        <v>Hammersmith, Fulham, Kensington, Chelsea and Westminster</v>
      </c>
      <c r="C42" s="106">
        <f>COUNTIFS('capacity data'!$B:$B,'cluster capacity, unallocateds'!B42,'capacity data'!$E:$E,"PO")</f>
        <v>0</v>
      </c>
      <c r="D42" s="106">
        <f>COUNTIFS('capacity data'!$B:$B,'cluster capacity, unallocateds'!B42,'capacity data'!$E:$E,"PO",'capacity data'!$F:$F,"&gt;110%")</f>
        <v>0</v>
      </c>
      <c r="E42" s="97" t="str">
        <f t="shared" si="0"/>
        <v/>
      </c>
      <c r="F42" s="106">
        <f>COUNTIFS('capacity data'!$B:$B,'cluster capacity, unallocateds'!B42,'capacity data'!$E:$E,"PSO")</f>
        <v>0</v>
      </c>
      <c r="G42" s="106">
        <f>COUNTIFS('capacity data'!$B:$B,'cluster capacity, unallocateds'!B42,'capacity data'!$E:$E,"PSO",'capacity data'!$F:$F,"&gt;110%")</f>
        <v>0</v>
      </c>
      <c r="H42" s="97" t="str">
        <f t="shared" si="1"/>
        <v/>
      </c>
      <c r="I42" s="106">
        <f>COUNTIFS('capacity data'!$B:$B,'cluster capacity, unallocateds'!B42,'capacity data'!$E:$E,"PSO",'capacity data'!$F:$F,"&lt;90%")</f>
        <v>0</v>
      </c>
      <c r="J42" s="97" t="str">
        <f t="shared" si="2"/>
        <v/>
      </c>
      <c r="K42" s="106">
        <f>COUNTIFS('capacity data'!$B:$B,'cluster capacity, unallocateds'!B42,'capacity data'!$E:$E,"TPO")</f>
        <v>0</v>
      </c>
      <c r="L42" s="106">
        <f>COUNTIFS('capacity data'!$B:$B,'cluster capacity, unallocateds'!B42,'capacity data'!$E:$E,"TPO",'capacity data'!$F:$F,"&gt;110%")</f>
        <v>0</v>
      </c>
      <c r="M42" s="97" t="str">
        <f t="shared" si="3"/>
        <v/>
      </c>
      <c r="N42" s="31"/>
      <c r="O42" s="31"/>
      <c r="P42" s="31"/>
      <c r="Q42" s="31"/>
      <c r="R42" s="31"/>
      <c r="S42" s="31"/>
      <c r="T42" s="31"/>
      <c r="U42" s="31"/>
      <c r="V42" s="31"/>
      <c r="W42" s="2"/>
    </row>
    <row r="43" spans="1:23" s="30" customFormat="1" ht="16" x14ac:dyDescent="0.2">
      <c r="A43" s="17"/>
      <c r="B43" s="93" t="str">
        <f>HLOOKUP($B$4,Region_Table,15,0)</f>
        <v>Harrow and Barnet</v>
      </c>
      <c r="C43" s="106">
        <f>COUNTIFS('capacity data'!$B:$B,'cluster capacity, unallocateds'!B43,'capacity data'!$E:$E,"PO")</f>
        <v>0</v>
      </c>
      <c r="D43" s="106">
        <f>COUNTIFS('capacity data'!$B:$B,'cluster capacity, unallocateds'!B43,'capacity data'!$E:$E,"PO",'capacity data'!$F:$F,"&gt;110%")</f>
        <v>0</v>
      </c>
      <c r="E43" s="97" t="str">
        <f t="shared" si="0"/>
        <v/>
      </c>
      <c r="F43" s="106">
        <f>COUNTIFS('capacity data'!$B:$B,'cluster capacity, unallocateds'!B43,'capacity data'!$E:$E,"PSO")</f>
        <v>0</v>
      </c>
      <c r="G43" s="106">
        <f>COUNTIFS('capacity data'!$B:$B,'cluster capacity, unallocateds'!B43,'capacity data'!$E:$E,"PSO",'capacity data'!$F:$F,"&gt;110%")</f>
        <v>0</v>
      </c>
      <c r="H43" s="97" t="str">
        <f t="shared" si="1"/>
        <v/>
      </c>
      <c r="I43" s="106">
        <f>COUNTIFS('capacity data'!$B:$B,'cluster capacity, unallocateds'!B43,'capacity data'!$E:$E,"PSO",'capacity data'!$F:$F,"&lt;90%")</f>
        <v>0</v>
      </c>
      <c r="J43" s="97" t="str">
        <f t="shared" si="2"/>
        <v/>
      </c>
      <c r="K43" s="106">
        <f>COUNTIFS('capacity data'!$B:$B,'cluster capacity, unallocateds'!B43,'capacity data'!$E:$E,"TPO")</f>
        <v>0</v>
      </c>
      <c r="L43" s="106">
        <f>COUNTIFS('capacity data'!$B:$B,'cluster capacity, unallocateds'!B43,'capacity data'!$E:$E,"TPO",'capacity data'!$F:$F,"&gt;110%")</f>
        <v>0</v>
      </c>
      <c r="M43" s="97" t="str">
        <f t="shared" si="3"/>
        <v/>
      </c>
      <c r="N43" s="31"/>
      <c r="O43" s="31"/>
      <c r="P43" s="31"/>
      <c r="Q43" s="31"/>
      <c r="R43" s="31"/>
      <c r="S43" s="31"/>
      <c r="T43" s="31"/>
      <c r="U43" s="31"/>
      <c r="V43" s="31"/>
      <c r="W43" s="2"/>
    </row>
    <row r="44" spans="1:23" s="30" customFormat="1" ht="16" x14ac:dyDescent="0.2">
      <c r="A44" s="17"/>
      <c r="B44" s="93" t="str">
        <f>HLOOKUP($B$4,Region_Table,16,0)</f>
        <v>Headquarters - N07</v>
      </c>
      <c r="C44" s="106">
        <f>COUNTIFS('capacity data'!$B:$B,'cluster capacity, unallocateds'!B44,'capacity data'!$E:$E,"PO")</f>
        <v>0</v>
      </c>
      <c r="D44" s="106">
        <f>COUNTIFS('capacity data'!$B:$B,'cluster capacity, unallocateds'!B44,'capacity data'!$E:$E,"PO",'capacity data'!$F:$F,"&gt;110%")</f>
        <v>0</v>
      </c>
      <c r="E44" s="97" t="str">
        <f t="shared" si="0"/>
        <v/>
      </c>
      <c r="F44" s="106">
        <f>COUNTIFS('capacity data'!$B:$B,'cluster capacity, unallocateds'!B44,'capacity data'!$E:$E,"PSO")</f>
        <v>0</v>
      </c>
      <c r="G44" s="106">
        <f>COUNTIFS('capacity data'!$B:$B,'cluster capacity, unallocateds'!B44,'capacity data'!$E:$E,"PSO",'capacity data'!$F:$F,"&gt;110%")</f>
        <v>0</v>
      </c>
      <c r="H44" s="97" t="str">
        <f t="shared" si="1"/>
        <v/>
      </c>
      <c r="I44" s="106">
        <f>COUNTIFS('capacity data'!$B:$B,'cluster capacity, unallocateds'!B44,'capacity data'!$E:$E,"PSO",'capacity data'!$F:$F,"&lt;90%")</f>
        <v>0</v>
      </c>
      <c r="J44" s="97" t="str">
        <f t="shared" si="2"/>
        <v/>
      </c>
      <c r="K44" s="106">
        <f>COUNTIFS('capacity data'!$B:$B,'cluster capacity, unallocateds'!B44,'capacity data'!$E:$E,"TPO")</f>
        <v>0</v>
      </c>
      <c r="L44" s="106">
        <f>COUNTIFS('capacity data'!$B:$B,'cluster capacity, unallocateds'!B44,'capacity data'!$E:$E,"TPO",'capacity data'!$F:$F,"&gt;110%")</f>
        <v>0</v>
      </c>
      <c r="M44" s="97" t="str">
        <f t="shared" si="3"/>
        <v/>
      </c>
      <c r="N44" s="31"/>
      <c r="O44" s="31"/>
      <c r="P44" s="31"/>
      <c r="Q44" s="31"/>
      <c r="R44" s="31"/>
      <c r="S44" s="31"/>
      <c r="T44" s="31"/>
      <c r="U44" s="31"/>
      <c r="V44" s="31"/>
      <c r="W44" s="2"/>
    </row>
    <row r="45" spans="1:23" s="30" customFormat="1" ht="16" x14ac:dyDescent="0.2">
      <c r="A45" s="17"/>
      <c r="B45" s="93" t="str">
        <f>HLOOKUP($B$4,Region_Table,17,0)</f>
        <v>Inactive Level 2(N07)</v>
      </c>
      <c r="C45" s="106">
        <f>COUNTIFS('capacity data'!$B:$B,'cluster capacity, unallocateds'!B45,'capacity data'!$E:$E,"PO")</f>
        <v>0</v>
      </c>
      <c r="D45" s="106">
        <f>COUNTIFS('capacity data'!$B:$B,'cluster capacity, unallocateds'!B45,'capacity data'!$E:$E,"PO",'capacity data'!$F:$F,"&gt;110%")</f>
        <v>0</v>
      </c>
      <c r="E45" s="97" t="str">
        <f t="shared" si="0"/>
        <v/>
      </c>
      <c r="F45" s="106">
        <f>COUNTIFS('capacity data'!$B:$B,'cluster capacity, unallocateds'!B45,'capacity data'!$E:$E,"PSO")</f>
        <v>0</v>
      </c>
      <c r="G45" s="106">
        <f>COUNTIFS('capacity data'!$B:$B,'cluster capacity, unallocateds'!B45,'capacity data'!$E:$E,"PSO",'capacity data'!$F:$F,"&gt;110%")</f>
        <v>0</v>
      </c>
      <c r="H45" s="97" t="str">
        <f t="shared" si="1"/>
        <v/>
      </c>
      <c r="I45" s="106">
        <f>COUNTIFS('capacity data'!$B:$B,'cluster capacity, unallocateds'!B45,'capacity data'!$E:$E,"PSO",'capacity data'!$F:$F,"&lt;90%")</f>
        <v>0</v>
      </c>
      <c r="J45" s="97" t="str">
        <f t="shared" si="2"/>
        <v/>
      </c>
      <c r="K45" s="106">
        <f>COUNTIFS('capacity data'!$B:$B,'cluster capacity, unallocateds'!B45,'capacity data'!$E:$E,"TPO")</f>
        <v>0</v>
      </c>
      <c r="L45" s="106">
        <f>COUNTIFS('capacity data'!$B:$B,'cluster capacity, unallocateds'!B45,'capacity data'!$E:$E,"TPO",'capacity data'!$F:$F,"&gt;110%")</f>
        <v>0</v>
      </c>
      <c r="M45" s="97" t="str">
        <f t="shared" si="3"/>
        <v/>
      </c>
      <c r="N45" s="31"/>
      <c r="O45" s="31"/>
      <c r="P45" s="31"/>
      <c r="Q45" s="31"/>
      <c r="R45" s="31"/>
      <c r="S45" s="31"/>
      <c r="T45" s="31"/>
      <c r="U45" s="31"/>
      <c r="V45" s="31"/>
      <c r="W45" s="2"/>
    </row>
    <row r="46" spans="1:23" s="30" customFormat="1" ht="16" x14ac:dyDescent="0.2">
      <c r="A46" s="17"/>
      <c r="B46" s="93" t="str">
        <f>HLOOKUP($B$4,Region_Table,18,0)</f>
        <v>Kingston, Richmond and Hounslow</v>
      </c>
      <c r="C46" s="106">
        <f>COUNTIFS('capacity data'!$B:$B,'cluster capacity, unallocateds'!B46,'capacity data'!$E:$E,"PO")</f>
        <v>0</v>
      </c>
      <c r="D46" s="106">
        <f>COUNTIFS('capacity data'!$B:$B,'cluster capacity, unallocateds'!B46,'capacity data'!$E:$E,"PO",'capacity data'!$F:$F,"&gt;110%")</f>
        <v>0</v>
      </c>
      <c r="E46" s="97" t="str">
        <f t="shared" si="0"/>
        <v/>
      </c>
      <c r="F46" s="106">
        <f>COUNTIFS('capacity data'!$B:$B,'cluster capacity, unallocateds'!B46,'capacity data'!$E:$E,"PSO")</f>
        <v>0</v>
      </c>
      <c r="G46" s="106">
        <f>COUNTIFS('capacity data'!$B:$B,'cluster capacity, unallocateds'!B46,'capacity data'!$E:$E,"PSO",'capacity data'!$F:$F,"&gt;110%")</f>
        <v>0</v>
      </c>
      <c r="H46" s="97" t="str">
        <f t="shared" si="1"/>
        <v/>
      </c>
      <c r="I46" s="106">
        <f>COUNTIFS('capacity data'!$B:$B,'cluster capacity, unallocateds'!B46,'capacity data'!$E:$E,"PSO",'capacity data'!$F:$F,"&lt;90%")</f>
        <v>0</v>
      </c>
      <c r="J46" s="97" t="str">
        <f t="shared" si="2"/>
        <v/>
      </c>
      <c r="K46" s="106">
        <f>COUNTIFS('capacity data'!$B:$B,'cluster capacity, unallocateds'!B46,'capacity data'!$E:$E,"TPO")</f>
        <v>0</v>
      </c>
      <c r="L46" s="106">
        <f>COUNTIFS('capacity data'!$B:$B,'cluster capacity, unallocateds'!B46,'capacity data'!$E:$E,"TPO",'capacity data'!$F:$F,"&gt;110%")</f>
        <v>0</v>
      </c>
      <c r="M46" s="97" t="str">
        <f t="shared" si="3"/>
        <v/>
      </c>
      <c r="N46" s="31"/>
      <c r="O46" s="31"/>
      <c r="P46" s="31"/>
      <c r="Q46" s="31"/>
      <c r="R46" s="31"/>
      <c r="S46" s="31"/>
      <c r="T46" s="31"/>
      <c r="U46" s="31"/>
      <c r="V46" s="31"/>
      <c r="W46" s="2"/>
    </row>
    <row r="47" spans="1:23" s="30" customFormat="1" ht="16" x14ac:dyDescent="0.2">
      <c r="A47" s="17"/>
      <c r="B47" s="93" t="str">
        <f>HLOOKUP($B$4,Region_Table,19,0)</f>
        <v>Lambeth - N07</v>
      </c>
      <c r="C47" s="106">
        <f>COUNTIFS('capacity data'!$B:$B,'cluster capacity, unallocateds'!B47,'capacity data'!$E:$E,"PO")</f>
        <v>0</v>
      </c>
      <c r="D47" s="106">
        <f>COUNTIFS('capacity data'!$B:$B,'cluster capacity, unallocateds'!B47,'capacity data'!$E:$E,"PO",'capacity data'!$F:$F,"&gt;110%")</f>
        <v>0</v>
      </c>
      <c r="E47" s="97" t="str">
        <f t="shared" si="0"/>
        <v/>
      </c>
      <c r="F47" s="106">
        <f>COUNTIFS('capacity data'!$B:$B,'cluster capacity, unallocateds'!B47,'capacity data'!$E:$E,"PSO")</f>
        <v>0</v>
      </c>
      <c r="G47" s="106">
        <f>COUNTIFS('capacity data'!$B:$B,'cluster capacity, unallocateds'!B47,'capacity data'!$E:$E,"PSO",'capacity data'!$F:$F,"&gt;110%")</f>
        <v>0</v>
      </c>
      <c r="H47" s="97" t="str">
        <f t="shared" si="1"/>
        <v/>
      </c>
      <c r="I47" s="106">
        <f>COUNTIFS('capacity data'!$B:$B,'cluster capacity, unallocateds'!B47,'capacity data'!$E:$E,"PSO",'capacity data'!$F:$F,"&lt;90%")</f>
        <v>0</v>
      </c>
      <c r="J47" s="97" t="str">
        <f t="shared" si="2"/>
        <v/>
      </c>
      <c r="K47" s="106">
        <f>COUNTIFS('capacity data'!$B:$B,'cluster capacity, unallocateds'!B47,'capacity data'!$E:$E,"TPO")</f>
        <v>0</v>
      </c>
      <c r="L47" s="106">
        <f>COUNTIFS('capacity data'!$B:$B,'cluster capacity, unallocateds'!B47,'capacity data'!$E:$E,"TPO",'capacity data'!$F:$F,"&gt;110%")</f>
        <v>0</v>
      </c>
      <c r="M47" s="97" t="str">
        <f t="shared" si="3"/>
        <v/>
      </c>
      <c r="N47" s="31"/>
      <c r="O47" s="31"/>
      <c r="P47" s="31"/>
      <c r="Q47" s="31"/>
      <c r="R47" s="31"/>
      <c r="S47" s="31"/>
      <c r="T47" s="31"/>
      <c r="U47" s="31"/>
      <c r="V47" s="31"/>
      <c r="W47" s="2"/>
    </row>
    <row r="48" spans="1:23" s="30" customFormat="1" ht="16" x14ac:dyDescent="0.2">
      <c r="A48" s="17"/>
      <c r="B48" s="93" t="str">
        <f>HLOOKUP($B$4,Region_Table,20,0)</f>
        <v>Lewisham and Bromley</v>
      </c>
      <c r="C48" s="106">
        <f>COUNTIFS('capacity data'!$B:$B,'cluster capacity, unallocateds'!B48,'capacity data'!$E:$E,"PO")</f>
        <v>0</v>
      </c>
      <c r="D48" s="106">
        <f>COUNTIFS('capacity data'!$B:$B,'cluster capacity, unallocateds'!B48,'capacity data'!$E:$E,"PO",'capacity data'!$F:$F,"&gt;110%")</f>
        <v>0</v>
      </c>
      <c r="E48" s="97" t="str">
        <f t="shared" si="0"/>
        <v/>
      </c>
      <c r="F48" s="106">
        <f>COUNTIFS('capacity data'!$B:$B,'cluster capacity, unallocateds'!B48,'capacity data'!$E:$E,"PSO")</f>
        <v>0</v>
      </c>
      <c r="G48" s="106">
        <f>COUNTIFS('capacity data'!$B:$B,'cluster capacity, unallocateds'!B48,'capacity data'!$E:$E,"PSO",'capacity data'!$F:$F,"&gt;110%")</f>
        <v>0</v>
      </c>
      <c r="H48" s="97" t="str">
        <f t="shared" si="1"/>
        <v/>
      </c>
      <c r="I48" s="106">
        <f>COUNTIFS('capacity data'!$B:$B,'cluster capacity, unallocateds'!B48,'capacity data'!$E:$E,"PSO",'capacity data'!$F:$F,"&lt;90%")</f>
        <v>0</v>
      </c>
      <c r="J48" s="97" t="str">
        <f t="shared" si="2"/>
        <v/>
      </c>
      <c r="K48" s="106">
        <f>COUNTIFS('capacity data'!$B:$B,'cluster capacity, unallocateds'!B48,'capacity data'!$E:$E,"TPO")</f>
        <v>0</v>
      </c>
      <c r="L48" s="106">
        <f>COUNTIFS('capacity data'!$B:$B,'cluster capacity, unallocateds'!B48,'capacity data'!$E:$E,"TPO",'capacity data'!$F:$F,"&gt;110%")</f>
        <v>0</v>
      </c>
      <c r="M48" s="97" t="str">
        <f t="shared" si="3"/>
        <v/>
      </c>
      <c r="N48" s="31"/>
      <c r="O48" s="31"/>
      <c r="P48" s="31"/>
      <c r="Q48" s="31"/>
      <c r="R48" s="31"/>
      <c r="S48" s="31"/>
      <c r="T48" s="31"/>
      <c r="U48" s="31"/>
      <c r="V48" s="31"/>
      <c r="W48" s="2"/>
    </row>
    <row r="49" spans="1:23" ht="16" x14ac:dyDescent="0.2">
      <c r="A49" s="17"/>
      <c r="B49" s="2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2"/>
    </row>
    <row r="50" spans="1:23" s="30" customFormat="1" ht="6" customHeight="1" x14ac:dyDescent="0.2">
      <c r="A50" s="17"/>
      <c r="B50" s="2"/>
      <c r="C50" s="386"/>
      <c r="D50" s="387"/>
      <c r="E50" s="387"/>
      <c r="F50" s="387"/>
      <c r="G50" s="387"/>
      <c r="H50" s="387"/>
      <c r="I50" s="387"/>
      <c r="J50" s="387"/>
      <c r="K50" s="387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2"/>
    </row>
    <row r="51" spans="1:23" ht="72.75" customHeight="1" x14ac:dyDescent="0.2">
      <c r="A51" s="17"/>
      <c r="B51" s="37" t="s">
        <v>473</v>
      </c>
      <c r="C51" s="269" t="s">
        <v>291</v>
      </c>
      <c r="D51" s="269" t="s">
        <v>292</v>
      </c>
      <c r="E51" s="269" t="s">
        <v>293</v>
      </c>
      <c r="F51" s="269" t="s">
        <v>294</v>
      </c>
      <c r="G51" s="269" t="s">
        <v>295</v>
      </c>
      <c r="H51" s="269" t="s">
        <v>296</v>
      </c>
      <c r="I51" s="269" t="s">
        <v>297</v>
      </c>
      <c r="J51" s="269" t="s">
        <v>298</v>
      </c>
      <c r="K51" s="269" t="s">
        <v>299</v>
      </c>
      <c r="L51" s="46"/>
      <c r="M51" s="46"/>
      <c r="N51" s="46"/>
      <c r="O51" s="31"/>
      <c r="P51" s="31"/>
      <c r="Q51" s="31"/>
      <c r="R51" s="31"/>
      <c r="S51" s="31"/>
      <c r="T51" s="31"/>
      <c r="U51" s="31"/>
      <c r="V51" s="31"/>
      <c r="W51" s="2"/>
    </row>
    <row r="52" spans="1:23" ht="16" x14ac:dyDescent="0.2">
      <c r="A52" s="17"/>
      <c r="B52" s="195" t="s">
        <v>281</v>
      </c>
      <c r="C52" s="202">
        <f>SUMIF('capacity data'!E:E,"PO",'capacity data'!I:I)</f>
        <v>0</v>
      </c>
      <c r="D52" s="202">
        <f>SUMIF('capacity data'!E:E,"PO",'capacity data'!J:J)</f>
        <v>0</v>
      </c>
      <c r="E52" s="203" t="e">
        <f>D52/C52</f>
        <v>#DIV/0!</v>
      </c>
      <c r="F52" s="202">
        <f>SUMIF('capacity data'!E:E,"PSO",'capacity data'!I:I)</f>
        <v>0</v>
      </c>
      <c r="G52" s="202">
        <f>SUMIF('capacity data'!E:E,"PSO",'capacity data'!J:J)</f>
        <v>0</v>
      </c>
      <c r="H52" s="203" t="e">
        <f>G52/F52</f>
        <v>#DIV/0!</v>
      </c>
      <c r="I52" s="202">
        <f>SUMIF('capacity data'!E:E,"TPO",'capacity data'!I:I)</f>
        <v>0</v>
      </c>
      <c r="J52" s="202">
        <f>SUMIF('capacity data'!E:E,"TPO",'capacity data'!J:J)</f>
        <v>0</v>
      </c>
      <c r="K52" s="203" t="e">
        <f>J52/I52</f>
        <v>#DIV/0!</v>
      </c>
      <c r="L52" s="46"/>
      <c r="M52" s="46"/>
      <c r="N52" s="46"/>
      <c r="O52" s="31"/>
      <c r="P52" s="31"/>
      <c r="Q52" s="31"/>
      <c r="R52" s="31"/>
      <c r="S52" s="31"/>
      <c r="T52" s="31"/>
      <c r="U52" s="31"/>
      <c r="V52" s="31"/>
      <c r="W52" s="2"/>
    </row>
    <row r="53" spans="1:23" ht="16" x14ac:dyDescent="0.2">
      <c r="A53" s="17"/>
      <c r="B53" s="93" t="str">
        <f>HLOOKUP($B$4,Region_Table,2,0)</f>
        <v>Accredited Programmes and Structured Interventions - N07</v>
      </c>
      <c r="C53" s="204">
        <f>SUMIFS('capacity data'!I:I,'capacity data'!E:E,"PO",'capacity data'!B:B,'cluster capacity, unallocateds'!B53)</f>
        <v>0</v>
      </c>
      <c r="D53" s="204">
        <f>SUMIFS('capacity data'!J:J,'capacity data'!E:E,"PO",'capacity data'!B:B,'cluster capacity, unallocateds'!B53)</f>
        <v>0</v>
      </c>
      <c r="E53" s="203" t="str">
        <f>IFERROR(D53/C53,"")</f>
        <v/>
      </c>
      <c r="F53" s="204">
        <f>SUMIFS('capacity data'!I:I,'capacity data'!E:E,"PSO",'capacity data'!B:B,'cluster capacity, unallocateds'!B53)</f>
        <v>0</v>
      </c>
      <c r="G53" s="204">
        <f>SUMIFS('capacity data'!J:J,'capacity data'!E:E,"PSO",'capacity data'!B:B,'cluster capacity, unallocateds'!B53)</f>
        <v>0</v>
      </c>
      <c r="H53" s="203" t="str">
        <f>IFERROR(G53/F53,"")</f>
        <v/>
      </c>
      <c r="I53" s="204">
        <f>SUMIFS('capacity data'!I:I,'capacity data'!E:E,"TPO",'capacity data'!B:B,'cluster capacity, unallocateds'!B53)</f>
        <v>0</v>
      </c>
      <c r="J53" s="204">
        <f>SUMIFS('capacity data'!J:J,'capacity data'!E:E,"TPO",'capacity data'!B:B,'cluster capacity, unallocateds'!B53)</f>
        <v>0</v>
      </c>
      <c r="K53" s="203" t="str">
        <f>IFERROR(J53/I53,"")</f>
        <v/>
      </c>
      <c r="L53" s="46"/>
      <c r="M53" s="46"/>
      <c r="N53" s="46"/>
      <c r="O53" s="31"/>
      <c r="P53" s="31"/>
      <c r="Q53" s="31"/>
      <c r="R53" s="31"/>
      <c r="S53" s="31"/>
      <c r="T53" s="31"/>
      <c r="U53" s="31"/>
      <c r="V53" s="31"/>
      <c r="W53" s="2"/>
    </row>
    <row r="54" spans="1:23" ht="16" x14ac:dyDescent="0.2">
      <c r="A54" s="17"/>
      <c r="B54" s="93" t="str">
        <f>HLOOKUP($B$4,Region_Table,3,0)</f>
        <v>All London</v>
      </c>
      <c r="C54" s="204">
        <f>SUMIFS('capacity data'!I:I,'capacity data'!E:E,"PO",'capacity data'!B:B,'cluster capacity, unallocateds'!B54)</f>
        <v>0</v>
      </c>
      <c r="D54" s="204">
        <f>SUMIFS('capacity data'!J:J,'capacity data'!E:E,"PO",'capacity data'!B:B,'cluster capacity, unallocateds'!B54)</f>
        <v>0</v>
      </c>
      <c r="E54" s="203" t="str">
        <f t="shared" ref="E54:E68" si="4">IFERROR(D54/C54,"")</f>
        <v/>
      </c>
      <c r="F54" s="204">
        <f>SUMIFS('capacity data'!I:I,'capacity data'!E:E,"PSO",'capacity data'!B:B,'cluster capacity, unallocateds'!B54)</f>
        <v>0</v>
      </c>
      <c r="G54" s="204">
        <f>SUMIFS('capacity data'!J:J,'capacity data'!E:E,"PSO",'capacity data'!B:B,'cluster capacity, unallocateds'!B54)</f>
        <v>0</v>
      </c>
      <c r="H54" s="203" t="str">
        <f t="shared" ref="H54:H68" si="5">IFERROR(G54/F54,"")</f>
        <v/>
      </c>
      <c r="I54" s="204">
        <f>SUMIFS('capacity data'!I:I,'capacity data'!E:E,"TPO",'capacity data'!B:B,'cluster capacity, unallocateds'!B54)</f>
        <v>0</v>
      </c>
      <c r="J54" s="204">
        <f>SUMIFS('capacity data'!J:J,'capacity data'!E:E,"TPO",'capacity data'!B:B,'cluster capacity, unallocateds'!B54)</f>
        <v>0</v>
      </c>
      <c r="K54" s="203" t="str">
        <f t="shared" ref="K54:K68" si="6">IFERROR(J54/I54,"")</f>
        <v/>
      </c>
      <c r="L54" s="46"/>
      <c r="M54" s="46"/>
      <c r="N54" s="46"/>
      <c r="O54" s="31"/>
      <c r="P54" s="31"/>
      <c r="Q54" s="31"/>
      <c r="R54" s="31"/>
      <c r="S54" s="31"/>
      <c r="T54" s="31"/>
      <c r="U54" s="31"/>
      <c r="V54" s="31"/>
      <c r="W54" s="2"/>
    </row>
    <row r="55" spans="1:23" x14ac:dyDescent="0.15">
      <c r="A55" s="39"/>
      <c r="B55" s="93" t="str">
        <f>HLOOKUP($B$4,Region_Table,4,0)</f>
        <v>Barking and Dagenham and Havering</v>
      </c>
      <c r="C55" s="204">
        <f>SUMIFS('capacity data'!I:I,'capacity data'!E:E,"PO",'capacity data'!B:B,'cluster capacity, unallocateds'!B55)</f>
        <v>0</v>
      </c>
      <c r="D55" s="204">
        <f>SUMIFS('capacity data'!J:J,'capacity data'!E:E,"PO",'capacity data'!B:B,'cluster capacity, unallocateds'!B55)</f>
        <v>0</v>
      </c>
      <c r="E55" s="203" t="str">
        <f t="shared" si="4"/>
        <v/>
      </c>
      <c r="F55" s="204">
        <f>SUMIFS('capacity data'!I:I,'capacity data'!E:E,"PSO",'capacity data'!B:B,'cluster capacity, unallocateds'!B55)</f>
        <v>0</v>
      </c>
      <c r="G55" s="204">
        <f>SUMIFS('capacity data'!J:J,'capacity data'!E:E,"PSO",'capacity data'!B:B,'cluster capacity, unallocateds'!B55)</f>
        <v>0</v>
      </c>
      <c r="H55" s="203" t="str">
        <f t="shared" si="5"/>
        <v/>
      </c>
      <c r="I55" s="204">
        <f>SUMIFS('capacity data'!I:I,'capacity data'!E:E,"TPO",'capacity data'!B:B,'cluster capacity, unallocateds'!B55)</f>
        <v>0</v>
      </c>
      <c r="J55" s="204">
        <f>SUMIFS('capacity data'!J:J,'capacity data'!E:E,"TPO",'capacity data'!B:B,'cluster capacity, unallocateds'!B55)</f>
        <v>0</v>
      </c>
      <c r="K55" s="203" t="str">
        <f t="shared" si="6"/>
        <v/>
      </c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30"/>
    </row>
    <row r="56" spans="1:23" x14ac:dyDescent="0.15">
      <c r="A56" s="39"/>
      <c r="B56" s="93" t="str">
        <f>HLOOKUP($B$4,Region_Table,5,0)</f>
        <v>Brent - N07</v>
      </c>
      <c r="C56" s="204">
        <f>SUMIFS('capacity data'!I:I,'capacity data'!E:E,"PO",'capacity data'!B:B,'cluster capacity, unallocateds'!B56)</f>
        <v>0</v>
      </c>
      <c r="D56" s="204">
        <f>SUMIFS('capacity data'!J:J,'capacity data'!E:E,"PO",'capacity data'!B:B,'cluster capacity, unallocateds'!B56)</f>
        <v>0</v>
      </c>
      <c r="E56" s="203" t="str">
        <f t="shared" si="4"/>
        <v/>
      </c>
      <c r="F56" s="204">
        <f>SUMIFS('capacity data'!I:I,'capacity data'!E:E,"PSO",'capacity data'!B:B,'cluster capacity, unallocateds'!B56)</f>
        <v>0</v>
      </c>
      <c r="G56" s="204">
        <f>SUMIFS('capacity data'!J:J,'capacity data'!E:E,"PSO",'capacity data'!B:B,'cluster capacity, unallocateds'!B56)</f>
        <v>0</v>
      </c>
      <c r="H56" s="203" t="str">
        <f t="shared" si="5"/>
        <v/>
      </c>
      <c r="I56" s="204">
        <f>SUMIFS('capacity data'!I:I,'capacity data'!E:E,"TPO",'capacity data'!B:B,'cluster capacity, unallocateds'!B56)</f>
        <v>0</v>
      </c>
      <c r="J56" s="204">
        <f>SUMIFS('capacity data'!J:J,'capacity data'!E:E,"TPO",'capacity data'!B:B,'cluster capacity, unallocateds'!B56)</f>
        <v>0</v>
      </c>
      <c r="K56" s="203" t="str">
        <f t="shared" si="6"/>
        <v/>
      </c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30"/>
    </row>
    <row r="57" spans="1:23" x14ac:dyDescent="0.15">
      <c r="A57" s="39"/>
      <c r="B57" s="93" t="str">
        <f>HLOOKUP($B$4,Region_Table,6,0)</f>
        <v>Camden, Islington</v>
      </c>
      <c r="C57" s="204">
        <f>SUMIFS('capacity data'!I:I,'capacity data'!E:E,"PO",'capacity data'!B:B,'cluster capacity, unallocateds'!B57)</f>
        <v>0</v>
      </c>
      <c r="D57" s="204">
        <f>SUMIFS('capacity data'!J:J,'capacity data'!E:E,"PO",'capacity data'!B:B,'cluster capacity, unallocateds'!B57)</f>
        <v>0</v>
      </c>
      <c r="E57" s="203" t="str">
        <f t="shared" si="4"/>
        <v/>
      </c>
      <c r="F57" s="204">
        <f>SUMIFS('capacity data'!I:I,'capacity data'!E:E,"PSO",'capacity data'!B:B,'cluster capacity, unallocateds'!B57)</f>
        <v>0</v>
      </c>
      <c r="G57" s="204">
        <f>SUMIFS('capacity data'!J:J,'capacity data'!E:E,"PSO",'capacity data'!B:B,'cluster capacity, unallocateds'!B57)</f>
        <v>0</v>
      </c>
      <c r="H57" s="203" t="str">
        <f t="shared" si="5"/>
        <v/>
      </c>
      <c r="I57" s="204">
        <f>SUMIFS('capacity data'!I:I,'capacity data'!E:E,"TPO",'capacity data'!B:B,'cluster capacity, unallocateds'!B57)</f>
        <v>0</v>
      </c>
      <c r="J57" s="204">
        <f>SUMIFS('capacity data'!J:J,'capacity data'!E:E,"TPO",'capacity data'!B:B,'cluster capacity, unallocateds'!B57)</f>
        <v>0</v>
      </c>
      <c r="K57" s="203" t="str">
        <f t="shared" si="6"/>
        <v/>
      </c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30"/>
    </row>
    <row r="58" spans="1:23" x14ac:dyDescent="0.15">
      <c r="A58" s="39"/>
      <c r="B58" s="93" t="str">
        <f>HLOOKUP($B$4,Region_Table,7,0)</f>
        <v>Commumity Integration</v>
      </c>
      <c r="C58" s="204">
        <f>SUMIFS('capacity data'!I:I,'capacity data'!E:E,"PO",'capacity data'!B:B,'cluster capacity, unallocateds'!B58)</f>
        <v>0</v>
      </c>
      <c r="D58" s="204">
        <f>SUMIFS('capacity data'!J:J,'capacity data'!E:E,"PO",'capacity data'!B:B,'cluster capacity, unallocateds'!B58)</f>
        <v>0</v>
      </c>
      <c r="E58" s="203" t="str">
        <f t="shared" si="4"/>
        <v/>
      </c>
      <c r="F58" s="204">
        <f>SUMIFS('capacity data'!I:I,'capacity data'!E:E,"PSO",'capacity data'!B:B,'cluster capacity, unallocateds'!B58)</f>
        <v>0</v>
      </c>
      <c r="G58" s="204">
        <f>SUMIFS('capacity data'!J:J,'capacity data'!E:E,"PSO",'capacity data'!B:B,'cluster capacity, unallocateds'!B58)</f>
        <v>0</v>
      </c>
      <c r="H58" s="203" t="str">
        <f t="shared" si="5"/>
        <v/>
      </c>
      <c r="I58" s="204">
        <f>SUMIFS('capacity data'!I:I,'capacity data'!E:E,"TPO",'capacity data'!B:B,'cluster capacity, unallocateds'!B58)</f>
        <v>0</v>
      </c>
      <c r="J58" s="204">
        <f>SUMIFS('capacity data'!J:J,'capacity data'!E:E,"TPO",'capacity data'!B:B,'cluster capacity, unallocateds'!B58)</f>
        <v>0</v>
      </c>
      <c r="K58" s="203" t="str">
        <f t="shared" si="6"/>
        <v/>
      </c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30"/>
    </row>
    <row r="59" spans="1:23" x14ac:dyDescent="0.15">
      <c r="A59" s="39"/>
      <c r="B59" s="93" t="str">
        <f>HLOOKUP($B$4,Region_Table,8,0)</f>
        <v>Corporate Services - N07</v>
      </c>
      <c r="C59" s="204">
        <f>SUMIFS('capacity data'!I:I,'capacity data'!E:E,"PO",'capacity data'!B:B,'cluster capacity, unallocateds'!B59)</f>
        <v>0</v>
      </c>
      <c r="D59" s="204">
        <f>SUMIFS('capacity data'!J:J,'capacity data'!E:E,"PO",'capacity data'!B:B,'cluster capacity, unallocateds'!B59)</f>
        <v>0</v>
      </c>
      <c r="E59" s="203" t="str">
        <f t="shared" si="4"/>
        <v/>
      </c>
      <c r="F59" s="204">
        <f>SUMIFS('capacity data'!I:I,'capacity data'!E:E,"PSO",'capacity data'!B:B,'cluster capacity, unallocateds'!B59)</f>
        <v>0</v>
      </c>
      <c r="G59" s="204">
        <f>SUMIFS('capacity data'!J:J,'capacity data'!E:E,"PSO",'capacity data'!B:B,'cluster capacity, unallocateds'!B59)</f>
        <v>0</v>
      </c>
      <c r="H59" s="203" t="str">
        <f t="shared" si="5"/>
        <v/>
      </c>
      <c r="I59" s="204">
        <f>SUMIFS('capacity data'!I:I,'capacity data'!E:E,"TPO",'capacity data'!B:B,'cluster capacity, unallocateds'!B59)</f>
        <v>0</v>
      </c>
      <c r="J59" s="204">
        <f>SUMIFS('capacity data'!J:J,'capacity data'!E:E,"TPO",'capacity data'!B:B,'cluster capacity, unallocateds'!B59)</f>
        <v>0</v>
      </c>
      <c r="K59" s="203" t="str">
        <f t="shared" si="6"/>
        <v/>
      </c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30"/>
    </row>
    <row r="60" spans="1:23" x14ac:dyDescent="0.15">
      <c r="A60" s="39"/>
      <c r="B60" s="93" t="str">
        <f>HLOOKUP($B$4,Region_Table,9,0)</f>
        <v>Croydon - N07</v>
      </c>
      <c r="C60" s="204">
        <f>SUMIFS('capacity data'!I:I,'capacity data'!E:E,"PO",'capacity data'!B:B,'cluster capacity, unallocateds'!B60)</f>
        <v>0</v>
      </c>
      <c r="D60" s="204">
        <f>SUMIFS('capacity data'!J:J,'capacity data'!E:E,"PO",'capacity data'!B:B,'cluster capacity, unallocateds'!B60)</f>
        <v>0</v>
      </c>
      <c r="E60" s="203" t="str">
        <f t="shared" si="4"/>
        <v/>
      </c>
      <c r="F60" s="204">
        <f>SUMIFS('capacity data'!I:I,'capacity data'!E:E,"PSO",'capacity data'!B:B,'cluster capacity, unallocateds'!B60)</f>
        <v>0</v>
      </c>
      <c r="G60" s="204">
        <f>SUMIFS('capacity data'!J:J,'capacity data'!E:E,"PSO",'capacity data'!B:B,'cluster capacity, unallocateds'!B60)</f>
        <v>0</v>
      </c>
      <c r="H60" s="203" t="str">
        <f t="shared" si="5"/>
        <v/>
      </c>
      <c r="I60" s="204">
        <f>SUMIFS('capacity data'!I:I,'capacity data'!E:E,"TPO",'capacity data'!B:B,'cluster capacity, unallocateds'!B60)</f>
        <v>0</v>
      </c>
      <c r="J60" s="204">
        <f>SUMIFS('capacity data'!J:J,'capacity data'!E:E,"TPO",'capacity data'!B:B,'cluster capacity, unallocateds'!B60)</f>
        <v>0</v>
      </c>
      <c r="K60" s="203" t="str">
        <f t="shared" si="6"/>
        <v/>
      </c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30"/>
    </row>
    <row r="61" spans="1:23" x14ac:dyDescent="0.15">
      <c r="A61" s="39"/>
      <c r="B61" s="93" t="str">
        <f>HLOOKUP($B$4,Region_Table,10,0)</f>
        <v>Ealing and Hillingdon</v>
      </c>
      <c r="C61" s="204">
        <f>SUMIFS('capacity data'!I:I,'capacity data'!E:E,"PO",'capacity data'!B:B,'cluster capacity, unallocateds'!B61)</f>
        <v>0</v>
      </c>
      <c r="D61" s="204">
        <f>SUMIFS('capacity data'!J:J,'capacity data'!E:E,"PO",'capacity data'!B:B,'cluster capacity, unallocateds'!B61)</f>
        <v>0</v>
      </c>
      <c r="E61" s="203" t="str">
        <f t="shared" si="4"/>
        <v/>
      </c>
      <c r="F61" s="204">
        <f>SUMIFS('capacity data'!I:I,'capacity data'!E:E,"PSO",'capacity data'!B:B,'cluster capacity, unallocateds'!B61)</f>
        <v>0</v>
      </c>
      <c r="G61" s="204">
        <f>SUMIFS('capacity data'!J:J,'capacity data'!E:E,"PSO",'capacity data'!B:B,'cluster capacity, unallocateds'!B61)</f>
        <v>0</v>
      </c>
      <c r="H61" s="203" t="str">
        <f t="shared" si="5"/>
        <v/>
      </c>
      <c r="I61" s="204">
        <f>SUMIFS('capacity data'!I:I,'capacity data'!E:E,"TPO",'capacity data'!B:B,'cluster capacity, unallocateds'!B61)</f>
        <v>0</v>
      </c>
      <c r="J61" s="204">
        <f>SUMIFS('capacity data'!J:J,'capacity data'!E:E,"TPO",'capacity data'!B:B,'cluster capacity, unallocateds'!B61)</f>
        <v>0</v>
      </c>
      <c r="K61" s="203" t="str">
        <f t="shared" si="6"/>
        <v/>
      </c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30"/>
    </row>
    <row r="62" spans="1:23" x14ac:dyDescent="0.15">
      <c r="A62" s="39"/>
      <c r="B62" s="93" t="str">
        <f>HLOOKUP($B$4,Region_Table,11,0)</f>
        <v>Enfield and Haringey</v>
      </c>
      <c r="C62" s="204">
        <f>SUMIFS('capacity data'!I:I,'capacity data'!E:E,"PO",'capacity data'!B:B,'cluster capacity, unallocateds'!B62)</f>
        <v>0</v>
      </c>
      <c r="D62" s="204">
        <f>SUMIFS('capacity data'!J:J,'capacity data'!E:E,"PO",'capacity data'!B:B,'cluster capacity, unallocateds'!B62)</f>
        <v>0</v>
      </c>
      <c r="E62" s="203" t="str">
        <f t="shared" si="4"/>
        <v/>
      </c>
      <c r="F62" s="204">
        <f>SUMIFS('capacity data'!I:I,'capacity data'!E:E,"PSO",'capacity data'!B:B,'cluster capacity, unallocateds'!B62)</f>
        <v>0</v>
      </c>
      <c r="G62" s="204">
        <f>SUMIFS('capacity data'!J:J,'capacity data'!E:E,"PSO",'capacity data'!B:B,'cluster capacity, unallocateds'!B62)</f>
        <v>0</v>
      </c>
      <c r="H62" s="203" t="str">
        <f t="shared" si="5"/>
        <v/>
      </c>
      <c r="I62" s="204">
        <f>SUMIFS('capacity data'!I:I,'capacity data'!E:E,"TPO",'capacity data'!B:B,'cluster capacity, unallocateds'!B62)</f>
        <v>0</v>
      </c>
      <c r="J62" s="204">
        <f>SUMIFS('capacity data'!J:J,'capacity data'!E:E,"TPO",'capacity data'!B:B,'cluster capacity, unallocateds'!B62)</f>
        <v>0</v>
      </c>
      <c r="K62" s="203" t="str">
        <f t="shared" si="6"/>
        <v/>
      </c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30"/>
    </row>
    <row r="63" spans="1:23" x14ac:dyDescent="0.15">
      <c r="A63" s="39"/>
      <c r="B63" s="93" t="str">
        <f>HLOOKUP($B$4,Region_Table,12,0)</f>
        <v>Greenwich and Bexley</v>
      </c>
      <c r="C63" s="204">
        <f>SUMIFS('capacity data'!I:I,'capacity data'!E:E,"PO",'capacity data'!B:B,'cluster capacity, unallocateds'!B63)</f>
        <v>0</v>
      </c>
      <c r="D63" s="204">
        <f>SUMIFS('capacity data'!J:J,'capacity data'!E:E,"PO",'capacity data'!B:B,'cluster capacity, unallocateds'!B63)</f>
        <v>0</v>
      </c>
      <c r="E63" s="203" t="str">
        <f t="shared" si="4"/>
        <v/>
      </c>
      <c r="F63" s="204">
        <f>SUMIFS('capacity data'!I:I,'capacity data'!E:E,"PSO",'capacity data'!B:B,'cluster capacity, unallocateds'!B63)</f>
        <v>0</v>
      </c>
      <c r="G63" s="204">
        <f>SUMIFS('capacity data'!J:J,'capacity data'!E:E,"PSO",'capacity data'!B:B,'cluster capacity, unallocateds'!B63)</f>
        <v>0</v>
      </c>
      <c r="H63" s="203" t="str">
        <f t="shared" si="5"/>
        <v/>
      </c>
      <c r="I63" s="204">
        <f>SUMIFS('capacity data'!I:I,'capacity data'!E:E,"TPO",'capacity data'!B:B,'cluster capacity, unallocateds'!B63)</f>
        <v>0</v>
      </c>
      <c r="J63" s="204">
        <f>SUMIFS('capacity data'!J:J,'capacity data'!E:E,"TPO",'capacity data'!B:B,'cluster capacity, unallocateds'!B63)</f>
        <v>0</v>
      </c>
      <c r="K63" s="203" t="str">
        <f t="shared" si="6"/>
        <v/>
      </c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30"/>
    </row>
    <row r="64" spans="1:23" x14ac:dyDescent="0.15">
      <c r="A64" s="39"/>
      <c r="B64" s="93" t="str">
        <f>HLOOKUP($B$4,Region_Table,13,0)</f>
        <v>Hackney and City</v>
      </c>
      <c r="C64" s="204">
        <f>SUMIFS('capacity data'!I:I,'capacity data'!E:E,"PO",'capacity data'!B:B,'cluster capacity, unallocateds'!B64)</f>
        <v>0</v>
      </c>
      <c r="D64" s="204">
        <f>SUMIFS('capacity data'!J:J,'capacity data'!E:E,"PO",'capacity data'!B:B,'cluster capacity, unallocateds'!B64)</f>
        <v>0</v>
      </c>
      <c r="E64" s="203" t="str">
        <f t="shared" si="4"/>
        <v/>
      </c>
      <c r="F64" s="204">
        <f>SUMIFS('capacity data'!I:I,'capacity data'!E:E,"PSO",'capacity data'!B:B,'cluster capacity, unallocateds'!B64)</f>
        <v>0</v>
      </c>
      <c r="G64" s="204">
        <f>SUMIFS('capacity data'!J:J,'capacity data'!E:E,"PSO",'capacity data'!B:B,'cluster capacity, unallocateds'!B64)</f>
        <v>0</v>
      </c>
      <c r="H64" s="203" t="str">
        <f t="shared" si="5"/>
        <v/>
      </c>
      <c r="I64" s="204">
        <f>SUMIFS('capacity data'!I:I,'capacity data'!E:E,"TPO",'capacity data'!B:B,'cluster capacity, unallocateds'!B64)</f>
        <v>0</v>
      </c>
      <c r="J64" s="204">
        <f>SUMIFS('capacity data'!J:J,'capacity data'!E:E,"TPO",'capacity data'!B:B,'cluster capacity, unallocateds'!B64)</f>
        <v>0</v>
      </c>
      <c r="K64" s="203" t="str">
        <f t="shared" si="6"/>
        <v/>
      </c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30"/>
    </row>
    <row r="65" spans="1:23" x14ac:dyDescent="0.15">
      <c r="A65" s="39"/>
      <c r="B65" s="93" t="str">
        <f>HLOOKUP($B$4,Region_Table,14,0)</f>
        <v>Hammersmith, Fulham, Kensington, Chelsea and Westminster</v>
      </c>
      <c r="C65" s="204">
        <f>SUMIFS('capacity data'!I:I,'capacity data'!E:E,"PO",'capacity data'!B:B,'cluster capacity, unallocateds'!B65)</f>
        <v>0</v>
      </c>
      <c r="D65" s="204">
        <f>SUMIFS('capacity data'!J:J,'capacity data'!E:E,"PO",'capacity data'!B:B,'cluster capacity, unallocateds'!B65)</f>
        <v>0</v>
      </c>
      <c r="E65" s="203" t="str">
        <f t="shared" si="4"/>
        <v/>
      </c>
      <c r="F65" s="204">
        <f>SUMIFS('capacity data'!I:I,'capacity data'!E:E,"PSO",'capacity data'!B:B,'cluster capacity, unallocateds'!B65)</f>
        <v>0</v>
      </c>
      <c r="G65" s="204">
        <f>SUMIFS('capacity data'!J:J,'capacity data'!E:E,"PSO",'capacity data'!B:B,'cluster capacity, unallocateds'!B65)</f>
        <v>0</v>
      </c>
      <c r="H65" s="203" t="str">
        <f t="shared" si="5"/>
        <v/>
      </c>
      <c r="I65" s="204">
        <f>SUMIFS('capacity data'!I:I,'capacity data'!E:E,"TPO",'capacity data'!B:B,'cluster capacity, unallocateds'!B65)</f>
        <v>0</v>
      </c>
      <c r="J65" s="204">
        <f>SUMIFS('capacity data'!J:J,'capacity data'!E:E,"TPO",'capacity data'!B:B,'cluster capacity, unallocateds'!B65)</f>
        <v>0</v>
      </c>
      <c r="K65" s="203" t="str">
        <f t="shared" si="6"/>
        <v/>
      </c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30"/>
    </row>
    <row r="66" spans="1:23" x14ac:dyDescent="0.15">
      <c r="A66" s="39"/>
      <c r="B66" s="93" t="str">
        <f>HLOOKUP($B$4,Region_Table,15,0)</f>
        <v>Harrow and Barnet</v>
      </c>
      <c r="C66" s="204">
        <f>SUMIFS('capacity data'!I:I,'capacity data'!E:E,"PO",'capacity data'!B:B,'cluster capacity, unallocateds'!B66)</f>
        <v>0</v>
      </c>
      <c r="D66" s="204">
        <f>SUMIFS('capacity data'!J:J,'capacity data'!E:E,"PO",'capacity data'!B:B,'cluster capacity, unallocateds'!B66)</f>
        <v>0</v>
      </c>
      <c r="E66" s="203" t="str">
        <f t="shared" si="4"/>
        <v/>
      </c>
      <c r="F66" s="204">
        <f>SUMIFS('capacity data'!I:I,'capacity data'!E:E,"PSO",'capacity data'!B:B,'cluster capacity, unallocateds'!B66)</f>
        <v>0</v>
      </c>
      <c r="G66" s="204">
        <f>SUMIFS('capacity data'!J:J,'capacity data'!E:E,"PSO",'capacity data'!B:B,'cluster capacity, unallocateds'!B66)</f>
        <v>0</v>
      </c>
      <c r="H66" s="203" t="str">
        <f t="shared" si="5"/>
        <v/>
      </c>
      <c r="I66" s="204">
        <f>SUMIFS('capacity data'!I:I,'capacity data'!E:E,"TPO",'capacity data'!B:B,'cluster capacity, unallocateds'!B66)</f>
        <v>0</v>
      </c>
      <c r="J66" s="204">
        <f>SUMIFS('capacity data'!J:J,'capacity data'!E:E,"TPO",'capacity data'!B:B,'cluster capacity, unallocateds'!B66)</f>
        <v>0</v>
      </c>
      <c r="K66" s="203" t="str">
        <f t="shared" si="6"/>
        <v/>
      </c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30"/>
    </row>
    <row r="67" spans="1:23" x14ac:dyDescent="0.15">
      <c r="A67" s="39"/>
      <c r="B67" s="93" t="str">
        <f>HLOOKUP($B$4,Region_Table,16,0)</f>
        <v>Headquarters - N07</v>
      </c>
      <c r="C67" s="204">
        <f>SUMIFS('capacity data'!I:I,'capacity data'!E:E,"PO",'capacity data'!B:B,'cluster capacity, unallocateds'!B67)</f>
        <v>0</v>
      </c>
      <c r="D67" s="204">
        <f>SUMIFS('capacity data'!J:J,'capacity data'!E:E,"PO",'capacity data'!B:B,'cluster capacity, unallocateds'!B67)</f>
        <v>0</v>
      </c>
      <c r="E67" s="203" t="str">
        <f t="shared" si="4"/>
        <v/>
      </c>
      <c r="F67" s="204">
        <f>SUMIFS('capacity data'!I:I,'capacity data'!E:E,"PSO",'capacity data'!B:B,'cluster capacity, unallocateds'!B67)</f>
        <v>0</v>
      </c>
      <c r="G67" s="204">
        <f>SUMIFS('capacity data'!J:J,'capacity data'!E:E,"PSO",'capacity data'!B:B,'cluster capacity, unallocateds'!B67)</f>
        <v>0</v>
      </c>
      <c r="H67" s="203" t="str">
        <f t="shared" si="5"/>
        <v/>
      </c>
      <c r="I67" s="204">
        <f>SUMIFS('capacity data'!I:I,'capacity data'!E:E,"TPO",'capacity data'!B:B,'cluster capacity, unallocateds'!B67)</f>
        <v>0</v>
      </c>
      <c r="J67" s="204">
        <f>SUMIFS('capacity data'!J:J,'capacity data'!E:E,"TPO",'capacity data'!B:B,'cluster capacity, unallocateds'!B67)</f>
        <v>0</v>
      </c>
      <c r="K67" s="203" t="str">
        <f t="shared" si="6"/>
        <v/>
      </c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30"/>
    </row>
    <row r="68" spans="1:23" x14ac:dyDescent="0.15">
      <c r="A68" s="39"/>
      <c r="B68" s="93" t="str">
        <f>HLOOKUP($B$4,Region_Table,17,0)</f>
        <v>Inactive Level 2(N07)</v>
      </c>
      <c r="C68" s="204">
        <f>SUMIFS('capacity data'!I:I,'capacity data'!E:E,"PO",'capacity data'!B:B,'cluster capacity, unallocateds'!B68)</f>
        <v>0</v>
      </c>
      <c r="D68" s="204">
        <f>SUMIFS('capacity data'!J:J,'capacity data'!E:E,"PO",'capacity data'!B:B,'cluster capacity, unallocateds'!B68)</f>
        <v>0</v>
      </c>
      <c r="E68" s="203" t="str">
        <f t="shared" si="4"/>
        <v/>
      </c>
      <c r="F68" s="204">
        <f>SUMIFS('capacity data'!I:I,'capacity data'!E:E,"PSO",'capacity data'!B:B,'cluster capacity, unallocateds'!B68)</f>
        <v>0</v>
      </c>
      <c r="G68" s="204">
        <f>SUMIFS('capacity data'!J:J,'capacity data'!E:E,"PSO",'capacity data'!B:B,'cluster capacity, unallocateds'!B68)</f>
        <v>0</v>
      </c>
      <c r="H68" s="203" t="str">
        <f t="shared" si="5"/>
        <v/>
      </c>
      <c r="I68" s="204">
        <f>SUMIFS('capacity data'!I:I,'capacity data'!E:E,"TPO",'capacity data'!B:B,'cluster capacity, unallocateds'!B68)</f>
        <v>0</v>
      </c>
      <c r="J68" s="204">
        <f>SUMIFS('capacity data'!J:J,'capacity data'!E:E,"TPO",'capacity data'!B:B,'cluster capacity, unallocateds'!B68)</f>
        <v>0</v>
      </c>
      <c r="K68" s="203" t="str">
        <f t="shared" si="6"/>
        <v/>
      </c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30"/>
    </row>
    <row r="69" spans="1:23" s="30" customFormat="1" x14ac:dyDescent="0.15">
      <c r="A69" s="39"/>
      <c r="B69" s="93" t="str">
        <f>HLOOKUP($B$4,Region_Table,18,0)</f>
        <v>Kingston, Richmond and Hounslow</v>
      </c>
      <c r="C69" s="204">
        <f>SUMIFS('capacity data'!I:I,'capacity data'!E:E,"PO",'capacity data'!B:B,'cluster capacity, unallocateds'!B69)</f>
        <v>0</v>
      </c>
      <c r="D69" s="204">
        <f>SUMIFS('capacity data'!J:J,'capacity data'!E:E,"PO",'capacity data'!B:B,'cluster capacity, unallocateds'!B69)</f>
        <v>0</v>
      </c>
      <c r="E69" s="203" t="str">
        <f t="shared" ref="E69:E71" si="7">IFERROR(D69/C69,"")</f>
        <v/>
      </c>
      <c r="F69" s="204">
        <f>SUMIFS('capacity data'!I:I,'capacity data'!E:E,"PSO",'capacity data'!B:B,'cluster capacity, unallocateds'!B69)</f>
        <v>0</v>
      </c>
      <c r="G69" s="204">
        <f>SUMIFS('capacity data'!J:J,'capacity data'!E:E,"PSO",'capacity data'!B:B,'cluster capacity, unallocateds'!B69)</f>
        <v>0</v>
      </c>
      <c r="H69" s="203" t="str">
        <f t="shared" ref="H69:H71" si="8">IFERROR(G69/F69,"")</f>
        <v/>
      </c>
      <c r="I69" s="204">
        <f>SUMIFS('capacity data'!I:I,'capacity data'!E:E,"TPO",'capacity data'!B:B,'cluster capacity, unallocateds'!B69)</f>
        <v>0</v>
      </c>
      <c r="J69" s="204">
        <f>SUMIFS('capacity data'!J:J,'capacity data'!E:E,"TPO",'capacity data'!B:B,'cluster capacity, unallocateds'!B69)</f>
        <v>0</v>
      </c>
      <c r="K69" s="203" t="str">
        <f t="shared" ref="K69:K71" si="9">IFERROR(J69/I69,"")</f>
        <v/>
      </c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</row>
    <row r="70" spans="1:23" s="30" customFormat="1" x14ac:dyDescent="0.15">
      <c r="A70" s="39"/>
      <c r="B70" s="93" t="str">
        <f>HLOOKUP($B$4,Region_Table,19,0)</f>
        <v>Lambeth - N07</v>
      </c>
      <c r="C70" s="204">
        <f>SUMIFS('capacity data'!I:I,'capacity data'!E:E,"PO",'capacity data'!B:B,'cluster capacity, unallocateds'!B70)</f>
        <v>0</v>
      </c>
      <c r="D70" s="204">
        <f>SUMIFS('capacity data'!J:J,'capacity data'!E:E,"PO",'capacity data'!B:B,'cluster capacity, unallocateds'!B70)</f>
        <v>0</v>
      </c>
      <c r="E70" s="203" t="str">
        <f t="shared" si="7"/>
        <v/>
      </c>
      <c r="F70" s="204">
        <f>SUMIFS('capacity data'!I:I,'capacity data'!E:E,"PSO",'capacity data'!B:B,'cluster capacity, unallocateds'!B70)</f>
        <v>0</v>
      </c>
      <c r="G70" s="204">
        <f>SUMIFS('capacity data'!J:J,'capacity data'!E:E,"PSO",'capacity data'!B:B,'cluster capacity, unallocateds'!B70)</f>
        <v>0</v>
      </c>
      <c r="H70" s="203" t="str">
        <f t="shared" si="8"/>
        <v/>
      </c>
      <c r="I70" s="204">
        <f>SUMIFS('capacity data'!I:I,'capacity data'!E:E,"TPO",'capacity data'!B:B,'cluster capacity, unallocateds'!B70)</f>
        <v>0</v>
      </c>
      <c r="J70" s="204">
        <f>SUMIFS('capacity data'!J:J,'capacity data'!E:E,"TPO",'capacity data'!B:B,'cluster capacity, unallocateds'!B70)</f>
        <v>0</v>
      </c>
      <c r="K70" s="203" t="str">
        <f t="shared" si="9"/>
        <v/>
      </c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3" ht="15" customHeight="1" x14ac:dyDescent="0.15">
      <c r="B71" s="93" t="str">
        <f>HLOOKUP($B$4,Region_Table,20,0)</f>
        <v>Lewisham and Bromley</v>
      </c>
      <c r="C71" s="204">
        <f>SUMIFS('capacity data'!I:I,'capacity data'!E:E,"PO",'capacity data'!B:B,'cluster capacity, unallocateds'!B71)</f>
        <v>0</v>
      </c>
      <c r="D71" s="204">
        <f>SUMIFS('capacity data'!J:J,'capacity data'!E:E,"PO",'capacity data'!B:B,'cluster capacity, unallocateds'!B71)</f>
        <v>0</v>
      </c>
      <c r="E71" s="203" t="str">
        <f t="shared" si="7"/>
        <v/>
      </c>
      <c r="F71" s="204">
        <f>SUMIFS('capacity data'!I:I,'capacity data'!E:E,"PSO",'capacity data'!B:B,'cluster capacity, unallocateds'!B71)</f>
        <v>0</v>
      </c>
      <c r="G71" s="204">
        <f>SUMIFS('capacity data'!J:J,'capacity data'!E:E,"PSO",'capacity data'!B:B,'cluster capacity, unallocateds'!B71)</f>
        <v>0</v>
      </c>
      <c r="H71" s="203" t="str">
        <f t="shared" si="8"/>
        <v/>
      </c>
      <c r="I71" s="204">
        <f>SUMIFS('capacity data'!I:I,'capacity data'!E:E,"TPO",'capacity data'!B:B,'cluster capacity, unallocateds'!B71)</f>
        <v>0</v>
      </c>
      <c r="J71" s="204">
        <f>SUMIFS('capacity data'!J:J,'capacity data'!E:E,"TPO",'capacity data'!B:B,'cluster capacity, unallocateds'!B71)</f>
        <v>0</v>
      </c>
      <c r="K71" s="203" t="str">
        <f t="shared" si="9"/>
        <v/>
      </c>
    </row>
    <row r="73" spans="1:23" ht="56" x14ac:dyDescent="0.15">
      <c r="B73" s="37" t="s">
        <v>473</v>
      </c>
      <c r="C73" s="269" t="s">
        <v>394</v>
      </c>
      <c r="D73" s="269" t="s">
        <v>395</v>
      </c>
      <c r="E73" s="269" t="s">
        <v>396</v>
      </c>
      <c r="F73" s="269" t="s">
        <v>397</v>
      </c>
      <c r="G73" s="269" t="s">
        <v>398</v>
      </c>
      <c r="H73" s="269" t="s">
        <v>333</v>
      </c>
      <c r="I73" s="269" t="s">
        <v>399</v>
      </c>
    </row>
    <row r="74" spans="1:23" x14ac:dyDescent="0.15">
      <c r="B74" s="195" t="s">
        <v>281</v>
      </c>
      <c r="C74" s="202">
        <f>SUM('capacity data'!K:K)</f>
        <v>0</v>
      </c>
      <c r="D74" s="202">
        <f>COUNTIF('capacity data'!E:E,"DMY")</f>
        <v>0</v>
      </c>
      <c r="E74" s="202">
        <f>SUMIF('capacity data'!E:E,"DMY",'capacity data'!K:K)</f>
        <v>0</v>
      </c>
      <c r="F74" s="203" t="e">
        <f>E74/C74</f>
        <v>#DIV/0!</v>
      </c>
      <c r="G74" s="205">
        <f>SUMIF('capacity data'!E:E,"SPO",'capacity data'!K:K)</f>
        <v>0</v>
      </c>
      <c r="H74" s="202">
        <f>E74+G74</f>
        <v>0</v>
      </c>
      <c r="I74" s="206" t="e">
        <f>H74/C74</f>
        <v>#DIV/0!</v>
      </c>
    </row>
    <row r="75" spans="1:23" x14ac:dyDescent="0.15">
      <c r="B75" s="93" t="str">
        <f>HLOOKUP($B$4,Region_Table,2,0)</f>
        <v>Accredited Programmes and Structured Interventions - N07</v>
      </c>
      <c r="C75" s="204">
        <f>SUMIF('capacity data'!B:B,'cluster capacity, unallocateds'!B75,'capacity data'!K:K)</f>
        <v>0</v>
      </c>
      <c r="D75" s="204">
        <f>COUNTIFS('capacity data'!B:B,'cluster capacity, unallocateds'!B75,'capacity data'!E:E,"DMY")</f>
        <v>0</v>
      </c>
      <c r="E75" s="204">
        <f>SUMIFS('capacity data'!K:K,'capacity data'!E:E,"DMY",'capacity data'!B:B,'cluster capacity, unallocateds'!B75)</f>
        <v>0</v>
      </c>
      <c r="F75" s="97" t="str">
        <f>IFERROR(E75/C75,"")</f>
        <v/>
      </c>
      <c r="G75" s="106">
        <f>SUMIFS('capacity data'!K:K,'capacity data'!E:E,"SPO",'capacity data'!B:B,'cluster capacity, unallocateds'!B75)</f>
        <v>0</v>
      </c>
      <c r="H75" s="202">
        <f t="shared" ref="H75:H90" si="10">E75+G75</f>
        <v>0</v>
      </c>
      <c r="I75" s="206" t="str">
        <f>IFERROR(H75/C75,"")</f>
        <v/>
      </c>
    </row>
    <row r="76" spans="1:23" x14ac:dyDescent="0.15">
      <c r="B76" s="93" t="str">
        <f>HLOOKUP($B$4,Region_Table,3,0)</f>
        <v>All London</v>
      </c>
      <c r="C76" s="204">
        <f>SUMIF('capacity data'!B:B,'cluster capacity, unallocateds'!B76,'capacity data'!K:K)</f>
        <v>0</v>
      </c>
      <c r="D76" s="204">
        <f>COUNTIFS('capacity data'!B:B,'cluster capacity, unallocateds'!B76,'capacity data'!E:E,"DMY")</f>
        <v>0</v>
      </c>
      <c r="E76" s="204">
        <f>SUMIFS('capacity data'!K:K,'capacity data'!E:E,"DMY",'capacity data'!B:B,'cluster capacity, unallocateds'!B76)</f>
        <v>0</v>
      </c>
      <c r="F76" s="97" t="str">
        <f t="shared" ref="F76:F90" si="11">IFERROR(E76/C76,"")</f>
        <v/>
      </c>
      <c r="G76" s="106">
        <f>SUMIFS('capacity data'!K:K,'capacity data'!E:E,"SPO",'capacity data'!B:B,'cluster capacity, unallocateds'!B76)</f>
        <v>0</v>
      </c>
      <c r="H76" s="202">
        <f t="shared" si="10"/>
        <v>0</v>
      </c>
      <c r="I76" s="206" t="str">
        <f t="shared" ref="I76:I90" si="12">IFERROR(H76/C76,"")</f>
        <v/>
      </c>
    </row>
    <row r="77" spans="1:23" x14ac:dyDescent="0.15">
      <c r="B77" s="93" t="str">
        <f>HLOOKUP($B$4,Region_Table,4,0)</f>
        <v>Barking and Dagenham and Havering</v>
      </c>
      <c r="C77" s="204">
        <f>SUMIF('capacity data'!B:B,'cluster capacity, unallocateds'!B77,'capacity data'!K:K)</f>
        <v>0</v>
      </c>
      <c r="D77" s="204">
        <f>COUNTIFS('capacity data'!B:B,'cluster capacity, unallocateds'!B77,'capacity data'!E:E,"DMY")</f>
        <v>0</v>
      </c>
      <c r="E77" s="204">
        <f>SUMIFS('capacity data'!K:K,'capacity data'!E:E,"DMY",'capacity data'!B:B,'cluster capacity, unallocateds'!B77)</f>
        <v>0</v>
      </c>
      <c r="F77" s="97" t="str">
        <f t="shared" si="11"/>
        <v/>
      </c>
      <c r="G77" s="106">
        <f>SUMIFS('capacity data'!K:K,'capacity data'!E:E,"SPO",'capacity data'!B:B,'cluster capacity, unallocateds'!B77)</f>
        <v>0</v>
      </c>
      <c r="H77" s="202">
        <f t="shared" si="10"/>
        <v>0</v>
      </c>
      <c r="I77" s="206" t="str">
        <f t="shared" si="12"/>
        <v/>
      </c>
    </row>
    <row r="78" spans="1:23" x14ac:dyDescent="0.15">
      <c r="B78" s="93" t="str">
        <f>HLOOKUP($B$4,Region_Table,5,0)</f>
        <v>Brent - N07</v>
      </c>
      <c r="C78" s="204">
        <f>SUMIF('capacity data'!B:B,'cluster capacity, unallocateds'!B78,'capacity data'!K:K)</f>
        <v>0</v>
      </c>
      <c r="D78" s="204">
        <f>COUNTIFS('capacity data'!B:B,'cluster capacity, unallocateds'!B78,'capacity data'!E:E,"DMY")</f>
        <v>0</v>
      </c>
      <c r="E78" s="204">
        <f>SUMIFS('capacity data'!K:K,'capacity data'!E:E,"DMY",'capacity data'!B:B,'cluster capacity, unallocateds'!B78)</f>
        <v>0</v>
      </c>
      <c r="F78" s="97" t="str">
        <f t="shared" si="11"/>
        <v/>
      </c>
      <c r="G78" s="106">
        <f>SUMIFS('capacity data'!K:K,'capacity data'!E:E,"SPO",'capacity data'!B:B,'cluster capacity, unallocateds'!B78)</f>
        <v>0</v>
      </c>
      <c r="H78" s="202">
        <f t="shared" si="10"/>
        <v>0</v>
      </c>
      <c r="I78" s="206" t="str">
        <f t="shared" si="12"/>
        <v/>
      </c>
    </row>
    <row r="79" spans="1:23" x14ac:dyDescent="0.15">
      <c r="B79" s="93" t="str">
        <f>HLOOKUP($B$4,Region_Table,6,0)</f>
        <v>Camden, Islington</v>
      </c>
      <c r="C79" s="204">
        <f>SUMIF('capacity data'!B:B,'cluster capacity, unallocateds'!B79,'capacity data'!K:K)</f>
        <v>0</v>
      </c>
      <c r="D79" s="204">
        <f>COUNTIFS('capacity data'!B:B,'cluster capacity, unallocateds'!B79,'capacity data'!E:E,"DMY")</f>
        <v>0</v>
      </c>
      <c r="E79" s="204">
        <f>SUMIFS('capacity data'!K:K,'capacity data'!E:E,"DMY",'capacity data'!B:B,'cluster capacity, unallocateds'!B79)</f>
        <v>0</v>
      </c>
      <c r="F79" s="97" t="str">
        <f t="shared" si="11"/>
        <v/>
      </c>
      <c r="G79" s="106">
        <f>SUMIFS('capacity data'!K:K,'capacity data'!E:E,"SPO",'capacity data'!B:B,'cluster capacity, unallocateds'!B79)</f>
        <v>0</v>
      </c>
      <c r="H79" s="202">
        <f t="shared" si="10"/>
        <v>0</v>
      </c>
      <c r="I79" s="206" t="str">
        <f t="shared" si="12"/>
        <v/>
      </c>
    </row>
    <row r="80" spans="1:23" x14ac:dyDescent="0.15">
      <c r="B80" s="93" t="str">
        <f>HLOOKUP($B$4,Region_Table,7,0)</f>
        <v>Commumity Integration</v>
      </c>
      <c r="C80" s="204">
        <f>SUMIF('capacity data'!B:B,'cluster capacity, unallocateds'!B80,'capacity data'!K:K)</f>
        <v>0</v>
      </c>
      <c r="D80" s="204">
        <f>COUNTIFS('capacity data'!B:B,'cluster capacity, unallocateds'!B80,'capacity data'!E:E,"DMY")</f>
        <v>0</v>
      </c>
      <c r="E80" s="204">
        <f>SUMIFS('capacity data'!K:K,'capacity data'!E:E,"DMY",'capacity data'!B:B,'cluster capacity, unallocateds'!B80)</f>
        <v>0</v>
      </c>
      <c r="F80" s="97" t="str">
        <f t="shared" si="11"/>
        <v/>
      </c>
      <c r="G80" s="106">
        <f>SUMIFS('capacity data'!K:K,'capacity data'!E:E,"SPO",'capacity data'!B:B,'cluster capacity, unallocateds'!B80)</f>
        <v>0</v>
      </c>
      <c r="H80" s="202">
        <f t="shared" si="10"/>
        <v>0</v>
      </c>
      <c r="I80" s="206" t="str">
        <f t="shared" si="12"/>
        <v/>
      </c>
    </row>
    <row r="81" spans="2:9" x14ac:dyDescent="0.15">
      <c r="B81" s="93" t="str">
        <f>HLOOKUP($B$4,Region_Table,8,0)</f>
        <v>Corporate Services - N07</v>
      </c>
      <c r="C81" s="204">
        <f>SUMIF('capacity data'!B:B,'cluster capacity, unallocateds'!B81,'capacity data'!K:K)</f>
        <v>0</v>
      </c>
      <c r="D81" s="204">
        <f>COUNTIFS('capacity data'!B:B,'cluster capacity, unallocateds'!B81,'capacity data'!E:E,"DMY")</f>
        <v>0</v>
      </c>
      <c r="E81" s="204">
        <f>SUMIFS('capacity data'!K:K,'capacity data'!E:E,"DMY",'capacity data'!B:B,'cluster capacity, unallocateds'!B81)</f>
        <v>0</v>
      </c>
      <c r="F81" s="97" t="str">
        <f t="shared" si="11"/>
        <v/>
      </c>
      <c r="G81" s="106">
        <f>SUMIFS('capacity data'!K:K,'capacity data'!E:E,"SPO",'capacity data'!B:B,'cluster capacity, unallocateds'!B81)</f>
        <v>0</v>
      </c>
      <c r="H81" s="202">
        <f t="shared" si="10"/>
        <v>0</v>
      </c>
      <c r="I81" s="206" t="str">
        <f t="shared" si="12"/>
        <v/>
      </c>
    </row>
    <row r="82" spans="2:9" x14ac:dyDescent="0.15">
      <c r="B82" s="93" t="str">
        <f>HLOOKUP($B$4,Region_Table,9,0)</f>
        <v>Croydon - N07</v>
      </c>
      <c r="C82" s="204">
        <f>SUMIF('capacity data'!B:B,'cluster capacity, unallocateds'!B82,'capacity data'!K:K)</f>
        <v>0</v>
      </c>
      <c r="D82" s="204">
        <f>COUNTIFS('capacity data'!B:B,'cluster capacity, unallocateds'!B82,'capacity data'!E:E,"DMY")</f>
        <v>0</v>
      </c>
      <c r="E82" s="204">
        <f>SUMIFS('capacity data'!K:K,'capacity data'!E:E,"DMY",'capacity data'!B:B,'cluster capacity, unallocateds'!B82)</f>
        <v>0</v>
      </c>
      <c r="F82" s="97" t="str">
        <f t="shared" si="11"/>
        <v/>
      </c>
      <c r="G82" s="106">
        <f>SUMIFS('capacity data'!K:K,'capacity data'!E:E,"SPO",'capacity data'!B:B,'cluster capacity, unallocateds'!B82)</f>
        <v>0</v>
      </c>
      <c r="H82" s="202">
        <f t="shared" si="10"/>
        <v>0</v>
      </c>
      <c r="I82" s="206" t="str">
        <f t="shared" si="12"/>
        <v/>
      </c>
    </row>
    <row r="83" spans="2:9" x14ac:dyDescent="0.15">
      <c r="B83" s="93" t="str">
        <f>HLOOKUP($B$4,Region_Table,10,0)</f>
        <v>Ealing and Hillingdon</v>
      </c>
      <c r="C83" s="204">
        <f>SUMIF('capacity data'!B:B,'cluster capacity, unallocateds'!B83,'capacity data'!K:K)</f>
        <v>0</v>
      </c>
      <c r="D83" s="204">
        <f>COUNTIFS('capacity data'!B:B,'cluster capacity, unallocateds'!B83,'capacity data'!E:E,"DMY")</f>
        <v>0</v>
      </c>
      <c r="E83" s="204">
        <f>SUMIFS('capacity data'!K:K,'capacity data'!E:E,"DMY",'capacity data'!B:B,'cluster capacity, unallocateds'!B83)</f>
        <v>0</v>
      </c>
      <c r="F83" s="97" t="str">
        <f t="shared" si="11"/>
        <v/>
      </c>
      <c r="G83" s="106">
        <f>SUMIFS('capacity data'!K:K,'capacity data'!E:E,"SPO",'capacity data'!B:B,'cluster capacity, unallocateds'!B83)</f>
        <v>0</v>
      </c>
      <c r="H83" s="202">
        <f t="shared" si="10"/>
        <v>0</v>
      </c>
      <c r="I83" s="206" t="str">
        <f t="shared" si="12"/>
        <v/>
      </c>
    </row>
    <row r="84" spans="2:9" x14ac:dyDescent="0.15">
      <c r="B84" s="93" t="str">
        <f>HLOOKUP($B$4,Region_Table,11,0)</f>
        <v>Enfield and Haringey</v>
      </c>
      <c r="C84" s="204">
        <f>SUMIF('capacity data'!B:B,'cluster capacity, unallocateds'!B84,'capacity data'!K:K)</f>
        <v>0</v>
      </c>
      <c r="D84" s="204">
        <f>COUNTIFS('capacity data'!B:B,'cluster capacity, unallocateds'!B84,'capacity data'!E:E,"DMY")</f>
        <v>0</v>
      </c>
      <c r="E84" s="204">
        <f>SUMIFS('capacity data'!K:K,'capacity data'!E:E,"DMY",'capacity data'!B:B,'cluster capacity, unallocateds'!B84)</f>
        <v>0</v>
      </c>
      <c r="F84" s="97" t="str">
        <f t="shared" si="11"/>
        <v/>
      </c>
      <c r="G84" s="106">
        <f>SUMIFS('capacity data'!K:K,'capacity data'!E:E,"SPO",'capacity data'!B:B,'cluster capacity, unallocateds'!B84)</f>
        <v>0</v>
      </c>
      <c r="H84" s="202">
        <f t="shared" si="10"/>
        <v>0</v>
      </c>
      <c r="I84" s="206" t="str">
        <f t="shared" si="12"/>
        <v/>
      </c>
    </row>
    <row r="85" spans="2:9" x14ac:dyDescent="0.15">
      <c r="B85" s="93" t="str">
        <f>HLOOKUP($B$4,Region_Table,12,0)</f>
        <v>Greenwich and Bexley</v>
      </c>
      <c r="C85" s="204">
        <f>SUMIF('capacity data'!B:B,'cluster capacity, unallocateds'!B85,'capacity data'!K:K)</f>
        <v>0</v>
      </c>
      <c r="D85" s="204">
        <f>COUNTIFS('capacity data'!B:B,'cluster capacity, unallocateds'!B85,'capacity data'!E:E,"DMY")</f>
        <v>0</v>
      </c>
      <c r="E85" s="204">
        <f>SUMIFS('capacity data'!K:K,'capacity data'!E:E,"DMY",'capacity data'!B:B,'cluster capacity, unallocateds'!B85)</f>
        <v>0</v>
      </c>
      <c r="F85" s="97" t="str">
        <f t="shared" si="11"/>
        <v/>
      </c>
      <c r="G85" s="106">
        <f>SUMIFS('capacity data'!K:K,'capacity data'!E:E,"SPO",'capacity data'!B:B,'cluster capacity, unallocateds'!B85)</f>
        <v>0</v>
      </c>
      <c r="H85" s="202">
        <f t="shared" si="10"/>
        <v>0</v>
      </c>
      <c r="I85" s="206" t="str">
        <f t="shared" si="12"/>
        <v/>
      </c>
    </row>
    <row r="86" spans="2:9" x14ac:dyDescent="0.15">
      <c r="B86" s="93" t="str">
        <f>HLOOKUP($B$4,Region_Table,13,0)</f>
        <v>Hackney and City</v>
      </c>
      <c r="C86" s="204">
        <f>SUMIF('capacity data'!B:B,'cluster capacity, unallocateds'!B86,'capacity data'!K:K)</f>
        <v>0</v>
      </c>
      <c r="D86" s="204">
        <f>COUNTIFS('capacity data'!B:B,'cluster capacity, unallocateds'!B86,'capacity data'!E:E,"DMY")</f>
        <v>0</v>
      </c>
      <c r="E86" s="204">
        <f>SUMIFS('capacity data'!K:K,'capacity data'!E:E,"DMY",'capacity data'!B:B,'cluster capacity, unallocateds'!B86)</f>
        <v>0</v>
      </c>
      <c r="F86" s="97" t="str">
        <f t="shared" si="11"/>
        <v/>
      </c>
      <c r="G86" s="106">
        <f>SUMIFS('capacity data'!K:K,'capacity data'!E:E,"SPO",'capacity data'!B:B,'cluster capacity, unallocateds'!B86)</f>
        <v>0</v>
      </c>
      <c r="H86" s="202">
        <f t="shared" si="10"/>
        <v>0</v>
      </c>
      <c r="I86" s="206" t="str">
        <f t="shared" si="12"/>
        <v/>
      </c>
    </row>
    <row r="87" spans="2:9" x14ac:dyDescent="0.15">
      <c r="B87" s="93" t="str">
        <f>HLOOKUP($B$4,Region_Table,14,0)</f>
        <v>Hammersmith, Fulham, Kensington, Chelsea and Westminster</v>
      </c>
      <c r="C87" s="204">
        <f>SUMIF('capacity data'!B:B,'cluster capacity, unallocateds'!B87,'capacity data'!K:K)</f>
        <v>0</v>
      </c>
      <c r="D87" s="204">
        <f>COUNTIFS('capacity data'!B:B,'cluster capacity, unallocateds'!B87,'capacity data'!E:E,"DMY")</f>
        <v>0</v>
      </c>
      <c r="E87" s="204">
        <f>SUMIFS('capacity data'!K:K,'capacity data'!E:E,"DMY",'capacity data'!B:B,'cluster capacity, unallocateds'!B87)</f>
        <v>0</v>
      </c>
      <c r="F87" s="97" t="str">
        <f t="shared" si="11"/>
        <v/>
      </c>
      <c r="G87" s="106">
        <f>SUMIFS('capacity data'!K:K,'capacity data'!E:E,"SPO",'capacity data'!B:B,'cluster capacity, unallocateds'!B87)</f>
        <v>0</v>
      </c>
      <c r="H87" s="202">
        <f t="shared" si="10"/>
        <v>0</v>
      </c>
      <c r="I87" s="206" t="str">
        <f t="shared" si="12"/>
        <v/>
      </c>
    </row>
    <row r="88" spans="2:9" x14ac:dyDescent="0.15">
      <c r="B88" s="93" t="str">
        <f>HLOOKUP($B$4,Region_Table,15,0)</f>
        <v>Harrow and Barnet</v>
      </c>
      <c r="C88" s="204">
        <f>SUMIF('capacity data'!B:B,'cluster capacity, unallocateds'!B88,'capacity data'!K:K)</f>
        <v>0</v>
      </c>
      <c r="D88" s="204">
        <f>COUNTIFS('capacity data'!B:B,'cluster capacity, unallocateds'!B88,'capacity data'!E:E,"DMY")</f>
        <v>0</v>
      </c>
      <c r="E88" s="204">
        <f>SUMIFS('capacity data'!K:K,'capacity data'!E:E,"DMY",'capacity data'!B:B,'cluster capacity, unallocateds'!B88)</f>
        <v>0</v>
      </c>
      <c r="F88" s="97" t="str">
        <f t="shared" si="11"/>
        <v/>
      </c>
      <c r="G88" s="106">
        <f>SUMIFS('capacity data'!K:K,'capacity data'!E:E,"SPO",'capacity data'!B:B,'cluster capacity, unallocateds'!B88)</f>
        <v>0</v>
      </c>
      <c r="H88" s="202">
        <f t="shared" si="10"/>
        <v>0</v>
      </c>
      <c r="I88" s="206" t="str">
        <f t="shared" si="12"/>
        <v/>
      </c>
    </row>
    <row r="89" spans="2:9" x14ac:dyDescent="0.15">
      <c r="B89" s="93" t="str">
        <f>HLOOKUP($B$4,Region_Table,16,0)</f>
        <v>Headquarters - N07</v>
      </c>
      <c r="C89" s="204">
        <f>SUMIF('capacity data'!B:B,'cluster capacity, unallocateds'!B89,'capacity data'!K:K)</f>
        <v>0</v>
      </c>
      <c r="D89" s="204">
        <f>COUNTIFS('capacity data'!B:B,'cluster capacity, unallocateds'!B89,'capacity data'!E:E,"DMY")</f>
        <v>0</v>
      </c>
      <c r="E89" s="204">
        <f>SUMIFS('capacity data'!K:K,'capacity data'!E:E,"DMY",'capacity data'!B:B,'cluster capacity, unallocateds'!B89)</f>
        <v>0</v>
      </c>
      <c r="F89" s="97" t="str">
        <f t="shared" si="11"/>
        <v/>
      </c>
      <c r="G89" s="106">
        <f>SUMIFS('capacity data'!K:K,'capacity data'!E:E,"SPO",'capacity data'!B:B,'cluster capacity, unallocateds'!B89)</f>
        <v>0</v>
      </c>
      <c r="H89" s="202">
        <f t="shared" si="10"/>
        <v>0</v>
      </c>
      <c r="I89" s="206" t="str">
        <f t="shared" si="12"/>
        <v/>
      </c>
    </row>
    <row r="90" spans="2:9" x14ac:dyDescent="0.15">
      <c r="B90" s="93" t="str">
        <f>HLOOKUP($B$4,Region_Table,17,0)</f>
        <v>Inactive Level 2(N07)</v>
      </c>
      <c r="C90" s="204">
        <f>SUMIF('capacity data'!B:B,'cluster capacity, unallocateds'!B90,'capacity data'!K:K)</f>
        <v>0</v>
      </c>
      <c r="D90" s="204">
        <f>COUNTIFS('capacity data'!B:B,'cluster capacity, unallocateds'!B90,'capacity data'!E:E,"DMY")</f>
        <v>0</v>
      </c>
      <c r="E90" s="204">
        <f>SUMIFS('capacity data'!K:K,'capacity data'!E:E,"DMY",'capacity data'!B:B,'cluster capacity, unallocateds'!B90)</f>
        <v>0</v>
      </c>
      <c r="F90" s="97" t="str">
        <f t="shared" si="11"/>
        <v/>
      </c>
      <c r="G90" s="106">
        <f>SUMIFS('capacity data'!K:K,'capacity data'!E:E,"SPO",'capacity data'!B:B,'cluster capacity, unallocateds'!B90)</f>
        <v>0</v>
      </c>
      <c r="H90" s="202">
        <f t="shared" si="10"/>
        <v>0</v>
      </c>
      <c r="I90" s="206" t="str">
        <f t="shared" si="12"/>
        <v/>
      </c>
    </row>
    <row r="91" spans="2:9" x14ac:dyDescent="0.15">
      <c r="B91" s="93" t="str">
        <f>HLOOKUP($B$4,Region_Table,18,0)</f>
        <v>Kingston, Richmond and Hounslow</v>
      </c>
      <c r="C91" s="204">
        <f>SUMIF('capacity data'!B:B,'cluster capacity, unallocateds'!B91,'capacity data'!K:K)</f>
        <v>0</v>
      </c>
      <c r="D91" s="204">
        <f>COUNTIFS('capacity data'!B:B,'cluster capacity, unallocateds'!B91,'capacity data'!E:E,"DMY")</f>
        <v>0</v>
      </c>
      <c r="E91" s="204">
        <f>SUMIFS('capacity data'!K:K,'capacity data'!E:E,"DMY",'capacity data'!B:B,'cluster capacity, unallocateds'!B91)</f>
        <v>0</v>
      </c>
      <c r="F91" s="97" t="str">
        <f t="shared" ref="F91:F93" si="13">IFERROR(E91/C91,"")</f>
        <v/>
      </c>
      <c r="G91" s="106">
        <f>SUMIFS('capacity data'!K:K,'capacity data'!E:E,"SPO",'capacity data'!B:B,'cluster capacity, unallocateds'!B91)</f>
        <v>0</v>
      </c>
      <c r="H91" s="202">
        <f t="shared" ref="H91:H93" si="14">E91+G91</f>
        <v>0</v>
      </c>
      <c r="I91" s="206" t="str">
        <f t="shared" ref="I91:I93" si="15">IFERROR(H91/C91,"")</f>
        <v/>
      </c>
    </row>
    <row r="92" spans="2:9" x14ac:dyDescent="0.15">
      <c r="B92" s="93" t="str">
        <f>HLOOKUP($B$4,Region_Table,19,0)</f>
        <v>Lambeth - N07</v>
      </c>
      <c r="C92" s="204">
        <f>SUMIF('capacity data'!B:B,'cluster capacity, unallocateds'!B92,'capacity data'!K:K)</f>
        <v>0</v>
      </c>
      <c r="D92" s="204">
        <f>COUNTIFS('capacity data'!B:B,'cluster capacity, unallocateds'!B92,'capacity data'!E:E,"DMY")</f>
        <v>0</v>
      </c>
      <c r="E92" s="204">
        <f>SUMIFS('capacity data'!K:K,'capacity data'!E:E,"DMY",'capacity data'!B:B,'cluster capacity, unallocateds'!B92)</f>
        <v>0</v>
      </c>
      <c r="F92" s="97" t="str">
        <f t="shared" si="13"/>
        <v/>
      </c>
      <c r="G92" s="106">
        <f>SUMIFS('capacity data'!K:K,'capacity data'!E:E,"SPO",'capacity data'!B:B,'cluster capacity, unallocateds'!B92)</f>
        <v>0</v>
      </c>
      <c r="H92" s="202">
        <f t="shared" si="14"/>
        <v>0</v>
      </c>
      <c r="I92" s="206" t="str">
        <f t="shared" si="15"/>
        <v/>
      </c>
    </row>
    <row r="93" spans="2:9" x14ac:dyDescent="0.15">
      <c r="B93" s="93" t="str">
        <f>HLOOKUP($B$4,Region_Table,20,0)</f>
        <v>Lewisham and Bromley</v>
      </c>
      <c r="C93" s="204">
        <f>SUMIF('capacity data'!B:B,'cluster capacity, unallocateds'!B93,'capacity data'!K:K)</f>
        <v>0</v>
      </c>
      <c r="D93" s="204">
        <f>COUNTIFS('capacity data'!B:B,'cluster capacity, unallocateds'!B93,'capacity data'!E:E,"DMY")</f>
        <v>0</v>
      </c>
      <c r="E93" s="204">
        <f>SUMIFS('capacity data'!K:K,'capacity data'!E:E,"DMY",'capacity data'!B:B,'cluster capacity, unallocateds'!B93)</f>
        <v>0</v>
      </c>
      <c r="F93" s="97" t="str">
        <f t="shared" si="13"/>
        <v/>
      </c>
      <c r="G93" s="106">
        <f>SUMIFS('capacity data'!K:K,'capacity data'!E:E,"SPO",'capacity data'!B:B,'cluster capacity, unallocateds'!B93)</f>
        <v>0</v>
      </c>
      <c r="H93" s="202">
        <f t="shared" si="14"/>
        <v>0</v>
      </c>
      <c r="I93" s="206" t="str">
        <f t="shared" si="15"/>
        <v/>
      </c>
    </row>
  </sheetData>
  <mergeCells count="3">
    <mergeCell ref="B1:Z1"/>
    <mergeCell ref="B2:Z2"/>
    <mergeCell ref="C50:K50"/>
  </mergeCells>
  <conditionalFormatting sqref="D8:D26">
    <cfRule type="cellIs" dxfId="3" priority="4" operator="greaterThan">
      <formula>1.1</formula>
    </cfRule>
  </conditionalFormatting>
  <conditionalFormatting sqref="C8:C26">
    <cfRule type="cellIs" dxfId="2" priority="3" operator="greaterThan">
      <formula>1.1</formula>
    </cfRule>
  </conditionalFormatting>
  <conditionalFormatting sqref="E8:E26">
    <cfRule type="cellIs" dxfId="1" priority="2" operator="greaterThan">
      <formula>1.1</formula>
    </cfRule>
  </conditionalFormatting>
  <conditionalFormatting sqref="C8:E26">
    <cfRule type="cellIs" dxfId="0" priority="1" operator="lessThan">
      <formula>0.9</formula>
    </cfRule>
  </conditionalFormatting>
  <dataValidations count="1">
    <dataValidation type="list" allowBlank="1" showInputMessage="1" showErrorMessage="1" sqref="B4" xr:uid="{BE83FA65-4E74-476B-A6A9-84A179B1C858}">
      <formula1>Regions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7"/>
  <dimension ref="A1:R44"/>
  <sheetViews>
    <sheetView showGridLines="0" showRowColHeaders="0" zoomScale="70" zoomScaleNormal="70" workbookViewId="0">
      <selection activeCell="B7" sqref="B7"/>
    </sheetView>
  </sheetViews>
  <sheetFormatPr baseColWidth="10" defaultColWidth="8.83203125" defaultRowHeight="14" x14ac:dyDescent="0.15"/>
  <cols>
    <col min="1" max="1" width="5.5" style="6" customWidth="1"/>
    <col min="2" max="2" width="38.5" customWidth="1"/>
    <col min="3" max="3" width="34" customWidth="1"/>
    <col min="4" max="4" width="14.5" customWidth="1"/>
    <col min="5" max="5" width="15.5" customWidth="1"/>
    <col min="6" max="6" width="28.1640625" customWidth="1"/>
    <col min="7" max="7" width="37.5" customWidth="1"/>
    <col min="8" max="8" width="14.5" customWidth="1"/>
    <col min="10" max="10" width="23.5" customWidth="1"/>
    <col min="11" max="11" width="32.5" bestFit="1" customWidth="1"/>
    <col min="12" max="12" width="28" customWidth="1"/>
  </cols>
  <sheetData>
    <row r="1" spans="1:18" ht="46.5" customHeight="1" x14ac:dyDescent="0.15">
      <c r="A1" s="393" t="s">
        <v>474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</row>
    <row r="2" spans="1:18" ht="40.5" customHeight="1" x14ac:dyDescent="0.15">
      <c r="A2" s="394"/>
      <c r="B2" s="394"/>
      <c r="C2" s="394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</row>
    <row r="4" spans="1:18" ht="16" x14ac:dyDescent="0.2">
      <c r="B4" s="390" t="s">
        <v>475</v>
      </c>
      <c r="C4" s="391"/>
      <c r="D4" s="391"/>
      <c r="E4" s="12"/>
      <c r="F4" s="313" t="s">
        <v>476</v>
      </c>
      <c r="G4" s="313"/>
      <c r="H4" s="392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 x14ac:dyDescent="0.15">
      <c r="B5" s="107" t="s">
        <v>447</v>
      </c>
      <c r="C5" s="107" t="s">
        <v>174</v>
      </c>
      <c r="D5" s="269" t="s">
        <v>202</v>
      </c>
      <c r="E5" s="207"/>
      <c r="F5" s="107" t="s">
        <v>447</v>
      </c>
      <c r="G5" s="107" t="s">
        <v>174</v>
      </c>
      <c r="H5" s="208" t="s">
        <v>203</v>
      </c>
      <c r="I5" s="30"/>
      <c r="J5" s="30"/>
      <c r="K5" s="30"/>
      <c r="L5" s="30"/>
      <c r="M5" s="30"/>
      <c r="N5" s="30"/>
      <c r="O5" s="30"/>
      <c r="P5" s="30"/>
      <c r="Q5" s="30"/>
      <c r="R5" s="30"/>
    </row>
    <row r="6" spans="1:18" x14ac:dyDescent="0.15">
      <c r="B6" s="93" t="e">
        <f>INDEX('capacity data'!O:O,MATCH(C6,'capacity data'!P:P,0))</f>
        <v>#NUM!</v>
      </c>
      <c r="C6" s="93" t="e">
        <f>INDEX('capacity data'!P:P,MATCH(D6,'capacity data'!Q:Q,0))</f>
        <v>#NUM!</v>
      </c>
      <c r="D6" s="209" t="e">
        <f>LARGE('capacity data'!Q:Q,1)</f>
        <v>#NUM!</v>
      </c>
      <c r="E6" s="210"/>
      <c r="F6" s="93" t="e">
        <f>INDEX('capacity data'!O:O,MATCH(G6,'capacity data'!P:P,0))</f>
        <v>#NUM!</v>
      </c>
      <c r="G6" s="93" t="e">
        <f>INDEX('capacity data'!P:P,MATCH(H6,'capacity data'!R:R,0))</f>
        <v>#NUM!</v>
      </c>
      <c r="H6" s="209" t="e">
        <f>SMALL('capacity data'!R:R,1)</f>
        <v>#NUM!</v>
      </c>
      <c r="I6" s="30"/>
      <c r="J6" s="30"/>
      <c r="K6" s="30"/>
      <c r="L6" s="30"/>
      <c r="M6" s="30"/>
      <c r="N6" s="30"/>
      <c r="O6" s="30"/>
      <c r="P6" s="30"/>
      <c r="Q6" s="30"/>
      <c r="R6" s="30"/>
    </row>
    <row r="7" spans="1:18" x14ac:dyDescent="0.15">
      <c r="B7" s="93" t="e">
        <f>INDEX('capacity data'!O:O,MATCH(C7,'capacity data'!P:P,0))</f>
        <v>#NUM!</v>
      </c>
      <c r="C7" s="93" t="e">
        <f>INDEX('capacity data'!P:P,MATCH(D7,'capacity data'!Q:Q,0))</f>
        <v>#NUM!</v>
      </c>
      <c r="D7" s="209" t="e">
        <f>LARGE('capacity data'!Q:Q,2)</f>
        <v>#NUM!</v>
      </c>
      <c r="E7" s="210"/>
      <c r="F7" s="93" t="e">
        <f>INDEX('capacity data'!O:O,MATCH(G7,'capacity data'!P:P,0))</f>
        <v>#NUM!</v>
      </c>
      <c r="G7" s="93" t="e">
        <f>INDEX('capacity data'!P:P,MATCH(H7,'capacity data'!R:R,0))</f>
        <v>#NUM!</v>
      </c>
      <c r="H7" s="209" t="e">
        <f>SMALL('capacity data'!R:R,2)</f>
        <v>#NUM!</v>
      </c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x14ac:dyDescent="0.15">
      <c r="B8" s="93" t="e">
        <f>INDEX('capacity data'!O:O,MATCH(C8,'capacity data'!P:P,0))</f>
        <v>#NUM!</v>
      </c>
      <c r="C8" s="93" t="e">
        <f>INDEX('capacity data'!P:P,MATCH(D8,'capacity data'!Q:Q,0))</f>
        <v>#NUM!</v>
      </c>
      <c r="D8" s="209" t="e">
        <f>LARGE('capacity data'!Q:Q,3)</f>
        <v>#NUM!</v>
      </c>
      <c r="E8" s="210"/>
      <c r="F8" s="93" t="e">
        <f>INDEX('capacity data'!O:O,MATCH(G8,'capacity data'!P:P,0))</f>
        <v>#NUM!</v>
      </c>
      <c r="G8" s="93" t="e">
        <f>INDEX('capacity data'!P:P,MATCH(H8,'capacity data'!R:R,0))</f>
        <v>#NUM!</v>
      </c>
      <c r="H8" s="209" t="e">
        <f>SMALL('capacity data'!R:R,3)</f>
        <v>#NUM!</v>
      </c>
      <c r="I8" s="30"/>
      <c r="J8" s="30"/>
      <c r="K8" s="30"/>
      <c r="L8" s="30"/>
      <c r="M8" s="30"/>
      <c r="N8" s="30"/>
      <c r="O8" s="30"/>
      <c r="P8" s="30"/>
      <c r="Q8" s="30"/>
      <c r="R8" s="30"/>
    </row>
    <row r="9" spans="1:18" x14ac:dyDescent="0.15">
      <c r="B9" s="93" t="e">
        <f>INDEX('capacity data'!O:O,MATCH(C9,'capacity data'!P:P,0))</f>
        <v>#NUM!</v>
      </c>
      <c r="C9" s="93" t="e">
        <f>INDEX('capacity data'!P:P,MATCH(D9,'capacity data'!Q:Q,0))</f>
        <v>#NUM!</v>
      </c>
      <c r="D9" s="209" t="e">
        <f>LARGE('capacity data'!Q:Q,4)</f>
        <v>#NUM!</v>
      </c>
      <c r="E9" s="210"/>
      <c r="F9" s="93" t="e">
        <f>INDEX('capacity data'!O:O,MATCH(G9,'capacity data'!P:P,0))</f>
        <v>#NUM!</v>
      </c>
      <c r="G9" s="93" t="e">
        <f>INDEX('capacity data'!P:P,MATCH(H9,'capacity data'!R:R,0))</f>
        <v>#NUM!</v>
      </c>
      <c r="H9" s="209" t="e">
        <f>SMALL('capacity data'!R:R,4)</f>
        <v>#NUM!</v>
      </c>
      <c r="I9" s="30"/>
      <c r="J9" s="30"/>
      <c r="K9" s="30"/>
      <c r="L9" s="30"/>
      <c r="M9" s="30"/>
      <c r="N9" s="30"/>
      <c r="O9" s="30"/>
      <c r="P9" s="30"/>
      <c r="Q9" s="30"/>
      <c r="R9" s="30"/>
    </row>
    <row r="10" spans="1:18" x14ac:dyDescent="0.15">
      <c r="B10" s="93" t="e">
        <f>INDEX('capacity data'!O:O,MATCH(C10,'capacity data'!P:P,0))</f>
        <v>#NUM!</v>
      </c>
      <c r="C10" s="93" t="e">
        <f>INDEX('capacity data'!P:P,MATCH(D10,'capacity data'!Q:Q,0))</f>
        <v>#NUM!</v>
      </c>
      <c r="D10" s="209" t="e">
        <f>LARGE('capacity data'!Q:Q,5)</f>
        <v>#NUM!</v>
      </c>
      <c r="E10" s="210"/>
      <c r="F10" s="93" t="e">
        <f>INDEX('capacity data'!O:O,MATCH(G10,'capacity data'!P:P,0))</f>
        <v>#NUM!</v>
      </c>
      <c r="G10" s="93" t="e">
        <f>INDEX('capacity data'!P:P,MATCH(H10,'capacity data'!R:R,0))</f>
        <v>#NUM!</v>
      </c>
      <c r="H10" s="209" t="e">
        <f>SMALL('capacity data'!R:R,5)</f>
        <v>#NUM!</v>
      </c>
      <c r="I10" s="30"/>
      <c r="J10" s="30"/>
      <c r="K10" s="30"/>
      <c r="L10" s="30"/>
      <c r="M10" s="30"/>
      <c r="N10" s="30"/>
      <c r="O10" s="30"/>
      <c r="P10" s="30"/>
      <c r="Q10" s="30"/>
      <c r="R10" s="30"/>
    </row>
    <row r="11" spans="1:18" x14ac:dyDescent="0.15">
      <c r="B11" s="93" t="e">
        <f>INDEX('capacity data'!O:O,MATCH(C11,'capacity data'!P:P,0))</f>
        <v>#NUM!</v>
      </c>
      <c r="C11" s="93" t="e">
        <f>INDEX('capacity data'!P:P,MATCH(D11,'capacity data'!Q:Q,0))</f>
        <v>#NUM!</v>
      </c>
      <c r="D11" s="209" t="e">
        <f>LARGE('capacity data'!Q:Q,6)</f>
        <v>#NUM!</v>
      </c>
      <c r="E11" s="210"/>
      <c r="F11" s="93" t="e">
        <f>INDEX('capacity data'!O:O,MATCH(G11,'capacity data'!P:P,0))</f>
        <v>#NUM!</v>
      </c>
      <c r="G11" s="93" t="e">
        <f>INDEX('capacity data'!P:P,MATCH(H11,'capacity data'!R:R,0))</f>
        <v>#NUM!</v>
      </c>
      <c r="H11" s="209" t="e">
        <f>SMALL('capacity data'!R:R,6)</f>
        <v>#NUM!</v>
      </c>
      <c r="I11" s="30"/>
      <c r="J11" s="30"/>
      <c r="K11" s="30"/>
      <c r="L11" s="30"/>
      <c r="M11" s="30"/>
      <c r="N11" s="30"/>
      <c r="O11" s="30"/>
      <c r="P11" s="30"/>
      <c r="Q11" s="30"/>
      <c r="R11" s="30"/>
    </row>
    <row r="12" spans="1:18" x14ac:dyDescent="0.15">
      <c r="B12" s="93" t="e">
        <f>INDEX('capacity data'!O:O,MATCH(C12,'capacity data'!P:P,0))</f>
        <v>#NUM!</v>
      </c>
      <c r="C12" s="93" t="e">
        <f>INDEX('capacity data'!P:P,MATCH(D12,'capacity data'!Q:Q,0))</f>
        <v>#NUM!</v>
      </c>
      <c r="D12" s="209" t="e">
        <f>LARGE('capacity data'!Q:Q,7)</f>
        <v>#NUM!</v>
      </c>
      <c r="E12" s="210"/>
      <c r="F12" s="93" t="e">
        <f>INDEX('capacity data'!O:O,MATCH(G12,'capacity data'!P:P,0))</f>
        <v>#NUM!</v>
      </c>
      <c r="G12" s="93" t="e">
        <f>INDEX('capacity data'!P:P,MATCH(H12,'capacity data'!R:R,0))</f>
        <v>#NUM!</v>
      </c>
      <c r="H12" s="209" t="e">
        <f>SMALL('capacity data'!R:R,7)</f>
        <v>#NUM!</v>
      </c>
      <c r="I12" s="30"/>
      <c r="J12" s="30"/>
      <c r="K12" s="30"/>
      <c r="L12" s="30"/>
      <c r="M12" s="30"/>
      <c r="N12" s="30"/>
      <c r="O12" s="30"/>
      <c r="P12" s="30"/>
      <c r="Q12" s="30"/>
      <c r="R12" s="30"/>
    </row>
    <row r="13" spans="1:18" x14ac:dyDescent="0.15">
      <c r="B13" s="93" t="e">
        <f>INDEX('capacity data'!O:O,MATCH(C13,'capacity data'!P:P,0))</f>
        <v>#NUM!</v>
      </c>
      <c r="C13" s="93" t="e">
        <f>INDEX('capacity data'!P:P,MATCH(D13,'capacity data'!Q:Q,0))</f>
        <v>#NUM!</v>
      </c>
      <c r="D13" s="209" t="e">
        <f>LARGE('capacity data'!Q:Q,8)</f>
        <v>#NUM!</v>
      </c>
      <c r="E13" s="210"/>
      <c r="F13" s="93" t="e">
        <f>INDEX('capacity data'!O:O,MATCH(G13,'capacity data'!P:P,0))</f>
        <v>#NUM!</v>
      </c>
      <c r="G13" s="93" t="e">
        <f>INDEX('capacity data'!P:P,MATCH(H13,'capacity data'!R:R,0))</f>
        <v>#NUM!</v>
      </c>
      <c r="H13" s="209" t="e">
        <f>SMALL('capacity data'!R:R,8)</f>
        <v>#NUM!</v>
      </c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18" x14ac:dyDescent="0.15">
      <c r="B14" s="93" t="e">
        <f>INDEX('capacity data'!O:O,MATCH(C14,'capacity data'!P:P,0))</f>
        <v>#NUM!</v>
      </c>
      <c r="C14" s="93" t="e">
        <f>INDEX('capacity data'!P:P,MATCH(D14,'capacity data'!Q:Q,0))</f>
        <v>#NUM!</v>
      </c>
      <c r="D14" s="209" t="e">
        <f>LARGE('capacity data'!Q:Q,9)</f>
        <v>#NUM!</v>
      </c>
      <c r="E14" s="210"/>
      <c r="F14" s="93" t="e">
        <f>INDEX('capacity data'!O:O,MATCH(G14,'capacity data'!P:P,0))</f>
        <v>#NUM!</v>
      </c>
      <c r="G14" s="93" t="e">
        <f>INDEX('capacity data'!P:P,MATCH(H14,'capacity data'!R:R,0))</f>
        <v>#NUM!</v>
      </c>
      <c r="H14" s="209" t="e">
        <f>SMALL('capacity data'!R:R,9)</f>
        <v>#NUM!</v>
      </c>
      <c r="I14" s="30"/>
      <c r="J14" s="30"/>
      <c r="K14" s="30"/>
      <c r="L14" s="30"/>
      <c r="M14" s="30"/>
      <c r="N14" s="30"/>
      <c r="O14" s="30"/>
      <c r="P14" s="30"/>
      <c r="Q14" s="30"/>
      <c r="R14" s="30"/>
    </row>
    <row r="15" spans="1:18" x14ac:dyDescent="0.15">
      <c r="B15" s="93" t="e">
        <f>INDEX('capacity data'!O:O,MATCH(C15,'capacity data'!P:P,0))</f>
        <v>#NUM!</v>
      </c>
      <c r="C15" s="93" t="e">
        <f>INDEX('capacity data'!P:P,MATCH(D15,'capacity data'!Q:Q,0))</f>
        <v>#NUM!</v>
      </c>
      <c r="D15" s="209" t="e">
        <f>LARGE('capacity data'!Q:Q,10)</f>
        <v>#NUM!</v>
      </c>
      <c r="E15" s="210"/>
      <c r="F15" s="93" t="e">
        <f>INDEX('capacity data'!O:O,MATCH(G15,'capacity data'!P:P,0))</f>
        <v>#NUM!</v>
      </c>
      <c r="G15" s="93" t="e">
        <f>INDEX('capacity data'!P:P,MATCH(H15,'capacity data'!R:R,0))</f>
        <v>#NUM!</v>
      </c>
      <c r="H15" s="209" t="e">
        <f>SMALL('capacity data'!R:R,10)</f>
        <v>#NUM!</v>
      </c>
      <c r="I15" s="30"/>
      <c r="J15" s="30"/>
      <c r="K15" s="30"/>
      <c r="L15" s="30"/>
      <c r="M15" s="30"/>
      <c r="N15" s="30"/>
      <c r="O15" s="30"/>
      <c r="P15" s="30"/>
      <c r="Q15" s="30"/>
      <c r="R15" s="30"/>
    </row>
    <row r="17" spans="2:12" x14ac:dyDescent="0.15">
      <c r="B17" s="395" t="s">
        <v>477</v>
      </c>
      <c r="C17" s="396"/>
      <c r="D17" s="397"/>
      <c r="E17" s="30"/>
      <c r="F17" s="388" t="s">
        <v>478</v>
      </c>
      <c r="G17" s="388"/>
      <c r="H17" s="388"/>
      <c r="I17" s="30"/>
      <c r="J17" s="388" t="s">
        <v>479</v>
      </c>
      <c r="K17" s="388"/>
      <c r="L17" s="388"/>
    </row>
    <row r="18" spans="2:12" ht="30.75" customHeight="1" x14ac:dyDescent="0.15">
      <c r="B18" s="398"/>
      <c r="C18" s="399"/>
      <c r="D18" s="400"/>
      <c r="E18" s="30"/>
      <c r="F18" s="389"/>
      <c r="G18" s="389"/>
      <c r="H18" s="389"/>
      <c r="I18" s="30"/>
      <c r="J18" s="389"/>
      <c r="K18" s="389"/>
      <c r="L18" s="389"/>
    </row>
    <row r="19" spans="2:12" ht="39" customHeight="1" x14ac:dyDescent="0.15">
      <c r="B19" s="107" t="s">
        <v>447</v>
      </c>
      <c r="C19" s="107" t="s">
        <v>174</v>
      </c>
      <c r="D19" s="269" t="s">
        <v>400</v>
      </c>
      <c r="E19" s="30"/>
      <c r="F19" s="107" t="s">
        <v>447</v>
      </c>
      <c r="G19" s="107" t="s">
        <v>174</v>
      </c>
      <c r="H19" s="107" t="s">
        <v>401</v>
      </c>
      <c r="I19" s="30"/>
      <c r="J19" s="107" t="s">
        <v>447</v>
      </c>
      <c r="K19" s="107" t="s">
        <v>174</v>
      </c>
      <c r="L19" s="107" t="s">
        <v>401</v>
      </c>
    </row>
    <row r="20" spans="2:12" x14ac:dyDescent="0.15">
      <c r="B20" s="93" t="e">
        <f>INDEX('capacity data'!O:O,MATCH(C20,'capacity data'!P:P,0))</f>
        <v>#NUM!</v>
      </c>
      <c r="C20" s="93" t="e">
        <f>INDEX('capacity data'!P:P,MATCH(D20,'capacity data'!S:S,0))</f>
        <v>#NUM!</v>
      </c>
      <c r="D20" s="209" t="e">
        <f>LARGE('capacity data'!S:S,1)</f>
        <v>#NUM!</v>
      </c>
      <c r="E20" s="30"/>
      <c r="F20" s="93" t="e">
        <f>INDEX('capacity data'!O:O,MATCH(H20,'capacity data'!T:T,0))</f>
        <v>#NUM!</v>
      </c>
      <c r="G20" s="93" t="e">
        <f>INDEX('capacity data'!P:P,MATCH(H20,'capacity data'!T:T,0))</f>
        <v>#NUM!</v>
      </c>
      <c r="H20" s="97" t="e">
        <f>LARGE('capacity data'!$T:$T,1)</f>
        <v>#NUM!</v>
      </c>
      <c r="I20" s="30"/>
      <c r="J20" s="93" t="e">
        <f>INDEX('capacity data'!O:O,MATCH(L20,'capacity data'!T:T,0))</f>
        <v>#NUM!</v>
      </c>
      <c r="K20" s="93" t="e">
        <f>INDEX('capacity data'!P:P,MATCH(L20,'capacity data'!T:T,0))</f>
        <v>#NUM!</v>
      </c>
      <c r="L20" s="97" t="e">
        <f>SMALL('capacity data'!$T:$T,1)</f>
        <v>#NUM!</v>
      </c>
    </row>
    <row r="21" spans="2:12" x14ac:dyDescent="0.15">
      <c r="B21" s="93" t="e">
        <f>INDEX('capacity data'!O:O,MATCH(C21,'capacity data'!P:P,0))</f>
        <v>#NUM!</v>
      </c>
      <c r="C21" s="93" t="e">
        <f>INDEX('capacity data'!P:P,MATCH(D21,'capacity data'!S:S,0))</f>
        <v>#NUM!</v>
      </c>
      <c r="D21" s="209" t="e">
        <f>LARGE('capacity data'!S:S,2)</f>
        <v>#NUM!</v>
      </c>
      <c r="E21" s="30"/>
      <c r="F21" s="93" t="e">
        <f>INDEX('capacity data'!O:O,MATCH(H21,'capacity data'!T:T,0))</f>
        <v>#NUM!</v>
      </c>
      <c r="G21" s="93" t="e">
        <f>INDEX('capacity data'!P:P,MATCH(H21,'capacity data'!T:T,0))</f>
        <v>#NUM!</v>
      </c>
      <c r="H21" s="97" t="e">
        <f>LARGE('capacity data'!$T:$T,2)</f>
        <v>#NUM!</v>
      </c>
      <c r="I21" s="30"/>
      <c r="J21" s="93" t="e">
        <f>INDEX('capacity data'!O:O,MATCH(L21,'capacity data'!T:T,0))</f>
        <v>#NUM!</v>
      </c>
      <c r="K21" s="93" t="e">
        <f>INDEX('capacity data'!P:P,MATCH(L21,'capacity data'!T:T,0))</f>
        <v>#NUM!</v>
      </c>
      <c r="L21" s="97" t="e">
        <f>SMALL('capacity data'!$T:$T,2)</f>
        <v>#NUM!</v>
      </c>
    </row>
    <row r="22" spans="2:12" x14ac:dyDescent="0.15">
      <c r="B22" s="93" t="e">
        <f>INDEX('capacity data'!O:O,MATCH(C22,'capacity data'!P:P,0))</f>
        <v>#NUM!</v>
      </c>
      <c r="C22" s="93" t="e">
        <f>INDEX('capacity data'!P:P,MATCH(D22,'capacity data'!S:S,0))</f>
        <v>#NUM!</v>
      </c>
      <c r="D22" s="209" t="e">
        <f>LARGE('capacity data'!S:S,3)</f>
        <v>#NUM!</v>
      </c>
      <c r="E22" s="30"/>
      <c r="F22" s="93" t="e">
        <f>INDEX('capacity data'!O:O,MATCH(H22,'capacity data'!T:T,0))</f>
        <v>#NUM!</v>
      </c>
      <c r="G22" s="93" t="e">
        <f>INDEX('capacity data'!P:P,MATCH(H22,'capacity data'!T:T,0))</f>
        <v>#NUM!</v>
      </c>
      <c r="H22" s="97" t="e">
        <f>LARGE('capacity data'!$T:$T,3)</f>
        <v>#NUM!</v>
      </c>
      <c r="I22" s="30"/>
      <c r="J22" s="93" t="e">
        <f>INDEX('capacity data'!O:O,MATCH(L22,'capacity data'!T:T,0))</f>
        <v>#NUM!</v>
      </c>
      <c r="K22" s="93" t="e">
        <f>INDEX('capacity data'!P:P,MATCH(L22,'capacity data'!T:T,0))</f>
        <v>#NUM!</v>
      </c>
      <c r="L22" s="97" t="e">
        <f>SMALL('capacity data'!$T:$T,3)</f>
        <v>#NUM!</v>
      </c>
    </row>
    <row r="23" spans="2:12" x14ac:dyDescent="0.15">
      <c r="B23" s="93" t="e">
        <f>INDEX('capacity data'!O:O,MATCH(C23,'capacity data'!P:P,0))</f>
        <v>#NUM!</v>
      </c>
      <c r="C23" s="93" t="e">
        <f>INDEX('capacity data'!P:P,MATCH(D23,'capacity data'!S:S,0))</f>
        <v>#NUM!</v>
      </c>
      <c r="D23" s="209" t="e">
        <f>LARGE('capacity data'!S:S,4)</f>
        <v>#NUM!</v>
      </c>
      <c r="E23" s="30"/>
      <c r="F23" s="93" t="e">
        <f>INDEX('capacity data'!O:O,MATCH(H23,'capacity data'!T:T,0))</f>
        <v>#NUM!</v>
      </c>
      <c r="G23" s="93" t="e">
        <f>INDEX('capacity data'!P:P,MATCH(H23,'capacity data'!T:T,0))</f>
        <v>#NUM!</v>
      </c>
      <c r="H23" s="97" t="e">
        <f>LARGE('capacity data'!$T:$T,4)</f>
        <v>#NUM!</v>
      </c>
      <c r="I23" s="30"/>
      <c r="J23" s="93" t="e">
        <f>INDEX('capacity data'!O:O,MATCH(L23,'capacity data'!T:T,0))</f>
        <v>#NUM!</v>
      </c>
      <c r="K23" s="93" t="e">
        <f>INDEX('capacity data'!P:P,MATCH(L23,'capacity data'!T:T,0))</f>
        <v>#NUM!</v>
      </c>
      <c r="L23" s="97" t="e">
        <f>SMALL('capacity data'!$T:$T,4)</f>
        <v>#NUM!</v>
      </c>
    </row>
    <row r="24" spans="2:12" x14ac:dyDescent="0.15">
      <c r="B24" s="93" t="e">
        <f>INDEX('capacity data'!O:O,MATCH(C24,'capacity data'!P:P,0))</f>
        <v>#NUM!</v>
      </c>
      <c r="C24" s="93" t="e">
        <f>INDEX('capacity data'!P:P,MATCH(D24,'capacity data'!S:S,0))</f>
        <v>#NUM!</v>
      </c>
      <c r="D24" s="209" t="e">
        <f>LARGE('capacity data'!S:S,5)</f>
        <v>#NUM!</v>
      </c>
      <c r="E24" s="30"/>
      <c r="F24" s="93" t="e">
        <f>INDEX('capacity data'!O:O,MATCH(H24,'capacity data'!T:T,0))</f>
        <v>#NUM!</v>
      </c>
      <c r="G24" s="93" t="e">
        <f>INDEX('capacity data'!P:P,MATCH(H24,'capacity data'!T:T,0))</f>
        <v>#NUM!</v>
      </c>
      <c r="H24" s="97" t="e">
        <f>LARGE('capacity data'!$T:$T,5)</f>
        <v>#NUM!</v>
      </c>
      <c r="I24" s="30"/>
      <c r="J24" s="93" t="e">
        <f>INDEX('capacity data'!O:O,MATCH(L24,'capacity data'!T:T,0))</f>
        <v>#NUM!</v>
      </c>
      <c r="K24" s="93" t="e">
        <f>INDEX('capacity data'!P:P,MATCH(L24,'capacity data'!T:T,0))</f>
        <v>#NUM!</v>
      </c>
      <c r="L24" s="97" t="e">
        <f>SMALL('capacity data'!$T:$T,5)</f>
        <v>#NUM!</v>
      </c>
    </row>
    <row r="25" spans="2:12" x14ac:dyDescent="0.15">
      <c r="B25" s="93" t="e">
        <f>INDEX('capacity data'!O:O,MATCH(C25,'capacity data'!P:P,0))</f>
        <v>#NUM!</v>
      </c>
      <c r="C25" s="93" t="e">
        <f>INDEX('capacity data'!P:P,MATCH(D25,'capacity data'!S:S,0))</f>
        <v>#NUM!</v>
      </c>
      <c r="D25" s="209" t="e">
        <f>LARGE('capacity data'!S:S,6)</f>
        <v>#NUM!</v>
      </c>
      <c r="E25" s="30"/>
      <c r="F25" s="93" t="e">
        <f>INDEX('capacity data'!O:O,MATCH(H25,'capacity data'!T:T,0))</f>
        <v>#NUM!</v>
      </c>
      <c r="G25" s="93" t="e">
        <f>INDEX('capacity data'!P:P,MATCH(H25,'capacity data'!T:T,0))</f>
        <v>#NUM!</v>
      </c>
      <c r="H25" s="97" t="e">
        <f>LARGE('capacity data'!$T:$T,6)</f>
        <v>#NUM!</v>
      </c>
      <c r="I25" s="30"/>
      <c r="J25" s="93" t="e">
        <f>INDEX('capacity data'!O:O,MATCH(L25,'capacity data'!T:T,0))</f>
        <v>#NUM!</v>
      </c>
      <c r="K25" s="93" t="e">
        <f>INDEX('capacity data'!P:P,MATCH(L25,'capacity data'!T:T,0))</f>
        <v>#NUM!</v>
      </c>
      <c r="L25" s="97" t="e">
        <f>SMALL('capacity data'!$T:$T,6)</f>
        <v>#NUM!</v>
      </c>
    </row>
    <row r="26" spans="2:12" x14ac:dyDescent="0.15">
      <c r="B26" s="93" t="e">
        <f>INDEX('capacity data'!O:O,MATCH(C26,'capacity data'!P:P,0))</f>
        <v>#NUM!</v>
      </c>
      <c r="C26" s="93" t="e">
        <f>INDEX('capacity data'!P:P,MATCH(D26,'capacity data'!S:S,0))</f>
        <v>#NUM!</v>
      </c>
      <c r="D26" s="209" t="e">
        <f>LARGE('capacity data'!S:S,7)</f>
        <v>#NUM!</v>
      </c>
      <c r="E26" s="30"/>
      <c r="F26" s="93" t="e">
        <f>INDEX('capacity data'!O:O,MATCH(H26,'capacity data'!T:T,0))</f>
        <v>#NUM!</v>
      </c>
      <c r="G26" s="93" t="e">
        <f>INDEX('capacity data'!P:P,MATCH(H26,'capacity data'!T:T,0))</f>
        <v>#NUM!</v>
      </c>
      <c r="H26" s="97" t="e">
        <f>LARGE('capacity data'!$T:$T,7)</f>
        <v>#NUM!</v>
      </c>
      <c r="I26" s="30"/>
      <c r="J26" s="93" t="e">
        <f>INDEX('capacity data'!O:O,MATCH(L26,'capacity data'!T:T,0))</f>
        <v>#NUM!</v>
      </c>
      <c r="K26" s="93" t="e">
        <f>INDEX('capacity data'!P:P,MATCH(L26,'capacity data'!T:T,0))</f>
        <v>#NUM!</v>
      </c>
      <c r="L26" s="97" t="e">
        <f>SMALL('capacity data'!$T:$T,7)</f>
        <v>#NUM!</v>
      </c>
    </row>
    <row r="27" spans="2:12" x14ac:dyDescent="0.15">
      <c r="B27" s="93" t="e">
        <f>INDEX('capacity data'!O:O,MATCH(C27,'capacity data'!P:P,0))</f>
        <v>#NUM!</v>
      </c>
      <c r="C27" s="93" t="e">
        <f>INDEX('capacity data'!P:P,MATCH(D27,'capacity data'!S:S,0))</f>
        <v>#NUM!</v>
      </c>
      <c r="D27" s="209" t="e">
        <f>LARGE('capacity data'!S:S,8)</f>
        <v>#NUM!</v>
      </c>
      <c r="E27" s="30"/>
      <c r="F27" s="93" t="e">
        <f>INDEX('capacity data'!O:O,MATCH(H27,'capacity data'!T:T,0))</f>
        <v>#NUM!</v>
      </c>
      <c r="G27" s="93" t="e">
        <f>INDEX('capacity data'!P:P,MATCH(H27,'capacity data'!T:T,0))</f>
        <v>#NUM!</v>
      </c>
      <c r="H27" s="97" t="e">
        <f>LARGE('capacity data'!$T:$T,8)</f>
        <v>#NUM!</v>
      </c>
      <c r="I27" s="30"/>
      <c r="J27" s="93" t="e">
        <f>INDEX('capacity data'!O:O,MATCH(L27,'capacity data'!T:T,0))</f>
        <v>#NUM!</v>
      </c>
      <c r="K27" s="93" t="e">
        <f>INDEX('capacity data'!P:P,MATCH(L27,'capacity data'!T:T,0))</f>
        <v>#NUM!</v>
      </c>
      <c r="L27" s="97" t="e">
        <f>SMALL('capacity data'!$T:$T,8)</f>
        <v>#NUM!</v>
      </c>
    </row>
    <row r="28" spans="2:12" x14ac:dyDescent="0.15">
      <c r="B28" s="93" t="e">
        <f>INDEX('capacity data'!O:O,MATCH(C28,'capacity data'!P:P,0))</f>
        <v>#NUM!</v>
      </c>
      <c r="C28" s="93" t="e">
        <f>INDEX('capacity data'!P:P,MATCH(D28,'capacity data'!S:S,0))</f>
        <v>#NUM!</v>
      </c>
      <c r="D28" s="209" t="e">
        <f>LARGE('capacity data'!S:S,9)</f>
        <v>#NUM!</v>
      </c>
      <c r="E28" s="30"/>
      <c r="F28" s="93" t="e">
        <f>INDEX('capacity data'!O:O,MATCH(H28,'capacity data'!T:T,0))</f>
        <v>#NUM!</v>
      </c>
      <c r="G28" s="93" t="e">
        <f>INDEX('capacity data'!P:P,MATCH(H28,'capacity data'!T:T,0))</f>
        <v>#NUM!</v>
      </c>
      <c r="H28" s="97" t="e">
        <f>LARGE('capacity data'!$T:$T,9)</f>
        <v>#NUM!</v>
      </c>
      <c r="I28" s="30"/>
      <c r="J28" s="93" t="e">
        <f>INDEX('capacity data'!O:O,MATCH(L28,'capacity data'!T:T,0))</f>
        <v>#NUM!</v>
      </c>
      <c r="K28" s="93" t="e">
        <f>INDEX('capacity data'!P:P,MATCH(L28,'capacity data'!T:T,0))</f>
        <v>#NUM!</v>
      </c>
      <c r="L28" s="97" t="e">
        <f>SMALL('capacity data'!$T:$T,9)</f>
        <v>#NUM!</v>
      </c>
    </row>
    <row r="29" spans="2:12" x14ac:dyDescent="0.15">
      <c r="B29" s="93" t="e">
        <f>INDEX('capacity data'!O:O,MATCH(C29,'capacity data'!P:P,0))</f>
        <v>#NUM!</v>
      </c>
      <c r="C29" s="93" t="e">
        <f>INDEX('capacity data'!P:P,MATCH(D29,'capacity data'!S:S,0))</f>
        <v>#NUM!</v>
      </c>
      <c r="D29" s="209" t="e">
        <f>LARGE('capacity data'!S:S,10)</f>
        <v>#NUM!</v>
      </c>
      <c r="E29" s="30"/>
      <c r="F29" s="93" t="e">
        <f>INDEX('capacity data'!O:O,MATCH(H29,'capacity data'!T:T,0))</f>
        <v>#NUM!</v>
      </c>
      <c r="G29" s="93" t="e">
        <f>INDEX('capacity data'!P:P,MATCH(H29,'capacity data'!T:T,0))</f>
        <v>#NUM!</v>
      </c>
      <c r="H29" s="97" t="e">
        <f>LARGE('capacity data'!$T:$T,10)</f>
        <v>#NUM!</v>
      </c>
      <c r="I29" s="30"/>
      <c r="J29" s="93" t="e">
        <f>INDEX('capacity data'!O:O,MATCH(L29,'capacity data'!T:T,0))</f>
        <v>#NUM!</v>
      </c>
      <c r="K29" s="93" t="e">
        <f>INDEX('capacity data'!P:P,MATCH(L29,'capacity data'!T:T,0))</f>
        <v>#NUM!</v>
      </c>
      <c r="L29" s="97" t="e">
        <f>SMALL('capacity data'!$T:$T,10)</f>
        <v>#NUM!</v>
      </c>
    </row>
    <row r="32" spans="2:12" x14ac:dyDescent="0.15">
      <c r="B32" s="388" t="s">
        <v>480</v>
      </c>
      <c r="C32" s="388"/>
      <c r="D32" s="388"/>
      <c r="E32" s="30"/>
      <c r="F32" s="388" t="s">
        <v>481</v>
      </c>
      <c r="G32" s="388"/>
      <c r="H32" s="388"/>
      <c r="I32" s="30"/>
      <c r="J32" s="30"/>
      <c r="K32" s="30"/>
      <c r="L32" s="30"/>
    </row>
    <row r="33" spans="2:8" ht="30" customHeight="1" x14ac:dyDescent="0.15">
      <c r="B33" s="389"/>
      <c r="C33" s="389"/>
      <c r="D33" s="389"/>
      <c r="E33" s="30"/>
      <c r="F33" s="389"/>
      <c r="G33" s="389"/>
      <c r="H33" s="389"/>
    </row>
    <row r="34" spans="2:8" x14ac:dyDescent="0.15">
      <c r="B34" s="107" t="s">
        <v>447</v>
      </c>
      <c r="C34" s="107" t="s">
        <v>174</v>
      </c>
      <c r="D34" s="107" t="s">
        <v>401</v>
      </c>
      <c r="E34" s="30"/>
      <c r="F34" s="107" t="s">
        <v>447</v>
      </c>
      <c r="G34" s="107" t="s">
        <v>174</v>
      </c>
      <c r="H34" s="107" t="s">
        <v>401</v>
      </c>
    </row>
    <row r="35" spans="2:8" x14ac:dyDescent="0.15">
      <c r="B35" s="93" t="e">
        <f>INDEX('capacity data'!O:O,MATCH(D35,'capacity data'!U:U,0))</f>
        <v>#NUM!</v>
      </c>
      <c r="C35" s="93" t="e">
        <f>INDEX('capacity data'!$P:$P,MATCH(D35,'capacity data'!U:U,0))</f>
        <v>#NUM!</v>
      </c>
      <c r="D35" s="97" t="e">
        <f>LARGE('capacity data'!$U:$U,1)</f>
        <v>#NUM!</v>
      </c>
      <c r="E35" s="30"/>
      <c r="F35" s="93" t="e">
        <f>INDEX('capacity data'!$O:$O,MATCH(H35,'capacity data'!$U:$U,0))</f>
        <v>#NUM!</v>
      </c>
      <c r="G35" s="93" t="e">
        <f>INDEX('capacity data'!$P:$P,MATCH(H35,'capacity data'!$U:$U,0))</f>
        <v>#NUM!</v>
      </c>
      <c r="H35" s="97" t="e">
        <f>SMALL('capacity data'!$U:$U,1)</f>
        <v>#NUM!</v>
      </c>
    </row>
    <row r="36" spans="2:8" x14ac:dyDescent="0.15">
      <c r="B36" s="93" t="e">
        <f>INDEX('capacity data'!O:O,MATCH(D36,'capacity data'!U:U,0))</f>
        <v>#NUM!</v>
      </c>
      <c r="C36" s="93" t="e">
        <f>INDEX('capacity data'!$P:$P,MATCH(D36,'capacity data'!U:U,0))</f>
        <v>#NUM!</v>
      </c>
      <c r="D36" s="97" t="e">
        <f>LARGE('capacity data'!$U:$U,2)</f>
        <v>#NUM!</v>
      </c>
      <c r="E36" s="30"/>
      <c r="F36" s="93" t="e">
        <f>INDEX('capacity data'!$O:$O,MATCH(H36,'capacity data'!$U:$U,0))</f>
        <v>#NUM!</v>
      </c>
      <c r="G36" s="93" t="e">
        <f>INDEX('capacity data'!$P:$P,MATCH(H36,'capacity data'!$U:$U,0))</f>
        <v>#NUM!</v>
      </c>
      <c r="H36" s="97" t="e">
        <f>SMALL('capacity data'!$U:$U,2)</f>
        <v>#NUM!</v>
      </c>
    </row>
    <row r="37" spans="2:8" x14ac:dyDescent="0.15">
      <c r="B37" s="93" t="e">
        <f>INDEX('capacity data'!O:O,MATCH(D37,'capacity data'!U:U,0))</f>
        <v>#NUM!</v>
      </c>
      <c r="C37" s="93" t="e">
        <f>INDEX('capacity data'!$P:$P,MATCH(D37,'capacity data'!U:U,0))</f>
        <v>#NUM!</v>
      </c>
      <c r="D37" s="97" t="e">
        <f>LARGE('capacity data'!$U:$U,3)</f>
        <v>#NUM!</v>
      </c>
      <c r="E37" s="30"/>
      <c r="F37" s="93" t="e">
        <f>INDEX('capacity data'!$O:$O,MATCH(H37,'capacity data'!$U:$U,0))</f>
        <v>#NUM!</v>
      </c>
      <c r="G37" s="93" t="e">
        <f>INDEX('capacity data'!$P:$P,MATCH(H37,'capacity data'!$U:$U,0))</f>
        <v>#NUM!</v>
      </c>
      <c r="H37" s="97" t="e">
        <f>SMALL('capacity data'!$U:$U,3)</f>
        <v>#NUM!</v>
      </c>
    </row>
    <row r="38" spans="2:8" x14ac:dyDescent="0.15">
      <c r="B38" s="93" t="e">
        <f>INDEX('capacity data'!O:O,MATCH(D38,'capacity data'!U:U,0))</f>
        <v>#NUM!</v>
      </c>
      <c r="C38" s="93" t="e">
        <f>INDEX('capacity data'!$P:$P,MATCH(D38,'capacity data'!U:U,0))</f>
        <v>#NUM!</v>
      </c>
      <c r="D38" s="97" t="e">
        <f>LARGE('capacity data'!$U:$U,4)</f>
        <v>#NUM!</v>
      </c>
      <c r="E38" s="30"/>
      <c r="F38" s="93" t="e">
        <f>INDEX('capacity data'!$O:$O,MATCH(H38,'capacity data'!$U:$U,0))</f>
        <v>#NUM!</v>
      </c>
      <c r="G38" s="93" t="e">
        <f>INDEX('capacity data'!$P:$P,MATCH(H38,'capacity data'!$U:$U,0))</f>
        <v>#NUM!</v>
      </c>
      <c r="H38" s="97" t="e">
        <f>SMALL('capacity data'!$U:$U,4)</f>
        <v>#NUM!</v>
      </c>
    </row>
    <row r="39" spans="2:8" x14ac:dyDescent="0.15">
      <c r="B39" s="93" t="e">
        <f>INDEX('capacity data'!O:O,MATCH(D39,'capacity data'!U:U,0))</f>
        <v>#NUM!</v>
      </c>
      <c r="C39" s="93" t="e">
        <f>INDEX('capacity data'!$P:$P,MATCH(D39,'capacity data'!U:U,0))</f>
        <v>#NUM!</v>
      </c>
      <c r="D39" s="97" t="e">
        <f>LARGE('capacity data'!$U:$U,5)</f>
        <v>#NUM!</v>
      </c>
      <c r="E39" s="30"/>
      <c r="F39" s="93" t="e">
        <f>INDEX('capacity data'!$O:$O,MATCH(H39,'capacity data'!$U:$U,0))</f>
        <v>#NUM!</v>
      </c>
      <c r="G39" s="93" t="e">
        <f>INDEX('capacity data'!$P:$P,MATCH(H39,'capacity data'!$U:$U,0))</f>
        <v>#NUM!</v>
      </c>
      <c r="H39" s="97" t="e">
        <f>SMALL('capacity data'!$U:$U,5)</f>
        <v>#NUM!</v>
      </c>
    </row>
    <row r="40" spans="2:8" x14ac:dyDescent="0.15">
      <c r="B40" s="93" t="e">
        <f>INDEX('capacity data'!O:O,MATCH(D40,'capacity data'!U:U,0))</f>
        <v>#NUM!</v>
      </c>
      <c r="C40" s="93" t="e">
        <f>INDEX('capacity data'!$P:$P,MATCH(D40,'capacity data'!U:U,0))</f>
        <v>#NUM!</v>
      </c>
      <c r="D40" s="97" t="e">
        <f>LARGE('capacity data'!$U:$U,6)</f>
        <v>#NUM!</v>
      </c>
      <c r="E40" s="30"/>
      <c r="F40" s="93" t="e">
        <f>INDEX('capacity data'!$O:$O,MATCH(H40,'capacity data'!$U:$U,0))</f>
        <v>#NUM!</v>
      </c>
      <c r="G40" s="93" t="e">
        <f>INDEX('capacity data'!$P:$P,MATCH(H40,'capacity data'!$U:$U,0))</f>
        <v>#NUM!</v>
      </c>
      <c r="H40" s="97" t="e">
        <f>SMALL('capacity data'!$U:$U,6)</f>
        <v>#NUM!</v>
      </c>
    </row>
    <row r="41" spans="2:8" x14ac:dyDescent="0.15">
      <c r="B41" s="93" t="e">
        <f>INDEX('capacity data'!O:O,MATCH(D41,'capacity data'!U:U,0))</f>
        <v>#NUM!</v>
      </c>
      <c r="C41" s="93" t="e">
        <f>INDEX('capacity data'!$P:$P,MATCH(D41,'capacity data'!U:U,0))</f>
        <v>#NUM!</v>
      </c>
      <c r="D41" s="97" t="e">
        <f>LARGE('capacity data'!$U:$U,7)</f>
        <v>#NUM!</v>
      </c>
      <c r="E41" s="30"/>
      <c r="F41" s="93" t="e">
        <f>INDEX('capacity data'!$O:$O,MATCH(H41,'capacity data'!$U:$U,0))</f>
        <v>#NUM!</v>
      </c>
      <c r="G41" s="93" t="e">
        <f>INDEX('capacity data'!$P:$P,MATCH(H41,'capacity data'!$U:$U,0))</f>
        <v>#NUM!</v>
      </c>
      <c r="H41" s="97" t="e">
        <f>SMALL('capacity data'!$U:$U,7)</f>
        <v>#NUM!</v>
      </c>
    </row>
    <row r="42" spans="2:8" x14ac:dyDescent="0.15">
      <c r="B42" s="93" t="e">
        <f>INDEX('capacity data'!O:O,MATCH(D42,'capacity data'!U:U,0))</f>
        <v>#NUM!</v>
      </c>
      <c r="C42" s="93" t="e">
        <f>INDEX('capacity data'!$P:$P,MATCH(D42,'capacity data'!U:U,0))</f>
        <v>#NUM!</v>
      </c>
      <c r="D42" s="97" t="e">
        <f>LARGE('capacity data'!$U:$U,8)</f>
        <v>#NUM!</v>
      </c>
      <c r="E42" s="30"/>
      <c r="F42" s="93" t="e">
        <f>INDEX('capacity data'!$O:$O,MATCH(H42,'capacity data'!$U:$U,0))</f>
        <v>#NUM!</v>
      </c>
      <c r="G42" s="93" t="e">
        <f>INDEX('capacity data'!$P:$P,MATCH(H42,'capacity data'!$U:$U,0))</f>
        <v>#NUM!</v>
      </c>
      <c r="H42" s="97" t="e">
        <f>SMALL('capacity data'!$U:$U,8)</f>
        <v>#NUM!</v>
      </c>
    </row>
    <row r="43" spans="2:8" x14ac:dyDescent="0.15">
      <c r="B43" s="93" t="e">
        <f>INDEX('capacity data'!O:O,MATCH(D43,'capacity data'!U:U,0))</f>
        <v>#NUM!</v>
      </c>
      <c r="C43" s="93" t="e">
        <f>INDEX('capacity data'!$P:$P,MATCH(D43,'capacity data'!U:U,0))</f>
        <v>#NUM!</v>
      </c>
      <c r="D43" s="97" t="e">
        <f>LARGE('capacity data'!$U:$U,9)</f>
        <v>#NUM!</v>
      </c>
      <c r="E43" s="30"/>
      <c r="F43" s="93" t="e">
        <f>INDEX('capacity data'!$O:$O,MATCH(H43,'capacity data'!$U:$U,0))</f>
        <v>#NUM!</v>
      </c>
      <c r="G43" s="93" t="e">
        <f>INDEX('capacity data'!$P:$P,MATCH(H43,'capacity data'!$U:$U,0))</f>
        <v>#NUM!</v>
      </c>
      <c r="H43" s="97" t="e">
        <f>SMALL('capacity data'!$U:$U,9)</f>
        <v>#NUM!</v>
      </c>
    </row>
    <row r="44" spans="2:8" x14ac:dyDescent="0.15">
      <c r="B44" s="93" t="e">
        <f>INDEX('capacity data'!O:O,MATCH(D44,'capacity data'!U:U,0))</f>
        <v>#NUM!</v>
      </c>
      <c r="C44" s="93" t="e">
        <f>INDEX('capacity data'!$P:$P,MATCH(D44,'capacity data'!U:U,0))</f>
        <v>#NUM!</v>
      </c>
      <c r="D44" s="97" t="e">
        <f>LARGE('capacity data'!$U:$U,10)</f>
        <v>#NUM!</v>
      </c>
      <c r="E44" s="30"/>
      <c r="F44" s="93" t="e">
        <f>INDEX('capacity data'!$O:$O,MATCH(H44,'capacity data'!$U:$U,0))</f>
        <v>#NUM!</v>
      </c>
      <c r="G44" s="93" t="e">
        <f>INDEX('capacity data'!$P:$P,MATCH(H44,'capacity data'!$U:$U,0))</f>
        <v>#NUM!</v>
      </c>
      <c r="H44" s="97" t="e">
        <f>SMALL('capacity data'!$U:$U,10)</f>
        <v>#NUM!</v>
      </c>
    </row>
  </sheetData>
  <mergeCells count="9">
    <mergeCell ref="B32:D33"/>
    <mergeCell ref="F32:H33"/>
    <mergeCell ref="B4:D4"/>
    <mergeCell ref="F4:H4"/>
    <mergeCell ref="A1:R1"/>
    <mergeCell ref="A2:R2"/>
    <mergeCell ref="B17:D18"/>
    <mergeCell ref="F17:H18"/>
    <mergeCell ref="J17:L18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1:Q55"/>
  <sheetViews>
    <sheetView showGridLines="0" zoomScale="85" zoomScaleNormal="85" workbookViewId="0">
      <selection activeCell="A50" sqref="A50:XFD50"/>
    </sheetView>
  </sheetViews>
  <sheetFormatPr baseColWidth="10" defaultColWidth="8.83203125" defaultRowHeight="14" x14ac:dyDescent="0.15"/>
  <cols>
    <col min="1" max="1" width="1.5" style="30" customWidth="1"/>
    <col min="2" max="2" width="29.5" bestFit="1" customWidth="1"/>
    <col min="3" max="3" width="11" customWidth="1"/>
    <col min="4" max="4" width="13" customWidth="1"/>
    <col min="5" max="5" width="15.1640625" customWidth="1"/>
    <col min="6" max="6" width="13.5" customWidth="1"/>
    <col min="7" max="7" width="13.83203125" customWidth="1"/>
    <col min="8" max="8" width="35.1640625" style="30" customWidth="1"/>
    <col min="9" max="9" width="11.1640625" style="30" customWidth="1"/>
    <col min="10" max="10" width="16.5" customWidth="1"/>
    <col min="11" max="11" width="15.5" customWidth="1"/>
    <col min="12" max="12" width="12.5" customWidth="1"/>
    <col min="13" max="13" width="14" customWidth="1"/>
    <col min="14" max="14" width="11.83203125" customWidth="1"/>
    <col min="15" max="15" width="35.1640625" bestFit="1" customWidth="1"/>
  </cols>
  <sheetData>
    <row r="1" spans="1:17" s="30" customFormat="1" ht="71.25" customHeight="1" x14ac:dyDescent="0.15">
      <c r="A1" s="401" t="s">
        <v>446</v>
      </c>
      <c r="B1" s="401"/>
      <c r="C1" s="401"/>
      <c r="D1" s="401"/>
      <c r="E1" s="401"/>
      <c r="F1" s="401"/>
      <c r="G1" s="401"/>
      <c r="H1" s="401"/>
      <c r="I1" s="401"/>
      <c r="J1" s="401"/>
      <c r="K1" s="401"/>
      <c r="L1" s="401"/>
      <c r="M1" s="401"/>
      <c r="N1" s="401"/>
      <c r="O1" s="401"/>
      <c r="P1" s="401"/>
      <c r="Q1" s="401"/>
    </row>
    <row r="2" spans="1:17" s="30" customFormat="1" ht="41.25" customHeight="1" x14ac:dyDescent="0.15">
      <c r="A2" s="394"/>
      <c r="B2" s="394"/>
      <c r="C2" s="394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</row>
    <row r="3" spans="1:17" s="6" customFormat="1" ht="30" customHeight="1" x14ac:dyDescent="0.15"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</row>
    <row r="4" spans="1:17" s="30" customFormat="1" ht="17" thickBot="1" x14ac:dyDescent="0.25">
      <c r="B4" s="402" t="s">
        <v>402</v>
      </c>
      <c r="C4" s="403"/>
      <c r="D4" s="403"/>
      <c r="E4" s="403"/>
      <c r="F4" s="403"/>
      <c r="G4" s="52"/>
      <c r="H4" s="406" t="s">
        <v>403</v>
      </c>
      <c r="I4" s="407"/>
      <c r="J4" s="407"/>
      <c r="K4" s="407"/>
      <c r="L4" s="407"/>
      <c r="O4" s="52"/>
    </row>
    <row r="5" spans="1:17" ht="70" x14ac:dyDescent="0.15">
      <c r="B5" s="211"/>
      <c r="C5" s="237" t="s">
        <v>433</v>
      </c>
      <c r="D5" s="237" t="s">
        <v>271</v>
      </c>
      <c r="E5" s="238" t="s">
        <v>434</v>
      </c>
      <c r="F5" s="198" t="s">
        <v>435</v>
      </c>
      <c r="G5" s="212"/>
      <c r="H5" s="211"/>
      <c r="I5" s="198" t="s">
        <v>436</v>
      </c>
      <c r="J5" s="198" t="s">
        <v>437</v>
      </c>
      <c r="K5" s="198" t="s">
        <v>438</v>
      </c>
      <c r="L5" s="198" t="s">
        <v>439</v>
      </c>
      <c r="M5" s="30"/>
      <c r="N5" s="30"/>
      <c r="O5" s="53"/>
      <c r="P5" s="30"/>
      <c r="Q5" s="30"/>
    </row>
    <row r="6" spans="1:17" ht="16" x14ac:dyDescent="0.2">
      <c r="B6" s="181" t="s">
        <v>4</v>
      </c>
      <c r="C6" s="106">
        <f>COUNTIFS('capacity data'!A:A,B6,'capacity data'!E:E,"PO")</f>
        <v>0</v>
      </c>
      <c r="D6" s="106">
        <f>COUNTIFS('capacity data'!A:A,B6,'capacity data'!E:E,"PO",'capacity data'!F:F,"&gt;110%")</f>
        <v>0</v>
      </c>
      <c r="E6" s="98" t="e">
        <f>D6/C6</f>
        <v>#DIV/0!</v>
      </c>
      <c r="F6" s="98" t="e">
        <f t="array" ref="F6">LARGE(IF('capacity data'!A:A=B6,IF('capacity data'!E:E="PO",'capacity data'!F:F)),1)</f>
        <v>#NUM!</v>
      </c>
      <c r="G6" s="213"/>
      <c r="H6" s="181" t="s">
        <v>4</v>
      </c>
      <c r="I6" s="106">
        <f>COUNTIFS('capacity data'!A:A,H6,'capacity data'!E:E,"PSO")</f>
        <v>0</v>
      </c>
      <c r="J6" s="106">
        <f>COUNTIFS('capacity data'!A:A,H6,'capacity data'!E:E,"PSO",'capacity data'!F:F,"&gt;110%")</f>
        <v>0</v>
      </c>
      <c r="K6" s="98" t="e">
        <f>J6/I6</f>
        <v>#DIV/0!</v>
      </c>
      <c r="L6" s="98" t="e">
        <f t="array" ref="L6">LARGE(IF('capacity data'!A:A=H6,IF('capacity data'!E:E="PSO",'capacity data'!F:F)),1)</f>
        <v>#NUM!</v>
      </c>
      <c r="M6" s="30"/>
      <c r="N6" s="30"/>
      <c r="O6" s="7"/>
      <c r="P6" s="30"/>
      <c r="Q6" s="30"/>
    </row>
    <row r="7" spans="1:17" s="30" customFormat="1" ht="16" x14ac:dyDescent="0.2">
      <c r="B7" s="181" t="s">
        <v>1014</v>
      </c>
      <c r="C7" s="106">
        <f>COUNTIFS('capacity data'!A:A,B7,'capacity data'!E:E,"PO")</f>
        <v>0</v>
      </c>
      <c r="D7" s="106">
        <f>COUNTIFS('capacity data'!A:A,B7,'capacity data'!E:E,"PO",'capacity data'!F:F,"&gt;110%")</f>
        <v>0</v>
      </c>
      <c r="E7" s="98" t="e">
        <f t="shared" ref="E7:E17" si="0">D7/C7</f>
        <v>#DIV/0!</v>
      </c>
      <c r="F7" s="98" t="e">
        <f t="array" ref="F7">LARGE(IF('capacity data'!A:A=B7,IF('capacity data'!E:E="PO",'capacity data'!F:F)),1)</f>
        <v>#NUM!</v>
      </c>
      <c r="G7" s="213"/>
      <c r="H7" s="181" t="s">
        <v>1014</v>
      </c>
      <c r="I7" s="106">
        <f>COUNTIFS('capacity data'!A:A,H7,'capacity data'!E:E,"PSO")</f>
        <v>0</v>
      </c>
      <c r="J7" s="106">
        <f>COUNTIFS('capacity data'!A:A,H7,'capacity data'!E:E,"PSO",'capacity data'!F:F,"&gt;110%")</f>
        <v>0</v>
      </c>
      <c r="K7" s="98" t="e">
        <f t="shared" ref="K7:K17" si="1">J7/I7</f>
        <v>#DIV/0!</v>
      </c>
      <c r="L7" s="98" t="e">
        <f t="array" ref="L7">LARGE(IF('capacity data'!A:A=H7,IF('capacity data'!E:E="PSO",'capacity data'!F:F)),1)</f>
        <v>#NUM!</v>
      </c>
      <c r="O7" s="7"/>
    </row>
    <row r="8" spans="1:17" s="30" customFormat="1" ht="16" x14ac:dyDescent="0.2">
      <c r="B8" s="181" t="s">
        <v>5</v>
      </c>
      <c r="C8" s="106">
        <f>COUNTIFS('capacity data'!A:A,B8,'capacity data'!E:E,"PO")</f>
        <v>0</v>
      </c>
      <c r="D8" s="106">
        <f>COUNTIFS('capacity data'!A:A,B8,'capacity data'!E:E,"PO",'capacity data'!F:F,"&gt;110%")</f>
        <v>0</v>
      </c>
      <c r="E8" s="98" t="e">
        <f t="shared" si="0"/>
        <v>#DIV/0!</v>
      </c>
      <c r="F8" s="98" t="e">
        <f t="array" ref="F8">LARGE(IF('capacity data'!A:A=B8,IF('capacity data'!E:E="PO",'capacity data'!F:F)),1)</f>
        <v>#NUM!</v>
      </c>
      <c r="G8" s="213"/>
      <c r="H8" s="181" t="s">
        <v>5</v>
      </c>
      <c r="I8" s="106">
        <f>COUNTIFS('capacity data'!A:A,H8,'capacity data'!E:E,"PSO")</f>
        <v>0</v>
      </c>
      <c r="J8" s="106">
        <f>COUNTIFS('capacity data'!A:A,H8,'capacity data'!E:E,"PSO",'capacity data'!F:F,"&gt;110%")</f>
        <v>0</v>
      </c>
      <c r="K8" s="98" t="e">
        <f t="shared" si="1"/>
        <v>#DIV/0!</v>
      </c>
      <c r="L8" s="98" t="e">
        <f t="array" ref="L8">LARGE(IF('capacity data'!A:A=H8,IF('capacity data'!E:E="PSO",'capacity data'!F:F)),1)</f>
        <v>#NUM!</v>
      </c>
      <c r="O8" s="7"/>
    </row>
    <row r="9" spans="1:17" s="30" customFormat="1" ht="16" x14ac:dyDescent="0.2">
      <c r="B9" s="181" t="s">
        <v>6</v>
      </c>
      <c r="C9" s="106">
        <f>COUNTIFS('capacity data'!A:A,B9,'capacity data'!E:E,"PO")</f>
        <v>0</v>
      </c>
      <c r="D9" s="106">
        <f>COUNTIFS('capacity data'!A:A,B9,'capacity data'!E:E,"PO",'capacity data'!F:F,"&gt;110%")</f>
        <v>0</v>
      </c>
      <c r="E9" s="98" t="e">
        <f t="shared" si="0"/>
        <v>#DIV/0!</v>
      </c>
      <c r="F9" s="98" t="e">
        <f t="array" ref="F9">LARGE(IF('capacity data'!A:A=B9,IF('capacity data'!E:E="PO",'capacity data'!F:F)),1)</f>
        <v>#NUM!</v>
      </c>
      <c r="G9" s="213"/>
      <c r="H9" s="181" t="s">
        <v>6</v>
      </c>
      <c r="I9" s="106">
        <f>COUNTIFS('capacity data'!A:A,H9,'capacity data'!E:E,"PSO")</f>
        <v>0</v>
      </c>
      <c r="J9" s="106">
        <f>COUNTIFS('capacity data'!A:A,H9,'capacity data'!E:E,"PSO",'capacity data'!F:F,"&gt;110%")</f>
        <v>0</v>
      </c>
      <c r="K9" s="98" t="e">
        <f t="shared" si="1"/>
        <v>#DIV/0!</v>
      </c>
      <c r="L9" s="98" t="e">
        <f t="array" ref="L9">LARGE(IF('capacity data'!A:A=H9,IF('capacity data'!E:E="PSO",'capacity data'!F:F)),1)</f>
        <v>#NUM!</v>
      </c>
      <c r="O9" s="7"/>
    </row>
    <row r="10" spans="1:17" s="30" customFormat="1" ht="16" x14ac:dyDescent="0.2">
      <c r="B10" s="181" t="s">
        <v>376</v>
      </c>
      <c r="C10" s="106">
        <f>COUNTIFS('capacity data'!A:A,B10,'capacity data'!E:E,"PO")</f>
        <v>0</v>
      </c>
      <c r="D10" s="106">
        <f>COUNTIFS('capacity data'!A:A,B10,'capacity data'!E:E,"PO",'capacity data'!F:F,"&gt;110%")</f>
        <v>0</v>
      </c>
      <c r="E10" s="98" t="e">
        <f t="shared" si="0"/>
        <v>#DIV/0!</v>
      </c>
      <c r="F10" s="98" t="e">
        <f t="array" ref="F10">LARGE(IF('capacity data'!A:A=B10,IF('capacity data'!E:E="PO",'capacity data'!F:F)),1)</f>
        <v>#NUM!</v>
      </c>
      <c r="G10" s="213"/>
      <c r="H10" s="181" t="s">
        <v>376</v>
      </c>
      <c r="I10" s="106">
        <f>COUNTIFS('capacity data'!A:A,H10,'capacity data'!E:E,"PSO")</f>
        <v>0</v>
      </c>
      <c r="J10" s="106">
        <f>COUNTIFS('capacity data'!A:A,H10,'capacity data'!E:E,"PSO",'capacity data'!F:F,"&gt;110%")</f>
        <v>0</v>
      </c>
      <c r="K10" s="98" t="e">
        <f t="shared" si="1"/>
        <v>#DIV/0!</v>
      </c>
      <c r="L10" s="98" t="e">
        <f t="array" ref="L10">LARGE(IF('capacity data'!A:A=H10,IF('capacity data'!E:E="PSO",'capacity data'!F:F)),1)</f>
        <v>#NUM!</v>
      </c>
      <c r="O10" s="7"/>
    </row>
    <row r="11" spans="1:17" ht="16" x14ac:dyDescent="0.2">
      <c r="B11" s="181" t="s">
        <v>1130</v>
      </c>
      <c r="C11" s="106">
        <f>COUNTIFS('capacity data'!A:A,B11,'capacity data'!E:E,"PO")</f>
        <v>0</v>
      </c>
      <c r="D11" s="106">
        <f>COUNTIFS('capacity data'!A:A,B11,'capacity data'!E:E,"PO",'capacity data'!F:F,"&gt;110%")</f>
        <v>0</v>
      </c>
      <c r="E11" s="98" t="e">
        <f t="shared" si="0"/>
        <v>#DIV/0!</v>
      </c>
      <c r="F11" s="98" t="e">
        <f t="array" ref="F11">LARGE(IF('capacity data'!A:A=B11,IF('capacity data'!E:E="PO",'capacity data'!F:F)),1)</f>
        <v>#NUM!</v>
      </c>
      <c r="G11" s="95"/>
      <c r="H11" s="181" t="s">
        <v>1130</v>
      </c>
      <c r="I11" s="106">
        <f>COUNTIFS('capacity data'!A:A,H11,'capacity data'!E:E,"PSO")</f>
        <v>0</v>
      </c>
      <c r="J11" s="106">
        <f>COUNTIFS('capacity data'!A:A,H11,'capacity data'!E:E,"PSO",'capacity data'!F:F,"&gt;110%")</f>
        <v>0</v>
      </c>
      <c r="K11" s="98" t="e">
        <f t="shared" si="1"/>
        <v>#DIV/0!</v>
      </c>
      <c r="L11" s="98" t="e">
        <f t="array" ref="L11">LARGE(IF('capacity data'!A:A=H11,IF('capacity data'!E:E="PSO",'capacity data'!F:F)),1)</f>
        <v>#NUM!</v>
      </c>
      <c r="M11" s="30"/>
      <c r="N11" s="30"/>
      <c r="O11" s="7"/>
      <c r="P11" s="30"/>
      <c r="Q11" s="30"/>
    </row>
    <row r="12" spans="1:17" ht="16" x14ac:dyDescent="0.2">
      <c r="B12" s="181" t="s">
        <v>7</v>
      </c>
      <c r="C12" s="106">
        <f>COUNTIFS('capacity data'!A:A,B12,'capacity data'!E:E,"PO")</f>
        <v>0</v>
      </c>
      <c r="D12" s="106">
        <f>COUNTIFS('capacity data'!A:A,B12,'capacity data'!E:E,"PO",'capacity data'!F:F,"&gt;110%")</f>
        <v>0</v>
      </c>
      <c r="E12" s="98" t="e">
        <f t="shared" si="0"/>
        <v>#DIV/0!</v>
      </c>
      <c r="F12" s="98" t="e">
        <f t="array" ref="F12">LARGE(IF('capacity data'!A:A=B12,IF('capacity data'!E:E="PO",'capacity data'!F:F)),1)</f>
        <v>#NUM!</v>
      </c>
      <c r="G12" s="95"/>
      <c r="H12" s="181" t="s">
        <v>7</v>
      </c>
      <c r="I12" s="106">
        <f>COUNTIFS('capacity data'!A:A,H12,'capacity data'!E:E,"PSO")</f>
        <v>0</v>
      </c>
      <c r="J12" s="106">
        <f>COUNTIFS('capacity data'!A:A,H12,'capacity data'!E:E,"PSO",'capacity data'!F:F,"&gt;110%")</f>
        <v>0</v>
      </c>
      <c r="K12" s="98" t="e">
        <f t="shared" si="1"/>
        <v>#DIV/0!</v>
      </c>
      <c r="L12" s="98" t="e">
        <f t="array" ref="L12">LARGE(IF('capacity data'!A:A=H12,IF('capacity data'!E:E="PSO",'capacity data'!F:F)),1)</f>
        <v>#NUM!</v>
      </c>
      <c r="M12" s="30"/>
      <c r="N12" s="30"/>
      <c r="O12" s="7"/>
      <c r="P12" s="30"/>
      <c r="Q12" s="30"/>
    </row>
    <row r="13" spans="1:17" s="30" customFormat="1" ht="16" x14ac:dyDescent="0.2">
      <c r="B13" s="181" t="s">
        <v>1132</v>
      </c>
      <c r="C13" s="106">
        <f>COUNTIFS('capacity data'!A:A,B13,'capacity data'!E:E,"PO")</f>
        <v>0</v>
      </c>
      <c r="D13" s="106">
        <f>COUNTIFS('capacity data'!A:A,B13,'capacity data'!E:E,"PO",'capacity data'!F:F,"&gt;110%")</f>
        <v>0</v>
      </c>
      <c r="E13" s="98" t="e">
        <f t="shared" ref="E13" si="2">D13/C13</f>
        <v>#DIV/0!</v>
      </c>
      <c r="F13" s="98" t="e">
        <f t="array" ref="F13">LARGE(IF('capacity data'!A:A=B13,IF('capacity data'!E:E="PO",'capacity data'!F:F)),1)</f>
        <v>#NUM!</v>
      </c>
      <c r="G13" s="95"/>
      <c r="H13" s="181" t="s">
        <v>1132</v>
      </c>
      <c r="I13" s="106">
        <f>COUNTIFS('capacity data'!A:A,H13,'capacity data'!E:E,"PSO")</f>
        <v>0</v>
      </c>
      <c r="J13" s="106">
        <f>COUNTIFS('capacity data'!A:A,H13,'capacity data'!E:E,"PSO",'capacity data'!F:F,"&gt;110%")</f>
        <v>0</v>
      </c>
      <c r="K13" s="98" t="e">
        <f t="shared" ref="K13" si="3">J13/I13</f>
        <v>#DIV/0!</v>
      </c>
      <c r="L13" s="98" t="e">
        <f t="array" ref="L13">LARGE(IF('capacity data'!A:A=H13,IF('capacity data'!E:E="PSO",'capacity data'!F:F)),1)</f>
        <v>#NUM!</v>
      </c>
      <c r="O13" s="7"/>
    </row>
    <row r="14" spans="1:17" ht="16" x14ac:dyDescent="0.2">
      <c r="B14" s="181" t="s">
        <v>1217</v>
      </c>
      <c r="C14" s="106">
        <f>COUNTIFS('capacity data'!A:A,B14,'capacity data'!E:E,"PO")</f>
        <v>0</v>
      </c>
      <c r="D14" s="106">
        <f>COUNTIFS('capacity data'!A:A,B14,'capacity data'!E:E,"PO",'capacity data'!F:F,"&gt;110%")</f>
        <v>0</v>
      </c>
      <c r="E14" s="98" t="e">
        <f t="shared" si="0"/>
        <v>#DIV/0!</v>
      </c>
      <c r="F14" s="98" t="e">
        <f t="array" ref="F14">LARGE(IF('capacity data'!A:A=B14,IF('capacity data'!E:E="PO",'capacity data'!F:F)),1)</f>
        <v>#NUM!</v>
      </c>
      <c r="G14" s="95"/>
      <c r="H14" s="181" t="s">
        <v>1217</v>
      </c>
      <c r="I14" s="106">
        <f>COUNTIFS('capacity data'!A:A,H14,'capacity data'!E:E,"PSO")</f>
        <v>0</v>
      </c>
      <c r="J14" s="106">
        <f>COUNTIFS('capacity data'!A:A,H14,'capacity data'!E:E,"PSO",'capacity data'!F:F,"&gt;110%")</f>
        <v>0</v>
      </c>
      <c r="K14" s="98" t="e">
        <f t="shared" si="1"/>
        <v>#DIV/0!</v>
      </c>
      <c r="L14" s="98" t="e">
        <f t="array" ref="L14">LARGE(IF('capacity data'!A:A=H14,IF('capacity data'!E:E="PSO",'capacity data'!F:F)),1)</f>
        <v>#NUM!</v>
      </c>
      <c r="M14" s="30"/>
      <c r="N14" s="30"/>
      <c r="O14" s="7"/>
      <c r="P14" s="30"/>
      <c r="Q14" s="30"/>
    </row>
    <row r="15" spans="1:17" ht="16" x14ac:dyDescent="0.2">
      <c r="B15" s="181" t="s">
        <v>382</v>
      </c>
      <c r="C15" s="106">
        <f>COUNTIFS('capacity data'!A:A,B15,'capacity data'!E:E,"PO")</f>
        <v>0</v>
      </c>
      <c r="D15" s="106">
        <f>COUNTIFS('capacity data'!A:A,B15,'capacity data'!E:E,"PO",'capacity data'!F:F,"&gt;110%")</f>
        <v>0</v>
      </c>
      <c r="E15" s="98" t="e">
        <f t="shared" si="0"/>
        <v>#DIV/0!</v>
      </c>
      <c r="F15" s="98" t="e">
        <f t="array" ref="F15">LARGE(IF('capacity data'!A:A=B15,IF('capacity data'!E:E="PO",'capacity data'!F:F)),1)</f>
        <v>#NUM!</v>
      </c>
      <c r="G15" s="95"/>
      <c r="H15" s="181" t="s">
        <v>382</v>
      </c>
      <c r="I15" s="106">
        <f>COUNTIFS('capacity data'!A:A,H15,'capacity data'!E:E,"PSO")</f>
        <v>0</v>
      </c>
      <c r="J15" s="106">
        <f>COUNTIFS('capacity data'!A:A,H15,'capacity data'!E:E,"PSO",'capacity data'!F:F,"&gt;110%")</f>
        <v>0</v>
      </c>
      <c r="K15" s="98" t="e">
        <f t="shared" si="1"/>
        <v>#DIV/0!</v>
      </c>
      <c r="L15" s="98" t="e">
        <f t="array" ref="L15">LARGE(IF('capacity data'!A:A=H15,IF('capacity data'!E:E="PSO",'capacity data'!F:F)),1)</f>
        <v>#NUM!</v>
      </c>
      <c r="M15" s="30"/>
      <c r="N15" s="30"/>
      <c r="O15" s="7"/>
      <c r="P15" s="30"/>
      <c r="Q15" s="30"/>
    </row>
    <row r="16" spans="1:17" ht="16" x14ac:dyDescent="0.2">
      <c r="B16" s="181" t="s">
        <v>8</v>
      </c>
      <c r="C16" s="106">
        <f>COUNTIFS('capacity data'!A:A,B16,'capacity data'!E:E,"PO")</f>
        <v>0</v>
      </c>
      <c r="D16" s="106">
        <f>COUNTIFS('capacity data'!A:A,B16,'capacity data'!E:E,"PO",'capacity data'!F:F,"&gt;110%")</f>
        <v>0</v>
      </c>
      <c r="E16" s="98" t="e">
        <f t="shared" si="0"/>
        <v>#DIV/0!</v>
      </c>
      <c r="F16" s="98" t="e">
        <f t="array" ref="F16">LARGE(IF('capacity data'!A:A=B16,IF('capacity data'!E:E="PO",'capacity data'!F:F)),1)</f>
        <v>#NUM!</v>
      </c>
      <c r="G16" s="95"/>
      <c r="H16" s="181" t="s">
        <v>8</v>
      </c>
      <c r="I16" s="106">
        <f>COUNTIFS('capacity data'!A:A,H16,'capacity data'!E:E,"PSO")</f>
        <v>0</v>
      </c>
      <c r="J16" s="106">
        <f>COUNTIFS('capacity data'!A:A,H16,'capacity data'!E:E,"PSO",'capacity data'!F:F,"&gt;110%")</f>
        <v>0</v>
      </c>
      <c r="K16" s="98" t="e">
        <f t="shared" si="1"/>
        <v>#DIV/0!</v>
      </c>
      <c r="L16" s="98" t="e">
        <f t="array" ref="L16">LARGE(IF('capacity data'!A:A=H16,IF('capacity data'!E:E="PSO",'capacity data'!F:F)),1)</f>
        <v>#NUM!</v>
      </c>
      <c r="M16" s="30"/>
      <c r="N16" s="30"/>
      <c r="O16" s="7"/>
      <c r="P16" s="30"/>
      <c r="Q16" s="30"/>
    </row>
    <row r="17" spans="2:15" ht="16" x14ac:dyDescent="0.2">
      <c r="B17" s="181" t="s">
        <v>9</v>
      </c>
      <c r="C17" s="106">
        <f>COUNTIFS('capacity data'!A:A,B17,'capacity data'!E:E,"PO")</f>
        <v>0</v>
      </c>
      <c r="D17" s="106">
        <f>COUNTIFS('capacity data'!A:A,B17,'capacity data'!E:E,"PO",'capacity data'!F:F,"&gt;110%")</f>
        <v>0</v>
      </c>
      <c r="E17" s="98" t="e">
        <f t="shared" si="0"/>
        <v>#DIV/0!</v>
      </c>
      <c r="F17" s="98" t="e">
        <f t="array" ref="F17">LARGE(IF('capacity data'!A:A=B17,IF('capacity data'!E:E="PO",'capacity data'!F:F)),1)</f>
        <v>#NUM!</v>
      </c>
      <c r="G17" s="95"/>
      <c r="H17" s="181" t="s">
        <v>9</v>
      </c>
      <c r="I17" s="106">
        <f>COUNTIFS('capacity data'!A:A,H17,'capacity data'!E:E,"PSO")</f>
        <v>0</v>
      </c>
      <c r="J17" s="106">
        <f>COUNTIFS('capacity data'!A:A,H17,'capacity data'!E:E,"PSO",'capacity data'!F:F,"&gt;110%")</f>
        <v>0</v>
      </c>
      <c r="K17" s="98" t="e">
        <f t="shared" si="1"/>
        <v>#DIV/0!</v>
      </c>
      <c r="L17" s="98" t="e">
        <f t="array" ref="L17">LARGE(IF('capacity data'!A:A=H17,IF('capacity data'!E:E="PSO",'capacity data'!F:F)),1)</f>
        <v>#NUM!</v>
      </c>
      <c r="M17" s="30"/>
      <c r="N17" s="30"/>
      <c r="O17" s="7"/>
    </row>
    <row r="18" spans="2:15" s="30" customFormat="1" ht="16" x14ac:dyDescent="0.2">
      <c r="B18" s="181" t="s">
        <v>514</v>
      </c>
      <c r="C18" s="106">
        <f>COUNTIFS('capacity data'!A:A,B18,'capacity data'!E:E,"PO")</f>
        <v>0</v>
      </c>
      <c r="D18" s="106">
        <f>COUNTIFS('capacity data'!A:A,B18,'capacity data'!E:E,"PO",'capacity data'!F:F,"&gt;110%")</f>
        <v>0</v>
      </c>
      <c r="E18" s="98" t="e">
        <f t="shared" ref="E18:E27" si="4">D18/C18</f>
        <v>#DIV/0!</v>
      </c>
      <c r="F18" s="98" t="e">
        <f t="array" ref="F18">LARGE(IF('capacity data'!A:A=B18,IF('capacity data'!E:E="PO",'capacity data'!F:F)),1)</f>
        <v>#NUM!</v>
      </c>
      <c r="G18" s="95"/>
      <c r="H18" s="181" t="s">
        <v>514</v>
      </c>
      <c r="I18" s="106">
        <f>COUNTIFS('capacity data'!A:A,H18,'capacity data'!E:E,"PSO")</f>
        <v>0</v>
      </c>
      <c r="J18" s="106">
        <f>COUNTIFS('capacity data'!A:A,H18,'capacity data'!E:E,"PSO",'capacity data'!F:F,"&gt;110%")</f>
        <v>0</v>
      </c>
      <c r="K18" s="98" t="e">
        <f t="shared" ref="K18:K27" si="5">J18/I18</f>
        <v>#DIV/0!</v>
      </c>
      <c r="L18" s="98" t="e">
        <f t="array" ref="L18">LARGE(IF('capacity data'!A:A=H18,IF('capacity data'!E:E="PSO",'capacity data'!F:F)),1)</f>
        <v>#NUM!</v>
      </c>
      <c r="O18" s="7"/>
    </row>
    <row r="19" spans="2:15" s="30" customFormat="1" ht="16" x14ac:dyDescent="0.2">
      <c r="B19" s="181" t="s">
        <v>515</v>
      </c>
      <c r="C19" s="106">
        <f>COUNTIFS('capacity data'!A:A,B19,'capacity data'!E:E,"PO")</f>
        <v>0</v>
      </c>
      <c r="D19" s="106">
        <f>COUNTIFS('capacity data'!A:A,B19,'capacity data'!E:E,"PO",'capacity data'!F:F,"&gt;110%")</f>
        <v>0</v>
      </c>
      <c r="E19" s="98" t="e">
        <f t="shared" si="4"/>
        <v>#DIV/0!</v>
      </c>
      <c r="F19" s="98" t="e">
        <f t="array" ref="F19">LARGE(IF('capacity data'!A:A=B19,IF('capacity data'!E:E="PO",'capacity data'!F:F)),1)</f>
        <v>#NUM!</v>
      </c>
      <c r="G19" s="95"/>
      <c r="H19" s="181" t="s">
        <v>515</v>
      </c>
      <c r="I19" s="106">
        <f>COUNTIFS('capacity data'!A:A,H19,'capacity data'!E:E,"PSO")</f>
        <v>0</v>
      </c>
      <c r="J19" s="106">
        <f>COUNTIFS('capacity data'!A:A,H19,'capacity data'!E:E,"PSO",'capacity data'!F:F,"&gt;110%")</f>
        <v>0</v>
      </c>
      <c r="K19" s="98" t="e">
        <f t="shared" si="5"/>
        <v>#DIV/0!</v>
      </c>
      <c r="L19" s="98" t="e">
        <f t="array" ref="L19">LARGE(IF('capacity data'!A:A=H19,IF('capacity data'!E:E="PSO",'capacity data'!F:F)),1)</f>
        <v>#NUM!</v>
      </c>
      <c r="O19" s="7"/>
    </row>
    <row r="20" spans="2:15" s="30" customFormat="1" ht="16" x14ac:dyDescent="0.2">
      <c r="B20" s="181" t="s">
        <v>516</v>
      </c>
      <c r="C20" s="106">
        <f>COUNTIFS('capacity data'!A:A,B20,'capacity data'!E:E,"PO")</f>
        <v>0</v>
      </c>
      <c r="D20" s="106">
        <f>COUNTIFS('capacity data'!A:A,B20,'capacity data'!E:E,"PO",'capacity data'!F:F,"&gt;110%")</f>
        <v>0</v>
      </c>
      <c r="E20" s="98" t="e">
        <f t="shared" si="4"/>
        <v>#DIV/0!</v>
      </c>
      <c r="F20" s="98" t="e">
        <f t="array" ref="F20">LARGE(IF('capacity data'!A:A=B20,IF('capacity data'!E:E="PO",'capacity data'!F:F)),1)</f>
        <v>#NUM!</v>
      </c>
      <c r="G20" s="95"/>
      <c r="H20" s="181" t="s">
        <v>516</v>
      </c>
      <c r="I20" s="106">
        <f>COUNTIFS('capacity data'!A:A,H20,'capacity data'!E:E,"PSO")</f>
        <v>0</v>
      </c>
      <c r="J20" s="106">
        <f>COUNTIFS('capacity data'!A:A,H20,'capacity data'!E:E,"PSO",'capacity data'!F:F,"&gt;110%")</f>
        <v>0</v>
      </c>
      <c r="K20" s="98" t="e">
        <f t="shared" si="5"/>
        <v>#DIV/0!</v>
      </c>
      <c r="L20" s="98" t="e">
        <f t="array" ref="L20">LARGE(IF('capacity data'!A:A=H20,IF('capacity data'!E:E="PSO",'capacity data'!F:F)),1)</f>
        <v>#NUM!</v>
      </c>
      <c r="O20" s="7"/>
    </row>
    <row r="21" spans="2:15" s="30" customFormat="1" ht="16" x14ac:dyDescent="0.2">
      <c r="B21" s="181" t="s">
        <v>517</v>
      </c>
      <c r="C21" s="106">
        <f>COUNTIFS('capacity data'!A:A,B21,'capacity data'!E:E,"PO")</f>
        <v>0</v>
      </c>
      <c r="D21" s="106">
        <f>COUNTIFS('capacity data'!A:A,B21,'capacity data'!E:E,"PO",'capacity data'!F:F,"&gt;110%")</f>
        <v>0</v>
      </c>
      <c r="E21" s="98" t="e">
        <f t="shared" si="4"/>
        <v>#DIV/0!</v>
      </c>
      <c r="F21" s="98" t="e">
        <f t="array" ref="F21">LARGE(IF('capacity data'!A:A=B21,IF('capacity data'!E:E="PO",'capacity data'!F:F)),1)</f>
        <v>#NUM!</v>
      </c>
      <c r="G21" s="95"/>
      <c r="H21" s="181" t="s">
        <v>517</v>
      </c>
      <c r="I21" s="106">
        <f>COUNTIFS('capacity data'!A:A,H21,'capacity data'!E:E,"PSO")</f>
        <v>0</v>
      </c>
      <c r="J21" s="106">
        <f>COUNTIFS('capacity data'!A:A,H21,'capacity data'!E:E,"PSO",'capacity data'!F:F,"&gt;110%")</f>
        <v>0</v>
      </c>
      <c r="K21" s="98" t="e">
        <f t="shared" si="5"/>
        <v>#DIV/0!</v>
      </c>
      <c r="L21" s="98" t="e">
        <f t="array" ref="L21">LARGE(IF('capacity data'!A:A=H21,IF('capacity data'!E:E="PSO",'capacity data'!F:F)),1)</f>
        <v>#NUM!</v>
      </c>
      <c r="O21" s="7"/>
    </row>
    <row r="22" spans="2:15" s="30" customFormat="1" ht="16" x14ac:dyDescent="0.2">
      <c r="B22" s="181" t="s">
        <v>518</v>
      </c>
      <c r="C22" s="106">
        <f>COUNTIFS('capacity data'!A:A,B22,'capacity data'!E:E,"PO")</f>
        <v>0</v>
      </c>
      <c r="D22" s="106">
        <f>COUNTIFS('capacity data'!A:A,B22,'capacity data'!E:E,"PO",'capacity data'!F:F,"&gt;110%")</f>
        <v>0</v>
      </c>
      <c r="E22" s="98" t="e">
        <f t="shared" si="4"/>
        <v>#DIV/0!</v>
      </c>
      <c r="F22" s="98" t="e">
        <f t="array" ref="F22">LARGE(IF('capacity data'!A:A=B22,IF('capacity data'!E:E="PO",'capacity data'!F:F)),1)</f>
        <v>#NUM!</v>
      </c>
      <c r="G22" s="95"/>
      <c r="H22" s="181" t="s">
        <v>518</v>
      </c>
      <c r="I22" s="106">
        <f>COUNTIFS('capacity data'!A:A,H22,'capacity data'!E:E,"PSO")</f>
        <v>0</v>
      </c>
      <c r="J22" s="106">
        <f>COUNTIFS('capacity data'!A:A,H22,'capacity data'!E:E,"PSO",'capacity data'!F:F,"&gt;110%")</f>
        <v>0</v>
      </c>
      <c r="K22" s="98" t="e">
        <f t="shared" si="5"/>
        <v>#DIV/0!</v>
      </c>
      <c r="L22" s="98" t="e">
        <f t="array" ref="L22">LARGE(IF('capacity data'!A:A=H22,IF('capacity data'!E:E="PSO",'capacity data'!F:F)),1)</f>
        <v>#NUM!</v>
      </c>
      <c r="O22" s="7"/>
    </row>
    <row r="23" spans="2:15" s="30" customFormat="1" ht="16" x14ac:dyDescent="0.2">
      <c r="B23" s="181" t="s">
        <v>519</v>
      </c>
      <c r="C23" s="106">
        <f>COUNTIFS('capacity data'!A:A,B23,'capacity data'!E:E,"PO")</f>
        <v>0</v>
      </c>
      <c r="D23" s="106">
        <f>COUNTIFS('capacity data'!A:A,B23,'capacity data'!E:E,"PO",'capacity data'!F:F,"&gt;110%")</f>
        <v>0</v>
      </c>
      <c r="E23" s="98" t="e">
        <f t="shared" si="4"/>
        <v>#DIV/0!</v>
      </c>
      <c r="F23" s="98" t="e">
        <f t="array" ref="F23">LARGE(IF('capacity data'!A:A=B23,IF('capacity data'!E:E="PO",'capacity data'!F:F)),1)</f>
        <v>#NUM!</v>
      </c>
      <c r="G23" s="95"/>
      <c r="H23" s="181" t="s">
        <v>519</v>
      </c>
      <c r="I23" s="106">
        <f>COUNTIFS('capacity data'!A:A,H23,'capacity data'!E:E,"PSO")</f>
        <v>0</v>
      </c>
      <c r="J23" s="106">
        <f>COUNTIFS('capacity data'!A:A,H23,'capacity data'!E:E,"PSO",'capacity data'!F:F,"&gt;110%")</f>
        <v>0</v>
      </c>
      <c r="K23" s="98" t="e">
        <f t="shared" si="5"/>
        <v>#DIV/0!</v>
      </c>
      <c r="L23" s="98" t="e">
        <f t="array" ref="L23">LARGE(IF('capacity data'!A:A=H23,IF('capacity data'!E:E="PSO",'capacity data'!F:F)),1)</f>
        <v>#NUM!</v>
      </c>
      <c r="O23" s="7"/>
    </row>
    <row r="24" spans="2:15" s="30" customFormat="1" ht="16" x14ac:dyDescent="0.2">
      <c r="B24" s="181" t="s">
        <v>520</v>
      </c>
      <c r="C24" s="106">
        <f>COUNTIFS('capacity data'!A:A,B24,'capacity data'!E:E,"PO")</f>
        <v>0</v>
      </c>
      <c r="D24" s="106">
        <f>COUNTIFS('capacity data'!A:A,B24,'capacity data'!E:E,"PO",'capacity data'!F:F,"&gt;110%")</f>
        <v>0</v>
      </c>
      <c r="E24" s="98" t="e">
        <f t="shared" si="4"/>
        <v>#DIV/0!</v>
      </c>
      <c r="F24" s="98" t="e">
        <f t="array" ref="F24">LARGE(IF('capacity data'!A:A=B24,IF('capacity data'!E:E="PO",'capacity data'!F:F)),1)</f>
        <v>#NUM!</v>
      </c>
      <c r="G24" s="95"/>
      <c r="H24" s="181" t="s">
        <v>520</v>
      </c>
      <c r="I24" s="106">
        <f>COUNTIFS('capacity data'!A:A,H24,'capacity data'!E:E,"PSO")</f>
        <v>0</v>
      </c>
      <c r="J24" s="106">
        <f>COUNTIFS('capacity data'!A:A,H24,'capacity data'!E:E,"PSO",'capacity data'!F:F,"&gt;110%")</f>
        <v>0</v>
      </c>
      <c r="K24" s="98" t="e">
        <f t="shared" si="5"/>
        <v>#DIV/0!</v>
      </c>
      <c r="L24" s="98" t="e">
        <f t="array" ref="L24">LARGE(IF('capacity data'!A:A=H24,IF('capacity data'!E:E="PSO",'capacity data'!F:F)),1)</f>
        <v>#NUM!</v>
      </c>
      <c r="O24" s="7"/>
    </row>
    <row r="25" spans="2:15" s="30" customFormat="1" ht="16" x14ac:dyDescent="0.2">
      <c r="B25" s="181" t="s">
        <v>521</v>
      </c>
      <c r="C25" s="106">
        <f>COUNTIFS('capacity data'!A:A,B25,'capacity data'!E:E,"PO")</f>
        <v>0</v>
      </c>
      <c r="D25" s="106">
        <f>COUNTIFS('capacity data'!A:A,B25,'capacity data'!E:E,"PO",'capacity data'!F:F,"&gt;110%")</f>
        <v>0</v>
      </c>
      <c r="E25" s="98" t="e">
        <f t="shared" si="4"/>
        <v>#DIV/0!</v>
      </c>
      <c r="F25" s="98" t="e">
        <f t="array" ref="F25">LARGE(IF('capacity data'!A:A=B25,IF('capacity data'!E:E="PO",'capacity data'!F:F)),1)</f>
        <v>#NUM!</v>
      </c>
      <c r="G25" s="95"/>
      <c r="H25" s="181" t="s">
        <v>521</v>
      </c>
      <c r="I25" s="106">
        <f>COUNTIFS('capacity data'!A:A,H25,'capacity data'!E:E,"PSO")</f>
        <v>0</v>
      </c>
      <c r="J25" s="106">
        <f>COUNTIFS('capacity data'!A:A,H25,'capacity data'!E:E,"PSO",'capacity data'!F:F,"&gt;110%")</f>
        <v>0</v>
      </c>
      <c r="K25" s="98" t="e">
        <f t="shared" si="5"/>
        <v>#DIV/0!</v>
      </c>
      <c r="L25" s="98" t="e">
        <f t="array" ref="L25">LARGE(IF('capacity data'!A:A=H25,IF('capacity data'!E:E="PSO",'capacity data'!F:F)),1)</f>
        <v>#NUM!</v>
      </c>
      <c r="O25" s="7"/>
    </row>
    <row r="26" spans="2:15" s="30" customFormat="1" ht="16" x14ac:dyDescent="0.2">
      <c r="B26" s="181" t="s">
        <v>522</v>
      </c>
      <c r="C26" s="106">
        <f>COUNTIFS('capacity data'!A:A,B26,'capacity data'!E:E,"PO")</f>
        <v>0</v>
      </c>
      <c r="D26" s="106">
        <f>COUNTIFS('capacity data'!A:A,B26,'capacity data'!E:E,"PO",'capacity data'!F:F,"&gt;110%")</f>
        <v>0</v>
      </c>
      <c r="E26" s="98" t="e">
        <f t="shared" si="4"/>
        <v>#DIV/0!</v>
      </c>
      <c r="F26" s="98" t="e">
        <f t="array" ref="F26">LARGE(IF('capacity data'!A:A=B26,IF('capacity data'!E:E="PO",'capacity data'!F:F)),1)</f>
        <v>#NUM!</v>
      </c>
      <c r="G26" s="95"/>
      <c r="H26" s="181" t="s">
        <v>522</v>
      </c>
      <c r="I26" s="106">
        <f>COUNTIFS('capacity data'!A:A,H26,'capacity data'!E:E,"PSO")</f>
        <v>0</v>
      </c>
      <c r="J26" s="106">
        <f>COUNTIFS('capacity data'!A:A,H26,'capacity data'!E:E,"PSO",'capacity data'!F:F,"&gt;110%")</f>
        <v>0</v>
      </c>
      <c r="K26" s="98" t="e">
        <f t="shared" si="5"/>
        <v>#DIV/0!</v>
      </c>
      <c r="L26" s="98" t="e">
        <f t="array" ref="L26">LARGE(IF('capacity data'!A:A=H26,IF('capacity data'!E:E="PSO",'capacity data'!F:F)),1)</f>
        <v>#NUM!</v>
      </c>
      <c r="O26" s="7"/>
    </row>
    <row r="27" spans="2:15" s="30" customFormat="1" ht="16" x14ac:dyDescent="0.2">
      <c r="B27" s="181" t="s">
        <v>523</v>
      </c>
      <c r="C27" s="106">
        <f>COUNTIFS('capacity data'!A:A,B27,'capacity data'!E:E,"PO")</f>
        <v>0</v>
      </c>
      <c r="D27" s="106">
        <f>COUNTIFS('capacity data'!A:A,B27,'capacity data'!E:E,"PO",'capacity data'!F:F,"&gt;110%")</f>
        <v>0</v>
      </c>
      <c r="E27" s="98" t="e">
        <f t="shared" si="4"/>
        <v>#DIV/0!</v>
      </c>
      <c r="F27" s="98" t="e">
        <f t="array" ref="F27">LARGE(IF('capacity data'!A:A=B27,IF('capacity data'!E:E="PO",'capacity data'!F:F)),1)</f>
        <v>#NUM!</v>
      </c>
      <c r="G27" s="95"/>
      <c r="H27" s="181" t="s">
        <v>523</v>
      </c>
      <c r="I27" s="106">
        <f>COUNTIFS('capacity data'!A:A,H27,'capacity data'!E:E,"PSO")</f>
        <v>0</v>
      </c>
      <c r="J27" s="106">
        <f>COUNTIFS('capacity data'!A:A,H27,'capacity data'!E:E,"PSO",'capacity data'!F:F,"&gt;110%")</f>
        <v>0</v>
      </c>
      <c r="K27" s="98" t="e">
        <f t="shared" si="5"/>
        <v>#DIV/0!</v>
      </c>
      <c r="L27" s="98" t="e">
        <f t="array" ref="L27">LARGE(IF('capacity data'!A:A=H27,IF('capacity data'!E:E="PSO",'capacity data'!F:F)),1)</f>
        <v>#NUM!</v>
      </c>
      <c r="O27" s="7"/>
    </row>
    <row r="28" spans="2:15" ht="16" x14ac:dyDescent="0.2">
      <c r="B28" s="217" t="s">
        <v>357</v>
      </c>
      <c r="C28" s="143">
        <f>COUNTIF('capacity data'!E:E,"PO")</f>
        <v>0</v>
      </c>
      <c r="D28" s="143">
        <f>COUNTIFS('capacity data'!E:E,"PO",'capacity data'!F:F,"&gt;110%")</f>
        <v>0</v>
      </c>
      <c r="E28" s="254" t="e">
        <f t="shared" ref="E28" si="6">D28/C28</f>
        <v>#DIV/0!</v>
      </c>
      <c r="F28" s="143" t="s">
        <v>282</v>
      </c>
      <c r="G28" s="95"/>
      <c r="H28" s="217" t="s">
        <v>357</v>
      </c>
      <c r="I28" s="143">
        <f>COUNTIF('capacity data'!E:E,"PSO")</f>
        <v>0</v>
      </c>
      <c r="J28" s="143">
        <f>COUNTIFS('capacity data'!E:E,"PSO",'capacity data'!F:F,"&gt;110%")</f>
        <v>0</v>
      </c>
      <c r="K28" s="254" t="e">
        <f t="shared" ref="K28" si="7">J28/I28</f>
        <v>#DIV/0!</v>
      </c>
      <c r="L28" s="190" t="s">
        <v>282</v>
      </c>
      <c r="M28" s="30"/>
      <c r="N28" s="30"/>
      <c r="O28" s="7"/>
    </row>
    <row r="31" spans="2:15" ht="16" x14ac:dyDescent="0.2">
      <c r="B31" s="404" t="s">
        <v>404</v>
      </c>
      <c r="C31" s="405"/>
      <c r="D31" s="405"/>
      <c r="E31" s="405"/>
      <c r="F31" s="405"/>
      <c r="G31" s="52"/>
      <c r="H31" s="406" t="s">
        <v>405</v>
      </c>
      <c r="I31" s="407"/>
      <c r="J31" s="407"/>
      <c r="K31" s="407"/>
      <c r="L31" s="54"/>
      <c r="M31" s="30"/>
      <c r="N31" s="30"/>
      <c r="O31" s="30"/>
    </row>
    <row r="32" spans="2:15" ht="56" x14ac:dyDescent="0.15">
      <c r="B32" s="211"/>
      <c r="C32" s="198" t="s">
        <v>440</v>
      </c>
      <c r="D32" s="198" t="s">
        <v>441</v>
      </c>
      <c r="E32" s="198" t="s">
        <v>442</v>
      </c>
      <c r="F32" s="198" t="s">
        <v>443</v>
      </c>
      <c r="G32" s="214"/>
      <c r="H32" s="211"/>
      <c r="I32" s="198" t="s">
        <v>436</v>
      </c>
      <c r="J32" s="198" t="s">
        <v>444</v>
      </c>
      <c r="K32" s="198" t="s">
        <v>445</v>
      </c>
      <c r="L32" s="53"/>
      <c r="M32" s="30"/>
      <c r="N32" s="30"/>
      <c r="O32" s="30"/>
    </row>
    <row r="33" spans="2:15" x14ac:dyDescent="0.15">
      <c r="B33" s="181" t="s">
        <v>4</v>
      </c>
      <c r="C33" s="106">
        <f>COUNTIFS('capacity data'!A:A,B33,'capacity data'!E:E,"TPO")</f>
        <v>0</v>
      </c>
      <c r="D33" s="106">
        <f>COUNTIFS('capacity data'!A:A,B33,'capacity data'!E:E,"TPO",'capacity data'!F:F,"&gt;110%")</f>
        <v>0</v>
      </c>
      <c r="E33" s="98" t="e">
        <f>D33/C33</f>
        <v>#DIV/0!</v>
      </c>
      <c r="F33" s="98" t="e">
        <f t="array" ref="F33">LARGE(IF('capacity data'!A:A=B33,IF('capacity data'!E:E="TPO",'capacity data'!F:F)),1)</f>
        <v>#NUM!</v>
      </c>
      <c r="G33" s="215"/>
      <c r="H33" s="181" t="s">
        <v>4</v>
      </c>
      <c r="I33" s="106">
        <f>COUNTIFS('capacity data'!A:A,H33,'capacity data'!E:E,"PSO")</f>
        <v>0</v>
      </c>
      <c r="J33" s="106">
        <f>COUNTIFS('capacity data'!A:A,H33,'capacity data'!E:E,"PSO",'capacity data'!F:F,"&lt;90%")</f>
        <v>0</v>
      </c>
      <c r="K33" s="216" t="e">
        <f>J33/I33</f>
        <v>#DIV/0!</v>
      </c>
      <c r="L33" s="30"/>
      <c r="M33" s="30"/>
      <c r="N33" s="30"/>
      <c r="O33" s="30"/>
    </row>
    <row r="34" spans="2:15" x14ac:dyDescent="0.15">
      <c r="B34" s="181" t="s">
        <v>1014</v>
      </c>
      <c r="C34" s="106">
        <f>COUNTIFS('capacity data'!A:A,B34,'capacity data'!E:E,"TPO")</f>
        <v>0</v>
      </c>
      <c r="D34" s="106">
        <f>COUNTIFS('capacity data'!A:A,B34,'capacity data'!E:E,"TPO",'capacity data'!F:F,"&gt;110%")</f>
        <v>0</v>
      </c>
      <c r="E34" s="98" t="e">
        <f t="shared" ref="E34:E44" si="8">D34/C34</f>
        <v>#DIV/0!</v>
      </c>
      <c r="F34" s="98" t="e">
        <f t="array" ref="F34">LARGE(IF('capacity data'!A:A=B34,IF('capacity data'!E:E="TPO",'capacity data'!F:F)),1)</f>
        <v>#NUM!</v>
      </c>
      <c r="G34" s="215"/>
      <c r="H34" s="181" t="s">
        <v>1014</v>
      </c>
      <c r="I34" s="106">
        <f>COUNTIFS('capacity data'!A:A,H34,'capacity data'!E:E,"PSO")</f>
        <v>0</v>
      </c>
      <c r="J34" s="106">
        <f>COUNTIFS('capacity data'!A:A,H34,'capacity data'!E:E,"PSO",'capacity data'!F:F,"&lt;90%")</f>
        <v>0</v>
      </c>
      <c r="K34" s="216" t="e">
        <f t="shared" ref="K34:K44" si="9">J34/I34</f>
        <v>#DIV/0!</v>
      </c>
      <c r="L34" s="30"/>
      <c r="M34" s="30"/>
      <c r="N34" s="30"/>
      <c r="O34" s="30"/>
    </row>
    <row r="35" spans="2:15" x14ac:dyDescent="0.15">
      <c r="B35" s="181" t="s">
        <v>5</v>
      </c>
      <c r="C35" s="106">
        <f>COUNTIFS('capacity data'!A:A,B35,'capacity data'!E:E,"TPO")</f>
        <v>0</v>
      </c>
      <c r="D35" s="106">
        <f>COUNTIFS('capacity data'!A:A,B35,'capacity data'!E:E,"TPO",'capacity data'!F:F,"&gt;110%")</f>
        <v>0</v>
      </c>
      <c r="E35" s="98" t="e">
        <f t="shared" si="8"/>
        <v>#DIV/0!</v>
      </c>
      <c r="F35" s="98" t="e">
        <f t="array" ref="F35">LARGE(IF('capacity data'!A:A=B35,IF('capacity data'!E:E="TPO",'capacity data'!F:F)),1)</f>
        <v>#NUM!</v>
      </c>
      <c r="G35" s="215"/>
      <c r="H35" s="181" t="s">
        <v>5</v>
      </c>
      <c r="I35" s="106">
        <f>COUNTIFS('capacity data'!A:A,H35,'capacity data'!E:E,"PSO")</f>
        <v>0</v>
      </c>
      <c r="J35" s="106">
        <f>COUNTIFS('capacity data'!A:A,H35,'capacity data'!E:E,"PSO",'capacity data'!F:F,"&lt;90%")</f>
        <v>0</v>
      </c>
      <c r="K35" s="216" t="e">
        <f t="shared" si="9"/>
        <v>#DIV/0!</v>
      </c>
      <c r="L35" s="30"/>
      <c r="M35" s="30"/>
      <c r="N35" s="30"/>
      <c r="O35" s="30"/>
    </row>
    <row r="36" spans="2:15" x14ac:dyDescent="0.15">
      <c r="B36" s="181" t="s">
        <v>6</v>
      </c>
      <c r="C36" s="106">
        <f>COUNTIFS('capacity data'!A:A,B36,'capacity data'!E:E,"TPO")</f>
        <v>0</v>
      </c>
      <c r="D36" s="106">
        <f>COUNTIFS('capacity data'!A:A,B36,'capacity data'!E:E,"TPO",'capacity data'!F:F,"&gt;110%")</f>
        <v>0</v>
      </c>
      <c r="E36" s="98" t="e">
        <f t="shared" si="8"/>
        <v>#DIV/0!</v>
      </c>
      <c r="F36" s="98" t="e">
        <f t="array" ref="F36">LARGE(IF('capacity data'!A:A=B36,IF('capacity data'!E:E="TPO",'capacity data'!F:F)),1)</f>
        <v>#NUM!</v>
      </c>
      <c r="G36" s="215"/>
      <c r="H36" s="181" t="s">
        <v>6</v>
      </c>
      <c r="I36" s="106">
        <f>COUNTIFS('capacity data'!A:A,H36,'capacity data'!E:E,"PSO")</f>
        <v>0</v>
      </c>
      <c r="J36" s="106">
        <f>COUNTIFS('capacity data'!A:A,H36,'capacity data'!E:E,"PSO",'capacity data'!F:F,"&lt;90%")</f>
        <v>0</v>
      </c>
      <c r="K36" s="216" t="e">
        <f t="shared" si="9"/>
        <v>#DIV/0!</v>
      </c>
      <c r="L36" s="30"/>
      <c r="M36" s="30"/>
      <c r="N36" s="30"/>
      <c r="O36" s="30"/>
    </row>
    <row r="37" spans="2:15" x14ac:dyDescent="0.15">
      <c r="B37" s="181" t="s">
        <v>376</v>
      </c>
      <c r="C37" s="106">
        <f>COUNTIFS('capacity data'!A:A,B37,'capacity data'!E:E,"TPO")</f>
        <v>0</v>
      </c>
      <c r="D37" s="106">
        <f>COUNTIFS('capacity data'!A:A,B37,'capacity data'!E:E,"TPO",'capacity data'!F:F,"&gt;110%")</f>
        <v>0</v>
      </c>
      <c r="E37" s="98" t="e">
        <f t="shared" si="8"/>
        <v>#DIV/0!</v>
      </c>
      <c r="F37" s="98" t="e">
        <f t="array" ref="F37">LARGE(IF('capacity data'!A:A=B37,IF('capacity data'!E:E="TPO",'capacity data'!F:F)),1)</f>
        <v>#NUM!</v>
      </c>
      <c r="G37" s="215"/>
      <c r="H37" s="181" t="s">
        <v>376</v>
      </c>
      <c r="I37" s="106">
        <f>COUNTIFS('capacity data'!A:A,H37,'capacity data'!E:E,"PSO")</f>
        <v>0</v>
      </c>
      <c r="J37" s="106">
        <f>COUNTIFS('capacity data'!A:A,H37,'capacity data'!E:E,"PSO",'capacity data'!F:F,"&lt;90%")</f>
        <v>0</v>
      </c>
      <c r="K37" s="216" t="e">
        <f t="shared" si="9"/>
        <v>#DIV/0!</v>
      </c>
      <c r="L37" s="30"/>
      <c r="M37" s="30"/>
      <c r="N37" s="30"/>
      <c r="O37" s="30"/>
    </row>
    <row r="38" spans="2:15" x14ac:dyDescent="0.15">
      <c r="B38" s="181" t="s">
        <v>1130</v>
      </c>
      <c r="C38" s="106">
        <f>COUNTIFS('capacity data'!A:A,B38,'capacity data'!E:E,"TPO")</f>
        <v>0</v>
      </c>
      <c r="D38" s="106">
        <f>COUNTIFS('capacity data'!A:A,B38,'capacity data'!E:E,"TPO",'capacity data'!F:F,"&gt;110%")</f>
        <v>0</v>
      </c>
      <c r="E38" s="98" t="e">
        <f t="shared" si="8"/>
        <v>#DIV/0!</v>
      </c>
      <c r="F38" s="98" t="e">
        <f t="array" ref="F38">LARGE(IF('capacity data'!A:A=B38,IF('capacity data'!E:E="TPO",'capacity data'!F:F)),1)</f>
        <v>#NUM!</v>
      </c>
      <c r="G38" s="215"/>
      <c r="H38" s="181" t="s">
        <v>1130</v>
      </c>
      <c r="I38" s="106">
        <f>COUNTIFS('capacity data'!A:A,H38,'capacity data'!E:E,"PSO")</f>
        <v>0</v>
      </c>
      <c r="J38" s="106">
        <f>COUNTIFS('capacity data'!A:A,H38,'capacity data'!E:E,"PSO",'capacity data'!F:F,"&lt;90%")</f>
        <v>0</v>
      </c>
      <c r="K38" s="216" t="e">
        <f t="shared" si="9"/>
        <v>#DIV/0!</v>
      </c>
      <c r="L38" s="30"/>
      <c r="M38" s="30"/>
      <c r="N38" s="30"/>
      <c r="O38" s="30"/>
    </row>
    <row r="39" spans="2:15" s="30" customFormat="1" x14ac:dyDescent="0.15">
      <c r="B39" s="181" t="s">
        <v>7</v>
      </c>
      <c r="C39" s="106">
        <f>COUNTIFS('capacity data'!A:A,B39,'capacity data'!E:E,"TPO")</f>
        <v>0</v>
      </c>
      <c r="D39" s="106">
        <f>COUNTIFS('capacity data'!A:A,B39,'capacity data'!E:E,"TPO",'capacity data'!F:F,"&gt;110%")</f>
        <v>0</v>
      </c>
      <c r="E39" s="98" t="e">
        <f t="shared" si="8"/>
        <v>#DIV/0!</v>
      </c>
      <c r="F39" s="98" t="e">
        <f t="array" ref="F39">LARGE(IF('capacity data'!A:A=B39,IF('capacity data'!E:E="TPO",'capacity data'!F:F)),1)</f>
        <v>#NUM!</v>
      </c>
      <c r="G39" s="215"/>
      <c r="H39" s="181" t="s">
        <v>7</v>
      </c>
      <c r="I39" s="106">
        <f>COUNTIFS('capacity data'!A:A,H39,'capacity data'!E:E,"PSO")</f>
        <v>0</v>
      </c>
      <c r="J39" s="106">
        <f>COUNTIFS('capacity data'!A:A,H39,'capacity data'!E:E,"PSO",'capacity data'!F:F,"&lt;90%")</f>
        <v>0</v>
      </c>
      <c r="K39" s="216" t="e">
        <f t="shared" si="9"/>
        <v>#DIV/0!</v>
      </c>
    </row>
    <row r="40" spans="2:15" s="30" customFormat="1" x14ac:dyDescent="0.15">
      <c r="B40" s="181" t="s">
        <v>1132</v>
      </c>
      <c r="C40" s="106">
        <f>COUNTIFS('capacity data'!A:A,B40,'capacity data'!E:E,"TPO")</f>
        <v>0</v>
      </c>
      <c r="D40" s="106">
        <f>COUNTIFS('capacity data'!A:A,B40,'capacity data'!E:E,"TPO",'capacity data'!F:F,"&gt;110%")</f>
        <v>0</v>
      </c>
      <c r="E40" s="98" t="e">
        <f t="shared" ref="E40" si="10">D40/C40</f>
        <v>#DIV/0!</v>
      </c>
      <c r="F40" s="98" t="e">
        <f t="array" ref="F40">LARGE(IF('capacity data'!A:A=B40,IF('capacity data'!E:E="TPO",'capacity data'!F:F)),1)</f>
        <v>#NUM!</v>
      </c>
      <c r="G40" s="215"/>
      <c r="H40" s="181" t="s">
        <v>1132</v>
      </c>
      <c r="I40" s="106">
        <f>COUNTIFS('capacity data'!A:A,H40,'capacity data'!E:E,"PSO")</f>
        <v>0</v>
      </c>
      <c r="J40" s="106">
        <f>COUNTIFS('capacity data'!A:A,H40,'capacity data'!E:E,"PSO",'capacity data'!F:F,"&lt;90%")</f>
        <v>0</v>
      </c>
      <c r="K40" s="216" t="e">
        <f t="shared" ref="K40" si="11">J40/I40</f>
        <v>#DIV/0!</v>
      </c>
    </row>
    <row r="41" spans="2:15" s="30" customFormat="1" x14ac:dyDescent="0.15">
      <c r="B41" s="181" t="s">
        <v>1217</v>
      </c>
      <c r="C41" s="106">
        <f>COUNTIFS('capacity data'!A:A,B41,'capacity data'!E:E,"TPO")</f>
        <v>0</v>
      </c>
      <c r="D41" s="106">
        <f>COUNTIFS('capacity data'!A:A,B41,'capacity data'!E:E,"TPO",'capacity data'!F:F,"&gt;110%")</f>
        <v>0</v>
      </c>
      <c r="E41" s="98" t="e">
        <f t="shared" si="8"/>
        <v>#DIV/0!</v>
      </c>
      <c r="F41" s="98" t="e">
        <f t="array" ref="F41">LARGE(IF('capacity data'!A:A=B41,IF('capacity data'!E:E="TPO",'capacity data'!F:F)),1)</f>
        <v>#NUM!</v>
      </c>
      <c r="G41" s="215"/>
      <c r="H41" s="181" t="s">
        <v>1217</v>
      </c>
      <c r="I41" s="106">
        <f>COUNTIFS('capacity data'!A:A,H41,'capacity data'!E:E,"PSO")</f>
        <v>0</v>
      </c>
      <c r="J41" s="106">
        <f>COUNTIFS('capacity data'!A:A,H41,'capacity data'!E:E,"PSO",'capacity data'!F:F,"&lt;90%")</f>
        <v>0</v>
      </c>
      <c r="K41" s="216" t="e">
        <f t="shared" si="9"/>
        <v>#DIV/0!</v>
      </c>
    </row>
    <row r="42" spans="2:15" s="30" customFormat="1" x14ac:dyDescent="0.15">
      <c r="B42" s="181" t="s">
        <v>382</v>
      </c>
      <c r="C42" s="106">
        <f>COUNTIFS('capacity data'!A:A,B42,'capacity data'!E:E,"TPO")</f>
        <v>0</v>
      </c>
      <c r="D42" s="106">
        <f>COUNTIFS('capacity data'!A:A,B42,'capacity data'!E:E,"TPO",'capacity data'!F:F,"&gt;110%")</f>
        <v>0</v>
      </c>
      <c r="E42" s="98" t="e">
        <f t="shared" si="8"/>
        <v>#DIV/0!</v>
      </c>
      <c r="F42" s="98" t="e">
        <f t="array" ref="F42">LARGE(IF('capacity data'!A:A=B42,IF('capacity data'!E:E="TPO",'capacity data'!F:F)),1)</f>
        <v>#NUM!</v>
      </c>
      <c r="G42" s="215"/>
      <c r="H42" s="181" t="s">
        <v>382</v>
      </c>
      <c r="I42" s="106">
        <f>COUNTIFS('capacity data'!A:A,H42,'capacity data'!E:E,"PSO")</f>
        <v>0</v>
      </c>
      <c r="J42" s="106">
        <f>COUNTIFS('capacity data'!A:A,H42,'capacity data'!E:E,"PSO",'capacity data'!F:F,"&lt;90%")</f>
        <v>0</v>
      </c>
      <c r="K42" s="216" t="e">
        <f t="shared" si="9"/>
        <v>#DIV/0!</v>
      </c>
    </row>
    <row r="43" spans="2:15" s="30" customFormat="1" x14ac:dyDescent="0.15">
      <c r="B43" s="181" t="s">
        <v>8</v>
      </c>
      <c r="C43" s="106">
        <f>COUNTIFS('capacity data'!A:A,B43,'capacity data'!E:E,"TPO")</f>
        <v>0</v>
      </c>
      <c r="D43" s="106">
        <f>COUNTIFS('capacity data'!A:A,B43,'capacity data'!E:E,"TPO",'capacity data'!F:F,"&gt;110%")</f>
        <v>0</v>
      </c>
      <c r="E43" s="98" t="e">
        <f t="shared" si="8"/>
        <v>#DIV/0!</v>
      </c>
      <c r="F43" s="98" t="e">
        <f t="array" ref="F43">LARGE(IF('capacity data'!A:A=B43,IF('capacity data'!E:E="TPO",'capacity data'!F:F)),1)</f>
        <v>#NUM!</v>
      </c>
      <c r="G43" s="215"/>
      <c r="H43" s="181" t="s">
        <v>8</v>
      </c>
      <c r="I43" s="106">
        <f>COUNTIFS('capacity data'!A:A,H43,'capacity data'!E:E,"PSO")</f>
        <v>0</v>
      </c>
      <c r="J43" s="106">
        <f>COUNTIFS('capacity data'!A:A,H43,'capacity data'!E:E,"PSO",'capacity data'!F:F,"&lt;90%")</f>
        <v>0</v>
      </c>
      <c r="K43" s="216" t="e">
        <f t="shared" si="9"/>
        <v>#DIV/0!</v>
      </c>
    </row>
    <row r="44" spans="2:15" x14ac:dyDescent="0.15">
      <c r="B44" s="181" t="s">
        <v>9</v>
      </c>
      <c r="C44" s="106">
        <f>COUNTIFS('capacity data'!A:A,B44,'capacity data'!E:E,"TPO")</f>
        <v>0</v>
      </c>
      <c r="D44" s="106">
        <f>COUNTIFS('capacity data'!A:A,B44,'capacity data'!E:E,"TPO",'capacity data'!F:F,"&gt;110%")</f>
        <v>0</v>
      </c>
      <c r="E44" s="98" t="e">
        <f t="shared" si="8"/>
        <v>#DIV/0!</v>
      </c>
      <c r="F44" s="98" t="e">
        <f t="array" ref="F44">LARGE(IF('capacity data'!A:A=B44,IF('capacity data'!E:E="TPO",'capacity data'!F:F)),1)</f>
        <v>#NUM!</v>
      </c>
      <c r="G44" s="215"/>
      <c r="H44" s="181" t="s">
        <v>9</v>
      </c>
      <c r="I44" s="106">
        <f>COUNTIFS('capacity data'!A:A,H44,'capacity data'!E:E,"PSO")</f>
        <v>0</v>
      </c>
      <c r="J44" s="106">
        <f>COUNTIFS('capacity data'!A:A,H44,'capacity data'!E:E,"PSO",'capacity data'!F:F,"&lt;90%")</f>
        <v>0</v>
      </c>
      <c r="K44" s="216" t="e">
        <f t="shared" si="9"/>
        <v>#DIV/0!</v>
      </c>
    </row>
    <row r="45" spans="2:15" s="30" customFormat="1" x14ac:dyDescent="0.15">
      <c r="B45" s="181" t="s">
        <v>514</v>
      </c>
      <c r="C45" s="106">
        <f>COUNTIFS('capacity data'!A:A,B45,'capacity data'!E:E,"TPO")</f>
        <v>0</v>
      </c>
      <c r="D45" s="106">
        <f>COUNTIFS('capacity data'!A:A,B45,'capacity data'!E:E,"TPO",'capacity data'!F:F,"&gt;110%")</f>
        <v>0</v>
      </c>
      <c r="E45" s="98" t="e">
        <f t="shared" ref="E45:E54" si="12">D45/C45</f>
        <v>#DIV/0!</v>
      </c>
      <c r="F45" s="98" t="e">
        <f t="array" ref="F45">LARGE(IF('capacity data'!A:A=B45,IF('capacity data'!E:E="TPO",'capacity data'!F:F)),1)</f>
        <v>#NUM!</v>
      </c>
      <c r="G45" s="215"/>
      <c r="H45" s="181" t="s">
        <v>514</v>
      </c>
      <c r="I45" s="106">
        <f>COUNTIFS('capacity data'!A:A,H45,'capacity data'!E:E,"PSO")</f>
        <v>0</v>
      </c>
      <c r="J45" s="106">
        <f>COUNTIFS('capacity data'!A:A,H45,'capacity data'!E:E,"PSO",'capacity data'!F:F,"&lt;90%")</f>
        <v>0</v>
      </c>
      <c r="K45" s="216" t="e">
        <f t="shared" ref="K45:K54" si="13">J45/I45</f>
        <v>#DIV/0!</v>
      </c>
    </row>
    <row r="46" spans="2:15" s="30" customFormat="1" x14ac:dyDescent="0.15">
      <c r="B46" s="181" t="s">
        <v>515</v>
      </c>
      <c r="C46" s="106">
        <f>COUNTIFS('capacity data'!A:A,B46,'capacity data'!E:E,"TPO")</f>
        <v>0</v>
      </c>
      <c r="D46" s="106">
        <f>COUNTIFS('capacity data'!A:A,B46,'capacity data'!E:E,"TPO",'capacity data'!F:F,"&gt;110%")</f>
        <v>0</v>
      </c>
      <c r="E46" s="98" t="e">
        <f t="shared" si="12"/>
        <v>#DIV/0!</v>
      </c>
      <c r="F46" s="98" t="e">
        <f t="array" ref="F46">LARGE(IF('capacity data'!A:A=B46,IF('capacity data'!E:E="TPO",'capacity data'!F:F)),1)</f>
        <v>#NUM!</v>
      </c>
      <c r="G46" s="215"/>
      <c r="H46" s="181" t="s">
        <v>515</v>
      </c>
      <c r="I46" s="106">
        <f>COUNTIFS('capacity data'!A:A,H46,'capacity data'!E:E,"PSO")</f>
        <v>0</v>
      </c>
      <c r="J46" s="106">
        <f>COUNTIFS('capacity data'!A:A,H46,'capacity data'!E:E,"PSO",'capacity data'!F:F,"&lt;90%")</f>
        <v>0</v>
      </c>
      <c r="K46" s="216" t="e">
        <f t="shared" si="13"/>
        <v>#DIV/0!</v>
      </c>
    </row>
    <row r="47" spans="2:15" s="30" customFormat="1" x14ac:dyDescent="0.15">
      <c r="B47" s="181" t="s">
        <v>516</v>
      </c>
      <c r="C47" s="106">
        <f>COUNTIFS('capacity data'!A:A,B47,'capacity data'!E:E,"TPO")</f>
        <v>0</v>
      </c>
      <c r="D47" s="106">
        <f>COUNTIFS('capacity data'!A:A,B47,'capacity data'!E:E,"TPO",'capacity data'!F:F,"&gt;110%")</f>
        <v>0</v>
      </c>
      <c r="E47" s="98" t="e">
        <f t="shared" si="12"/>
        <v>#DIV/0!</v>
      </c>
      <c r="F47" s="98" t="e">
        <f t="array" ref="F47">LARGE(IF('capacity data'!A:A=B47,IF('capacity data'!E:E="TPO",'capacity data'!F:F)),1)</f>
        <v>#NUM!</v>
      </c>
      <c r="G47" s="215"/>
      <c r="H47" s="181" t="s">
        <v>516</v>
      </c>
      <c r="I47" s="106">
        <f>COUNTIFS('capacity data'!A:A,H47,'capacity data'!E:E,"PSO")</f>
        <v>0</v>
      </c>
      <c r="J47" s="106">
        <f>COUNTIFS('capacity data'!A:A,H47,'capacity data'!E:E,"PSO",'capacity data'!F:F,"&lt;90%")</f>
        <v>0</v>
      </c>
      <c r="K47" s="216" t="e">
        <f t="shared" si="13"/>
        <v>#DIV/0!</v>
      </c>
    </row>
    <row r="48" spans="2:15" s="30" customFormat="1" x14ac:dyDescent="0.15">
      <c r="B48" s="181" t="s">
        <v>517</v>
      </c>
      <c r="C48" s="106">
        <f>COUNTIFS('capacity data'!A:A,B48,'capacity data'!E:E,"TPO")</f>
        <v>0</v>
      </c>
      <c r="D48" s="106">
        <f>COUNTIFS('capacity data'!A:A,B48,'capacity data'!E:E,"TPO",'capacity data'!F:F,"&gt;110%")</f>
        <v>0</v>
      </c>
      <c r="E48" s="98" t="e">
        <f t="shared" si="12"/>
        <v>#DIV/0!</v>
      </c>
      <c r="F48" s="98" t="e">
        <f t="array" ref="F48">LARGE(IF('capacity data'!A:A=B48,IF('capacity data'!E:E="TPO",'capacity data'!F:F)),1)</f>
        <v>#NUM!</v>
      </c>
      <c r="G48" s="215"/>
      <c r="H48" s="181" t="s">
        <v>517</v>
      </c>
      <c r="I48" s="106">
        <f>COUNTIFS('capacity data'!A:A,H48,'capacity data'!E:E,"PSO")</f>
        <v>0</v>
      </c>
      <c r="J48" s="106">
        <f>COUNTIFS('capacity data'!A:A,H48,'capacity data'!E:E,"PSO",'capacity data'!F:F,"&lt;90%")</f>
        <v>0</v>
      </c>
      <c r="K48" s="216" t="e">
        <f t="shared" si="13"/>
        <v>#DIV/0!</v>
      </c>
    </row>
    <row r="49" spans="2:11" s="30" customFormat="1" x14ac:dyDescent="0.15">
      <c r="B49" s="181" t="s">
        <v>518</v>
      </c>
      <c r="C49" s="106">
        <f>COUNTIFS('capacity data'!A:A,B49,'capacity data'!E:E,"TPO")</f>
        <v>0</v>
      </c>
      <c r="D49" s="106">
        <f>COUNTIFS('capacity data'!A:A,B49,'capacity data'!E:E,"TPO",'capacity data'!F:F,"&gt;110%")</f>
        <v>0</v>
      </c>
      <c r="E49" s="98" t="e">
        <f t="shared" si="12"/>
        <v>#DIV/0!</v>
      </c>
      <c r="F49" s="98" t="e">
        <f t="array" ref="F49">LARGE(IF('capacity data'!A:A=B49,IF('capacity data'!E:E="TPO",'capacity data'!F:F)),1)</f>
        <v>#NUM!</v>
      </c>
      <c r="G49" s="215"/>
      <c r="H49" s="181" t="s">
        <v>518</v>
      </c>
      <c r="I49" s="106">
        <f>COUNTIFS('capacity data'!A:A,H49,'capacity data'!E:E,"PSO")</f>
        <v>0</v>
      </c>
      <c r="J49" s="106">
        <f>COUNTIFS('capacity data'!A:A,H49,'capacity data'!E:E,"PSO",'capacity data'!F:F,"&lt;90%")</f>
        <v>0</v>
      </c>
      <c r="K49" s="216" t="e">
        <f t="shared" si="13"/>
        <v>#DIV/0!</v>
      </c>
    </row>
    <row r="50" spans="2:11" s="30" customFormat="1" x14ac:dyDescent="0.15">
      <c r="B50" s="181" t="s">
        <v>519</v>
      </c>
      <c r="C50" s="106">
        <f>COUNTIFS('capacity data'!A:A,B50,'capacity data'!E:E,"TPO")</f>
        <v>0</v>
      </c>
      <c r="D50" s="106">
        <f>COUNTIFS('capacity data'!A:A,B50,'capacity data'!E:E,"TPO",'capacity data'!F:F,"&gt;110%")</f>
        <v>0</v>
      </c>
      <c r="E50" s="98" t="e">
        <f t="shared" si="12"/>
        <v>#DIV/0!</v>
      </c>
      <c r="F50" s="98" t="e">
        <f t="array" ref="F50">LARGE(IF('capacity data'!A:A=B50,IF('capacity data'!E:E="TPO",'capacity data'!F:F)),1)</f>
        <v>#NUM!</v>
      </c>
      <c r="G50" s="215"/>
      <c r="H50" s="181" t="s">
        <v>519</v>
      </c>
      <c r="I50" s="106">
        <f>COUNTIFS('capacity data'!A:A,H50,'capacity data'!E:E,"PSO")</f>
        <v>0</v>
      </c>
      <c r="J50" s="106">
        <f>COUNTIFS('capacity data'!A:A,H50,'capacity data'!E:E,"PSO",'capacity data'!F:F,"&lt;90%")</f>
        <v>0</v>
      </c>
      <c r="K50" s="216" t="e">
        <f t="shared" si="13"/>
        <v>#DIV/0!</v>
      </c>
    </row>
    <row r="51" spans="2:11" s="30" customFormat="1" x14ac:dyDescent="0.15">
      <c r="B51" s="181" t="s">
        <v>520</v>
      </c>
      <c r="C51" s="106">
        <f>COUNTIFS('capacity data'!A:A,B51,'capacity data'!E:E,"TPO")</f>
        <v>0</v>
      </c>
      <c r="D51" s="106">
        <f>COUNTIFS('capacity data'!A:A,B51,'capacity data'!E:E,"TPO",'capacity data'!F:F,"&gt;110%")</f>
        <v>0</v>
      </c>
      <c r="E51" s="98" t="e">
        <f t="shared" si="12"/>
        <v>#DIV/0!</v>
      </c>
      <c r="F51" s="98" t="e">
        <f t="array" ref="F51">LARGE(IF('capacity data'!A:A=B51,IF('capacity data'!E:E="TPO",'capacity data'!F:F)),1)</f>
        <v>#NUM!</v>
      </c>
      <c r="G51" s="215"/>
      <c r="H51" s="181" t="s">
        <v>520</v>
      </c>
      <c r="I51" s="106">
        <f>COUNTIFS('capacity data'!A:A,H51,'capacity data'!E:E,"PSO")</f>
        <v>0</v>
      </c>
      <c r="J51" s="106">
        <f>COUNTIFS('capacity data'!A:A,H51,'capacity data'!E:E,"PSO",'capacity data'!F:F,"&lt;90%")</f>
        <v>0</v>
      </c>
      <c r="K51" s="216" t="e">
        <f t="shared" si="13"/>
        <v>#DIV/0!</v>
      </c>
    </row>
    <row r="52" spans="2:11" s="30" customFormat="1" x14ac:dyDescent="0.15">
      <c r="B52" s="181" t="s">
        <v>521</v>
      </c>
      <c r="C52" s="106">
        <f>COUNTIFS('capacity data'!A:A,B52,'capacity data'!E:E,"TPO")</f>
        <v>0</v>
      </c>
      <c r="D52" s="106">
        <f>COUNTIFS('capacity data'!A:A,B52,'capacity data'!E:E,"TPO",'capacity data'!F:F,"&gt;110%")</f>
        <v>0</v>
      </c>
      <c r="E52" s="98" t="e">
        <f t="shared" si="12"/>
        <v>#DIV/0!</v>
      </c>
      <c r="F52" s="98" t="e">
        <f t="array" ref="F52">LARGE(IF('capacity data'!A:A=B52,IF('capacity data'!E:E="TPO",'capacity data'!F:F)),1)</f>
        <v>#NUM!</v>
      </c>
      <c r="G52" s="215"/>
      <c r="H52" s="181" t="s">
        <v>521</v>
      </c>
      <c r="I52" s="106">
        <f>COUNTIFS('capacity data'!A:A,H52,'capacity data'!E:E,"PSO")</f>
        <v>0</v>
      </c>
      <c r="J52" s="106">
        <f>COUNTIFS('capacity data'!A:A,H52,'capacity data'!E:E,"PSO",'capacity data'!F:F,"&lt;90%")</f>
        <v>0</v>
      </c>
      <c r="K52" s="216" t="e">
        <f t="shared" si="13"/>
        <v>#DIV/0!</v>
      </c>
    </row>
    <row r="53" spans="2:11" s="30" customFormat="1" x14ac:dyDescent="0.15">
      <c r="B53" s="181" t="s">
        <v>522</v>
      </c>
      <c r="C53" s="106">
        <f>COUNTIFS('capacity data'!A:A,B53,'capacity data'!E:E,"TPO")</f>
        <v>0</v>
      </c>
      <c r="D53" s="106">
        <f>COUNTIFS('capacity data'!A:A,B53,'capacity data'!E:E,"TPO",'capacity data'!F:F,"&gt;110%")</f>
        <v>0</v>
      </c>
      <c r="E53" s="98" t="e">
        <f t="shared" si="12"/>
        <v>#DIV/0!</v>
      </c>
      <c r="F53" s="98" t="e">
        <f t="array" ref="F53">LARGE(IF('capacity data'!A:A=B53,IF('capacity data'!E:E="TPO",'capacity data'!F:F)),1)</f>
        <v>#NUM!</v>
      </c>
      <c r="G53" s="215"/>
      <c r="H53" s="181" t="s">
        <v>522</v>
      </c>
      <c r="I53" s="106">
        <f>COUNTIFS('capacity data'!A:A,H53,'capacity data'!E:E,"PSO")</f>
        <v>0</v>
      </c>
      <c r="J53" s="106">
        <f>COUNTIFS('capacity data'!A:A,H53,'capacity data'!E:E,"PSO",'capacity data'!F:F,"&lt;90%")</f>
        <v>0</v>
      </c>
      <c r="K53" s="216" t="e">
        <f t="shared" si="13"/>
        <v>#DIV/0!</v>
      </c>
    </row>
    <row r="54" spans="2:11" s="30" customFormat="1" x14ac:dyDescent="0.15">
      <c r="B54" s="181" t="s">
        <v>523</v>
      </c>
      <c r="C54" s="106">
        <f>COUNTIFS('capacity data'!A:A,B54,'capacity data'!E:E,"TPO")</f>
        <v>0</v>
      </c>
      <c r="D54" s="106">
        <f>COUNTIFS('capacity data'!A:A,B54,'capacity data'!E:E,"TPO",'capacity data'!F:F,"&gt;110%")</f>
        <v>0</v>
      </c>
      <c r="E54" s="98" t="e">
        <f t="shared" si="12"/>
        <v>#DIV/0!</v>
      </c>
      <c r="F54" s="98" t="e">
        <f t="array" ref="F54">LARGE(IF('capacity data'!A:A=B54,IF('capacity data'!E:E="TPO",'capacity data'!F:F)),1)</f>
        <v>#NUM!</v>
      </c>
      <c r="G54" s="215"/>
      <c r="H54" s="181" t="s">
        <v>523</v>
      </c>
      <c r="I54" s="106">
        <f>COUNTIFS('capacity data'!A:A,H54,'capacity data'!E:E,"PSO")</f>
        <v>0</v>
      </c>
      <c r="J54" s="106">
        <f>COUNTIFS('capacity data'!A:A,H54,'capacity data'!E:E,"PSO",'capacity data'!F:F,"&lt;90%")</f>
        <v>0</v>
      </c>
      <c r="K54" s="216" t="e">
        <f t="shared" si="13"/>
        <v>#DIV/0!</v>
      </c>
    </row>
    <row r="55" spans="2:11" x14ac:dyDescent="0.15">
      <c r="B55" s="217" t="s">
        <v>357</v>
      </c>
      <c r="C55" s="143">
        <f>COUNTIF('capacity data'!E:E,"TPO")</f>
        <v>0</v>
      </c>
      <c r="D55" s="143">
        <f>COUNTIFS('capacity data'!E:E,"TPO",'capacity data'!F:F,"&gt;110%")</f>
        <v>0</v>
      </c>
      <c r="E55" s="254" t="e">
        <f t="shared" ref="E55" si="14">D55/C55</f>
        <v>#DIV/0!</v>
      </c>
      <c r="F55" s="143" t="s">
        <v>282</v>
      </c>
      <c r="G55" s="215"/>
      <c r="H55" s="217" t="s">
        <v>357</v>
      </c>
      <c r="I55" s="143">
        <f>COUNTIF('capacity data'!E:E,"PSO")</f>
        <v>0</v>
      </c>
      <c r="J55" s="143">
        <f>COUNTIFS('capacity data'!E:E,"PSO",'capacity data'!F:F,"&lt;90%")</f>
        <v>0</v>
      </c>
      <c r="K55" s="255" t="s">
        <v>282</v>
      </c>
    </row>
  </sheetData>
  <mergeCells count="6">
    <mergeCell ref="A1:Q1"/>
    <mergeCell ref="A2:Q2"/>
    <mergeCell ref="B4:F4"/>
    <mergeCell ref="B31:F31"/>
    <mergeCell ref="H4:L4"/>
    <mergeCell ref="H31:K31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81"/>
  <dimension ref="A1:O36"/>
  <sheetViews>
    <sheetView showGridLines="0" topLeftCell="G3" zoomScale="70" zoomScaleNormal="70" workbookViewId="0">
      <selection activeCell="L13" sqref="L13"/>
    </sheetView>
  </sheetViews>
  <sheetFormatPr baseColWidth="10" defaultColWidth="8.83203125" defaultRowHeight="14" x14ac:dyDescent="0.15"/>
  <cols>
    <col min="1" max="1" width="4" style="6" customWidth="1"/>
    <col min="2" max="2" width="31.5" customWidth="1"/>
    <col min="3" max="3" width="13.5" style="11" customWidth="1"/>
    <col min="4" max="4" width="20" style="11" customWidth="1"/>
    <col min="5" max="5" width="12.5" style="11" customWidth="1"/>
    <col min="6" max="6" width="11.83203125" style="11" customWidth="1"/>
    <col min="7" max="7" width="13.1640625" style="11" customWidth="1"/>
  </cols>
  <sheetData>
    <row r="1" spans="1:15" ht="28" x14ac:dyDescent="0.15">
      <c r="A1" s="408" t="s">
        <v>406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  <c r="M1" s="408"/>
      <c r="N1" s="408"/>
      <c r="O1" s="408"/>
    </row>
    <row r="2" spans="1:15" ht="33.75" customHeight="1" x14ac:dyDescent="0.15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</row>
    <row r="3" spans="1:15" s="46" customFormat="1" ht="20.25" customHeight="1" thickBot="1" x14ac:dyDescent="0.2"/>
    <row r="4" spans="1:15" ht="15" thickBot="1" x14ac:dyDescent="0.2">
      <c r="B4" s="416" t="s">
        <v>432</v>
      </c>
      <c r="C4" s="412" t="s">
        <v>284</v>
      </c>
      <c r="D4" s="414" t="s">
        <v>407</v>
      </c>
      <c r="E4" s="410" t="s">
        <v>408</v>
      </c>
      <c r="F4" s="411"/>
      <c r="G4" s="417" t="s">
        <v>197</v>
      </c>
      <c r="H4" s="30"/>
      <c r="I4" s="30"/>
      <c r="J4" s="30"/>
      <c r="K4" s="30"/>
      <c r="L4" s="30"/>
      <c r="M4" s="30"/>
      <c r="N4" s="30"/>
      <c r="O4" s="30"/>
    </row>
    <row r="5" spans="1:15" ht="33.75" customHeight="1" thickBot="1" x14ac:dyDescent="0.2">
      <c r="B5" s="413"/>
      <c r="C5" s="413"/>
      <c r="D5" s="415"/>
      <c r="E5" s="218" t="s">
        <v>409</v>
      </c>
      <c r="F5" s="219" t="s">
        <v>410</v>
      </c>
      <c r="G5" s="418"/>
      <c r="H5" s="30"/>
      <c r="I5" s="30"/>
      <c r="J5" s="30"/>
      <c r="K5" s="30"/>
      <c r="L5" s="30"/>
      <c r="M5" s="30"/>
      <c r="N5" s="30"/>
      <c r="O5" s="30"/>
    </row>
    <row r="6" spans="1:15" x14ac:dyDescent="0.15">
      <c r="B6" s="181" t="s">
        <v>4</v>
      </c>
      <c r="C6" s="106">
        <f>SUMIFS('capacity data'!K:K,'capacity data'!A:A,B6,'capacity data'!E:E,"SPO")</f>
        <v>0</v>
      </c>
      <c r="D6" s="106">
        <f>SUMIFS('capacity data'!K:K,'capacity data'!E:E,"DMY",'capacity data'!A:A,B6)</f>
        <v>0</v>
      </c>
      <c r="E6" s="220">
        <f>SUM(C6:D6)</f>
        <v>0</v>
      </c>
      <c r="F6" s="221" t="e">
        <f>E6/G6</f>
        <v>#DIV/0!</v>
      </c>
      <c r="G6" s="185">
        <f>SUMIF('capacity data'!A:A,B6,'capacity data'!K:K)</f>
        <v>0</v>
      </c>
      <c r="H6" s="30"/>
      <c r="I6" s="30"/>
      <c r="J6" s="30"/>
      <c r="K6" s="30"/>
      <c r="L6" s="30"/>
      <c r="M6" s="30"/>
      <c r="N6" s="30"/>
      <c r="O6" s="30"/>
    </row>
    <row r="7" spans="1:15" x14ac:dyDescent="0.15">
      <c r="B7" s="181" t="s">
        <v>1014</v>
      </c>
      <c r="C7" s="106">
        <f>SUMIFS('capacity data'!K:K,'capacity data'!A:A,B7,'capacity data'!E:E,"SPO")</f>
        <v>0</v>
      </c>
      <c r="D7" s="106">
        <f>SUMIFS('capacity data'!K:K,'capacity data'!E:E,"DMY",'capacity data'!A:A,B7)</f>
        <v>0</v>
      </c>
      <c r="E7" s="220">
        <f t="shared" ref="E7:E17" si="0">SUM(C7:D7)</f>
        <v>0</v>
      </c>
      <c r="F7" s="221" t="e">
        <f t="shared" ref="F7:F17" si="1">E7/G7</f>
        <v>#DIV/0!</v>
      </c>
      <c r="G7" s="185">
        <f>SUMIF('capacity data'!A:A,B7,'capacity data'!K:K)</f>
        <v>0</v>
      </c>
      <c r="H7" s="30"/>
      <c r="I7" s="30"/>
      <c r="J7" s="30"/>
      <c r="K7" s="30"/>
      <c r="L7" s="30"/>
      <c r="M7" s="30"/>
      <c r="N7" s="30"/>
      <c r="O7" s="30"/>
    </row>
    <row r="8" spans="1:15" x14ac:dyDescent="0.15">
      <c r="B8" s="181" t="s">
        <v>5</v>
      </c>
      <c r="C8" s="106">
        <f>SUMIFS('capacity data'!K:K,'capacity data'!A:A,B8,'capacity data'!E:E,"SPO")</f>
        <v>0</v>
      </c>
      <c r="D8" s="106">
        <f>SUMIFS('capacity data'!K:K,'capacity data'!E:E,"DMY",'capacity data'!A:A,B8)</f>
        <v>0</v>
      </c>
      <c r="E8" s="220">
        <f t="shared" si="0"/>
        <v>0</v>
      </c>
      <c r="F8" s="221" t="e">
        <f t="shared" si="1"/>
        <v>#DIV/0!</v>
      </c>
      <c r="G8" s="185">
        <f>SUMIF('capacity data'!A:A,B8,'capacity data'!K:K)</f>
        <v>0</v>
      </c>
      <c r="H8" s="30"/>
      <c r="I8" s="30"/>
      <c r="J8" s="30"/>
      <c r="K8" s="30"/>
      <c r="L8" s="30"/>
      <c r="M8" s="30"/>
      <c r="N8" s="30"/>
      <c r="O8" s="30"/>
    </row>
    <row r="9" spans="1:15" s="30" customFormat="1" x14ac:dyDescent="0.15">
      <c r="A9" s="6"/>
      <c r="B9" s="181" t="s">
        <v>6</v>
      </c>
      <c r="C9" s="106">
        <f>SUMIFS('capacity data'!K:K,'capacity data'!A:A,B9,'capacity data'!E:E,"SPO")</f>
        <v>0</v>
      </c>
      <c r="D9" s="106">
        <f>SUMIFS('capacity data'!K:K,'capacity data'!E:E,"DMY",'capacity data'!A:A,B9)</f>
        <v>0</v>
      </c>
      <c r="E9" s="220">
        <f t="shared" si="0"/>
        <v>0</v>
      </c>
      <c r="F9" s="221" t="e">
        <f t="shared" si="1"/>
        <v>#DIV/0!</v>
      </c>
      <c r="G9" s="185">
        <f>SUMIF('capacity data'!A:A,B9,'capacity data'!K:K)</f>
        <v>0</v>
      </c>
    </row>
    <row r="10" spans="1:15" x14ac:dyDescent="0.15">
      <c r="B10" s="181" t="s">
        <v>376</v>
      </c>
      <c r="C10" s="106">
        <f>SUMIFS('capacity data'!K:K,'capacity data'!A:A,B10,'capacity data'!E:E,"SPO")</f>
        <v>0</v>
      </c>
      <c r="D10" s="106">
        <f>SUMIFS('capacity data'!K:K,'capacity data'!E:E,"DMY",'capacity data'!A:A,B10)</f>
        <v>0</v>
      </c>
      <c r="E10" s="220">
        <f t="shared" si="0"/>
        <v>0</v>
      </c>
      <c r="F10" s="221" t="e">
        <f t="shared" si="1"/>
        <v>#DIV/0!</v>
      </c>
      <c r="G10" s="185">
        <f>SUMIF('capacity data'!A:A,B10,'capacity data'!K:K)</f>
        <v>0</v>
      </c>
      <c r="H10" s="30"/>
      <c r="I10" s="30"/>
      <c r="J10" s="30"/>
      <c r="K10" s="30"/>
      <c r="L10" s="30"/>
      <c r="M10" s="30"/>
      <c r="N10" s="30"/>
      <c r="O10" s="30"/>
    </row>
    <row r="11" spans="1:15" s="30" customFormat="1" x14ac:dyDescent="0.15">
      <c r="A11" s="6"/>
      <c r="B11" s="181" t="s">
        <v>1130</v>
      </c>
      <c r="C11" s="106">
        <f>SUMIFS('capacity data'!K:K,'capacity data'!A:A,B11,'capacity data'!E:E,"SPO")</f>
        <v>0</v>
      </c>
      <c r="D11" s="106">
        <f>SUMIFS('capacity data'!K:K,'capacity data'!E:E,"DMY",'capacity data'!A:A,B11)</f>
        <v>0</v>
      </c>
      <c r="E11" s="220">
        <f t="shared" si="0"/>
        <v>0</v>
      </c>
      <c r="F11" s="221" t="e">
        <f t="shared" si="1"/>
        <v>#DIV/0!</v>
      </c>
      <c r="G11" s="185">
        <f>SUMIF('capacity data'!A:A,B11,'capacity data'!K:K)</f>
        <v>0</v>
      </c>
    </row>
    <row r="12" spans="1:15" s="30" customFormat="1" x14ac:dyDescent="0.15">
      <c r="A12" s="6"/>
      <c r="B12" s="181" t="s">
        <v>7</v>
      </c>
      <c r="C12" s="106">
        <f>SUMIFS('capacity data'!K:K,'capacity data'!A:A,B12,'capacity data'!E:E,"SPO")</f>
        <v>0</v>
      </c>
      <c r="D12" s="106">
        <f>SUMIFS('capacity data'!K:K,'capacity data'!E:E,"DMY",'capacity data'!A:A,B12)</f>
        <v>0</v>
      </c>
      <c r="E12" s="220">
        <f t="shared" si="0"/>
        <v>0</v>
      </c>
      <c r="F12" s="221" t="e">
        <f t="shared" si="1"/>
        <v>#DIV/0!</v>
      </c>
      <c r="G12" s="185">
        <f>SUMIF('capacity data'!A:A,B12,'capacity data'!K:K)</f>
        <v>0</v>
      </c>
    </row>
    <row r="13" spans="1:15" s="30" customFormat="1" x14ac:dyDescent="0.15">
      <c r="A13" s="6"/>
      <c r="B13" s="181" t="s">
        <v>1132</v>
      </c>
      <c r="C13" s="106">
        <f>SUMIFS('capacity data'!K:K,'capacity data'!A:A,B13,'capacity data'!E:E,"SPO")</f>
        <v>0</v>
      </c>
      <c r="D13" s="106">
        <f>SUMIFS('capacity data'!K:K,'capacity data'!E:E,"DMY",'capacity data'!A:A,B13)</f>
        <v>0</v>
      </c>
      <c r="E13" s="220">
        <f t="shared" ref="E13" si="2">SUM(C13:D13)</f>
        <v>0</v>
      </c>
      <c r="F13" s="221" t="e">
        <f t="shared" ref="F13" si="3">E13/G13</f>
        <v>#DIV/0!</v>
      </c>
      <c r="G13" s="185">
        <f>SUMIF('capacity data'!A:A,B13,'capacity data'!K:K)</f>
        <v>0</v>
      </c>
    </row>
    <row r="14" spans="1:15" s="30" customFormat="1" x14ac:dyDescent="0.15">
      <c r="A14" s="6"/>
      <c r="B14" s="181" t="s">
        <v>1217</v>
      </c>
      <c r="C14" s="106">
        <f>SUMIFS('capacity data'!K:K,'capacity data'!A:A,B14,'capacity data'!E:E,"SPO")</f>
        <v>0</v>
      </c>
      <c r="D14" s="106">
        <f>SUMIFS('capacity data'!K:K,'capacity data'!E:E,"DMY",'capacity data'!A:A,B14)</f>
        <v>0</v>
      </c>
      <c r="E14" s="220">
        <f t="shared" si="0"/>
        <v>0</v>
      </c>
      <c r="F14" s="221" t="e">
        <f t="shared" si="1"/>
        <v>#DIV/0!</v>
      </c>
      <c r="G14" s="185">
        <f>SUMIF('capacity data'!A:A,B14,'capacity data'!K:K)</f>
        <v>0</v>
      </c>
    </row>
    <row r="15" spans="1:15" x14ac:dyDescent="0.15">
      <c r="B15" s="181" t="s">
        <v>382</v>
      </c>
      <c r="C15" s="106">
        <f>SUMIFS('capacity data'!K:K,'capacity data'!A:A,B15,'capacity data'!E:E,"SPO")</f>
        <v>0</v>
      </c>
      <c r="D15" s="106">
        <f>SUMIFS('capacity data'!K:K,'capacity data'!E:E,"DMY",'capacity data'!A:A,B15)</f>
        <v>0</v>
      </c>
      <c r="E15" s="220">
        <f t="shared" si="0"/>
        <v>0</v>
      </c>
      <c r="F15" s="221" t="e">
        <f t="shared" si="1"/>
        <v>#DIV/0!</v>
      </c>
      <c r="G15" s="185">
        <f>SUMIF('capacity data'!A:A,B15,'capacity data'!K:K)</f>
        <v>0</v>
      </c>
      <c r="H15" s="30"/>
      <c r="I15" s="30"/>
      <c r="J15" s="30"/>
      <c r="K15" s="30"/>
      <c r="L15" s="30"/>
      <c r="M15" s="30"/>
      <c r="N15" s="30"/>
      <c r="O15" s="30"/>
    </row>
    <row r="16" spans="1:15" x14ac:dyDescent="0.15">
      <c r="B16" s="181" t="s">
        <v>8</v>
      </c>
      <c r="C16" s="106">
        <f>SUMIFS('capacity data'!K:K,'capacity data'!A:A,B16,'capacity data'!E:E,"SPO")</f>
        <v>0</v>
      </c>
      <c r="D16" s="106">
        <f>SUMIFS('capacity data'!K:K,'capacity data'!E:E,"DMY",'capacity data'!A:A,B16)</f>
        <v>0</v>
      </c>
      <c r="E16" s="220">
        <f t="shared" si="0"/>
        <v>0</v>
      </c>
      <c r="F16" s="221" t="e">
        <f t="shared" si="1"/>
        <v>#DIV/0!</v>
      </c>
      <c r="G16" s="185">
        <f>SUMIF('capacity data'!A:A,B16,'capacity data'!K:K)</f>
        <v>0</v>
      </c>
      <c r="H16" s="30"/>
      <c r="I16" s="30"/>
      <c r="J16" s="30"/>
      <c r="K16" s="30"/>
      <c r="L16" s="30"/>
      <c r="M16" s="30"/>
      <c r="N16" s="30"/>
      <c r="O16" s="30"/>
    </row>
    <row r="17" spans="1:7" x14ac:dyDescent="0.15">
      <c r="B17" s="181" t="s">
        <v>9</v>
      </c>
      <c r="C17" s="106">
        <f>SUMIFS('capacity data'!K:K,'capacity data'!A:A,B17,'capacity data'!E:E,"SPO")</f>
        <v>0</v>
      </c>
      <c r="D17" s="106">
        <f>SUMIFS('capacity data'!K:K,'capacity data'!E:E,"DMY",'capacity data'!A:A,B17)</f>
        <v>0</v>
      </c>
      <c r="E17" s="220">
        <f t="shared" si="0"/>
        <v>0</v>
      </c>
      <c r="F17" s="221" t="e">
        <f t="shared" si="1"/>
        <v>#DIV/0!</v>
      </c>
      <c r="G17" s="185">
        <f>SUMIF('capacity data'!A:A,B17,'capacity data'!K:K)</f>
        <v>0</v>
      </c>
    </row>
    <row r="18" spans="1:7" s="30" customFormat="1" x14ac:dyDescent="0.15">
      <c r="A18" s="6"/>
      <c r="B18" s="181" t="s">
        <v>514</v>
      </c>
      <c r="C18" s="106">
        <f>SUMIFS('capacity data'!K:K,'capacity data'!A:A,B18,'capacity data'!E:E,"SPO")</f>
        <v>0</v>
      </c>
      <c r="D18" s="106">
        <f>SUMIFS('capacity data'!K:K,'capacity data'!E:E,"DMY",'capacity data'!A:A,B18)</f>
        <v>0</v>
      </c>
      <c r="E18" s="220">
        <f t="shared" ref="E18:E27" si="4">SUM(C18:D18)</f>
        <v>0</v>
      </c>
      <c r="F18" s="221" t="e">
        <f t="shared" ref="F18:F27" si="5">E18/G18</f>
        <v>#DIV/0!</v>
      </c>
      <c r="G18" s="185">
        <f>SUMIF('capacity data'!A:A,B18,'capacity data'!K:K)</f>
        <v>0</v>
      </c>
    </row>
    <row r="19" spans="1:7" s="30" customFormat="1" x14ac:dyDescent="0.15">
      <c r="A19" s="6"/>
      <c r="B19" s="181" t="s">
        <v>515</v>
      </c>
      <c r="C19" s="106">
        <f>SUMIFS('capacity data'!K:K,'capacity data'!A:A,B19,'capacity data'!E:E,"SPO")</f>
        <v>0</v>
      </c>
      <c r="D19" s="106">
        <f>SUMIFS('capacity data'!K:K,'capacity data'!E:E,"DMY",'capacity data'!A:A,B19)</f>
        <v>0</v>
      </c>
      <c r="E19" s="220">
        <f t="shared" si="4"/>
        <v>0</v>
      </c>
      <c r="F19" s="221" t="e">
        <f t="shared" si="5"/>
        <v>#DIV/0!</v>
      </c>
      <c r="G19" s="185">
        <f>SUMIF('capacity data'!A:A,B19,'capacity data'!K:K)</f>
        <v>0</v>
      </c>
    </row>
    <row r="20" spans="1:7" s="30" customFormat="1" x14ac:dyDescent="0.15">
      <c r="A20" s="6"/>
      <c r="B20" s="181" t="s">
        <v>516</v>
      </c>
      <c r="C20" s="106">
        <f>SUMIFS('capacity data'!K:K,'capacity data'!A:A,B20,'capacity data'!E:E,"SPO")</f>
        <v>0</v>
      </c>
      <c r="D20" s="106">
        <f>SUMIFS('capacity data'!K:K,'capacity data'!E:E,"DMY",'capacity data'!A:A,B20)</f>
        <v>0</v>
      </c>
      <c r="E20" s="220">
        <f t="shared" si="4"/>
        <v>0</v>
      </c>
      <c r="F20" s="221" t="e">
        <f t="shared" si="5"/>
        <v>#DIV/0!</v>
      </c>
      <c r="G20" s="185">
        <f>SUMIF('capacity data'!A:A,B20,'capacity data'!K:K)</f>
        <v>0</v>
      </c>
    </row>
    <row r="21" spans="1:7" s="30" customFormat="1" x14ac:dyDescent="0.15">
      <c r="A21" s="6"/>
      <c r="B21" s="181" t="s">
        <v>517</v>
      </c>
      <c r="C21" s="106">
        <f>SUMIFS('capacity data'!K:K,'capacity data'!A:A,B21,'capacity data'!E:E,"SPO")</f>
        <v>0</v>
      </c>
      <c r="D21" s="106">
        <f>SUMIFS('capacity data'!K:K,'capacity data'!E:E,"DMY",'capacity data'!A:A,B21)</f>
        <v>0</v>
      </c>
      <c r="E21" s="220">
        <f t="shared" si="4"/>
        <v>0</v>
      </c>
      <c r="F21" s="221" t="e">
        <f t="shared" si="5"/>
        <v>#DIV/0!</v>
      </c>
      <c r="G21" s="185">
        <f>SUMIF('capacity data'!A:A,B21,'capacity data'!K:K)</f>
        <v>0</v>
      </c>
    </row>
    <row r="22" spans="1:7" s="30" customFormat="1" x14ac:dyDescent="0.15">
      <c r="A22" s="6"/>
      <c r="B22" s="181" t="s">
        <v>518</v>
      </c>
      <c r="C22" s="106">
        <f>SUMIFS('capacity data'!K:K,'capacity data'!A:A,B22,'capacity data'!E:E,"SPO")</f>
        <v>0</v>
      </c>
      <c r="D22" s="106">
        <f>SUMIFS('capacity data'!K:K,'capacity data'!E:E,"DMY",'capacity data'!A:A,B22)</f>
        <v>0</v>
      </c>
      <c r="E22" s="220">
        <f t="shared" si="4"/>
        <v>0</v>
      </c>
      <c r="F22" s="221" t="e">
        <f t="shared" si="5"/>
        <v>#DIV/0!</v>
      </c>
      <c r="G22" s="185">
        <f>SUMIF('capacity data'!A:A,B22,'capacity data'!K:K)</f>
        <v>0</v>
      </c>
    </row>
    <row r="23" spans="1:7" s="30" customFormat="1" x14ac:dyDescent="0.15">
      <c r="A23" s="6"/>
      <c r="B23" s="181" t="s">
        <v>519</v>
      </c>
      <c r="C23" s="106">
        <f>SUMIFS('capacity data'!K:K,'capacity data'!A:A,B23,'capacity data'!E:E,"SPO")</f>
        <v>0</v>
      </c>
      <c r="D23" s="106">
        <f>SUMIFS('capacity data'!K:K,'capacity data'!E:E,"DMY",'capacity data'!A:A,B23)</f>
        <v>0</v>
      </c>
      <c r="E23" s="220">
        <f t="shared" si="4"/>
        <v>0</v>
      </c>
      <c r="F23" s="221" t="e">
        <f t="shared" si="5"/>
        <v>#DIV/0!</v>
      </c>
      <c r="G23" s="185">
        <f>SUMIF('capacity data'!A:A,B23,'capacity data'!K:K)</f>
        <v>0</v>
      </c>
    </row>
    <row r="24" spans="1:7" s="30" customFormat="1" x14ac:dyDescent="0.15">
      <c r="A24" s="6"/>
      <c r="B24" s="181" t="s">
        <v>520</v>
      </c>
      <c r="C24" s="106">
        <f>SUMIFS('capacity data'!K:K,'capacity data'!A:A,B24,'capacity data'!E:E,"SPO")</f>
        <v>0</v>
      </c>
      <c r="D24" s="106">
        <f>SUMIFS('capacity data'!K:K,'capacity data'!E:E,"DMY",'capacity data'!A:A,B24)</f>
        <v>0</v>
      </c>
      <c r="E24" s="220">
        <f t="shared" si="4"/>
        <v>0</v>
      </c>
      <c r="F24" s="221" t="e">
        <f t="shared" si="5"/>
        <v>#DIV/0!</v>
      </c>
      <c r="G24" s="185">
        <f>SUMIF('capacity data'!A:A,B24,'capacity data'!K:K)</f>
        <v>0</v>
      </c>
    </row>
    <row r="25" spans="1:7" s="30" customFormat="1" x14ac:dyDescent="0.15">
      <c r="A25" s="6"/>
      <c r="B25" s="181" t="s">
        <v>521</v>
      </c>
      <c r="C25" s="106">
        <f>SUMIFS('capacity data'!K:K,'capacity data'!A:A,B25,'capacity data'!E:E,"SPO")</f>
        <v>0</v>
      </c>
      <c r="D25" s="106">
        <f>SUMIFS('capacity data'!K:K,'capacity data'!E:E,"DMY",'capacity data'!A:A,B25)</f>
        <v>0</v>
      </c>
      <c r="E25" s="220">
        <f t="shared" si="4"/>
        <v>0</v>
      </c>
      <c r="F25" s="221" t="e">
        <f t="shared" si="5"/>
        <v>#DIV/0!</v>
      </c>
      <c r="G25" s="185">
        <f>SUMIF('capacity data'!A:A,B25,'capacity data'!K:K)</f>
        <v>0</v>
      </c>
    </row>
    <row r="26" spans="1:7" s="30" customFormat="1" x14ac:dyDescent="0.15">
      <c r="A26" s="6"/>
      <c r="B26" s="181" t="s">
        <v>522</v>
      </c>
      <c r="C26" s="106">
        <f>SUMIFS('capacity data'!K:K,'capacity data'!A:A,B26,'capacity data'!E:E,"SPO")</f>
        <v>0</v>
      </c>
      <c r="D26" s="106">
        <f>SUMIFS('capacity data'!K:K,'capacity data'!E:E,"DMY",'capacity data'!A:A,B26)</f>
        <v>0</v>
      </c>
      <c r="E26" s="220">
        <f t="shared" si="4"/>
        <v>0</v>
      </c>
      <c r="F26" s="221" t="e">
        <f t="shared" si="5"/>
        <v>#DIV/0!</v>
      </c>
      <c r="G26" s="185">
        <f>SUMIF('capacity data'!A:A,B26,'capacity data'!K:K)</f>
        <v>0</v>
      </c>
    </row>
    <row r="27" spans="1:7" s="30" customFormat="1" x14ac:dyDescent="0.15">
      <c r="A27" s="6"/>
      <c r="B27" s="181" t="s">
        <v>523</v>
      </c>
      <c r="C27" s="106">
        <f>SUMIFS('capacity data'!K:K,'capacity data'!A:A,B27,'capacity data'!E:E,"SPO")</f>
        <v>0</v>
      </c>
      <c r="D27" s="106">
        <f>SUMIFS('capacity data'!K:K,'capacity data'!E:E,"DMY",'capacity data'!A:A,B27)</f>
        <v>0</v>
      </c>
      <c r="E27" s="220">
        <f t="shared" si="4"/>
        <v>0</v>
      </c>
      <c r="F27" s="221" t="e">
        <f t="shared" si="5"/>
        <v>#DIV/0!</v>
      </c>
      <c r="G27" s="185">
        <f>SUMIF('capacity data'!A:A,B27,'capacity data'!K:K)</f>
        <v>0</v>
      </c>
    </row>
    <row r="28" spans="1:7" ht="15" thickBot="1" x14ac:dyDescent="0.2">
      <c r="B28" s="222" t="s">
        <v>197</v>
      </c>
      <c r="C28" s="143">
        <f>SUMIF('capacity data'!E:E,"SPO",'capacity data'!K:K)</f>
        <v>0</v>
      </c>
      <c r="D28" s="143">
        <f>SUMIF('capacity data'!E:E,"DMY",'capacity data'!K:K)</f>
        <v>0</v>
      </c>
      <c r="E28" s="223">
        <f t="shared" ref="E28" si="6">SUM(C28:D28)</f>
        <v>0</v>
      </c>
      <c r="F28" s="224" t="e">
        <f t="shared" ref="F28" si="7">E28/G28</f>
        <v>#DIV/0!</v>
      </c>
      <c r="G28" s="143">
        <f>SUM('capacity data'!K:K)</f>
        <v>0</v>
      </c>
    </row>
    <row r="29" spans="1:7" x14ac:dyDescent="0.15">
      <c r="B29" s="30"/>
      <c r="C29" s="30"/>
      <c r="D29" s="46"/>
      <c r="E29" s="30"/>
      <c r="F29" s="30"/>
      <c r="G29" s="30"/>
    </row>
    <row r="30" spans="1:7" x14ac:dyDescent="0.15">
      <c r="A30" s="49"/>
      <c r="B30" s="30"/>
      <c r="C30" s="12"/>
      <c r="D30" s="12"/>
      <c r="E30" s="12"/>
      <c r="F30" s="12"/>
      <c r="G30" s="46"/>
    </row>
    <row r="31" spans="1:7" x14ac:dyDescent="0.15">
      <c r="A31" s="49"/>
      <c r="B31" s="30"/>
      <c r="C31" s="26"/>
      <c r="D31" s="26"/>
      <c r="E31" s="12"/>
      <c r="F31" s="12"/>
      <c r="G31" s="46"/>
    </row>
    <row r="32" spans="1:7" x14ac:dyDescent="0.15">
      <c r="A32" s="49"/>
      <c r="B32" s="30"/>
      <c r="C32" s="46"/>
      <c r="D32" s="46"/>
      <c r="E32" s="12"/>
      <c r="F32" s="12"/>
      <c r="G32" s="46"/>
    </row>
    <row r="33" spans="1:7" x14ac:dyDescent="0.15">
      <c r="A33" s="49"/>
      <c r="B33" s="30"/>
      <c r="C33" s="46"/>
      <c r="D33" s="46"/>
      <c r="E33" s="12"/>
      <c r="F33" s="12"/>
      <c r="G33" s="46"/>
    </row>
    <row r="34" spans="1:7" x14ac:dyDescent="0.15">
      <c r="A34" s="49"/>
      <c r="B34" s="30"/>
      <c r="C34" s="46"/>
      <c r="D34" s="46"/>
      <c r="E34" s="12"/>
      <c r="F34" s="12"/>
      <c r="G34" s="46"/>
    </row>
    <row r="35" spans="1:7" x14ac:dyDescent="0.15">
      <c r="A35" s="49"/>
      <c r="B35" s="30"/>
      <c r="C35" s="46"/>
      <c r="D35" s="46"/>
      <c r="E35" s="12"/>
      <c r="F35" s="12"/>
      <c r="G35" s="46"/>
    </row>
    <row r="36" spans="1:7" x14ac:dyDescent="0.15">
      <c r="A36" s="49"/>
      <c r="B36" s="30"/>
      <c r="C36" s="46"/>
      <c r="D36" s="46"/>
      <c r="E36" s="12"/>
      <c r="F36" s="12"/>
      <c r="G36" s="46"/>
    </row>
  </sheetData>
  <sheetProtection selectLockedCells="1" selectUnlockedCells="1"/>
  <mergeCells count="7">
    <mergeCell ref="A1:O1"/>
    <mergeCell ref="A2:O2"/>
    <mergeCell ref="E4:F4"/>
    <mergeCell ref="C4:C5"/>
    <mergeCell ref="D4:D5"/>
    <mergeCell ref="B4:B5"/>
    <mergeCell ref="G4:G5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1:Y117"/>
  <sheetViews>
    <sheetView showGridLines="0" topLeftCell="C4" zoomScaleNormal="100" workbookViewId="0">
      <selection activeCell="E20" sqref="E20:F20"/>
    </sheetView>
  </sheetViews>
  <sheetFormatPr baseColWidth="10" defaultColWidth="8.83203125" defaultRowHeight="14" x14ac:dyDescent="0.15"/>
  <cols>
    <col min="1" max="1" width="3.5" style="30" customWidth="1"/>
    <col min="2" max="2" width="42.83203125" customWidth="1"/>
    <col min="3" max="3" width="23.83203125" bestFit="1" customWidth="1"/>
    <col min="4" max="4" width="18.83203125" bestFit="1" customWidth="1"/>
    <col min="5" max="5" width="22.5" bestFit="1" customWidth="1"/>
    <col min="6" max="6" width="29" bestFit="1" customWidth="1"/>
    <col min="7" max="7" width="19.5" customWidth="1"/>
    <col min="8" max="8" width="21.5" customWidth="1"/>
    <col min="9" max="10" width="21.5" style="30" customWidth="1"/>
    <col min="11" max="11" width="31.5" style="30" bestFit="1" customWidth="1"/>
    <col min="12" max="12" width="21.5" style="30" customWidth="1"/>
    <col min="13" max="13" width="24.5" style="30" bestFit="1" customWidth="1"/>
    <col min="14" max="14" width="28.5" bestFit="1" customWidth="1"/>
    <col min="15" max="23" width="28.5" style="278" customWidth="1"/>
    <col min="24" max="24" width="80.5" style="278" bestFit="1" customWidth="1"/>
    <col min="25" max="25" width="10.83203125" bestFit="1" customWidth="1"/>
    <col min="27" max="27" width="9.5" bestFit="1" customWidth="1"/>
  </cols>
  <sheetData>
    <row r="1" spans="1:25" ht="51.75" customHeight="1" x14ac:dyDescent="0.15">
      <c r="A1" s="424" t="s">
        <v>431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425"/>
      <c r="T1" s="425"/>
      <c r="U1" s="425"/>
      <c r="V1" s="425"/>
      <c r="W1" s="425"/>
      <c r="X1" s="425"/>
      <c r="Y1" s="425"/>
    </row>
    <row r="2" spans="1:25" ht="24.75" customHeight="1" x14ac:dyDescent="0.15">
      <c r="A2" s="394"/>
      <c r="B2" s="394"/>
      <c r="C2" s="394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  <c r="W2" s="394"/>
      <c r="X2" s="394"/>
      <c r="Y2" s="394"/>
    </row>
    <row r="3" spans="1:25" ht="9" customHeight="1" x14ac:dyDescent="0.15">
      <c r="B3" s="27"/>
      <c r="C3" s="27"/>
      <c r="D3" s="28"/>
      <c r="E3" s="28"/>
      <c r="F3" s="28"/>
      <c r="G3" s="28"/>
      <c r="H3" s="28"/>
      <c r="I3" s="28"/>
      <c r="J3" s="28"/>
      <c r="K3" s="28"/>
      <c r="L3" s="28"/>
      <c r="M3" s="28"/>
      <c r="N3" s="30"/>
      <c r="Y3" s="30"/>
    </row>
    <row r="4" spans="1:25" x14ac:dyDescent="0.15">
      <c r="B4" s="428" t="s">
        <v>411</v>
      </c>
      <c r="C4" s="429"/>
      <c r="D4" s="30"/>
      <c r="E4" s="422" t="s">
        <v>412</v>
      </c>
      <c r="F4" s="423"/>
      <c r="G4" s="423"/>
      <c r="H4" s="434" t="s">
        <v>413</v>
      </c>
      <c r="I4" s="256"/>
      <c r="J4" s="256"/>
      <c r="K4" s="256"/>
      <c r="L4" s="256"/>
      <c r="M4" s="256"/>
      <c r="N4" s="30"/>
      <c r="Y4" s="30"/>
    </row>
    <row r="5" spans="1:25" s="30" customFormat="1" x14ac:dyDescent="0.15">
      <c r="B5" s="430"/>
      <c r="C5" s="431"/>
      <c r="E5" s="398"/>
      <c r="F5" s="399"/>
      <c r="G5" s="399"/>
      <c r="H5" s="434"/>
      <c r="I5" s="256"/>
      <c r="J5" s="256"/>
      <c r="K5" s="256"/>
      <c r="L5" s="256"/>
      <c r="M5" s="256"/>
      <c r="O5" s="278"/>
      <c r="P5" s="278"/>
      <c r="Q5" s="278"/>
      <c r="R5" s="278"/>
      <c r="S5" s="278"/>
      <c r="T5" s="278"/>
      <c r="U5" s="278"/>
      <c r="V5" s="278"/>
      <c r="W5" s="278"/>
      <c r="X5" s="278"/>
    </row>
    <row r="6" spans="1:25" x14ac:dyDescent="0.15">
      <c r="B6" s="93" t="str">
        <f>INDEX('reductions workings'!C:C,MATCH(C6,'reductions workings'!E:E,0))</f>
        <v>Long Term Sickness Absence</v>
      </c>
      <c r="C6" s="204">
        <f>LARGE('reductions workings'!E:E,1)</f>
        <v>8.9999999999999998E-4</v>
      </c>
      <c r="D6" s="30"/>
      <c r="E6" s="419" t="str">
        <f>INDEX('reductions workings'!$G:$G,MATCH(G6,'reductions workings'!$H:$H,0))</f>
        <v>Adoption Leave</v>
      </c>
      <c r="F6" s="420"/>
      <c r="G6" s="236">
        <f>LARGE('reductions workings'!H:H,2)</f>
        <v>0</v>
      </c>
      <c r="H6" s="97" t="e">
        <f>G6/'reductions workings'!H50:$I$50</f>
        <v>#DIV/0!</v>
      </c>
      <c r="I6" s="257"/>
      <c r="J6" s="257"/>
      <c r="K6" s="257"/>
      <c r="L6" s="257"/>
      <c r="M6" s="257"/>
      <c r="N6" s="30"/>
      <c r="Y6" s="30"/>
    </row>
    <row r="7" spans="1:25" x14ac:dyDescent="0.15">
      <c r="B7" s="93" t="str">
        <f>INDEX('reductions workings'!C:C,MATCH(C7,'reductions workings'!E:E,0))</f>
        <v>Long Term Sickness Absence</v>
      </c>
      <c r="C7" s="204">
        <f>LARGE('reductions workings'!E:E,2)</f>
        <v>8.9999999999999998E-4</v>
      </c>
      <c r="D7" s="30"/>
      <c r="E7" s="419" t="str">
        <f>INDEX('reductions workings'!$G:$G,MATCH(G7,'reductions workings'!$H:$H,0))</f>
        <v>Adoption Leave</v>
      </c>
      <c r="F7" s="420"/>
      <c r="G7" s="236">
        <f>LARGE('reductions workings'!H:H,3)</f>
        <v>0</v>
      </c>
      <c r="H7" s="97" t="e">
        <f>G7/'reductions workings'!H$50:$I50</f>
        <v>#DIV/0!</v>
      </c>
      <c r="I7" s="257"/>
      <c r="J7" s="257"/>
      <c r="K7" s="257"/>
      <c r="L7" s="257"/>
      <c r="M7" s="257"/>
      <c r="N7" s="30"/>
      <c r="Y7" s="30"/>
    </row>
    <row r="8" spans="1:25" x14ac:dyDescent="0.15">
      <c r="B8" s="93" t="str">
        <f>INDEX('reductions workings'!C:C,MATCH(C8,'reductions workings'!E:E,0))</f>
        <v>Long Term Sickness Absence</v>
      </c>
      <c r="C8" s="204">
        <f>LARGE('reductions workings'!E:E,3)</f>
        <v>8.9999999999999998E-4</v>
      </c>
      <c r="D8" s="30"/>
      <c r="E8" s="419" t="str">
        <f>INDEX('reductions workings'!$G:$G,MATCH(G8,'reductions workings'!$H:$H,0))</f>
        <v>Adoption Leave</v>
      </c>
      <c r="F8" s="420"/>
      <c r="G8" s="236">
        <f>LARGE('reductions workings'!H:H,4)</f>
        <v>0</v>
      </c>
      <c r="H8" s="97" t="e">
        <f>G8/'reductions workings'!H$50:$I50</f>
        <v>#DIV/0!</v>
      </c>
      <c r="I8" s="257"/>
      <c r="J8" s="257"/>
      <c r="K8" s="257"/>
      <c r="L8" s="257"/>
      <c r="M8" s="257"/>
      <c r="N8" s="30"/>
      <c r="Y8" s="30"/>
    </row>
    <row r="9" spans="1:25" x14ac:dyDescent="0.15">
      <c r="B9" s="93" t="str">
        <f>INDEX('reductions workings'!C:C,MATCH(C9,'reductions workings'!E:E,0))</f>
        <v>Level 4 and Level 5 Access</v>
      </c>
      <c r="C9" s="204">
        <f>LARGE('reductions workings'!E:E,4)</f>
        <v>8.0000000000000004E-4</v>
      </c>
      <c r="D9" s="30"/>
      <c r="E9" s="419" t="str">
        <f>INDEX('reductions workings'!$G:$G,MATCH(G9,'reductions workings'!$H:$H,0))</f>
        <v>Adoption Leave</v>
      </c>
      <c r="F9" s="420"/>
      <c r="G9" s="236">
        <f>LARGE('reductions workings'!H:H,5)</f>
        <v>0</v>
      </c>
      <c r="H9" s="97" t="e">
        <f>G9/'reductions workings'!H$50:$I50</f>
        <v>#DIV/0!</v>
      </c>
      <c r="I9" s="257"/>
      <c r="J9" s="257"/>
      <c r="K9" s="257"/>
      <c r="L9" s="257"/>
      <c r="M9" s="257"/>
      <c r="N9" s="30"/>
      <c r="Y9" s="30"/>
    </row>
    <row r="10" spans="1:25" x14ac:dyDescent="0.15">
      <c r="B10" s="93" t="str">
        <f>INDEX('reductions workings'!C:C,MATCH(C10,'reductions workings'!E:E,0))</f>
        <v>Level 4 or 5 Access</v>
      </c>
      <c r="C10" s="204">
        <f>LARGE('reductions workings'!E:E,5)</f>
        <v>6.9999999999999999E-4</v>
      </c>
      <c r="D10" s="30"/>
      <c r="E10" s="419" t="str">
        <f>INDEX('reductions workings'!$G:$G,MATCH(G10,'reductions workings'!$H:$H,0))</f>
        <v>Adoption Leave</v>
      </c>
      <c r="F10" s="420"/>
      <c r="G10" s="236">
        <f>LARGE('reductions workings'!H:H,6)</f>
        <v>0</v>
      </c>
      <c r="H10" s="97" t="e">
        <f>G10/'reductions workings'!H$50:$I50</f>
        <v>#DIV/0!</v>
      </c>
      <c r="I10" s="257"/>
      <c r="J10" s="257"/>
      <c r="K10" s="257"/>
      <c r="L10" s="257"/>
      <c r="M10" s="257"/>
      <c r="N10" s="30"/>
      <c r="Y10" s="30"/>
    </row>
    <row r="11" spans="1:25" x14ac:dyDescent="0.15">
      <c r="B11" s="93" t="str">
        <f>INDEX('reductions workings'!C:C,MATCH(C11,'reductions workings'!E:E,0))</f>
        <v>Groups (Induction)</v>
      </c>
      <c r="C11" s="204">
        <f>LARGE('reductions workings'!E:E,6)</f>
        <v>5.9999999999999995E-4</v>
      </c>
      <c r="D11" s="30"/>
      <c r="E11" s="419" t="str">
        <f>INDEX('reductions workings'!$G:$G,MATCH(G11,'reductions workings'!$H:$H,0))</f>
        <v>Adoption Leave</v>
      </c>
      <c r="F11" s="420"/>
      <c r="G11" s="236">
        <f>LARGE('reductions workings'!H:H,7)</f>
        <v>0</v>
      </c>
      <c r="H11" s="97" t="e">
        <f>G11/'reductions workings'!H$50:$I50</f>
        <v>#DIV/0!</v>
      </c>
      <c r="I11" s="257"/>
      <c r="J11" s="257"/>
      <c r="K11" s="257"/>
      <c r="L11" s="257"/>
      <c r="M11" s="257"/>
      <c r="N11" s="30"/>
      <c r="Y11" s="30"/>
    </row>
    <row r="12" spans="1:25" x14ac:dyDescent="0.15">
      <c r="B12" s="93" t="str">
        <f>INDEX('reductions workings'!C:C,MATCH(C12,'reductions workings'!E:E,0))</f>
        <v>Groups (Induction)</v>
      </c>
      <c r="C12" s="204">
        <f>LARGE('reductions workings'!E:E,7)</f>
        <v>5.9999999999999995E-4</v>
      </c>
      <c r="D12" s="30"/>
      <c r="E12" s="419" t="str">
        <f>INDEX('reductions workings'!$G:$G,MATCH(G12,'reductions workings'!$H:$H,0))</f>
        <v>Adoption Leave</v>
      </c>
      <c r="F12" s="420"/>
      <c r="G12" s="236">
        <f>LARGE('reductions workings'!H:H,8)</f>
        <v>0</v>
      </c>
      <c r="H12" s="97" t="e">
        <f>G12/'reductions workings'!H$50:$I50</f>
        <v>#DIV/0!</v>
      </c>
      <c r="I12" s="257"/>
      <c r="J12" s="257"/>
      <c r="K12" s="257"/>
      <c r="L12" s="257"/>
      <c r="M12" s="257"/>
      <c r="N12" s="30"/>
      <c r="Y12" s="30"/>
    </row>
    <row r="13" spans="1:25" x14ac:dyDescent="0.15">
      <c r="B13" s="93" t="str">
        <f>INDEX('reductions workings'!C:C,MATCH(C13,'reductions workings'!E:E,0))</f>
        <v>Groups (Group supervision)</v>
      </c>
      <c r="C13" s="204">
        <f>LARGE('reductions workings'!E:E,8)</f>
        <v>5.0000000000000001E-4</v>
      </c>
      <c r="D13" s="30"/>
      <c r="E13" s="419" t="str">
        <f>INDEX('reductions workings'!$G:$G,MATCH(G13,'reductions workings'!$H:$H,0))</f>
        <v>Adoption Leave</v>
      </c>
      <c r="F13" s="420"/>
      <c r="G13" s="236">
        <f>LARGE('reductions workings'!H:H,9)</f>
        <v>0</v>
      </c>
      <c r="H13" s="97" t="e">
        <f>G13/'reductions workings'!H$50:$I50</f>
        <v>#DIV/0!</v>
      </c>
      <c r="I13" s="257"/>
      <c r="J13" s="257"/>
      <c r="K13" s="257"/>
      <c r="L13" s="257"/>
      <c r="M13" s="257"/>
      <c r="N13" s="30"/>
      <c r="Y13" s="30"/>
    </row>
    <row r="14" spans="1:25" x14ac:dyDescent="0.15">
      <c r="B14" s="93" t="str">
        <f>INDEX('reductions workings'!C:C,MATCH(C14,'reductions workings'!E:E,0))</f>
        <v>Wellbeing/Work-life balance</v>
      </c>
      <c r="C14" s="204">
        <f>LARGE('reductions workings'!E:E,9)</f>
        <v>4.0999999999999999E-4</v>
      </c>
      <c r="D14" s="30"/>
      <c r="E14" s="419" t="str">
        <f>INDEX('reductions workings'!$G:$G,MATCH(G14,'reductions workings'!$H:$H,0))</f>
        <v>Adoption Leave</v>
      </c>
      <c r="F14" s="420"/>
      <c r="G14" s="236">
        <f>LARGE('reductions workings'!H:H,10)</f>
        <v>0</v>
      </c>
      <c r="H14" s="97" t="e">
        <f>G14/'reductions workings'!H$50:$I50</f>
        <v>#DIV/0!</v>
      </c>
      <c r="I14" s="257"/>
      <c r="J14" s="257"/>
      <c r="K14" s="257"/>
      <c r="L14" s="257"/>
      <c r="M14" s="257"/>
      <c r="N14" s="30"/>
      <c r="Y14" s="30"/>
    </row>
    <row r="15" spans="1:25" x14ac:dyDescent="0.15">
      <c r="B15" s="93" t="str">
        <f>INDEX('reductions workings'!C:C,MATCH(C15,'reductions workings'!E:E,0))</f>
        <v>Disability</v>
      </c>
      <c r="C15" s="204">
        <f>LARGE('reductions workings'!E:E,10)</f>
        <v>4.0000000000000002E-4</v>
      </c>
      <c r="D15" s="30"/>
      <c r="E15" s="419" t="str">
        <f>INDEX('reductions workings'!$G:$G,MATCH(G15,'reductions workings'!$H:$H,0))</f>
        <v>Adoption Leave</v>
      </c>
      <c r="F15" s="420"/>
      <c r="G15" s="236">
        <f>LARGE('reductions workings'!H:H,11)</f>
        <v>0</v>
      </c>
      <c r="H15" s="97" t="e">
        <f>G15/'reductions workings'!H$50:$I50</f>
        <v>#DIV/0!</v>
      </c>
      <c r="I15" s="257"/>
      <c r="J15" s="257"/>
      <c r="K15" s="257"/>
      <c r="L15" s="257"/>
      <c r="M15" s="257"/>
      <c r="N15" s="30"/>
      <c r="Y15" s="30"/>
    </row>
    <row r="16" spans="1:25" x14ac:dyDescent="0.15">
      <c r="B16" s="93" t="str">
        <f>INDEX('reductions workings'!C:C,MATCH(C16,'reductions workings'!E:E,0))</f>
        <v>VQ3</v>
      </c>
      <c r="C16" s="204">
        <f>LARGE('reductions workings'!E:E,11)</f>
        <v>3.8999999999999999E-4</v>
      </c>
      <c r="D16" s="30"/>
      <c r="E16" s="419" t="str">
        <f>INDEX('reductions workings'!$G:$G,MATCH(G16,'reductions workings'!$H:$H,0))</f>
        <v>Adoption Leave</v>
      </c>
      <c r="F16" s="420"/>
      <c r="G16" s="236">
        <f>LARGE('reductions workings'!H:H,12)</f>
        <v>0</v>
      </c>
      <c r="H16" s="97" t="e">
        <f>G16/'reductions workings'!H$50:$I50</f>
        <v>#DIV/0!</v>
      </c>
      <c r="I16" s="257"/>
      <c r="J16" s="257"/>
      <c r="K16" s="257"/>
      <c r="L16" s="257"/>
      <c r="M16" s="257"/>
      <c r="N16" s="30"/>
      <c r="Y16" s="30"/>
    </row>
    <row r="17" spans="2:25" x14ac:dyDescent="0.15">
      <c r="B17" s="93" t="str">
        <f>INDEX('reductions workings'!C:C,MATCH(C17,'reductions workings'!E:E,0))</f>
        <v>Trade Union Facility Time</v>
      </c>
      <c r="C17" s="204">
        <f>LARGE('reductions workings'!E:E,12)</f>
        <v>3.8000000000000002E-4</v>
      </c>
      <c r="D17" s="30"/>
      <c r="E17" s="419" t="str">
        <f>INDEX('reductions workings'!$G:$G,MATCH(G17,'reductions workings'!$H:$H,0))</f>
        <v>Adoption Leave</v>
      </c>
      <c r="F17" s="420"/>
      <c r="G17" s="236">
        <f>LARGE('reductions workings'!H:H,13)</f>
        <v>0</v>
      </c>
      <c r="H17" s="97" t="e">
        <f>G17/'reductions workings'!H$50:$I50</f>
        <v>#DIV/0!</v>
      </c>
      <c r="I17" s="257"/>
      <c r="J17" s="257"/>
      <c r="K17" s="257"/>
      <c r="L17" s="257"/>
      <c r="M17" s="257"/>
      <c r="N17" s="30"/>
      <c r="Y17" s="30"/>
    </row>
    <row r="18" spans="2:25" x14ac:dyDescent="0.15">
      <c r="B18" s="93" t="str">
        <f>INDEX('reductions workings'!C:C,MATCH(C18,'reductions workings'!E:E,0))</f>
        <v>SPOC Lead</v>
      </c>
      <c r="C18" s="204">
        <f>LARGE('reductions workings'!E:E,13)</f>
        <v>3.6999999999999999E-4</v>
      </c>
      <c r="D18" s="30"/>
      <c r="E18" s="419" t="str">
        <f>INDEX('reductions workings'!$G:$G,MATCH(G18,'reductions workings'!$H:$H,0))</f>
        <v>Adoption Leave</v>
      </c>
      <c r="F18" s="420"/>
      <c r="G18" s="236">
        <f>LARGE('reductions workings'!H:H,14)</f>
        <v>0</v>
      </c>
      <c r="H18" s="97" t="e">
        <f>G18/'reductions workings'!H$50:$I50</f>
        <v>#DIV/0!</v>
      </c>
      <c r="I18" s="257"/>
      <c r="J18" s="257"/>
      <c r="K18" s="257"/>
      <c r="L18" s="257"/>
      <c r="M18" s="257"/>
      <c r="N18" s="30"/>
      <c r="Y18" s="30"/>
    </row>
    <row r="19" spans="2:25" x14ac:dyDescent="0.15">
      <c r="B19" s="93" t="str">
        <f>INDEX('reductions workings'!C:C,MATCH(C19,'reductions workings'!E:E,0))</f>
        <v>Split Role</v>
      </c>
      <c r="C19" s="204">
        <f>LARGE('reductions workings'!E:E,14)</f>
        <v>3.6000000000000002E-4</v>
      </c>
      <c r="D19" s="30"/>
      <c r="E19" s="419" t="str">
        <f>INDEX('reductions workings'!$G:$G,MATCH(G19,'reductions workings'!$H:$H,0))</f>
        <v>Adoption Leave</v>
      </c>
      <c r="F19" s="420"/>
      <c r="G19" s="236">
        <f>LARGE('reductions workings'!H:H,15)</f>
        <v>0</v>
      </c>
      <c r="H19" s="97" t="e">
        <f>G19/'reductions workings'!H$50:$I50</f>
        <v>#DIV/0!</v>
      </c>
      <c r="I19" s="257"/>
      <c r="J19" s="257"/>
      <c r="K19" s="257"/>
      <c r="L19" s="257"/>
      <c r="M19" s="257"/>
      <c r="N19" s="30"/>
      <c r="Y19" s="30"/>
    </row>
    <row r="20" spans="2:25" x14ac:dyDescent="0.15">
      <c r="B20" s="93" t="str">
        <f>INDEX('reductions workings'!C:C,MATCH(C20,'reductions workings'!E:E,0))</f>
        <v>Special Leave</v>
      </c>
      <c r="C20" s="204">
        <f>LARGE('reductions workings'!E:E,15)</f>
        <v>3.5E-4</v>
      </c>
      <c r="D20" s="30"/>
      <c r="E20" s="419" t="str">
        <f>INDEX('reductions workings'!$G:$G,MATCH(G20,'reductions workings'!$H:$H,0))</f>
        <v>Adoption Leave</v>
      </c>
      <c r="F20" s="420"/>
      <c r="G20" s="236">
        <f>LARGE('reductions workings'!H:H,16)</f>
        <v>0</v>
      </c>
      <c r="H20" s="97" t="e">
        <f>G20/'reductions workings'!H$50:$I50</f>
        <v>#DIV/0!</v>
      </c>
      <c r="I20" s="257"/>
      <c r="J20" s="257"/>
      <c r="K20" s="257"/>
      <c r="L20" s="257"/>
      <c r="M20" s="257"/>
      <c r="N20" s="30"/>
      <c r="Y20" s="30"/>
    </row>
    <row r="21" spans="2:25" ht="28" x14ac:dyDescent="0.15">
      <c r="B21" s="267" t="s">
        <v>414</v>
      </c>
      <c r="C21" s="235">
        <f>SUM(C6:C20)</f>
        <v>8.5599999999999982E-3</v>
      </c>
      <c r="D21" s="30"/>
      <c r="E21" s="421" t="s">
        <v>415</v>
      </c>
      <c r="F21" s="420"/>
      <c r="G21" s="435">
        <f>SUM(G6:G20)</f>
        <v>0</v>
      </c>
      <c r="H21" s="436"/>
      <c r="I21" s="12"/>
      <c r="J21" s="12"/>
      <c r="K21" s="12"/>
      <c r="L21" s="12"/>
      <c r="M21" s="12"/>
      <c r="N21" s="30"/>
      <c r="Y21" s="30"/>
    </row>
    <row r="22" spans="2:25" ht="28" x14ac:dyDescent="0.15">
      <c r="B22" s="268" t="s">
        <v>416</v>
      </c>
      <c r="C22" s="143">
        <f>COUNTIF('reductions data'!K:K,"ACTIVE")</f>
        <v>0</v>
      </c>
      <c r="D22" s="30"/>
      <c r="E22" s="432" t="s">
        <v>417</v>
      </c>
      <c r="F22" s="433"/>
      <c r="G22" s="435">
        <f>LARGE('reductions workings'!H:H,1)</f>
        <v>0</v>
      </c>
      <c r="H22" s="436"/>
      <c r="I22" s="12"/>
      <c r="J22" s="12"/>
      <c r="K22" s="12"/>
      <c r="L22" s="12"/>
      <c r="M22" s="12"/>
      <c r="N22" s="30"/>
      <c r="Y22" s="30"/>
    </row>
    <row r="23" spans="2:25" ht="16" x14ac:dyDescent="0.2">
      <c r="B23" s="9"/>
      <c r="C23" s="9"/>
      <c r="D23" s="30"/>
      <c r="E23" s="30"/>
      <c r="F23" s="30"/>
      <c r="G23" s="30"/>
      <c r="H23" s="30"/>
      <c r="N23" s="30"/>
      <c r="Y23" s="30"/>
    </row>
    <row r="24" spans="2:25" ht="16" x14ac:dyDescent="0.2">
      <c r="B24" s="30"/>
      <c r="C24" s="426" t="s">
        <v>482</v>
      </c>
      <c r="D24" s="427"/>
      <c r="E24" s="427"/>
      <c r="F24" s="427"/>
      <c r="G24" s="427"/>
      <c r="H24" s="427"/>
      <c r="I24" s="427"/>
      <c r="J24" s="427"/>
      <c r="K24" s="427"/>
      <c r="L24" s="427"/>
      <c r="M24" s="427"/>
      <c r="N24" s="427"/>
      <c r="O24" s="427"/>
      <c r="P24" s="427"/>
      <c r="Q24" s="427"/>
      <c r="R24" s="427"/>
      <c r="S24" s="427"/>
      <c r="T24" s="427"/>
      <c r="U24" s="427"/>
      <c r="V24" s="427"/>
      <c r="W24" s="427"/>
      <c r="X24" s="427"/>
      <c r="Y24" s="427"/>
    </row>
    <row r="25" spans="2:25" ht="40.5" customHeight="1" x14ac:dyDescent="0.15">
      <c r="B25" s="107" t="s">
        <v>237</v>
      </c>
      <c r="C25" s="107" t="s">
        <v>4</v>
      </c>
      <c r="D25" s="107" t="s">
        <v>1014</v>
      </c>
      <c r="E25" s="107" t="s">
        <v>5</v>
      </c>
      <c r="F25" s="107" t="s">
        <v>6</v>
      </c>
      <c r="G25" s="107" t="s">
        <v>376</v>
      </c>
      <c r="H25" s="107" t="s">
        <v>1130</v>
      </c>
      <c r="I25" s="107" t="s">
        <v>7</v>
      </c>
      <c r="J25" s="107" t="s">
        <v>1132</v>
      </c>
      <c r="K25" s="107" t="s">
        <v>1217</v>
      </c>
      <c r="L25" s="107" t="s">
        <v>382</v>
      </c>
      <c r="M25" s="107" t="s">
        <v>8</v>
      </c>
      <c r="N25" s="107" t="s">
        <v>9</v>
      </c>
      <c r="O25" s="107" t="s">
        <v>514</v>
      </c>
      <c r="P25" s="107" t="s">
        <v>515</v>
      </c>
      <c r="Q25" s="107" t="s">
        <v>516</v>
      </c>
      <c r="R25" s="107" t="s">
        <v>517</v>
      </c>
      <c r="S25" s="107" t="s">
        <v>518</v>
      </c>
      <c r="T25" s="107" t="s">
        <v>519</v>
      </c>
      <c r="U25" s="107" t="s">
        <v>520</v>
      </c>
      <c r="V25" s="107" t="s">
        <v>521</v>
      </c>
      <c r="W25" s="107" t="s">
        <v>522</v>
      </c>
      <c r="X25" s="107" t="s">
        <v>523</v>
      </c>
      <c r="Y25" s="107" t="s">
        <v>357</v>
      </c>
    </row>
    <row r="26" spans="2:25" x14ac:dyDescent="0.15">
      <c r="B26" s="145" t="s">
        <v>240</v>
      </c>
      <c r="C26" s="93">
        <f>COUNTIFS('reductions data'!G:G,'reasons for reduction division'!B26,'reductions data'!A:A,$C$25)</f>
        <v>0</v>
      </c>
      <c r="D26" s="93">
        <f>COUNTIFS('reductions data'!G:G,'reasons for reduction division'!B26,'reductions data'!A:A,$D$25)</f>
        <v>0</v>
      </c>
      <c r="E26" s="93">
        <f>COUNTIFS('reductions data'!G:G,'reasons for reduction division'!B26,'reductions data'!A:A,$E$25)</f>
        <v>0</v>
      </c>
      <c r="F26" s="93">
        <f>COUNTIFS('reductions data'!G:G,'reasons for reduction division'!B26,'reductions data'!A:A,$F$25)</f>
        <v>0</v>
      </c>
      <c r="G26" s="93">
        <f>COUNTIFS('reductions data'!G:G,'reasons for reduction division'!B26,'reductions data'!A:A,$G$25)</f>
        <v>0</v>
      </c>
      <c r="H26" s="93">
        <f>COUNTIFS('reductions data'!G:G,'reasons for reduction division'!B26,'reductions data'!A:A,$H$25)</f>
        <v>0</v>
      </c>
      <c r="I26" s="93">
        <f>COUNTIFS('reductions data'!G:G,'reasons for reduction division'!B26,'reductions data'!A:A,$I$25)</f>
        <v>0</v>
      </c>
      <c r="J26" s="93">
        <f>COUNTIFS('reductions data'!G:G,'reasons for reduction division'!B26,'reductions data'!A:A,$J$25)</f>
        <v>0</v>
      </c>
      <c r="K26" s="93">
        <f>COUNTIFS('reductions data'!G:G,'reasons for reduction division'!B26,'reductions data'!A:A,$K$25)</f>
        <v>0</v>
      </c>
      <c r="L26" s="93">
        <f>COUNTIFS('reductions data'!G:G,'reasons for reduction division'!B26,'reductions data'!A:A,$L$25)</f>
        <v>0</v>
      </c>
      <c r="M26" s="93">
        <f>COUNTIFS('reductions data'!G:G,'reasons for reduction division'!B26,'reductions data'!A:A,$M$25)</f>
        <v>0</v>
      </c>
      <c r="N26" s="93">
        <f>COUNTIFS('reductions data'!G:G,'reasons for reduction division'!B26,'reductions data'!A:A,$N$25)</f>
        <v>0</v>
      </c>
      <c r="O26" s="93">
        <f>COUNTIFS('reductions data'!$G:$G,'reasons for reduction division'!$B26,'reductions data'!$A:$A,O$25)</f>
        <v>0</v>
      </c>
      <c r="P26" s="93">
        <f>COUNTIFS('reductions data'!$G:$G,'reasons for reduction division'!$B26,'reductions data'!$A:$A,P$25)</f>
        <v>0</v>
      </c>
      <c r="Q26" s="93">
        <f>COUNTIFS('reductions data'!$G:$G,'reasons for reduction division'!$B26,'reductions data'!$A:$A,Q$25)</f>
        <v>0</v>
      </c>
      <c r="R26" s="93">
        <f>COUNTIFS('reductions data'!$G:$G,'reasons for reduction division'!$B26,'reductions data'!$A:$A,R$25)</f>
        <v>0</v>
      </c>
      <c r="S26" s="93">
        <f>COUNTIFS('reductions data'!$G:$G,'reasons for reduction division'!$B26,'reductions data'!$A:$A,S$25)</f>
        <v>0</v>
      </c>
      <c r="T26" s="93">
        <f>COUNTIFS('reductions data'!$G:$G,'reasons for reduction division'!$B26,'reductions data'!$A:$A,T$25)</f>
        <v>0</v>
      </c>
      <c r="U26" s="93">
        <f>COUNTIFS('reductions data'!$G:$G,'reasons for reduction division'!$B26,'reductions data'!$A:$A,U$25)</f>
        <v>0</v>
      </c>
      <c r="V26" s="93">
        <f>COUNTIFS('reductions data'!$G:$G,'reasons for reduction division'!$B26,'reductions data'!$A:$A,V$25)</f>
        <v>0</v>
      </c>
      <c r="W26" s="93">
        <f>COUNTIFS('reductions data'!$G:$G,'reasons for reduction division'!$B26,'reductions data'!$A:$A,W$25)</f>
        <v>0</v>
      </c>
      <c r="X26" s="93">
        <f>COUNTIFS('reductions data'!$G:$G,'reasons for reduction division'!$B26,'reductions data'!$A:$A,X$25)</f>
        <v>0</v>
      </c>
      <c r="Y26" s="138">
        <f>COUNTIF('reductions data'!G:G,'reasons for reduction division'!B26)</f>
        <v>0</v>
      </c>
    </row>
    <row r="27" spans="2:25" x14ac:dyDescent="0.15">
      <c r="B27" s="146" t="s">
        <v>235</v>
      </c>
      <c r="C27" s="93">
        <f>COUNTIFS('reductions data'!G:G,'reasons for reduction division'!B27,'reductions data'!A:A,$C$25)</f>
        <v>0</v>
      </c>
      <c r="D27" s="93">
        <f>COUNTIFS('reductions data'!G:G,'reasons for reduction division'!B27,'reductions data'!A:A,$D$25)</f>
        <v>0</v>
      </c>
      <c r="E27" s="93">
        <f>COUNTIFS('reductions data'!G:G,'reasons for reduction division'!B27,'reductions data'!A:A,$E$25)</f>
        <v>0</v>
      </c>
      <c r="F27" s="93">
        <f>COUNTIFS('reductions data'!G:G,'reasons for reduction division'!B27,'reductions data'!A:A,$F$25)</f>
        <v>0</v>
      </c>
      <c r="G27" s="93">
        <f>COUNTIFS('reductions data'!G:G,'reasons for reduction division'!B27,'reductions data'!A:A,$G$25)</f>
        <v>0</v>
      </c>
      <c r="H27" s="93">
        <f>COUNTIFS('reductions data'!G:G,'reasons for reduction division'!B27,'reductions data'!A:A,$H$25)</f>
        <v>0</v>
      </c>
      <c r="I27" s="93">
        <f>COUNTIFS('reductions data'!G:G,'reasons for reduction division'!B27,'reductions data'!A:A,$I$25)</f>
        <v>0</v>
      </c>
      <c r="J27" s="93">
        <f>COUNTIFS('reductions data'!G:G,'reasons for reduction division'!B27,'reductions data'!A:A,$J$25)</f>
        <v>0</v>
      </c>
      <c r="K27" s="93">
        <f>COUNTIFS('reductions data'!G:G,'reasons for reduction division'!B27,'reductions data'!A:A,$K$25)</f>
        <v>0</v>
      </c>
      <c r="L27" s="93">
        <f>COUNTIFS('reductions data'!G:G,'reasons for reduction division'!B27,'reductions data'!A:A,$L$25)</f>
        <v>0</v>
      </c>
      <c r="M27" s="93">
        <f>COUNTIFS('reductions data'!G:G,'reasons for reduction division'!B27,'reductions data'!A:A,$M$25)</f>
        <v>0</v>
      </c>
      <c r="N27" s="93">
        <f>COUNTIFS('reductions data'!G:G,'reasons for reduction division'!B27,'reductions data'!A:A,$N$25)</f>
        <v>0</v>
      </c>
      <c r="O27" s="93">
        <f>COUNTIFS('reductions data'!$G:$G,'reasons for reduction division'!$B27,'reductions data'!$A:$A,O$25)</f>
        <v>0</v>
      </c>
      <c r="P27" s="93">
        <f>COUNTIFS('reductions data'!$G:$G,'reasons for reduction division'!$B27,'reductions data'!$A:$A,P$25)</f>
        <v>0</v>
      </c>
      <c r="Q27" s="93">
        <f>COUNTIFS('reductions data'!$G:$G,'reasons for reduction division'!$B27,'reductions data'!$A:$A,Q$25)</f>
        <v>0</v>
      </c>
      <c r="R27" s="93">
        <f>COUNTIFS('reductions data'!$G:$G,'reasons for reduction division'!$B27,'reductions data'!$A:$A,R$25)</f>
        <v>0</v>
      </c>
      <c r="S27" s="93">
        <f>COUNTIFS('reductions data'!$G:$G,'reasons for reduction division'!$B27,'reductions data'!$A:$A,S$25)</f>
        <v>0</v>
      </c>
      <c r="T27" s="93">
        <f>COUNTIFS('reductions data'!$G:$G,'reasons for reduction division'!$B27,'reductions data'!$A:$A,T$25)</f>
        <v>0</v>
      </c>
      <c r="U27" s="93">
        <f>COUNTIFS('reductions data'!$G:$G,'reasons for reduction division'!$B27,'reductions data'!$A:$A,U$25)</f>
        <v>0</v>
      </c>
      <c r="V27" s="93">
        <f>COUNTIFS('reductions data'!$G:$G,'reasons for reduction division'!$B27,'reductions data'!$A:$A,V$25)</f>
        <v>0</v>
      </c>
      <c r="W27" s="93">
        <f>COUNTIFS('reductions data'!$G:$G,'reasons for reduction division'!$B27,'reductions data'!$A:$A,W$25)</f>
        <v>0</v>
      </c>
      <c r="X27" s="93">
        <f>COUNTIFS('reductions data'!$G:$G,'reasons for reduction division'!$B27,'reductions data'!$A:$A,X$25)</f>
        <v>0</v>
      </c>
      <c r="Y27" s="138">
        <f>COUNTIF('reductions data'!G:G,'reasons for reduction division'!B27)</f>
        <v>0</v>
      </c>
    </row>
    <row r="28" spans="2:25" x14ac:dyDescent="0.15">
      <c r="B28" s="146" t="s">
        <v>226</v>
      </c>
      <c r="C28" s="93">
        <f>COUNTIFS('reductions data'!G:G,'reasons for reduction division'!B28,'reductions data'!A:A,$C$25)</f>
        <v>0</v>
      </c>
      <c r="D28" s="93">
        <f>COUNTIFS('reductions data'!G:G,'reasons for reduction division'!B28,'reductions data'!A:A,$D$25)</f>
        <v>0</v>
      </c>
      <c r="E28" s="93">
        <f>COUNTIFS('reductions data'!G:G,'reasons for reduction division'!B28,'reductions data'!A:A,$E$25)</f>
        <v>0</v>
      </c>
      <c r="F28" s="93">
        <f>COUNTIFS('reductions data'!G:G,'reasons for reduction division'!B28,'reductions data'!A:A,$F$25)</f>
        <v>0</v>
      </c>
      <c r="G28" s="93">
        <f>COUNTIFS('reductions data'!G:G,'reasons for reduction division'!B28,'reductions data'!A:A,$G$25)</f>
        <v>0</v>
      </c>
      <c r="H28" s="93">
        <f>COUNTIFS('reductions data'!G:G,'reasons for reduction division'!B28,'reductions data'!A:A,$H$25)</f>
        <v>0</v>
      </c>
      <c r="I28" s="93">
        <f>COUNTIFS('reductions data'!G:G,'reasons for reduction division'!B28,'reductions data'!A:A,$I$25)</f>
        <v>0</v>
      </c>
      <c r="J28" s="93">
        <f>COUNTIFS('reductions data'!G:G,'reasons for reduction division'!B28,'reductions data'!A:A,$J$25)</f>
        <v>0</v>
      </c>
      <c r="K28" s="93">
        <f>COUNTIFS('reductions data'!G:G,'reasons for reduction division'!B28,'reductions data'!A:A,$K$25)</f>
        <v>0</v>
      </c>
      <c r="L28" s="93">
        <f>COUNTIFS('reductions data'!G:G,'reasons for reduction division'!B28,'reductions data'!A:A,$L$25)</f>
        <v>0</v>
      </c>
      <c r="M28" s="93">
        <f>COUNTIFS('reductions data'!G:G,'reasons for reduction division'!B28,'reductions data'!A:A,$M$25)</f>
        <v>0</v>
      </c>
      <c r="N28" s="93">
        <f>COUNTIFS('reductions data'!G:G,'reasons for reduction division'!B28,'reductions data'!A:A,$N$25)</f>
        <v>0</v>
      </c>
      <c r="O28" s="93">
        <f>COUNTIFS('reductions data'!$G:$G,'reasons for reduction division'!$B28,'reductions data'!$A:$A,O$25)</f>
        <v>0</v>
      </c>
      <c r="P28" s="93">
        <f>COUNTIFS('reductions data'!$G:$G,'reasons for reduction division'!$B28,'reductions data'!$A:$A,P$25)</f>
        <v>0</v>
      </c>
      <c r="Q28" s="93">
        <f>COUNTIFS('reductions data'!$G:$G,'reasons for reduction division'!$B28,'reductions data'!$A:$A,Q$25)</f>
        <v>0</v>
      </c>
      <c r="R28" s="93">
        <f>COUNTIFS('reductions data'!$G:$G,'reasons for reduction division'!$B28,'reductions data'!$A:$A,R$25)</f>
        <v>0</v>
      </c>
      <c r="S28" s="93">
        <f>COUNTIFS('reductions data'!$G:$G,'reasons for reduction division'!$B28,'reductions data'!$A:$A,S$25)</f>
        <v>0</v>
      </c>
      <c r="T28" s="93">
        <f>COUNTIFS('reductions data'!$G:$G,'reasons for reduction division'!$B28,'reductions data'!$A:$A,T$25)</f>
        <v>0</v>
      </c>
      <c r="U28" s="93">
        <f>COUNTIFS('reductions data'!$G:$G,'reasons for reduction division'!$B28,'reductions data'!$A:$A,U$25)</f>
        <v>0</v>
      </c>
      <c r="V28" s="93">
        <f>COUNTIFS('reductions data'!$G:$G,'reasons for reduction division'!$B28,'reductions data'!$A:$A,V$25)</f>
        <v>0</v>
      </c>
      <c r="W28" s="93">
        <f>COUNTIFS('reductions data'!$G:$G,'reasons for reduction division'!$B28,'reductions data'!$A:$A,W$25)</f>
        <v>0</v>
      </c>
      <c r="X28" s="93">
        <f>COUNTIFS('reductions data'!$G:$G,'reasons for reduction division'!$B28,'reductions data'!$A:$A,X$25)</f>
        <v>0</v>
      </c>
      <c r="Y28" s="138">
        <f>COUNTIF('reductions data'!G:G,'reasons for reduction division'!B28)</f>
        <v>0</v>
      </c>
    </row>
    <row r="29" spans="2:25" x14ac:dyDescent="0.15">
      <c r="B29" s="146" t="s">
        <v>220</v>
      </c>
      <c r="C29" s="93">
        <f>COUNTIFS('reductions data'!G:G,'reasons for reduction division'!B29,'reductions data'!A:A,$C$25)</f>
        <v>0</v>
      </c>
      <c r="D29" s="93">
        <f>COUNTIFS('reductions data'!G:G,'reasons for reduction division'!B29,'reductions data'!A:A,$D$25)</f>
        <v>0</v>
      </c>
      <c r="E29" s="93">
        <f>COUNTIFS('reductions data'!G:G,'reasons for reduction division'!B29,'reductions data'!A:A,$E$25)</f>
        <v>0</v>
      </c>
      <c r="F29" s="93">
        <f>COUNTIFS('reductions data'!G:G,'reasons for reduction division'!B29,'reductions data'!A:A,$F$25)</f>
        <v>0</v>
      </c>
      <c r="G29" s="93">
        <f>COUNTIFS('reductions data'!G:G,'reasons for reduction division'!B29,'reductions data'!A:A,$G$25)</f>
        <v>0</v>
      </c>
      <c r="H29" s="93">
        <f>COUNTIFS('reductions data'!G:G,'reasons for reduction division'!B29,'reductions data'!A:A,$H$25)</f>
        <v>0</v>
      </c>
      <c r="I29" s="93">
        <f>COUNTIFS('reductions data'!G:G,'reasons for reduction division'!B29,'reductions data'!A:A,$I$25)</f>
        <v>0</v>
      </c>
      <c r="J29" s="93">
        <f>COUNTIFS('reductions data'!G:G,'reasons for reduction division'!B29,'reductions data'!A:A,$J$25)</f>
        <v>0</v>
      </c>
      <c r="K29" s="93">
        <f>COUNTIFS('reductions data'!G:G,'reasons for reduction division'!B29,'reductions data'!A:A,$K$25)</f>
        <v>0</v>
      </c>
      <c r="L29" s="93">
        <f>COUNTIFS('reductions data'!G:G,'reasons for reduction division'!B29,'reductions data'!A:A,$L$25)</f>
        <v>0</v>
      </c>
      <c r="M29" s="93">
        <f>COUNTIFS('reductions data'!G:G,'reasons for reduction division'!B29,'reductions data'!A:A,$M$25)</f>
        <v>0</v>
      </c>
      <c r="N29" s="93">
        <f>COUNTIFS('reductions data'!G:G,'reasons for reduction division'!B29,'reductions data'!A:A,$N$25)</f>
        <v>0</v>
      </c>
      <c r="O29" s="93">
        <f>COUNTIFS('reductions data'!$G:$G,'reasons for reduction division'!$B29,'reductions data'!$A:$A,O$25)</f>
        <v>0</v>
      </c>
      <c r="P29" s="93">
        <f>COUNTIFS('reductions data'!$G:$G,'reasons for reduction division'!$B29,'reductions data'!$A:$A,P$25)</f>
        <v>0</v>
      </c>
      <c r="Q29" s="93">
        <f>COUNTIFS('reductions data'!$G:$G,'reasons for reduction division'!$B29,'reductions data'!$A:$A,Q$25)</f>
        <v>0</v>
      </c>
      <c r="R29" s="93">
        <f>COUNTIFS('reductions data'!$G:$G,'reasons for reduction division'!$B29,'reductions data'!$A:$A,R$25)</f>
        <v>0</v>
      </c>
      <c r="S29" s="93">
        <f>COUNTIFS('reductions data'!$G:$G,'reasons for reduction division'!$B29,'reductions data'!$A:$A,S$25)</f>
        <v>0</v>
      </c>
      <c r="T29" s="93">
        <f>COUNTIFS('reductions data'!$G:$G,'reasons for reduction division'!$B29,'reductions data'!$A:$A,T$25)</f>
        <v>0</v>
      </c>
      <c r="U29" s="93">
        <f>COUNTIFS('reductions data'!$G:$G,'reasons for reduction division'!$B29,'reductions data'!$A:$A,U$25)</f>
        <v>0</v>
      </c>
      <c r="V29" s="93">
        <f>COUNTIFS('reductions data'!$G:$G,'reasons for reduction division'!$B29,'reductions data'!$A:$A,V$25)</f>
        <v>0</v>
      </c>
      <c r="W29" s="93">
        <f>COUNTIFS('reductions data'!$G:$G,'reasons for reduction division'!$B29,'reductions data'!$A:$A,W$25)</f>
        <v>0</v>
      </c>
      <c r="X29" s="93">
        <f>COUNTIFS('reductions data'!$G:$G,'reasons for reduction division'!$B29,'reductions data'!$A:$A,X$25)</f>
        <v>0</v>
      </c>
      <c r="Y29" s="138">
        <f>COUNTIF('reductions data'!G:G,'reasons for reduction division'!B29)</f>
        <v>0</v>
      </c>
    </row>
    <row r="30" spans="2:25" x14ac:dyDescent="0.15">
      <c r="B30" s="146" t="s">
        <v>241</v>
      </c>
      <c r="C30" s="93">
        <f>COUNTIFS('reductions data'!G:G,'reasons for reduction division'!B30,'reductions data'!A:A,$C$25)</f>
        <v>0</v>
      </c>
      <c r="D30" s="93">
        <f>COUNTIFS('reductions data'!G:G,'reasons for reduction division'!B30,'reductions data'!A:A,$D$25)</f>
        <v>0</v>
      </c>
      <c r="E30" s="93">
        <f>COUNTIFS('reductions data'!G:G,'reasons for reduction division'!B30,'reductions data'!A:A,$E$25)</f>
        <v>0</v>
      </c>
      <c r="F30" s="93">
        <f>COUNTIFS('reductions data'!G:G,'reasons for reduction division'!B30,'reductions data'!A:A,$F$25)</f>
        <v>0</v>
      </c>
      <c r="G30" s="93">
        <f>COUNTIFS('reductions data'!G:G,'reasons for reduction division'!B30,'reductions data'!A:A,$G$25)</f>
        <v>0</v>
      </c>
      <c r="H30" s="93">
        <f>COUNTIFS('reductions data'!G:G,'reasons for reduction division'!B30,'reductions data'!A:A,$H$25)</f>
        <v>0</v>
      </c>
      <c r="I30" s="93">
        <f>COUNTIFS('reductions data'!G:G,'reasons for reduction division'!B30,'reductions data'!A:A,$I$25)</f>
        <v>0</v>
      </c>
      <c r="J30" s="93">
        <f>COUNTIFS('reductions data'!G:G,'reasons for reduction division'!B30,'reductions data'!A:A,$J$25)</f>
        <v>0</v>
      </c>
      <c r="K30" s="93">
        <f>COUNTIFS('reductions data'!G:G,'reasons for reduction division'!B30,'reductions data'!A:A,$K$25)</f>
        <v>0</v>
      </c>
      <c r="L30" s="93">
        <f>COUNTIFS('reductions data'!G:G,'reasons for reduction division'!B30,'reductions data'!A:A,$L$25)</f>
        <v>0</v>
      </c>
      <c r="M30" s="93">
        <f>COUNTIFS('reductions data'!G:G,'reasons for reduction division'!B30,'reductions data'!A:A,$M$25)</f>
        <v>0</v>
      </c>
      <c r="N30" s="93">
        <f>COUNTIFS('reductions data'!G:G,'reasons for reduction division'!B30,'reductions data'!A:A,$N$25)</f>
        <v>0</v>
      </c>
      <c r="O30" s="93">
        <f>COUNTIFS('reductions data'!$G:$G,'reasons for reduction division'!$B30,'reductions data'!$A:$A,O$25)</f>
        <v>0</v>
      </c>
      <c r="P30" s="93">
        <f>COUNTIFS('reductions data'!$G:$G,'reasons for reduction division'!$B30,'reductions data'!$A:$A,P$25)</f>
        <v>0</v>
      </c>
      <c r="Q30" s="93">
        <f>COUNTIFS('reductions data'!$G:$G,'reasons for reduction division'!$B30,'reductions data'!$A:$A,Q$25)</f>
        <v>0</v>
      </c>
      <c r="R30" s="93">
        <f>COUNTIFS('reductions data'!$G:$G,'reasons for reduction division'!$B30,'reductions data'!$A:$A,R$25)</f>
        <v>0</v>
      </c>
      <c r="S30" s="93">
        <f>COUNTIFS('reductions data'!$G:$G,'reasons for reduction division'!$B30,'reductions data'!$A:$A,S$25)</f>
        <v>0</v>
      </c>
      <c r="T30" s="93">
        <f>COUNTIFS('reductions data'!$G:$G,'reasons for reduction division'!$B30,'reductions data'!$A:$A,T$25)</f>
        <v>0</v>
      </c>
      <c r="U30" s="93">
        <f>COUNTIFS('reductions data'!$G:$G,'reasons for reduction division'!$B30,'reductions data'!$A:$A,U$25)</f>
        <v>0</v>
      </c>
      <c r="V30" s="93">
        <f>COUNTIFS('reductions data'!$G:$G,'reasons for reduction division'!$B30,'reductions data'!$A:$A,V$25)</f>
        <v>0</v>
      </c>
      <c r="W30" s="93">
        <f>COUNTIFS('reductions data'!$G:$G,'reasons for reduction division'!$B30,'reductions data'!$A:$A,W$25)</f>
        <v>0</v>
      </c>
      <c r="X30" s="93">
        <f>COUNTIFS('reductions data'!$G:$G,'reasons for reduction division'!$B30,'reductions data'!$A:$A,X$25)</f>
        <v>0</v>
      </c>
      <c r="Y30" s="138">
        <f>COUNTIF('reductions data'!G:G,'reasons for reduction division'!B30)</f>
        <v>0</v>
      </c>
    </row>
    <row r="31" spans="2:25" ht="15" customHeight="1" x14ac:dyDescent="0.15">
      <c r="B31" s="146" t="s">
        <v>242</v>
      </c>
      <c r="C31" s="93">
        <f>COUNTIFS('reductions data'!G:G,'reasons for reduction division'!B31,'reductions data'!A:A,$C$25)</f>
        <v>0</v>
      </c>
      <c r="D31" s="93">
        <f>COUNTIFS('reductions data'!G:G,'reasons for reduction division'!B31,'reductions data'!A:A,$D$25)</f>
        <v>0</v>
      </c>
      <c r="E31" s="93">
        <f>COUNTIFS('reductions data'!G:G,'reasons for reduction division'!B31,'reductions data'!A:A,$E$25)</f>
        <v>0</v>
      </c>
      <c r="F31" s="93">
        <f>COUNTIFS('reductions data'!G:G,'reasons for reduction division'!B31,'reductions data'!A:A,$F$25)</f>
        <v>0</v>
      </c>
      <c r="G31" s="93">
        <f>COUNTIFS('reductions data'!G:G,'reasons for reduction division'!B31,'reductions data'!A:A,$G$25)</f>
        <v>0</v>
      </c>
      <c r="H31" s="93">
        <f>COUNTIFS('reductions data'!G:G,'reasons for reduction division'!B31,'reductions data'!A:A,$H$25)</f>
        <v>0</v>
      </c>
      <c r="I31" s="93">
        <f>COUNTIFS('reductions data'!G:G,'reasons for reduction division'!B31,'reductions data'!A:A,$I$25)</f>
        <v>0</v>
      </c>
      <c r="J31" s="93">
        <f>COUNTIFS('reductions data'!G:G,'reasons for reduction division'!B31,'reductions data'!A:A,$J$25)</f>
        <v>0</v>
      </c>
      <c r="K31" s="93">
        <f>COUNTIFS('reductions data'!G:G,'reasons for reduction division'!B31,'reductions data'!A:A,$K$25)</f>
        <v>0</v>
      </c>
      <c r="L31" s="93">
        <f>COUNTIFS('reductions data'!G:G,'reasons for reduction division'!B31,'reductions data'!A:A,$L$25)</f>
        <v>0</v>
      </c>
      <c r="M31" s="93">
        <f>COUNTIFS('reductions data'!G:G,'reasons for reduction division'!B31,'reductions data'!A:A,$M$25)</f>
        <v>0</v>
      </c>
      <c r="N31" s="93">
        <f>COUNTIFS('reductions data'!G:G,'reasons for reduction division'!B31,'reductions data'!A:A,$N$25)</f>
        <v>0</v>
      </c>
      <c r="O31" s="93">
        <f>COUNTIFS('reductions data'!$G:$G,'reasons for reduction division'!$B31,'reductions data'!$A:$A,O$25)</f>
        <v>0</v>
      </c>
      <c r="P31" s="93">
        <f>COUNTIFS('reductions data'!$G:$G,'reasons for reduction division'!$B31,'reductions data'!$A:$A,P$25)</f>
        <v>0</v>
      </c>
      <c r="Q31" s="93">
        <f>COUNTIFS('reductions data'!$G:$G,'reasons for reduction division'!$B31,'reductions data'!$A:$A,Q$25)</f>
        <v>0</v>
      </c>
      <c r="R31" s="93">
        <f>COUNTIFS('reductions data'!$G:$G,'reasons for reduction division'!$B31,'reductions data'!$A:$A,R$25)</f>
        <v>0</v>
      </c>
      <c r="S31" s="93">
        <f>COUNTIFS('reductions data'!$G:$G,'reasons for reduction division'!$B31,'reductions data'!$A:$A,S$25)</f>
        <v>0</v>
      </c>
      <c r="T31" s="93">
        <f>COUNTIFS('reductions data'!$G:$G,'reasons for reduction division'!$B31,'reductions data'!$A:$A,T$25)</f>
        <v>0</v>
      </c>
      <c r="U31" s="93">
        <f>COUNTIFS('reductions data'!$G:$G,'reasons for reduction division'!$B31,'reductions data'!$A:$A,U$25)</f>
        <v>0</v>
      </c>
      <c r="V31" s="93">
        <f>COUNTIFS('reductions data'!$G:$G,'reasons for reduction division'!$B31,'reductions data'!$A:$A,V$25)</f>
        <v>0</v>
      </c>
      <c r="W31" s="93">
        <f>COUNTIFS('reductions data'!$G:$G,'reasons for reduction division'!$B31,'reductions data'!$A:$A,W$25)</f>
        <v>0</v>
      </c>
      <c r="X31" s="93">
        <f>COUNTIFS('reductions data'!$G:$G,'reasons for reduction division'!$B31,'reductions data'!$A:$A,X$25)</f>
        <v>0</v>
      </c>
      <c r="Y31" s="138">
        <f>COUNTIF('reductions data'!G:G,'reasons for reduction division'!B31)</f>
        <v>0</v>
      </c>
    </row>
    <row r="32" spans="2:25" s="30" customFormat="1" ht="15" customHeight="1" x14ac:dyDescent="0.15">
      <c r="B32" s="146" t="s">
        <v>500</v>
      </c>
      <c r="C32" s="93">
        <f>COUNTIFS('reductions data'!G:G,'reasons for reduction division'!B32,'reductions data'!A:A,$C$25)</f>
        <v>0</v>
      </c>
      <c r="D32" s="93">
        <f>COUNTIFS('reductions data'!G:G,'reasons for reduction division'!B32,'reductions data'!A:A,$D$25)</f>
        <v>0</v>
      </c>
      <c r="E32" s="93">
        <f>COUNTIFS('reductions data'!G:G,'reasons for reduction division'!B32,'reductions data'!A:A,$E$25)</f>
        <v>0</v>
      </c>
      <c r="F32" s="93">
        <f>COUNTIFS('reductions data'!G:G,'reasons for reduction division'!B32,'reductions data'!A:A,$F$25)</f>
        <v>0</v>
      </c>
      <c r="G32" s="93">
        <f>COUNTIFS('reductions data'!G:G,'reasons for reduction division'!B32,'reductions data'!A:A,$G$25)</f>
        <v>0</v>
      </c>
      <c r="H32" s="93">
        <f>COUNTIFS('reductions data'!G:G,'reasons for reduction division'!B32,'reductions data'!A:A,$H$25)</f>
        <v>0</v>
      </c>
      <c r="I32" s="93">
        <f>COUNTIFS('reductions data'!G:G,'reasons for reduction division'!B32,'reductions data'!A:A,$I$25)</f>
        <v>0</v>
      </c>
      <c r="J32" s="93">
        <f>COUNTIFS('reductions data'!G:G,'reasons for reduction division'!B32,'reductions data'!A:A,$J$25)</f>
        <v>0</v>
      </c>
      <c r="K32" s="93">
        <f>COUNTIFS('reductions data'!G:G,'reasons for reduction division'!B32,'reductions data'!A:A,$K$25)</f>
        <v>0</v>
      </c>
      <c r="L32" s="93">
        <f>COUNTIFS('reductions data'!G:G,'reasons for reduction division'!B32,'reductions data'!A:A,$L$25)</f>
        <v>0</v>
      </c>
      <c r="M32" s="93">
        <f>COUNTIFS('reductions data'!G:G,'reasons for reduction division'!B32,'reductions data'!A:A,$M$25)</f>
        <v>0</v>
      </c>
      <c r="N32" s="93">
        <f>COUNTIFS('reductions data'!G:G,'reasons for reduction division'!B32,'reductions data'!A:A,$N$25)</f>
        <v>0</v>
      </c>
      <c r="O32" s="93">
        <f>COUNTIFS('reductions data'!$G:$G,'reasons for reduction division'!$B32,'reductions data'!$A:$A,O$25)</f>
        <v>0</v>
      </c>
      <c r="P32" s="93">
        <f>COUNTIFS('reductions data'!$G:$G,'reasons for reduction division'!$B32,'reductions data'!$A:$A,P$25)</f>
        <v>0</v>
      </c>
      <c r="Q32" s="93">
        <f>COUNTIFS('reductions data'!$G:$G,'reasons for reduction division'!$B32,'reductions data'!$A:$A,Q$25)</f>
        <v>0</v>
      </c>
      <c r="R32" s="93">
        <f>COUNTIFS('reductions data'!$G:$G,'reasons for reduction division'!$B32,'reductions data'!$A:$A,R$25)</f>
        <v>0</v>
      </c>
      <c r="S32" s="93">
        <f>COUNTIFS('reductions data'!$G:$G,'reasons for reduction division'!$B32,'reductions data'!$A:$A,S$25)</f>
        <v>0</v>
      </c>
      <c r="T32" s="93">
        <f>COUNTIFS('reductions data'!$G:$G,'reasons for reduction division'!$B32,'reductions data'!$A:$A,T$25)</f>
        <v>0</v>
      </c>
      <c r="U32" s="93">
        <f>COUNTIFS('reductions data'!$G:$G,'reasons for reduction division'!$B32,'reductions data'!$A:$A,U$25)</f>
        <v>0</v>
      </c>
      <c r="V32" s="93">
        <f>COUNTIFS('reductions data'!$G:$G,'reasons for reduction division'!$B32,'reductions data'!$A:$A,V$25)</f>
        <v>0</v>
      </c>
      <c r="W32" s="93">
        <f>COUNTIFS('reductions data'!$G:$G,'reasons for reduction division'!$B32,'reductions data'!$A:$A,W$25)</f>
        <v>0</v>
      </c>
      <c r="X32" s="93">
        <f>COUNTIFS('reductions data'!$G:$G,'reasons for reduction division'!$B32,'reductions data'!$A:$A,X$25)</f>
        <v>0</v>
      </c>
      <c r="Y32" s="138">
        <f>COUNTIF('reductions data'!G:G,'reasons for reduction division'!B32)</f>
        <v>0</v>
      </c>
    </row>
    <row r="33" spans="2:25" x14ac:dyDescent="0.15">
      <c r="B33" s="146" t="s">
        <v>243</v>
      </c>
      <c r="C33" s="93">
        <f>COUNTIFS('reductions data'!G:G,'reasons for reduction division'!B33,'reductions data'!A:A,$C$25)</f>
        <v>0</v>
      </c>
      <c r="D33" s="93">
        <f>COUNTIFS('reductions data'!G:G,'reasons for reduction division'!B33,'reductions data'!A:A,$D$25)</f>
        <v>0</v>
      </c>
      <c r="E33" s="93">
        <f>COUNTIFS('reductions data'!G:G,'reasons for reduction division'!B33,'reductions data'!A:A,$E$25)</f>
        <v>0</v>
      </c>
      <c r="F33" s="93">
        <f>COUNTIFS('reductions data'!G:G,'reasons for reduction division'!B33,'reductions data'!A:A,$F$25)</f>
        <v>0</v>
      </c>
      <c r="G33" s="93">
        <f>COUNTIFS('reductions data'!G:G,'reasons for reduction division'!B33,'reductions data'!A:A,$G$25)</f>
        <v>0</v>
      </c>
      <c r="H33" s="93">
        <f>COUNTIFS('reductions data'!G:G,'reasons for reduction division'!B33,'reductions data'!A:A,$H$25)</f>
        <v>0</v>
      </c>
      <c r="I33" s="93">
        <f>COUNTIFS('reductions data'!G:G,'reasons for reduction division'!B33,'reductions data'!A:A,$I$25)</f>
        <v>0</v>
      </c>
      <c r="J33" s="93">
        <f>COUNTIFS('reductions data'!G:G,'reasons for reduction division'!B33,'reductions data'!A:A,$J$25)</f>
        <v>0</v>
      </c>
      <c r="K33" s="93">
        <f>COUNTIFS('reductions data'!G:G,'reasons for reduction division'!B33,'reductions data'!A:A,$K$25)</f>
        <v>0</v>
      </c>
      <c r="L33" s="93">
        <f>COUNTIFS('reductions data'!G:G,'reasons for reduction division'!B33,'reductions data'!A:A,$L$25)</f>
        <v>0</v>
      </c>
      <c r="M33" s="93">
        <f>COUNTIFS('reductions data'!G:G,'reasons for reduction division'!B33,'reductions data'!A:A,$M$25)</f>
        <v>0</v>
      </c>
      <c r="N33" s="93">
        <f>COUNTIFS('reductions data'!G:G,'reasons for reduction division'!B33,'reductions data'!A:A,$N$25)</f>
        <v>0</v>
      </c>
      <c r="O33" s="93">
        <f>COUNTIFS('reductions data'!$G:$G,'reasons for reduction division'!$B33,'reductions data'!$A:$A,O$25)</f>
        <v>0</v>
      </c>
      <c r="P33" s="93">
        <f>COUNTIFS('reductions data'!$G:$G,'reasons for reduction division'!$B33,'reductions data'!$A:$A,P$25)</f>
        <v>0</v>
      </c>
      <c r="Q33" s="93">
        <f>COUNTIFS('reductions data'!$G:$G,'reasons for reduction division'!$B33,'reductions data'!$A:$A,Q$25)</f>
        <v>0</v>
      </c>
      <c r="R33" s="93">
        <f>COUNTIFS('reductions data'!$G:$G,'reasons for reduction division'!$B33,'reductions data'!$A:$A,R$25)</f>
        <v>0</v>
      </c>
      <c r="S33" s="93">
        <f>COUNTIFS('reductions data'!$G:$G,'reasons for reduction division'!$B33,'reductions data'!$A:$A,S$25)</f>
        <v>0</v>
      </c>
      <c r="T33" s="93">
        <f>COUNTIFS('reductions data'!$G:$G,'reasons for reduction division'!$B33,'reductions data'!$A:$A,T$25)</f>
        <v>0</v>
      </c>
      <c r="U33" s="93">
        <f>COUNTIFS('reductions data'!$G:$G,'reasons for reduction division'!$B33,'reductions data'!$A:$A,U$25)</f>
        <v>0</v>
      </c>
      <c r="V33" s="93">
        <f>COUNTIFS('reductions data'!$G:$G,'reasons for reduction division'!$B33,'reductions data'!$A:$A,V$25)</f>
        <v>0</v>
      </c>
      <c r="W33" s="93">
        <f>COUNTIFS('reductions data'!$G:$G,'reasons for reduction division'!$B33,'reductions data'!$A:$A,W$25)</f>
        <v>0</v>
      </c>
      <c r="X33" s="93">
        <f>COUNTIFS('reductions data'!$G:$G,'reasons for reduction division'!$B33,'reductions data'!$A:$A,X$25)</f>
        <v>0</v>
      </c>
      <c r="Y33" s="138">
        <f>COUNTIF('reductions data'!G:G,'reasons for reduction division'!B33)</f>
        <v>0</v>
      </c>
    </row>
    <row r="34" spans="2:25" x14ac:dyDescent="0.15">
      <c r="B34" s="146" t="s">
        <v>223</v>
      </c>
      <c r="C34" s="93">
        <f>COUNTIFS('reductions data'!G:G,'reasons for reduction division'!B34,'reductions data'!A:A,$C$25)</f>
        <v>0</v>
      </c>
      <c r="D34" s="93">
        <f>COUNTIFS('reductions data'!G:G,'reasons for reduction division'!B34,'reductions data'!A:A,$D$25)</f>
        <v>0</v>
      </c>
      <c r="E34" s="93">
        <f>COUNTIFS('reductions data'!G:G,'reasons for reduction division'!B34,'reductions data'!A:A,$E$25)</f>
        <v>0</v>
      </c>
      <c r="F34" s="93">
        <f>COUNTIFS('reductions data'!G:G,'reasons for reduction division'!B34,'reductions data'!A:A,$F$25)</f>
        <v>0</v>
      </c>
      <c r="G34" s="93">
        <f>COUNTIFS('reductions data'!G:G,'reasons for reduction division'!B34,'reductions data'!A:A,$G$25)</f>
        <v>0</v>
      </c>
      <c r="H34" s="93">
        <f>COUNTIFS('reductions data'!G:G,'reasons for reduction division'!B34,'reductions data'!A:A,$H$25)</f>
        <v>0</v>
      </c>
      <c r="I34" s="93">
        <f>COUNTIFS('reductions data'!G:G,'reasons for reduction division'!B34,'reductions data'!A:A,$I$25)</f>
        <v>0</v>
      </c>
      <c r="J34" s="93">
        <f>COUNTIFS('reductions data'!G:G,'reasons for reduction division'!B34,'reductions data'!A:A,$J$25)</f>
        <v>0</v>
      </c>
      <c r="K34" s="93">
        <f>COUNTIFS('reductions data'!G:G,'reasons for reduction division'!B34,'reductions data'!A:A,$K$25)</f>
        <v>0</v>
      </c>
      <c r="L34" s="93">
        <f>COUNTIFS('reductions data'!G:G,'reasons for reduction division'!B34,'reductions data'!A:A,$L$25)</f>
        <v>0</v>
      </c>
      <c r="M34" s="93">
        <f>COUNTIFS('reductions data'!G:G,'reasons for reduction division'!B34,'reductions data'!A:A,$M$25)</f>
        <v>0</v>
      </c>
      <c r="N34" s="93">
        <f>COUNTIFS('reductions data'!G:G,'reasons for reduction division'!B34,'reductions data'!A:A,$N$25)</f>
        <v>0</v>
      </c>
      <c r="O34" s="93">
        <f>COUNTIFS('reductions data'!$G:$G,'reasons for reduction division'!$B34,'reductions data'!$A:$A,O$25)</f>
        <v>0</v>
      </c>
      <c r="P34" s="93">
        <f>COUNTIFS('reductions data'!$G:$G,'reasons for reduction division'!$B34,'reductions data'!$A:$A,P$25)</f>
        <v>0</v>
      </c>
      <c r="Q34" s="93">
        <f>COUNTIFS('reductions data'!$G:$G,'reasons for reduction division'!$B34,'reductions data'!$A:$A,Q$25)</f>
        <v>0</v>
      </c>
      <c r="R34" s="93">
        <f>COUNTIFS('reductions data'!$G:$G,'reasons for reduction division'!$B34,'reductions data'!$A:$A,R$25)</f>
        <v>0</v>
      </c>
      <c r="S34" s="93">
        <f>COUNTIFS('reductions data'!$G:$G,'reasons for reduction division'!$B34,'reductions data'!$A:$A,S$25)</f>
        <v>0</v>
      </c>
      <c r="T34" s="93">
        <f>COUNTIFS('reductions data'!$G:$G,'reasons for reduction division'!$B34,'reductions data'!$A:$A,T$25)</f>
        <v>0</v>
      </c>
      <c r="U34" s="93">
        <f>COUNTIFS('reductions data'!$G:$G,'reasons for reduction division'!$B34,'reductions data'!$A:$A,U$25)</f>
        <v>0</v>
      </c>
      <c r="V34" s="93">
        <f>COUNTIFS('reductions data'!$G:$G,'reasons for reduction division'!$B34,'reductions data'!$A:$A,V$25)</f>
        <v>0</v>
      </c>
      <c r="W34" s="93">
        <f>COUNTIFS('reductions data'!$G:$G,'reasons for reduction division'!$B34,'reductions data'!$A:$A,W$25)</f>
        <v>0</v>
      </c>
      <c r="X34" s="93">
        <f>COUNTIFS('reductions data'!$G:$G,'reasons for reduction division'!$B34,'reductions data'!$A:$A,X$25)</f>
        <v>0</v>
      </c>
      <c r="Y34" s="138">
        <f>COUNTIF('reductions data'!G:G,'reasons for reduction division'!B34)</f>
        <v>0</v>
      </c>
    </row>
    <row r="35" spans="2:25" x14ac:dyDescent="0.15">
      <c r="B35" s="146" t="s">
        <v>230</v>
      </c>
      <c r="C35" s="93">
        <f>COUNTIFS('reductions data'!G:G,'reasons for reduction division'!B35,'reductions data'!A:A,$C$25)</f>
        <v>0</v>
      </c>
      <c r="D35" s="93">
        <f>COUNTIFS('reductions data'!G:G,'reasons for reduction division'!B35,'reductions data'!A:A,$D$25)</f>
        <v>0</v>
      </c>
      <c r="E35" s="93">
        <f>COUNTIFS('reductions data'!G:G,'reasons for reduction division'!B35,'reductions data'!A:A,$E$25)</f>
        <v>0</v>
      </c>
      <c r="F35" s="93">
        <f>COUNTIFS('reductions data'!G:G,'reasons for reduction division'!B35,'reductions data'!A:A,$F$25)</f>
        <v>0</v>
      </c>
      <c r="G35" s="93">
        <f>COUNTIFS('reductions data'!G:G,'reasons for reduction division'!B35,'reductions data'!A:A,$G$25)</f>
        <v>0</v>
      </c>
      <c r="H35" s="93">
        <f>COUNTIFS('reductions data'!G:G,'reasons for reduction division'!B35,'reductions data'!A:A,$H$25)</f>
        <v>0</v>
      </c>
      <c r="I35" s="93">
        <f>COUNTIFS('reductions data'!G:G,'reasons for reduction division'!B35,'reductions data'!A:A,$I$25)</f>
        <v>0</v>
      </c>
      <c r="J35" s="93">
        <f>COUNTIFS('reductions data'!G:G,'reasons for reduction division'!B35,'reductions data'!A:A,$J$25)</f>
        <v>0</v>
      </c>
      <c r="K35" s="93">
        <f>COUNTIFS('reductions data'!G:G,'reasons for reduction division'!B35,'reductions data'!A:A,$K$25)</f>
        <v>0</v>
      </c>
      <c r="L35" s="93">
        <f>COUNTIFS('reductions data'!G:G,'reasons for reduction division'!B35,'reductions data'!A:A,$L$25)</f>
        <v>0</v>
      </c>
      <c r="M35" s="93">
        <f>COUNTIFS('reductions data'!G:G,'reasons for reduction division'!B35,'reductions data'!A:A,$M$25)</f>
        <v>0</v>
      </c>
      <c r="N35" s="93">
        <f>COUNTIFS('reductions data'!G:G,'reasons for reduction division'!B35,'reductions data'!A:A,$N$25)</f>
        <v>0</v>
      </c>
      <c r="O35" s="93">
        <f>COUNTIFS('reductions data'!$G:$G,'reasons for reduction division'!$B35,'reductions data'!$A:$A,O$25)</f>
        <v>0</v>
      </c>
      <c r="P35" s="93">
        <f>COUNTIFS('reductions data'!$G:$G,'reasons for reduction division'!$B35,'reductions data'!$A:$A,P$25)</f>
        <v>0</v>
      </c>
      <c r="Q35" s="93">
        <f>COUNTIFS('reductions data'!$G:$G,'reasons for reduction division'!$B35,'reductions data'!$A:$A,Q$25)</f>
        <v>0</v>
      </c>
      <c r="R35" s="93">
        <f>COUNTIFS('reductions data'!$G:$G,'reasons for reduction division'!$B35,'reductions data'!$A:$A,R$25)</f>
        <v>0</v>
      </c>
      <c r="S35" s="93">
        <f>COUNTIFS('reductions data'!$G:$G,'reasons for reduction division'!$B35,'reductions data'!$A:$A,S$25)</f>
        <v>0</v>
      </c>
      <c r="T35" s="93">
        <f>COUNTIFS('reductions data'!$G:$G,'reasons for reduction division'!$B35,'reductions data'!$A:$A,T$25)</f>
        <v>0</v>
      </c>
      <c r="U35" s="93">
        <f>COUNTIFS('reductions data'!$G:$G,'reasons for reduction division'!$B35,'reductions data'!$A:$A,U$25)</f>
        <v>0</v>
      </c>
      <c r="V35" s="93">
        <f>COUNTIFS('reductions data'!$G:$G,'reasons for reduction division'!$B35,'reductions data'!$A:$A,V$25)</f>
        <v>0</v>
      </c>
      <c r="W35" s="93">
        <f>COUNTIFS('reductions data'!$G:$G,'reasons for reduction division'!$B35,'reductions data'!$A:$A,W$25)</f>
        <v>0</v>
      </c>
      <c r="X35" s="93">
        <f>COUNTIFS('reductions data'!$G:$G,'reasons for reduction division'!$B35,'reductions data'!$A:$A,X$25)</f>
        <v>0</v>
      </c>
      <c r="Y35" s="138">
        <f>COUNTIF('reductions data'!G:G,'reasons for reduction division'!B35)</f>
        <v>0</v>
      </c>
    </row>
    <row r="36" spans="2:25" s="30" customFormat="1" x14ac:dyDescent="0.15">
      <c r="B36" s="146" t="s">
        <v>497</v>
      </c>
      <c r="C36" s="93">
        <f>COUNTIFS('reductions data'!G:G,'reasons for reduction division'!B36,'reductions data'!A:A,$C$25)</f>
        <v>0</v>
      </c>
      <c r="D36" s="93">
        <f>COUNTIFS('reductions data'!G:G,'reasons for reduction division'!B36,'reductions data'!A:A,$D$25)</f>
        <v>0</v>
      </c>
      <c r="E36" s="93">
        <f>COUNTIFS('reductions data'!G:G,'reasons for reduction division'!B36,'reductions data'!A:A,$E$25)</f>
        <v>0</v>
      </c>
      <c r="F36" s="93">
        <f>COUNTIFS('reductions data'!G:G,'reasons for reduction division'!B36,'reductions data'!A:A,$F$25)</f>
        <v>0</v>
      </c>
      <c r="G36" s="93">
        <f>COUNTIFS('reductions data'!G:G,'reasons for reduction division'!B36,'reductions data'!A:A,$G$25)</f>
        <v>0</v>
      </c>
      <c r="H36" s="93">
        <f>COUNTIFS('reductions data'!G:G,'reasons for reduction division'!B36,'reductions data'!A:A,$H$25)</f>
        <v>0</v>
      </c>
      <c r="I36" s="93">
        <f>COUNTIFS('reductions data'!G:G,'reasons for reduction division'!B36,'reductions data'!A:A,$I$25)</f>
        <v>0</v>
      </c>
      <c r="J36" s="93">
        <f>COUNTIFS('reductions data'!G:G,'reasons for reduction division'!B36,'reductions data'!A:A,$J$25)</f>
        <v>0</v>
      </c>
      <c r="K36" s="93">
        <f>COUNTIFS('reductions data'!G:G,'reasons for reduction division'!B36,'reductions data'!A:A,$K$25)</f>
        <v>0</v>
      </c>
      <c r="L36" s="93">
        <f>COUNTIFS('reductions data'!G:G,'reasons for reduction division'!B36,'reductions data'!A:A,$L$25)</f>
        <v>0</v>
      </c>
      <c r="M36" s="93">
        <f>COUNTIFS('reductions data'!G:G,'reasons for reduction division'!B36,'reductions data'!A:A,$M$25)</f>
        <v>0</v>
      </c>
      <c r="N36" s="93">
        <f>COUNTIFS('reductions data'!G:G,'reasons for reduction division'!B36,'reductions data'!A:A,$N$25)</f>
        <v>0</v>
      </c>
      <c r="O36" s="93">
        <f>COUNTIFS('reductions data'!$G:$G,'reasons for reduction division'!$B36,'reductions data'!$A:$A,O$25)</f>
        <v>0</v>
      </c>
      <c r="P36" s="93">
        <f>COUNTIFS('reductions data'!$G:$G,'reasons for reduction division'!$B36,'reductions data'!$A:$A,P$25)</f>
        <v>0</v>
      </c>
      <c r="Q36" s="93">
        <f>COUNTIFS('reductions data'!$G:$G,'reasons for reduction division'!$B36,'reductions data'!$A:$A,Q$25)</f>
        <v>0</v>
      </c>
      <c r="R36" s="93">
        <f>COUNTIFS('reductions data'!$G:$G,'reasons for reduction division'!$B36,'reductions data'!$A:$A,R$25)</f>
        <v>0</v>
      </c>
      <c r="S36" s="93">
        <f>COUNTIFS('reductions data'!$G:$G,'reasons for reduction division'!$B36,'reductions data'!$A:$A,S$25)</f>
        <v>0</v>
      </c>
      <c r="T36" s="93">
        <f>COUNTIFS('reductions data'!$G:$G,'reasons for reduction division'!$B36,'reductions data'!$A:$A,T$25)</f>
        <v>0</v>
      </c>
      <c r="U36" s="93">
        <f>COUNTIFS('reductions data'!$G:$G,'reasons for reduction division'!$B36,'reductions data'!$A:$A,U$25)</f>
        <v>0</v>
      </c>
      <c r="V36" s="93">
        <f>COUNTIFS('reductions data'!$G:$G,'reasons for reduction division'!$B36,'reductions data'!$A:$A,V$25)</f>
        <v>0</v>
      </c>
      <c r="W36" s="93">
        <f>COUNTIFS('reductions data'!$G:$G,'reasons for reduction division'!$B36,'reductions data'!$A:$A,W$25)</f>
        <v>0</v>
      </c>
      <c r="X36" s="93">
        <f>COUNTIFS('reductions data'!$G:$G,'reasons for reduction division'!$B36,'reductions data'!$A:$A,X$25)</f>
        <v>0</v>
      </c>
      <c r="Y36" s="138">
        <f>COUNTIF('reductions data'!G:G,'reasons for reduction division'!B36)</f>
        <v>0</v>
      </c>
    </row>
    <row r="37" spans="2:25" x14ac:dyDescent="0.15">
      <c r="B37" s="146" t="s">
        <v>232</v>
      </c>
      <c r="C37" s="93">
        <f>COUNTIFS('reductions data'!G:G,'reasons for reduction division'!B37,'reductions data'!A:A,$C$25)</f>
        <v>0</v>
      </c>
      <c r="D37" s="93">
        <f>COUNTIFS('reductions data'!G:G,'reasons for reduction division'!B37,'reductions data'!A:A,$D$25)</f>
        <v>0</v>
      </c>
      <c r="E37" s="93">
        <f>COUNTIFS('reductions data'!G:G,'reasons for reduction division'!B37,'reductions data'!A:A,$E$25)</f>
        <v>0</v>
      </c>
      <c r="F37" s="93">
        <f>COUNTIFS('reductions data'!G:G,'reasons for reduction division'!B37,'reductions data'!A:A,$F$25)</f>
        <v>0</v>
      </c>
      <c r="G37" s="93">
        <f>COUNTIFS('reductions data'!G:G,'reasons for reduction division'!B37,'reductions data'!A:A,$G$25)</f>
        <v>0</v>
      </c>
      <c r="H37" s="93">
        <f>COUNTIFS('reductions data'!G:G,'reasons for reduction division'!B37,'reductions data'!A:A,$H$25)</f>
        <v>0</v>
      </c>
      <c r="I37" s="93">
        <f>COUNTIFS('reductions data'!G:G,'reasons for reduction division'!B37,'reductions data'!A:A,$I$25)</f>
        <v>0</v>
      </c>
      <c r="J37" s="93">
        <f>COUNTIFS('reductions data'!G:G,'reasons for reduction division'!B37,'reductions data'!A:A,$J$25)</f>
        <v>0</v>
      </c>
      <c r="K37" s="93">
        <f>COUNTIFS('reductions data'!G:G,'reasons for reduction division'!B37,'reductions data'!A:A,$K$25)</f>
        <v>0</v>
      </c>
      <c r="L37" s="93">
        <f>COUNTIFS('reductions data'!G:G,'reasons for reduction division'!B37,'reductions data'!A:A,$L$25)</f>
        <v>0</v>
      </c>
      <c r="M37" s="93">
        <f>COUNTIFS('reductions data'!G:G,'reasons for reduction division'!B37,'reductions data'!A:A,$M$25)</f>
        <v>0</v>
      </c>
      <c r="N37" s="93">
        <f>COUNTIFS('reductions data'!G:G,'reasons for reduction division'!B37,'reductions data'!A:A,$N$25)</f>
        <v>0</v>
      </c>
      <c r="O37" s="93">
        <f>COUNTIFS('reductions data'!$G:$G,'reasons for reduction division'!$B37,'reductions data'!$A:$A,O$25)</f>
        <v>0</v>
      </c>
      <c r="P37" s="93">
        <f>COUNTIFS('reductions data'!$G:$G,'reasons for reduction division'!$B37,'reductions data'!$A:$A,P$25)</f>
        <v>0</v>
      </c>
      <c r="Q37" s="93">
        <f>COUNTIFS('reductions data'!$G:$G,'reasons for reduction division'!$B37,'reductions data'!$A:$A,Q$25)</f>
        <v>0</v>
      </c>
      <c r="R37" s="93">
        <f>COUNTIFS('reductions data'!$G:$G,'reasons for reduction division'!$B37,'reductions data'!$A:$A,R$25)</f>
        <v>0</v>
      </c>
      <c r="S37" s="93">
        <f>COUNTIFS('reductions data'!$G:$G,'reasons for reduction division'!$B37,'reductions data'!$A:$A,S$25)</f>
        <v>0</v>
      </c>
      <c r="T37" s="93">
        <f>COUNTIFS('reductions data'!$G:$G,'reasons for reduction division'!$B37,'reductions data'!$A:$A,T$25)</f>
        <v>0</v>
      </c>
      <c r="U37" s="93">
        <f>COUNTIFS('reductions data'!$G:$G,'reasons for reduction division'!$B37,'reductions data'!$A:$A,U$25)</f>
        <v>0</v>
      </c>
      <c r="V37" s="93">
        <f>COUNTIFS('reductions data'!$G:$G,'reasons for reduction division'!$B37,'reductions data'!$A:$A,V$25)</f>
        <v>0</v>
      </c>
      <c r="W37" s="93">
        <f>COUNTIFS('reductions data'!$G:$G,'reasons for reduction division'!$B37,'reductions data'!$A:$A,W$25)</f>
        <v>0</v>
      </c>
      <c r="X37" s="93">
        <f>COUNTIFS('reductions data'!$G:$G,'reasons for reduction division'!$B37,'reductions data'!$A:$A,X$25)</f>
        <v>0</v>
      </c>
      <c r="Y37" s="138">
        <f>COUNTIF('reductions data'!G:G,'reasons for reduction division'!B37)</f>
        <v>0</v>
      </c>
    </row>
    <row r="38" spans="2:25" x14ac:dyDescent="0.15">
      <c r="B38" s="146" t="s">
        <v>214</v>
      </c>
      <c r="C38" s="93">
        <f>COUNTIFS('reductions data'!G:G,'reasons for reduction division'!B38,'reductions data'!A:A,$C$25)</f>
        <v>0</v>
      </c>
      <c r="D38" s="93">
        <f>COUNTIFS('reductions data'!G:G,'reasons for reduction division'!B38,'reductions data'!A:A,$D$25)</f>
        <v>0</v>
      </c>
      <c r="E38" s="93">
        <f>COUNTIFS('reductions data'!G:G,'reasons for reduction division'!B38,'reductions data'!A:A,$E$25)</f>
        <v>0</v>
      </c>
      <c r="F38" s="93">
        <f>COUNTIFS('reductions data'!G:G,'reasons for reduction division'!B38,'reductions data'!A:A,$F$25)</f>
        <v>0</v>
      </c>
      <c r="G38" s="93">
        <f>COUNTIFS('reductions data'!G:G,'reasons for reduction division'!B38,'reductions data'!A:A,$G$25)</f>
        <v>0</v>
      </c>
      <c r="H38" s="93">
        <f>COUNTIFS('reductions data'!G:G,'reasons for reduction division'!B38,'reductions data'!A:A,$H$25)</f>
        <v>0</v>
      </c>
      <c r="I38" s="93">
        <f>COUNTIFS('reductions data'!G:G,'reasons for reduction division'!B38,'reductions data'!A:A,$I$25)</f>
        <v>0</v>
      </c>
      <c r="J38" s="93">
        <f>COUNTIFS('reductions data'!G:G,'reasons for reduction division'!B38,'reductions data'!A:A,$J$25)</f>
        <v>0</v>
      </c>
      <c r="K38" s="93">
        <f>COUNTIFS('reductions data'!G:G,'reasons for reduction division'!B38,'reductions data'!A:A,$K$25)</f>
        <v>0</v>
      </c>
      <c r="L38" s="93">
        <f>COUNTIFS('reductions data'!G:G,'reasons for reduction division'!B38,'reductions data'!A:A,$L$25)</f>
        <v>0</v>
      </c>
      <c r="M38" s="93">
        <f>COUNTIFS('reductions data'!G:G,'reasons for reduction division'!B38,'reductions data'!A:A,$M$25)</f>
        <v>0</v>
      </c>
      <c r="N38" s="93">
        <f>COUNTIFS('reductions data'!G:G,'reasons for reduction division'!B38,'reductions data'!A:A,$N$25)</f>
        <v>0</v>
      </c>
      <c r="O38" s="93">
        <f>COUNTIFS('reductions data'!$G:$G,'reasons for reduction division'!$B38,'reductions data'!$A:$A,O$25)</f>
        <v>0</v>
      </c>
      <c r="P38" s="93">
        <f>COUNTIFS('reductions data'!$G:$G,'reasons for reduction division'!$B38,'reductions data'!$A:$A,P$25)</f>
        <v>0</v>
      </c>
      <c r="Q38" s="93">
        <f>COUNTIFS('reductions data'!$G:$G,'reasons for reduction division'!$B38,'reductions data'!$A:$A,Q$25)</f>
        <v>0</v>
      </c>
      <c r="R38" s="93">
        <f>COUNTIFS('reductions data'!$G:$G,'reasons for reduction division'!$B38,'reductions data'!$A:$A,R$25)</f>
        <v>0</v>
      </c>
      <c r="S38" s="93">
        <f>COUNTIFS('reductions data'!$G:$G,'reasons for reduction division'!$B38,'reductions data'!$A:$A,S$25)</f>
        <v>0</v>
      </c>
      <c r="T38" s="93">
        <f>COUNTIFS('reductions data'!$G:$G,'reasons for reduction division'!$B38,'reductions data'!$A:$A,T$25)</f>
        <v>0</v>
      </c>
      <c r="U38" s="93">
        <f>COUNTIFS('reductions data'!$G:$G,'reasons for reduction division'!$B38,'reductions data'!$A:$A,U$25)</f>
        <v>0</v>
      </c>
      <c r="V38" s="93">
        <f>COUNTIFS('reductions data'!$G:$G,'reasons for reduction division'!$B38,'reductions data'!$A:$A,V$25)</f>
        <v>0</v>
      </c>
      <c r="W38" s="93">
        <f>COUNTIFS('reductions data'!$G:$G,'reasons for reduction division'!$B38,'reductions data'!$A:$A,W$25)</f>
        <v>0</v>
      </c>
      <c r="X38" s="93">
        <f>COUNTIFS('reductions data'!$G:$G,'reasons for reduction division'!$B38,'reductions data'!$A:$A,X$25)</f>
        <v>0</v>
      </c>
      <c r="Y38" s="138">
        <f>COUNTIF('reductions data'!G:G,'reasons for reduction division'!B38)</f>
        <v>0</v>
      </c>
    </row>
    <row r="39" spans="2:25" x14ac:dyDescent="0.15">
      <c r="B39" s="146" t="s">
        <v>215</v>
      </c>
      <c r="C39" s="93">
        <f>COUNTIFS('reductions data'!G:G,'reasons for reduction division'!B39,'reductions data'!A:A,$C$25)</f>
        <v>0</v>
      </c>
      <c r="D39" s="93">
        <f>COUNTIFS('reductions data'!G:G,'reasons for reduction division'!B39,'reductions data'!A:A,$D$25)</f>
        <v>0</v>
      </c>
      <c r="E39" s="93">
        <f>COUNTIFS('reductions data'!G:G,'reasons for reduction division'!B39,'reductions data'!A:A,$E$25)</f>
        <v>0</v>
      </c>
      <c r="F39" s="93">
        <f>COUNTIFS('reductions data'!G:G,'reasons for reduction division'!B39,'reductions data'!A:A,$F$25)</f>
        <v>0</v>
      </c>
      <c r="G39" s="93">
        <f>COUNTIFS('reductions data'!G:G,'reasons for reduction division'!B39,'reductions data'!A:A,$G$25)</f>
        <v>0</v>
      </c>
      <c r="H39" s="93">
        <f>COUNTIFS('reductions data'!G:G,'reasons for reduction division'!B39,'reductions data'!A:A,$H$25)</f>
        <v>0</v>
      </c>
      <c r="I39" s="93">
        <f>COUNTIFS('reductions data'!G:G,'reasons for reduction division'!B39,'reductions data'!A:A,$I$25)</f>
        <v>0</v>
      </c>
      <c r="J39" s="93">
        <f>COUNTIFS('reductions data'!G:G,'reasons for reduction division'!B39,'reductions data'!A:A,$J$25)</f>
        <v>0</v>
      </c>
      <c r="K39" s="93">
        <f>COUNTIFS('reductions data'!G:G,'reasons for reduction division'!B39,'reductions data'!A:A,$K$25)</f>
        <v>0</v>
      </c>
      <c r="L39" s="93">
        <f>COUNTIFS('reductions data'!G:G,'reasons for reduction division'!B39,'reductions data'!A:A,$L$25)</f>
        <v>0</v>
      </c>
      <c r="M39" s="93">
        <f>COUNTIFS('reductions data'!G:G,'reasons for reduction division'!B39,'reductions data'!A:A,$M$25)</f>
        <v>0</v>
      </c>
      <c r="N39" s="93">
        <f>COUNTIFS('reductions data'!G:G,'reasons for reduction division'!B39,'reductions data'!A:A,$N$25)</f>
        <v>0</v>
      </c>
      <c r="O39" s="93">
        <f>COUNTIFS('reductions data'!$G:$G,'reasons for reduction division'!$B39,'reductions data'!$A:$A,O$25)</f>
        <v>0</v>
      </c>
      <c r="P39" s="93">
        <f>COUNTIFS('reductions data'!$G:$G,'reasons for reduction division'!$B39,'reductions data'!$A:$A,P$25)</f>
        <v>0</v>
      </c>
      <c r="Q39" s="93">
        <f>COUNTIFS('reductions data'!$G:$G,'reasons for reduction division'!$B39,'reductions data'!$A:$A,Q$25)</f>
        <v>0</v>
      </c>
      <c r="R39" s="93">
        <f>COUNTIFS('reductions data'!$G:$G,'reasons for reduction division'!$B39,'reductions data'!$A:$A,R$25)</f>
        <v>0</v>
      </c>
      <c r="S39" s="93">
        <f>COUNTIFS('reductions data'!$G:$G,'reasons for reduction division'!$B39,'reductions data'!$A:$A,S$25)</f>
        <v>0</v>
      </c>
      <c r="T39" s="93">
        <f>COUNTIFS('reductions data'!$G:$G,'reasons for reduction division'!$B39,'reductions data'!$A:$A,T$25)</f>
        <v>0</v>
      </c>
      <c r="U39" s="93">
        <f>COUNTIFS('reductions data'!$G:$G,'reasons for reduction division'!$B39,'reductions data'!$A:$A,U$25)</f>
        <v>0</v>
      </c>
      <c r="V39" s="93">
        <f>COUNTIFS('reductions data'!$G:$G,'reasons for reduction division'!$B39,'reductions data'!$A:$A,V$25)</f>
        <v>0</v>
      </c>
      <c r="W39" s="93">
        <f>COUNTIFS('reductions data'!$G:$G,'reasons for reduction division'!$B39,'reductions data'!$A:$A,W$25)</f>
        <v>0</v>
      </c>
      <c r="X39" s="93">
        <f>COUNTIFS('reductions data'!$G:$G,'reasons for reduction division'!$B39,'reductions data'!$A:$A,X$25)</f>
        <v>0</v>
      </c>
      <c r="Y39" s="138">
        <f>COUNTIF('reductions data'!G:G,'reasons for reduction division'!B39)</f>
        <v>0</v>
      </c>
    </row>
    <row r="40" spans="2:25" x14ac:dyDescent="0.15">
      <c r="B40" s="146" t="s">
        <v>244</v>
      </c>
      <c r="C40" s="93">
        <f>COUNTIFS('reductions data'!G:G,'reasons for reduction division'!B40,'reductions data'!A:A,$C$25)</f>
        <v>0</v>
      </c>
      <c r="D40" s="93">
        <f>COUNTIFS('reductions data'!G:G,'reasons for reduction division'!B40,'reductions data'!A:A,$D$25)</f>
        <v>0</v>
      </c>
      <c r="E40" s="93">
        <f>COUNTIFS('reductions data'!G:G,'reasons for reduction division'!B40,'reductions data'!A:A,$E$25)</f>
        <v>0</v>
      </c>
      <c r="F40" s="93">
        <f>COUNTIFS('reductions data'!G:G,'reasons for reduction division'!B40,'reductions data'!A:A,$F$25)</f>
        <v>0</v>
      </c>
      <c r="G40" s="93">
        <f>COUNTIFS('reductions data'!G:G,'reasons for reduction division'!B40,'reductions data'!A:A,$G$25)</f>
        <v>0</v>
      </c>
      <c r="H40" s="93">
        <f>COUNTIFS('reductions data'!G:G,'reasons for reduction division'!B40,'reductions data'!A:A,$H$25)</f>
        <v>0</v>
      </c>
      <c r="I40" s="93">
        <f>COUNTIFS('reductions data'!G:G,'reasons for reduction division'!B40,'reductions data'!A:A,$I$25)</f>
        <v>0</v>
      </c>
      <c r="J40" s="93">
        <f>COUNTIFS('reductions data'!G:G,'reasons for reduction division'!B40,'reductions data'!A:A,$J$25)</f>
        <v>0</v>
      </c>
      <c r="K40" s="93">
        <f>COUNTIFS('reductions data'!G:G,'reasons for reduction division'!B40,'reductions data'!A:A,$K$25)</f>
        <v>0</v>
      </c>
      <c r="L40" s="93">
        <f>COUNTIFS('reductions data'!G:G,'reasons for reduction division'!B40,'reductions data'!A:A,$L$25)</f>
        <v>0</v>
      </c>
      <c r="M40" s="93">
        <f>COUNTIFS('reductions data'!G:G,'reasons for reduction division'!B40,'reductions data'!A:A,$M$25)</f>
        <v>0</v>
      </c>
      <c r="N40" s="93">
        <f>COUNTIFS('reductions data'!G:G,'reasons for reduction division'!B40,'reductions data'!A:A,$N$25)</f>
        <v>0</v>
      </c>
      <c r="O40" s="93">
        <f>COUNTIFS('reductions data'!$G:$G,'reasons for reduction division'!$B40,'reductions data'!$A:$A,O$25)</f>
        <v>0</v>
      </c>
      <c r="P40" s="93">
        <f>COUNTIFS('reductions data'!$G:$G,'reasons for reduction division'!$B40,'reductions data'!$A:$A,P$25)</f>
        <v>0</v>
      </c>
      <c r="Q40" s="93">
        <f>COUNTIFS('reductions data'!$G:$G,'reasons for reduction division'!$B40,'reductions data'!$A:$A,Q$25)</f>
        <v>0</v>
      </c>
      <c r="R40" s="93">
        <f>COUNTIFS('reductions data'!$G:$G,'reasons for reduction division'!$B40,'reductions data'!$A:$A,R$25)</f>
        <v>0</v>
      </c>
      <c r="S40" s="93">
        <f>COUNTIFS('reductions data'!$G:$G,'reasons for reduction division'!$B40,'reductions data'!$A:$A,S$25)</f>
        <v>0</v>
      </c>
      <c r="T40" s="93">
        <f>COUNTIFS('reductions data'!$G:$G,'reasons for reduction division'!$B40,'reductions data'!$A:$A,T$25)</f>
        <v>0</v>
      </c>
      <c r="U40" s="93">
        <f>COUNTIFS('reductions data'!$G:$G,'reasons for reduction division'!$B40,'reductions data'!$A:$A,U$25)</f>
        <v>0</v>
      </c>
      <c r="V40" s="93">
        <f>COUNTIFS('reductions data'!$G:$G,'reasons for reduction division'!$B40,'reductions data'!$A:$A,V$25)</f>
        <v>0</v>
      </c>
      <c r="W40" s="93">
        <f>COUNTIFS('reductions data'!$G:$G,'reasons for reduction division'!$B40,'reductions data'!$A:$A,W$25)</f>
        <v>0</v>
      </c>
      <c r="X40" s="93">
        <f>COUNTIFS('reductions data'!$G:$G,'reasons for reduction division'!$B40,'reductions data'!$A:$A,X$25)</f>
        <v>0</v>
      </c>
      <c r="Y40" s="138">
        <f>COUNTIF('reductions data'!G:G,'reasons for reduction division'!B40)</f>
        <v>0</v>
      </c>
    </row>
    <row r="41" spans="2:25" x14ac:dyDescent="0.15">
      <c r="B41" s="146" t="s">
        <v>311</v>
      </c>
      <c r="C41" s="93">
        <f>COUNTIFS('reductions data'!G:G,'reasons for reduction division'!B41,'reductions data'!A:A,$C$25)</f>
        <v>0</v>
      </c>
      <c r="D41" s="93">
        <f>COUNTIFS('reductions data'!G:G,'reasons for reduction division'!B41,'reductions data'!A:A,$D$25)</f>
        <v>0</v>
      </c>
      <c r="E41" s="93">
        <f>COUNTIFS('reductions data'!G:G,'reasons for reduction division'!B41,'reductions data'!A:A,$E$25)</f>
        <v>0</v>
      </c>
      <c r="F41" s="93">
        <f>COUNTIFS('reductions data'!G:G,'reasons for reduction division'!B41,'reductions data'!A:A,$F$25)</f>
        <v>0</v>
      </c>
      <c r="G41" s="93">
        <f>COUNTIFS('reductions data'!G:G,'reasons for reduction division'!B41,'reductions data'!A:A,$G$25)</f>
        <v>0</v>
      </c>
      <c r="H41" s="93">
        <f>COUNTIFS('reductions data'!G:G,'reasons for reduction division'!B41,'reductions data'!A:A,$H$25)</f>
        <v>0</v>
      </c>
      <c r="I41" s="93">
        <f>COUNTIFS('reductions data'!G:G,'reasons for reduction division'!B41,'reductions data'!A:A,$I$25)</f>
        <v>0</v>
      </c>
      <c r="J41" s="93">
        <f>COUNTIFS('reductions data'!G:G,'reasons for reduction division'!B41,'reductions data'!A:A,$J$25)</f>
        <v>0</v>
      </c>
      <c r="K41" s="93">
        <f>COUNTIFS('reductions data'!G:G,'reasons for reduction division'!B41,'reductions data'!A:A,$K$25)</f>
        <v>0</v>
      </c>
      <c r="L41" s="93">
        <f>COUNTIFS('reductions data'!G:G,'reasons for reduction division'!B41,'reductions data'!A:A,$L$25)</f>
        <v>0</v>
      </c>
      <c r="M41" s="93">
        <f>COUNTIFS('reductions data'!G:G,'reasons for reduction division'!B41,'reductions data'!A:A,$M$25)</f>
        <v>0</v>
      </c>
      <c r="N41" s="93">
        <f>COUNTIFS('reductions data'!G:G,'reasons for reduction division'!B41,'reductions data'!A:A,$N$25)</f>
        <v>0</v>
      </c>
      <c r="O41" s="93">
        <f>COUNTIFS('reductions data'!$G:$G,'reasons for reduction division'!$B41,'reductions data'!$A:$A,O$25)</f>
        <v>0</v>
      </c>
      <c r="P41" s="93">
        <f>COUNTIFS('reductions data'!$G:$G,'reasons for reduction division'!$B41,'reductions data'!$A:$A,P$25)</f>
        <v>0</v>
      </c>
      <c r="Q41" s="93">
        <f>COUNTIFS('reductions data'!$G:$G,'reasons for reduction division'!$B41,'reductions data'!$A:$A,Q$25)</f>
        <v>0</v>
      </c>
      <c r="R41" s="93">
        <f>COUNTIFS('reductions data'!$G:$G,'reasons for reduction division'!$B41,'reductions data'!$A:$A,R$25)</f>
        <v>0</v>
      </c>
      <c r="S41" s="93">
        <f>COUNTIFS('reductions data'!$G:$G,'reasons for reduction division'!$B41,'reductions data'!$A:$A,S$25)</f>
        <v>0</v>
      </c>
      <c r="T41" s="93">
        <f>COUNTIFS('reductions data'!$G:$G,'reasons for reduction division'!$B41,'reductions data'!$A:$A,T$25)</f>
        <v>0</v>
      </c>
      <c r="U41" s="93">
        <f>COUNTIFS('reductions data'!$G:$G,'reasons for reduction division'!$B41,'reductions data'!$A:$A,U$25)</f>
        <v>0</v>
      </c>
      <c r="V41" s="93">
        <f>COUNTIFS('reductions data'!$G:$G,'reasons for reduction division'!$B41,'reductions data'!$A:$A,V$25)</f>
        <v>0</v>
      </c>
      <c r="W41" s="93">
        <f>COUNTIFS('reductions data'!$G:$G,'reasons for reduction division'!$B41,'reductions data'!$A:$A,W$25)</f>
        <v>0</v>
      </c>
      <c r="X41" s="93">
        <f>COUNTIFS('reductions data'!$G:$G,'reasons for reduction division'!$B41,'reductions data'!$A:$A,X$25)</f>
        <v>0</v>
      </c>
      <c r="Y41" s="138">
        <f>COUNTIF('reductions data'!G:G,'reasons for reduction division'!B41)</f>
        <v>0</v>
      </c>
    </row>
    <row r="42" spans="2:25" x14ac:dyDescent="0.15">
      <c r="B42" s="146" t="s">
        <v>246</v>
      </c>
      <c r="C42" s="93">
        <f>COUNTIFS('reductions data'!G:G,'reasons for reduction division'!B42,'reductions data'!A:A,$C$25)</f>
        <v>0</v>
      </c>
      <c r="D42" s="93">
        <f>COUNTIFS('reductions data'!G:G,'reasons for reduction division'!B42,'reductions data'!A:A,$D$25)</f>
        <v>0</v>
      </c>
      <c r="E42" s="93">
        <f>COUNTIFS('reductions data'!G:G,'reasons for reduction division'!B42,'reductions data'!A:A,$E$25)</f>
        <v>0</v>
      </c>
      <c r="F42" s="93">
        <f>COUNTIFS('reductions data'!G:G,'reasons for reduction division'!B42,'reductions data'!A:A,$F$25)</f>
        <v>0</v>
      </c>
      <c r="G42" s="93">
        <f>COUNTIFS('reductions data'!G:G,'reasons for reduction division'!B42,'reductions data'!A:A,$G$25)</f>
        <v>0</v>
      </c>
      <c r="H42" s="93">
        <f>COUNTIFS('reductions data'!G:G,'reasons for reduction division'!B42,'reductions data'!A:A,$H$25)</f>
        <v>0</v>
      </c>
      <c r="I42" s="93">
        <f>COUNTIFS('reductions data'!G:G,'reasons for reduction division'!B42,'reductions data'!A:A,$I$25)</f>
        <v>0</v>
      </c>
      <c r="J42" s="93">
        <f>COUNTIFS('reductions data'!G:G,'reasons for reduction division'!B42,'reductions data'!A:A,$J$25)</f>
        <v>0</v>
      </c>
      <c r="K42" s="93">
        <f>COUNTIFS('reductions data'!G:G,'reasons for reduction division'!B42,'reductions data'!A:A,$K$25)</f>
        <v>0</v>
      </c>
      <c r="L42" s="93">
        <f>COUNTIFS('reductions data'!G:G,'reasons for reduction division'!B42,'reductions data'!A:A,$L$25)</f>
        <v>0</v>
      </c>
      <c r="M42" s="93">
        <f>COUNTIFS('reductions data'!G:G,'reasons for reduction division'!B42,'reductions data'!A:A,$M$25)</f>
        <v>0</v>
      </c>
      <c r="N42" s="93">
        <f>COUNTIFS('reductions data'!G:G,'reasons for reduction division'!B42,'reductions data'!A:A,$N$25)</f>
        <v>0</v>
      </c>
      <c r="O42" s="93">
        <f>COUNTIFS('reductions data'!$G:$G,'reasons for reduction division'!$B42,'reductions data'!$A:$A,O$25)</f>
        <v>0</v>
      </c>
      <c r="P42" s="93">
        <f>COUNTIFS('reductions data'!$G:$G,'reasons for reduction division'!$B42,'reductions data'!$A:$A,P$25)</f>
        <v>0</v>
      </c>
      <c r="Q42" s="93">
        <f>COUNTIFS('reductions data'!$G:$G,'reasons for reduction division'!$B42,'reductions data'!$A:$A,Q$25)</f>
        <v>0</v>
      </c>
      <c r="R42" s="93">
        <f>COUNTIFS('reductions data'!$G:$G,'reasons for reduction division'!$B42,'reductions data'!$A:$A,R$25)</f>
        <v>0</v>
      </c>
      <c r="S42" s="93">
        <f>COUNTIFS('reductions data'!$G:$G,'reasons for reduction division'!$B42,'reductions data'!$A:$A,S$25)</f>
        <v>0</v>
      </c>
      <c r="T42" s="93">
        <f>COUNTIFS('reductions data'!$G:$G,'reasons for reduction division'!$B42,'reductions data'!$A:$A,T$25)</f>
        <v>0</v>
      </c>
      <c r="U42" s="93">
        <f>COUNTIFS('reductions data'!$G:$G,'reasons for reduction division'!$B42,'reductions data'!$A:$A,U$25)</f>
        <v>0</v>
      </c>
      <c r="V42" s="93">
        <f>COUNTIFS('reductions data'!$G:$G,'reasons for reduction division'!$B42,'reductions data'!$A:$A,V$25)</f>
        <v>0</v>
      </c>
      <c r="W42" s="93">
        <f>COUNTIFS('reductions data'!$G:$G,'reasons for reduction division'!$B42,'reductions data'!$A:$A,W$25)</f>
        <v>0</v>
      </c>
      <c r="X42" s="93">
        <f>COUNTIFS('reductions data'!$G:$G,'reasons for reduction division'!$B42,'reductions data'!$A:$A,X$25)</f>
        <v>0</v>
      </c>
      <c r="Y42" s="138">
        <f>COUNTIF('reductions data'!G:G,'reasons for reduction division'!B42)</f>
        <v>0</v>
      </c>
    </row>
    <row r="43" spans="2:25" x14ac:dyDescent="0.15">
      <c r="B43" s="146" t="s">
        <v>247</v>
      </c>
      <c r="C43" s="93">
        <f>COUNTIFS('reductions data'!G:G,'reasons for reduction division'!B43,'reductions data'!A:A,$C$25)</f>
        <v>0</v>
      </c>
      <c r="D43" s="93">
        <f>COUNTIFS('reductions data'!G:G,'reasons for reduction division'!B43,'reductions data'!A:A,$D$25)</f>
        <v>0</v>
      </c>
      <c r="E43" s="93">
        <f>COUNTIFS('reductions data'!G:G,'reasons for reduction division'!B43,'reductions data'!A:A,$E$25)</f>
        <v>0</v>
      </c>
      <c r="F43" s="93">
        <f>COUNTIFS('reductions data'!G:G,'reasons for reduction division'!B43,'reductions data'!A:A,$F$25)</f>
        <v>0</v>
      </c>
      <c r="G43" s="93">
        <f>COUNTIFS('reductions data'!G:G,'reasons for reduction division'!B43,'reductions data'!A:A,$G$25)</f>
        <v>0</v>
      </c>
      <c r="H43" s="93">
        <f>COUNTIFS('reductions data'!G:G,'reasons for reduction division'!B43,'reductions data'!A:A,$H$25)</f>
        <v>0</v>
      </c>
      <c r="I43" s="93">
        <f>COUNTIFS('reductions data'!G:G,'reasons for reduction division'!B43,'reductions data'!A:A,$I$25)</f>
        <v>0</v>
      </c>
      <c r="J43" s="93">
        <f>COUNTIFS('reductions data'!G:G,'reasons for reduction division'!B43,'reductions data'!A:A,$J$25)</f>
        <v>0</v>
      </c>
      <c r="K43" s="93">
        <f>COUNTIFS('reductions data'!G:G,'reasons for reduction division'!B43,'reductions data'!A:A,$K$25)</f>
        <v>0</v>
      </c>
      <c r="L43" s="93">
        <f>COUNTIFS('reductions data'!G:G,'reasons for reduction division'!B43,'reductions data'!A:A,$L$25)</f>
        <v>0</v>
      </c>
      <c r="M43" s="93">
        <f>COUNTIFS('reductions data'!G:G,'reasons for reduction division'!B43,'reductions data'!A:A,$M$25)</f>
        <v>0</v>
      </c>
      <c r="N43" s="93">
        <f>COUNTIFS('reductions data'!G:G,'reasons for reduction division'!B43,'reductions data'!A:A,$N$25)</f>
        <v>0</v>
      </c>
      <c r="O43" s="93">
        <f>COUNTIFS('reductions data'!$G:$G,'reasons for reduction division'!$B43,'reductions data'!$A:$A,O$25)</f>
        <v>0</v>
      </c>
      <c r="P43" s="93">
        <f>COUNTIFS('reductions data'!$G:$G,'reasons for reduction division'!$B43,'reductions data'!$A:$A,P$25)</f>
        <v>0</v>
      </c>
      <c r="Q43" s="93">
        <f>COUNTIFS('reductions data'!$G:$G,'reasons for reduction division'!$B43,'reductions data'!$A:$A,Q$25)</f>
        <v>0</v>
      </c>
      <c r="R43" s="93">
        <f>COUNTIFS('reductions data'!$G:$G,'reasons for reduction division'!$B43,'reductions data'!$A:$A,R$25)</f>
        <v>0</v>
      </c>
      <c r="S43" s="93">
        <f>COUNTIFS('reductions data'!$G:$G,'reasons for reduction division'!$B43,'reductions data'!$A:$A,S$25)</f>
        <v>0</v>
      </c>
      <c r="T43" s="93">
        <f>COUNTIFS('reductions data'!$G:$G,'reasons for reduction division'!$B43,'reductions data'!$A:$A,T$25)</f>
        <v>0</v>
      </c>
      <c r="U43" s="93">
        <f>COUNTIFS('reductions data'!$G:$G,'reasons for reduction division'!$B43,'reductions data'!$A:$A,U$25)</f>
        <v>0</v>
      </c>
      <c r="V43" s="93">
        <f>COUNTIFS('reductions data'!$G:$G,'reasons for reduction division'!$B43,'reductions data'!$A:$A,V$25)</f>
        <v>0</v>
      </c>
      <c r="W43" s="93">
        <f>COUNTIFS('reductions data'!$G:$G,'reasons for reduction division'!$B43,'reductions data'!$A:$A,W$25)</f>
        <v>0</v>
      </c>
      <c r="X43" s="93">
        <f>COUNTIFS('reductions data'!$G:$G,'reasons for reduction division'!$B43,'reductions data'!$A:$A,X$25)</f>
        <v>0</v>
      </c>
      <c r="Y43" s="138">
        <f>COUNTIF('reductions data'!G:G,'reasons for reduction division'!B43)</f>
        <v>0</v>
      </c>
    </row>
    <row r="44" spans="2:25" x14ac:dyDescent="0.15">
      <c r="B44" s="146" t="s">
        <v>228</v>
      </c>
      <c r="C44" s="93">
        <f>COUNTIFS('reductions data'!G:G,'reasons for reduction division'!B44,'reductions data'!A:A,$C$25)</f>
        <v>0</v>
      </c>
      <c r="D44" s="93">
        <f>COUNTIFS('reductions data'!G:G,'reasons for reduction division'!B44,'reductions data'!A:A,$D$25)</f>
        <v>0</v>
      </c>
      <c r="E44" s="93">
        <f>COUNTIFS('reductions data'!G:G,'reasons for reduction division'!B44,'reductions data'!A:A,$E$25)</f>
        <v>0</v>
      </c>
      <c r="F44" s="93">
        <f>COUNTIFS('reductions data'!G:G,'reasons for reduction division'!B44,'reductions data'!A:A,$F$25)</f>
        <v>0</v>
      </c>
      <c r="G44" s="93">
        <f>COUNTIFS('reductions data'!G:G,'reasons for reduction division'!B44,'reductions data'!A:A,$G$25)</f>
        <v>0</v>
      </c>
      <c r="H44" s="93">
        <f>COUNTIFS('reductions data'!G:G,'reasons for reduction division'!B44,'reductions data'!A:A,$H$25)</f>
        <v>0</v>
      </c>
      <c r="I44" s="93">
        <f>COUNTIFS('reductions data'!G:G,'reasons for reduction division'!B44,'reductions data'!A:A,$I$25)</f>
        <v>0</v>
      </c>
      <c r="J44" s="93">
        <f>COUNTIFS('reductions data'!G:G,'reasons for reduction division'!B44,'reductions data'!A:A,$J$25)</f>
        <v>0</v>
      </c>
      <c r="K44" s="93">
        <f>COUNTIFS('reductions data'!G:G,'reasons for reduction division'!B44,'reductions data'!A:A,$K$25)</f>
        <v>0</v>
      </c>
      <c r="L44" s="93">
        <f>COUNTIFS('reductions data'!G:G,'reasons for reduction division'!B44,'reductions data'!A:A,$L$25)</f>
        <v>0</v>
      </c>
      <c r="M44" s="93">
        <f>COUNTIFS('reductions data'!G:G,'reasons for reduction division'!B44,'reductions data'!A:A,$M$25)</f>
        <v>0</v>
      </c>
      <c r="N44" s="93">
        <f>COUNTIFS('reductions data'!G:G,'reasons for reduction division'!B44,'reductions data'!A:A,$N$25)</f>
        <v>0</v>
      </c>
      <c r="O44" s="93">
        <f>COUNTIFS('reductions data'!$G:$G,'reasons for reduction division'!$B44,'reductions data'!$A:$A,O$25)</f>
        <v>0</v>
      </c>
      <c r="P44" s="93">
        <f>COUNTIFS('reductions data'!$G:$G,'reasons for reduction division'!$B44,'reductions data'!$A:$A,P$25)</f>
        <v>0</v>
      </c>
      <c r="Q44" s="93">
        <f>COUNTIFS('reductions data'!$G:$G,'reasons for reduction division'!$B44,'reductions data'!$A:$A,Q$25)</f>
        <v>0</v>
      </c>
      <c r="R44" s="93">
        <f>COUNTIFS('reductions data'!$G:$G,'reasons for reduction division'!$B44,'reductions data'!$A:$A,R$25)</f>
        <v>0</v>
      </c>
      <c r="S44" s="93">
        <f>COUNTIFS('reductions data'!$G:$G,'reasons for reduction division'!$B44,'reductions data'!$A:$A,S$25)</f>
        <v>0</v>
      </c>
      <c r="T44" s="93">
        <f>COUNTIFS('reductions data'!$G:$G,'reasons for reduction division'!$B44,'reductions data'!$A:$A,T$25)</f>
        <v>0</v>
      </c>
      <c r="U44" s="93">
        <f>COUNTIFS('reductions data'!$G:$G,'reasons for reduction division'!$B44,'reductions data'!$A:$A,U$25)</f>
        <v>0</v>
      </c>
      <c r="V44" s="93">
        <f>COUNTIFS('reductions data'!$G:$G,'reasons for reduction division'!$B44,'reductions data'!$A:$A,V$25)</f>
        <v>0</v>
      </c>
      <c r="W44" s="93">
        <f>COUNTIFS('reductions data'!$G:$G,'reasons for reduction division'!$B44,'reductions data'!$A:$A,W$25)</f>
        <v>0</v>
      </c>
      <c r="X44" s="93">
        <f>COUNTIFS('reductions data'!$G:$G,'reasons for reduction division'!$B44,'reductions data'!$A:$A,X$25)</f>
        <v>0</v>
      </c>
      <c r="Y44" s="138">
        <f>COUNTIF('reductions data'!G:G,'reasons for reduction division'!B44)</f>
        <v>0</v>
      </c>
    </row>
    <row r="45" spans="2:25" x14ac:dyDescent="0.15">
      <c r="B45" s="146" t="s">
        <v>248</v>
      </c>
      <c r="C45" s="93">
        <f>COUNTIFS('reductions data'!G:G,'reasons for reduction division'!B45,'reductions data'!A:A,$C$25)</f>
        <v>0</v>
      </c>
      <c r="D45" s="93">
        <f>COUNTIFS('reductions data'!G:G,'reasons for reduction division'!B45,'reductions data'!A:A,$D$25)</f>
        <v>0</v>
      </c>
      <c r="E45" s="93">
        <f>COUNTIFS('reductions data'!G:G,'reasons for reduction division'!B45,'reductions data'!A:A,$E$25)</f>
        <v>0</v>
      </c>
      <c r="F45" s="93">
        <f>COUNTIFS('reductions data'!G:G,'reasons for reduction division'!B45,'reductions data'!A:A,$F$25)</f>
        <v>0</v>
      </c>
      <c r="G45" s="93">
        <f>COUNTIFS('reductions data'!G:G,'reasons for reduction division'!B45,'reductions data'!A:A,$G$25)</f>
        <v>0</v>
      </c>
      <c r="H45" s="93">
        <f>COUNTIFS('reductions data'!G:G,'reasons for reduction division'!B45,'reductions data'!A:A,$H$25)</f>
        <v>0</v>
      </c>
      <c r="I45" s="93">
        <f>COUNTIFS('reductions data'!G:G,'reasons for reduction division'!B45,'reductions data'!A:A,$I$25)</f>
        <v>0</v>
      </c>
      <c r="J45" s="93">
        <f>COUNTIFS('reductions data'!G:G,'reasons for reduction division'!B45,'reductions data'!A:A,$J$25)</f>
        <v>0</v>
      </c>
      <c r="K45" s="93">
        <f>COUNTIFS('reductions data'!G:G,'reasons for reduction division'!B45,'reductions data'!A:A,$K$25)</f>
        <v>0</v>
      </c>
      <c r="L45" s="93">
        <f>COUNTIFS('reductions data'!G:G,'reasons for reduction division'!B45,'reductions data'!A:A,$L$25)</f>
        <v>0</v>
      </c>
      <c r="M45" s="93">
        <f>COUNTIFS('reductions data'!G:G,'reasons for reduction division'!B45,'reductions data'!A:A,$M$25)</f>
        <v>0</v>
      </c>
      <c r="N45" s="93">
        <f>COUNTIFS('reductions data'!G:G,'reasons for reduction division'!B45,'reductions data'!A:A,$N$25)</f>
        <v>0</v>
      </c>
      <c r="O45" s="93">
        <f>COUNTIFS('reductions data'!$G:$G,'reasons for reduction division'!$B45,'reductions data'!$A:$A,O$25)</f>
        <v>0</v>
      </c>
      <c r="P45" s="93">
        <f>COUNTIFS('reductions data'!$G:$G,'reasons for reduction division'!$B45,'reductions data'!$A:$A,P$25)</f>
        <v>0</v>
      </c>
      <c r="Q45" s="93">
        <f>COUNTIFS('reductions data'!$G:$G,'reasons for reduction division'!$B45,'reductions data'!$A:$A,Q$25)</f>
        <v>0</v>
      </c>
      <c r="R45" s="93">
        <f>COUNTIFS('reductions data'!$G:$G,'reasons for reduction division'!$B45,'reductions data'!$A:$A,R$25)</f>
        <v>0</v>
      </c>
      <c r="S45" s="93">
        <f>COUNTIFS('reductions data'!$G:$G,'reasons for reduction division'!$B45,'reductions data'!$A:$A,S$25)</f>
        <v>0</v>
      </c>
      <c r="T45" s="93">
        <f>COUNTIFS('reductions data'!$G:$G,'reasons for reduction division'!$B45,'reductions data'!$A:$A,T$25)</f>
        <v>0</v>
      </c>
      <c r="U45" s="93">
        <f>COUNTIFS('reductions data'!$G:$G,'reasons for reduction division'!$B45,'reductions data'!$A:$A,U$25)</f>
        <v>0</v>
      </c>
      <c r="V45" s="93">
        <f>COUNTIFS('reductions data'!$G:$G,'reasons for reduction division'!$B45,'reductions data'!$A:$A,V$25)</f>
        <v>0</v>
      </c>
      <c r="W45" s="93">
        <f>COUNTIFS('reductions data'!$G:$G,'reasons for reduction division'!$B45,'reductions data'!$A:$A,W$25)</f>
        <v>0</v>
      </c>
      <c r="X45" s="93">
        <f>COUNTIFS('reductions data'!$G:$G,'reasons for reduction division'!$B45,'reductions data'!$A:$A,X$25)</f>
        <v>0</v>
      </c>
      <c r="Y45" s="138">
        <f>COUNTIF('reductions data'!G:G,'reasons for reduction division'!B45)</f>
        <v>0</v>
      </c>
    </row>
    <row r="46" spans="2:25" x14ac:dyDescent="0.15">
      <c r="B46" s="146" t="s">
        <v>217</v>
      </c>
      <c r="C46" s="93">
        <f>COUNTIFS('reductions data'!G:G,'reasons for reduction division'!B46,'reductions data'!A:A,$C$25)</f>
        <v>0</v>
      </c>
      <c r="D46" s="93">
        <f>COUNTIFS('reductions data'!G:G,'reasons for reduction division'!B46,'reductions data'!A:A,$D$25)</f>
        <v>0</v>
      </c>
      <c r="E46" s="93">
        <f>COUNTIFS('reductions data'!G:G,'reasons for reduction division'!B46,'reductions data'!A:A,$E$25)</f>
        <v>0</v>
      </c>
      <c r="F46" s="93">
        <f>COUNTIFS('reductions data'!G:G,'reasons for reduction division'!B46,'reductions data'!A:A,$F$25)</f>
        <v>0</v>
      </c>
      <c r="G46" s="93">
        <f>COUNTIFS('reductions data'!G:G,'reasons for reduction division'!B46,'reductions data'!A:A,$G$25)</f>
        <v>0</v>
      </c>
      <c r="H46" s="93">
        <f>COUNTIFS('reductions data'!G:G,'reasons for reduction division'!B46,'reductions data'!A:A,$H$25)</f>
        <v>0</v>
      </c>
      <c r="I46" s="93">
        <f>COUNTIFS('reductions data'!G:G,'reasons for reduction division'!B46,'reductions data'!A:A,$I$25)</f>
        <v>0</v>
      </c>
      <c r="J46" s="93">
        <f>COUNTIFS('reductions data'!G:G,'reasons for reduction division'!B46,'reductions data'!A:A,$J$25)</f>
        <v>0</v>
      </c>
      <c r="K46" s="93">
        <f>COUNTIFS('reductions data'!G:G,'reasons for reduction division'!B46,'reductions data'!A:A,$K$25)</f>
        <v>0</v>
      </c>
      <c r="L46" s="93">
        <f>COUNTIFS('reductions data'!G:G,'reasons for reduction division'!B46,'reductions data'!A:A,$L$25)</f>
        <v>0</v>
      </c>
      <c r="M46" s="93">
        <f>COUNTIFS('reductions data'!G:G,'reasons for reduction division'!B46,'reductions data'!A:A,$M$25)</f>
        <v>0</v>
      </c>
      <c r="N46" s="93">
        <f>COUNTIFS('reductions data'!G:G,'reasons for reduction division'!B46,'reductions data'!A:A,$N$25)</f>
        <v>0</v>
      </c>
      <c r="O46" s="93">
        <f>COUNTIFS('reductions data'!$G:$G,'reasons for reduction division'!$B46,'reductions data'!$A:$A,O$25)</f>
        <v>0</v>
      </c>
      <c r="P46" s="93">
        <f>COUNTIFS('reductions data'!$G:$G,'reasons for reduction division'!$B46,'reductions data'!$A:$A,P$25)</f>
        <v>0</v>
      </c>
      <c r="Q46" s="93">
        <f>COUNTIFS('reductions data'!$G:$G,'reasons for reduction division'!$B46,'reductions data'!$A:$A,Q$25)</f>
        <v>0</v>
      </c>
      <c r="R46" s="93">
        <f>COUNTIFS('reductions data'!$G:$G,'reasons for reduction division'!$B46,'reductions data'!$A:$A,R$25)</f>
        <v>0</v>
      </c>
      <c r="S46" s="93">
        <f>COUNTIFS('reductions data'!$G:$G,'reasons for reduction division'!$B46,'reductions data'!$A:$A,S$25)</f>
        <v>0</v>
      </c>
      <c r="T46" s="93">
        <f>COUNTIFS('reductions data'!$G:$G,'reasons for reduction division'!$B46,'reductions data'!$A:$A,T$25)</f>
        <v>0</v>
      </c>
      <c r="U46" s="93">
        <f>COUNTIFS('reductions data'!$G:$G,'reasons for reduction division'!$B46,'reductions data'!$A:$A,U$25)</f>
        <v>0</v>
      </c>
      <c r="V46" s="93">
        <f>COUNTIFS('reductions data'!$G:$G,'reasons for reduction division'!$B46,'reductions data'!$A:$A,V$25)</f>
        <v>0</v>
      </c>
      <c r="W46" s="93">
        <f>COUNTIFS('reductions data'!$G:$G,'reasons for reduction division'!$B46,'reductions data'!$A:$A,W$25)</f>
        <v>0</v>
      </c>
      <c r="X46" s="93">
        <f>COUNTIFS('reductions data'!$G:$G,'reasons for reduction division'!$B46,'reductions data'!$A:$A,X$25)</f>
        <v>0</v>
      </c>
      <c r="Y46" s="138">
        <f>COUNTIF('reductions data'!G:G,'reasons for reduction division'!B46)</f>
        <v>0</v>
      </c>
    </row>
    <row r="47" spans="2:25" x14ac:dyDescent="0.15">
      <c r="B47" s="146" t="s">
        <v>249</v>
      </c>
      <c r="C47" s="93">
        <f>COUNTIFS('reductions data'!G:G,'reasons for reduction division'!B47,'reductions data'!A:A,$C$25)</f>
        <v>0</v>
      </c>
      <c r="D47" s="93">
        <f>COUNTIFS('reductions data'!G:G,'reasons for reduction division'!B47,'reductions data'!A:A,$D$25)</f>
        <v>0</v>
      </c>
      <c r="E47" s="93">
        <f>COUNTIFS('reductions data'!G:G,'reasons for reduction division'!B47,'reductions data'!A:A,$E$25)</f>
        <v>0</v>
      </c>
      <c r="F47" s="93">
        <f>COUNTIFS('reductions data'!G:G,'reasons for reduction division'!B47,'reductions data'!A:A,$F$25)</f>
        <v>0</v>
      </c>
      <c r="G47" s="93">
        <f>COUNTIFS('reductions data'!G:G,'reasons for reduction division'!B47,'reductions data'!A:A,$G$25)</f>
        <v>0</v>
      </c>
      <c r="H47" s="93">
        <f>COUNTIFS('reductions data'!G:G,'reasons for reduction division'!B47,'reductions data'!A:A,$H$25)</f>
        <v>0</v>
      </c>
      <c r="I47" s="93">
        <f>COUNTIFS('reductions data'!G:G,'reasons for reduction division'!B47,'reductions data'!A:A,$I$25)</f>
        <v>0</v>
      </c>
      <c r="J47" s="93">
        <f>COUNTIFS('reductions data'!G:G,'reasons for reduction division'!B47,'reductions data'!A:A,$J$25)</f>
        <v>0</v>
      </c>
      <c r="K47" s="93">
        <f>COUNTIFS('reductions data'!G:G,'reasons for reduction division'!B47,'reductions data'!A:A,$K$25)</f>
        <v>0</v>
      </c>
      <c r="L47" s="93">
        <f>COUNTIFS('reductions data'!G:G,'reasons for reduction division'!B47,'reductions data'!A:A,$L$25)</f>
        <v>0</v>
      </c>
      <c r="M47" s="93">
        <f>COUNTIFS('reductions data'!G:G,'reasons for reduction division'!B47,'reductions data'!A:A,$M$25)</f>
        <v>0</v>
      </c>
      <c r="N47" s="93">
        <f>COUNTIFS('reductions data'!G:G,'reasons for reduction division'!B47,'reductions data'!A:A,$N$25)</f>
        <v>0</v>
      </c>
      <c r="O47" s="93">
        <f>COUNTIFS('reductions data'!$G:$G,'reasons for reduction division'!$B47,'reductions data'!$A:$A,O$25)</f>
        <v>0</v>
      </c>
      <c r="P47" s="93">
        <f>COUNTIFS('reductions data'!$G:$G,'reasons for reduction division'!$B47,'reductions data'!$A:$A,P$25)</f>
        <v>0</v>
      </c>
      <c r="Q47" s="93">
        <f>COUNTIFS('reductions data'!$G:$G,'reasons for reduction division'!$B47,'reductions data'!$A:$A,Q$25)</f>
        <v>0</v>
      </c>
      <c r="R47" s="93">
        <f>COUNTIFS('reductions data'!$G:$G,'reasons for reduction division'!$B47,'reductions data'!$A:$A,R$25)</f>
        <v>0</v>
      </c>
      <c r="S47" s="93">
        <f>COUNTIFS('reductions data'!$G:$G,'reasons for reduction division'!$B47,'reductions data'!$A:$A,S$25)</f>
        <v>0</v>
      </c>
      <c r="T47" s="93">
        <f>COUNTIFS('reductions data'!$G:$G,'reasons for reduction division'!$B47,'reductions data'!$A:$A,T$25)</f>
        <v>0</v>
      </c>
      <c r="U47" s="93">
        <f>COUNTIFS('reductions data'!$G:$G,'reasons for reduction division'!$B47,'reductions data'!$A:$A,U$25)</f>
        <v>0</v>
      </c>
      <c r="V47" s="93">
        <f>COUNTIFS('reductions data'!$G:$G,'reasons for reduction division'!$B47,'reductions data'!$A:$A,V$25)</f>
        <v>0</v>
      </c>
      <c r="W47" s="93">
        <f>COUNTIFS('reductions data'!$G:$G,'reasons for reduction division'!$B47,'reductions data'!$A:$A,W$25)</f>
        <v>0</v>
      </c>
      <c r="X47" s="93">
        <f>COUNTIFS('reductions data'!$G:$G,'reasons for reduction division'!$B47,'reductions data'!$A:$A,X$25)</f>
        <v>0</v>
      </c>
      <c r="Y47" s="138">
        <f>COUNTIF('reductions data'!G:G,'reasons for reduction division'!B47)</f>
        <v>0</v>
      </c>
    </row>
    <row r="48" spans="2:25" x14ac:dyDescent="0.15">
      <c r="B48" s="146" t="s">
        <v>250</v>
      </c>
      <c r="C48" s="93">
        <f>COUNTIFS('reductions data'!G:G,'reasons for reduction division'!B48,'reductions data'!A:A,$C$25)</f>
        <v>0</v>
      </c>
      <c r="D48" s="93">
        <f>COUNTIFS('reductions data'!G:G,'reasons for reduction division'!B48,'reductions data'!A:A,$D$25)</f>
        <v>0</v>
      </c>
      <c r="E48" s="93">
        <f>COUNTIFS('reductions data'!G:G,'reasons for reduction division'!B48,'reductions data'!A:A,$E$25)</f>
        <v>0</v>
      </c>
      <c r="F48" s="93">
        <f>COUNTIFS('reductions data'!G:G,'reasons for reduction division'!B48,'reductions data'!A:A,$F$25)</f>
        <v>0</v>
      </c>
      <c r="G48" s="93">
        <f>COUNTIFS('reductions data'!G:G,'reasons for reduction division'!B48,'reductions data'!A:A,$G$25)</f>
        <v>0</v>
      </c>
      <c r="H48" s="93">
        <f>COUNTIFS('reductions data'!G:G,'reasons for reduction division'!B48,'reductions data'!A:A,$H$25)</f>
        <v>0</v>
      </c>
      <c r="I48" s="93">
        <f>COUNTIFS('reductions data'!G:G,'reasons for reduction division'!B48,'reductions data'!A:A,$I$25)</f>
        <v>0</v>
      </c>
      <c r="J48" s="93">
        <f>COUNTIFS('reductions data'!G:G,'reasons for reduction division'!B48,'reductions data'!A:A,$J$25)</f>
        <v>0</v>
      </c>
      <c r="K48" s="93">
        <f>COUNTIFS('reductions data'!G:G,'reasons for reduction division'!B48,'reductions data'!A:A,$K$25)</f>
        <v>0</v>
      </c>
      <c r="L48" s="93">
        <f>COUNTIFS('reductions data'!G:G,'reasons for reduction division'!B48,'reductions data'!A:A,$L$25)</f>
        <v>0</v>
      </c>
      <c r="M48" s="93">
        <f>COUNTIFS('reductions data'!G:G,'reasons for reduction division'!B48,'reductions data'!A:A,$M$25)</f>
        <v>0</v>
      </c>
      <c r="N48" s="93">
        <f>COUNTIFS('reductions data'!G:G,'reasons for reduction division'!B48,'reductions data'!A:A,$N$25)</f>
        <v>0</v>
      </c>
      <c r="O48" s="93">
        <f>COUNTIFS('reductions data'!$G:$G,'reasons for reduction division'!$B48,'reductions data'!$A:$A,O$25)</f>
        <v>0</v>
      </c>
      <c r="P48" s="93">
        <f>COUNTIFS('reductions data'!$G:$G,'reasons for reduction division'!$B48,'reductions data'!$A:$A,P$25)</f>
        <v>0</v>
      </c>
      <c r="Q48" s="93">
        <f>COUNTIFS('reductions data'!$G:$G,'reasons for reduction division'!$B48,'reductions data'!$A:$A,Q$25)</f>
        <v>0</v>
      </c>
      <c r="R48" s="93">
        <f>COUNTIFS('reductions data'!$G:$G,'reasons for reduction division'!$B48,'reductions data'!$A:$A,R$25)</f>
        <v>0</v>
      </c>
      <c r="S48" s="93">
        <f>COUNTIFS('reductions data'!$G:$G,'reasons for reduction division'!$B48,'reductions data'!$A:$A,S$25)</f>
        <v>0</v>
      </c>
      <c r="T48" s="93">
        <f>COUNTIFS('reductions data'!$G:$G,'reasons for reduction division'!$B48,'reductions data'!$A:$A,T$25)</f>
        <v>0</v>
      </c>
      <c r="U48" s="93">
        <f>COUNTIFS('reductions data'!$G:$G,'reasons for reduction division'!$B48,'reductions data'!$A:$A,U$25)</f>
        <v>0</v>
      </c>
      <c r="V48" s="93">
        <f>COUNTIFS('reductions data'!$G:$G,'reasons for reduction division'!$B48,'reductions data'!$A:$A,V$25)</f>
        <v>0</v>
      </c>
      <c r="W48" s="93">
        <f>COUNTIFS('reductions data'!$G:$G,'reasons for reduction division'!$B48,'reductions data'!$A:$A,W$25)</f>
        <v>0</v>
      </c>
      <c r="X48" s="93">
        <f>COUNTIFS('reductions data'!$G:$G,'reasons for reduction division'!$B48,'reductions data'!$A:$A,X$25)</f>
        <v>0</v>
      </c>
      <c r="Y48" s="138">
        <f>COUNTIF('reductions data'!G:G,'reasons for reduction division'!B48)</f>
        <v>0</v>
      </c>
    </row>
    <row r="49" spans="2:25" x14ac:dyDescent="0.15">
      <c r="B49" s="146" t="s">
        <v>233</v>
      </c>
      <c r="C49" s="93">
        <f>COUNTIFS('reductions data'!G:G,'reasons for reduction division'!B49,'reductions data'!A:A,$C$25)</f>
        <v>0</v>
      </c>
      <c r="D49" s="93">
        <f>COUNTIFS('reductions data'!G:G,'reasons for reduction division'!B49,'reductions data'!A:A,$D$25)</f>
        <v>0</v>
      </c>
      <c r="E49" s="93">
        <f>COUNTIFS('reductions data'!G:G,'reasons for reduction division'!B49,'reductions data'!A:A,$E$25)</f>
        <v>0</v>
      </c>
      <c r="F49" s="93">
        <f>COUNTIFS('reductions data'!G:G,'reasons for reduction division'!B49,'reductions data'!A:A,$F$25)</f>
        <v>0</v>
      </c>
      <c r="G49" s="93">
        <f>COUNTIFS('reductions data'!G:G,'reasons for reduction division'!B49,'reductions data'!A:A,$G$25)</f>
        <v>0</v>
      </c>
      <c r="H49" s="93">
        <f>COUNTIFS('reductions data'!G:G,'reasons for reduction division'!B49,'reductions data'!A:A,$H$25)</f>
        <v>0</v>
      </c>
      <c r="I49" s="93">
        <f>COUNTIFS('reductions data'!G:G,'reasons for reduction division'!B49,'reductions data'!A:A,$I$25)</f>
        <v>0</v>
      </c>
      <c r="J49" s="93">
        <f>COUNTIFS('reductions data'!G:G,'reasons for reduction division'!B49,'reductions data'!A:A,$J$25)</f>
        <v>0</v>
      </c>
      <c r="K49" s="93">
        <f>COUNTIFS('reductions data'!G:G,'reasons for reduction division'!B49,'reductions data'!A:A,$K$25)</f>
        <v>0</v>
      </c>
      <c r="L49" s="93">
        <f>COUNTIFS('reductions data'!G:G,'reasons for reduction division'!B49,'reductions data'!A:A,$L$25)</f>
        <v>0</v>
      </c>
      <c r="M49" s="93">
        <f>COUNTIFS('reductions data'!G:G,'reasons for reduction division'!B49,'reductions data'!A:A,$M$25)</f>
        <v>0</v>
      </c>
      <c r="N49" s="93">
        <f>COUNTIFS('reductions data'!G:G,'reasons for reduction division'!B49,'reductions data'!A:A,$N$25)</f>
        <v>0</v>
      </c>
      <c r="O49" s="93">
        <f>COUNTIFS('reductions data'!$G:$G,'reasons for reduction division'!$B49,'reductions data'!$A:$A,O$25)</f>
        <v>0</v>
      </c>
      <c r="P49" s="93">
        <f>COUNTIFS('reductions data'!$G:$G,'reasons for reduction division'!$B49,'reductions data'!$A:$A,P$25)</f>
        <v>0</v>
      </c>
      <c r="Q49" s="93">
        <f>COUNTIFS('reductions data'!$G:$G,'reasons for reduction division'!$B49,'reductions data'!$A:$A,Q$25)</f>
        <v>0</v>
      </c>
      <c r="R49" s="93">
        <f>COUNTIFS('reductions data'!$G:$G,'reasons for reduction division'!$B49,'reductions data'!$A:$A,R$25)</f>
        <v>0</v>
      </c>
      <c r="S49" s="93">
        <f>COUNTIFS('reductions data'!$G:$G,'reasons for reduction division'!$B49,'reductions data'!$A:$A,S$25)</f>
        <v>0</v>
      </c>
      <c r="T49" s="93">
        <f>COUNTIFS('reductions data'!$G:$G,'reasons for reduction division'!$B49,'reductions data'!$A:$A,T$25)</f>
        <v>0</v>
      </c>
      <c r="U49" s="93">
        <f>COUNTIFS('reductions data'!$G:$G,'reasons for reduction division'!$B49,'reductions data'!$A:$A,U$25)</f>
        <v>0</v>
      </c>
      <c r="V49" s="93">
        <f>COUNTIFS('reductions data'!$G:$G,'reasons for reduction division'!$B49,'reductions data'!$A:$A,V$25)</f>
        <v>0</v>
      </c>
      <c r="W49" s="93">
        <f>COUNTIFS('reductions data'!$G:$G,'reasons for reduction division'!$B49,'reductions data'!$A:$A,W$25)</f>
        <v>0</v>
      </c>
      <c r="X49" s="93">
        <f>COUNTIFS('reductions data'!$G:$G,'reasons for reduction division'!$B49,'reductions data'!$A:$A,X$25)</f>
        <v>0</v>
      </c>
      <c r="Y49" s="138">
        <f>COUNTIF('reductions data'!G:G,'reasons for reduction division'!B49)</f>
        <v>0</v>
      </c>
    </row>
    <row r="50" spans="2:25" x14ac:dyDescent="0.15">
      <c r="B50" s="240" t="s">
        <v>312</v>
      </c>
      <c r="C50" s="93">
        <f>COUNTIFS('reductions data'!G:G,'reasons for reduction division'!B50,'reductions data'!A:A,$C$25)</f>
        <v>0</v>
      </c>
      <c r="D50" s="93">
        <f>COUNTIFS('reductions data'!G:G,'reasons for reduction division'!B50,'reductions data'!A:A,$D$25)</f>
        <v>0</v>
      </c>
      <c r="E50" s="93">
        <f>COUNTIFS('reductions data'!G:G,'reasons for reduction division'!B50,'reductions data'!A:A,$E$25)</f>
        <v>0</v>
      </c>
      <c r="F50" s="93">
        <f>COUNTIFS('reductions data'!G:G,'reasons for reduction division'!B50,'reductions data'!A:A,$F$25)</f>
        <v>0</v>
      </c>
      <c r="G50" s="93">
        <f>COUNTIFS('reductions data'!G:G,'reasons for reduction division'!B50,'reductions data'!A:A,$G$25)</f>
        <v>0</v>
      </c>
      <c r="H50" s="93">
        <f>COUNTIFS('reductions data'!G:G,'reasons for reduction division'!B50,'reductions data'!A:A,$H$25)</f>
        <v>0</v>
      </c>
      <c r="I50" s="93">
        <f>COUNTIFS('reductions data'!G:G,'reasons for reduction division'!B50,'reductions data'!A:A,$I$25)</f>
        <v>0</v>
      </c>
      <c r="J50" s="93">
        <f>COUNTIFS('reductions data'!G:G,'reasons for reduction division'!B50,'reductions data'!A:A,$J$25)</f>
        <v>0</v>
      </c>
      <c r="K50" s="93">
        <f>COUNTIFS('reductions data'!G:G,'reasons for reduction division'!B50,'reductions data'!A:A,$K$25)</f>
        <v>0</v>
      </c>
      <c r="L50" s="93">
        <f>COUNTIFS('reductions data'!G:G,'reasons for reduction division'!B50,'reductions data'!A:A,$L$25)</f>
        <v>0</v>
      </c>
      <c r="M50" s="93">
        <f>COUNTIFS('reductions data'!G:G,'reasons for reduction division'!B50,'reductions data'!A:A,$M$25)</f>
        <v>0</v>
      </c>
      <c r="N50" s="93">
        <f>COUNTIFS('reductions data'!G:G,'reasons for reduction division'!B50,'reductions data'!A:A,$N$25)</f>
        <v>0</v>
      </c>
      <c r="O50" s="93">
        <f>COUNTIFS('reductions data'!$G:$G,'reasons for reduction division'!$B50,'reductions data'!$A:$A,O$25)</f>
        <v>0</v>
      </c>
      <c r="P50" s="93">
        <f>COUNTIFS('reductions data'!$G:$G,'reasons for reduction division'!$B50,'reductions data'!$A:$A,P$25)</f>
        <v>0</v>
      </c>
      <c r="Q50" s="93">
        <f>COUNTIFS('reductions data'!$G:$G,'reasons for reduction division'!$B50,'reductions data'!$A:$A,Q$25)</f>
        <v>0</v>
      </c>
      <c r="R50" s="93">
        <f>COUNTIFS('reductions data'!$G:$G,'reasons for reduction division'!$B50,'reductions data'!$A:$A,R$25)</f>
        <v>0</v>
      </c>
      <c r="S50" s="93">
        <f>COUNTIFS('reductions data'!$G:$G,'reasons for reduction division'!$B50,'reductions data'!$A:$A,S$25)</f>
        <v>0</v>
      </c>
      <c r="T50" s="93">
        <f>COUNTIFS('reductions data'!$G:$G,'reasons for reduction division'!$B50,'reductions data'!$A:$A,T$25)</f>
        <v>0</v>
      </c>
      <c r="U50" s="93">
        <f>COUNTIFS('reductions data'!$G:$G,'reasons for reduction division'!$B50,'reductions data'!$A:$A,U$25)</f>
        <v>0</v>
      </c>
      <c r="V50" s="93">
        <f>COUNTIFS('reductions data'!$G:$G,'reasons for reduction division'!$B50,'reductions data'!$A:$A,V$25)</f>
        <v>0</v>
      </c>
      <c r="W50" s="93">
        <f>COUNTIFS('reductions data'!$G:$G,'reasons for reduction division'!$B50,'reductions data'!$A:$A,W$25)</f>
        <v>0</v>
      </c>
      <c r="X50" s="93">
        <f>COUNTIFS('reductions data'!$G:$G,'reasons for reduction division'!$B50,'reductions data'!$A:$A,X$25)</f>
        <v>0</v>
      </c>
      <c r="Y50" s="138">
        <f>COUNTIF('reductions data'!G:G,'reasons for reduction division'!B50)</f>
        <v>0</v>
      </c>
    </row>
    <row r="51" spans="2:25" x14ac:dyDescent="0.15">
      <c r="B51" s="146" t="s">
        <v>234</v>
      </c>
      <c r="C51" s="93">
        <f>COUNTIFS('reductions data'!G:G,'reasons for reduction division'!B51,'reductions data'!A:A,$C$25)</f>
        <v>0</v>
      </c>
      <c r="D51" s="93">
        <f>COUNTIFS('reductions data'!G:G,'reasons for reduction division'!B51,'reductions data'!A:A,$D$25)</f>
        <v>0</v>
      </c>
      <c r="E51" s="93">
        <f>COUNTIFS('reductions data'!G:G,'reasons for reduction division'!B51,'reductions data'!A:A,$E$25)</f>
        <v>0</v>
      </c>
      <c r="F51" s="93">
        <f>COUNTIFS('reductions data'!G:G,'reasons for reduction division'!B51,'reductions data'!A:A,$F$25)</f>
        <v>0</v>
      </c>
      <c r="G51" s="93">
        <f>COUNTIFS('reductions data'!G:G,'reasons for reduction division'!B51,'reductions data'!A:A,$G$25)</f>
        <v>0</v>
      </c>
      <c r="H51" s="93">
        <f>COUNTIFS('reductions data'!G:G,'reasons for reduction division'!B51,'reductions data'!A:A,$H$25)</f>
        <v>0</v>
      </c>
      <c r="I51" s="93">
        <f>COUNTIFS('reductions data'!G:G,'reasons for reduction division'!B51,'reductions data'!A:A,$I$25)</f>
        <v>0</v>
      </c>
      <c r="J51" s="93">
        <f>COUNTIFS('reductions data'!G:G,'reasons for reduction division'!B51,'reductions data'!A:A,$J$25)</f>
        <v>0</v>
      </c>
      <c r="K51" s="93">
        <f>COUNTIFS('reductions data'!G:G,'reasons for reduction division'!B51,'reductions data'!A:A,$K$25)</f>
        <v>0</v>
      </c>
      <c r="L51" s="93">
        <f>COUNTIFS('reductions data'!G:G,'reasons for reduction division'!B51,'reductions data'!A:A,$L$25)</f>
        <v>0</v>
      </c>
      <c r="M51" s="93">
        <f>COUNTIFS('reductions data'!G:G,'reasons for reduction division'!B51,'reductions data'!A:A,$M$25)</f>
        <v>0</v>
      </c>
      <c r="N51" s="93">
        <f>COUNTIFS('reductions data'!G:G,'reasons for reduction division'!B51,'reductions data'!A:A,$N$25)</f>
        <v>0</v>
      </c>
      <c r="O51" s="93">
        <f>COUNTIFS('reductions data'!$G:$G,'reasons for reduction division'!$B51,'reductions data'!$A:$A,O$25)</f>
        <v>0</v>
      </c>
      <c r="P51" s="93">
        <f>COUNTIFS('reductions data'!$G:$G,'reasons for reduction division'!$B51,'reductions data'!$A:$A,P$25)</f>
        <v>0</v>
      </c>
      <c r="Q51" s="93">
        <f>COUNTIFS('reductions data'!$G:$G,'reasons for reduction division'!$B51,'reductions data'!$A:$A,Q$25)</f>
        <v>0</v>
      </c>
      <c r="R51" s="93">
        <f>COUNTIFS('reductions data'!$G:$G,'reasons for reduction division'!$B51,'reductions data'!$A:$A,R$25)</f>
        <v>0</v>
      </c>
      <c r="S51" s="93">
        <f>COUNTIFS('reductions data'!$G:$G,'reasons for reduction division'!$B51,'reductions data'!$A:$A,S$25)</f>
        <v>0</v>
      </c>
      <c r="T51" s="93">
        <f>COUNTIFS('reductions data'!$G:$G,'reasons for reduction division'!$B51,'reductions data'!$A:$A,T$25)</f>
        <v>0</v>
      </c>
      <c r="U51" s="93">
        <f>COUNTIFS('reductions data'!$G:$G,'reasons for reduction division'!$B51,'reductions data'!$A:$A,U$25)</f>
        <v>0</v>
      </c>
      <c r="V51" s="93">
        <f>COUNTIFS('reductions data'!$G:$G,'reasons for reduction division'!$B51,'reductions data'!$A:$A,V$25)</f>
        <v>0</v>
      </c>
      <c r="W51" s="93">
        <f>COUNTIFS('reductions data'!$G:$G,'reasons for reduction division'!$B51,'reductions data'!$A:$A,W$25)</f>
        <v>0</v>
      </c>
      <c r="X51" s="93">
        <f>COUNTIFS('reductions data'!$G:$G,'reasons for reduction division'!$B51,'reductions data'!$A:$A,X$25)</f>
        <v>0</v>
      </c>
      <c r="Y51" s="138">
        <f>COUNTIF('reductions data'!G:G,'reasons for reduction division'!B51)</f>
        <v>0</v>
      </c>
    </row>
    <row r="52" spans="2:25" x14ac:dyDescent="0.15">
      <c r="B52" s="146" t="s">
        <v>218</v>
      </c>
      <c r="C52" s="93">
        <f>COUNTIFS('reductions data'!G:G,'reasons for reduction division'!B52,'reductions data'!A:A,$C$25)</f>
        <v>0</v>
      </c>
      <c r="D52" s="93">
        <f>COUNTIFS('reductions data'!G:G,'reasons for reduction division'!B52,'reductions data'!A:A,$D$25)</f>
        <v>0</v>
      </c>
      <c r="E52" s="93">
        <f>COUNTIFS('reductions data'!G:G,'reasons for reduction division'!B52,'reductions data'!A:A,$E$25)</f>
        <v>0</v>
      </c>
      <c r="F52" s="93">
        <f>COUNTIFS('reductions data'!G:G,'reasons for reduction division'!B52,'reductions data'!A:A,$F$25)</f>
        <v>0</v>
      </c>
      <c r="G52" s="93">
        <f>COUNTIFS('reductions data'!G:G,'reasons for reduction division'!B52,'reductions data'!A:A,$G$25)</f>
        <v>0</v>
      </c>
      <c r="H52" s="93">
        <f>COUNTIFS('reductions data'!G:G,'reasons for reduction division'!B52,'reductions data'!A:A,$H$25)</f>
        <v>0</v>
      </c>
      <c r="I52" s="93">
        <f>COUNTIFS('reductions data'!G:G,'reasons for reduction division'!B52,'reductions data'!A:A,$I$25)</f>
        <v>0</v>
      </c>
      <c r="J52" s="93">
        <f>COUNTIFS('reductions data'!G:G,'reasons for reduction division'!B52,'reductions data'!A:A,$J$25)</f>
        <v>0</v>
      </c>
      <c r="K52" s="93">
        <f>COUNTIFS('reductions data'!G:G,'reasons for reduction division'!B52,'reductions data'!A:A,$K$25)</f>
        <v>0</v>
      </c>
      <c r="L52" s="93">
        <f>COUNTIFS('reductions data'!G:G,'reasons for reduction division'!B52,'reductions data'!A:A,$L$25)</f>
        <v>0</v>
      </c>
      <c r="M52" s="93">
        <f>COUNTIFS('reductions data'!G:G,'reasons for reduction division'!B52,'reductions data'!A:A,$M$25)</f>
        <v>0</v>
      </c>
      <c r="N52" s="93">
        <f>COUNTIFS('reductions data'!G:G,'reasons for reduction division'!B52,'reductions data'!A:A,$N$25)</f>
        <v>0</v>
      </c>
      <c r="O52" s="93">
        <f>COUNTIFS('reductions data'!$G:$G,'reasons for reduction division'!$B52,'reductions data'!$A:$A,O$25)</f>
        <v>0</v>
      </c>
      <c r="P52" s="93">
        <f>COUNTIFS('reductions data'!$G:$G,'reasons for reduction division'!$B52,'reductions data'!$A:$A,P$25)</f>
        <v>0</v>
      </c>
      <c r="Q52" s="93">
        <f>COUNTIFS('reductions data'!$G:$G,'reasons for reduction division'!$B52,'reductions data'!$A:$A,Q$25)</f>
        <v>0</v>
      </c>
      <c r="R52" s="93">
        <f>COUNTIFS('reductions data'!$G:$G,'reasons for reduction division'!$B52,'reductions data'!$A:$A,R$25)</f>
        <v>0</v>
      </c>
      <c r="S52" s="93">
        <f>COUNTIFS('reductions data'!$G:$G,'reasons for reduction division'!$B52,'reductions data'!$A:$A,S$25)</f>
        <v>0</v>
      </c>
      <c r="T52" s="93">
        <f>COUNTIFS('reductions data'!$G:$G,'reasons for reduction division'!$B52,'reductions data'!$A:$A,T$25)</f>
        <v>0</v>
      </c>
      <c r="U52" s="93">
        <f>COUNTIFS('reductions data'!$G:$G,'reasons for reduction division'!$B52,'reductions data'!$A:$A,U$25)</f>
        <v>0</v>
      </c>
      <c r="V52" s="93">
        <f>COUNTIFS('reductions data'!$G:$G,'reasons for reduction division'!$B52,'reductions data'!$A:$A,V$25)</f>
        <v>0</v>
      </c>
      <c r="W52" s="93">
        <f>COUNTIFS('reductions data'!$G:$G,'reasons for reduction division'!$B52,'reductions data'!$A:$A,W$25)</f>
        <v>0</v>
      </c>
      <c r="X52" s="93">
        <f>COUNTIFS('reductions data'!$G:$G,'reasons for reduction division'!$B52,'reductions data'!$A:$A,X$25)</f>
        <v>0</v>
      </c>
      <c r="Y52" s="138">
        <f>COUNTIF('reductions data'!G:G,'reasons for reduction division'!B52)</f>
        <v>0</v>
      </c>
    </row>
    <row r="53" spans="2:25" x14ac:dyDescent="0.15">
      <c r="B53" s="146" t="s">
        <v>222</v>
      </c>
      <c r="C53" s="93">
        <f>COUNTIFS('reductions data'!G:G,'reasons for reduction division'!B53,'reductions data'!A:A,$C$25)</f>
        <v>0</v>
      </c>
      <c r="D53" s="93">
        <f>COUNTIFS('reductions data'!G:G,'reasons for reduction division'!B53,'reductions data'!A:A,$D$25)</f>
        <v>0</v>
      </c>
      <c r="E53" s="93">
        <f>COUNTIFS('reductions data'!G:G,'reasons for reduction division'!B53,'reductions data'!A:A,$E$25)</f>
        <v>0</v>
      </c>
      <c r="F53" s="93">
        <f>COUNTIFS('reductions data'!G:G,'reasons for reduction division'!B53,'reductions data'!A:A,$F$25)</f>
        <v>0</v>
      </c>
      <c r="G53" s="93">
        <f>COUNTIFS('reductions data'!G:G,'reasons for reduction division'!B53,'reductions data'!A:A,$G$25)</f>
        <v>0</v>
      </c>
      <c r="H53" s="93">
        <f>COUNTIFS('reductions data'!G:G,'reasons for reduction division'!B53,'reductions data'!A:A,$H$25)</f>
        <v>0</v>
      </c>
      <c r="I53" s="93">
        <f>COUNTIFS('reductions data'!G:G,'reasons for reduction division'!B53,'reductions data'!A:A,$I$25)</f>
        <v>0</v>
      </c>
      <c r="J53" s="93">
        <f>COUNTIFS('reductions data'!G:G,'reasons for reduction division'!B53,'reductions data'!A:A,$J$25)</f>
        <v>0</v>
      </c>
      <c r="K53" s="93">
        <f>COUNTIFS('reductions data'!G:G,'reasons for reduction division'!B53,'reductions data'!A:A,$K$25)</f>
        <v>0</v>
      </c>
      <c r="L53" s="93">
        <f>COUNTIFS('reductions data'!G:G,'reasons for reduction division'!B53,'reductions data'!A:A,$L$25)</f>
        <v>0</v>
      </c>
      <c r="M53" s="93">
        <f>COUNTIFS('reductions data'!G:G,'reasons for reduction division'!B53,'reductions data'!A:A,$M$25)</f>
        <v>0</v>
      </c>
      <c r="N53" s="93">
        <f>COUNTIFS('reductions data'!G:G,'reasons for reduction division'!B53,'reductions data'!A:A,$N$25)</f>
        <v>0</v>
      </c>
      <c r="O53" s="93">
        <f>COUNTIFS('reductions data'!$G:$G,'reasons for reduction division'!$B53,'reductions data'!$A:$A,O$25)</f>
        <v>0</v>
      </c>
      <c r="P53" s="93">
        <f>COUNTIFS('reductions data'!$G:$G,'reasons for reduction division'!$B53,'reductions data'!$A:$A,P$25)</f>
        <v>0</v>
      </c>
      <c r="Q53" s="93">
        <f>COUNTIFS('reductions data'!$G:$G,'reasons for reduction division'!$B53,'reductions data'!$A:$A,Q$25)</f>
        <v>0</v>
      </c>
      <c r="R53" s="93">
        <f>COUNTIFS('reductions data'!$G:$G,'reasons for reduction division'!$B53,'reductions data'!$A:$A,R$25)</f>
        <v>0</v>
      </c>
      <c r="S53" s="93">
        <f>COUNTIFS('reductions data'!$G:$G,'reasons for reduction division'!$B53,'reductions data'!$A:$A,S$25)</f>
        <v>0</v>
      </c>
      <c r="T53" s="93">
        <f>COUNTIFS('reductions data'!$G:$G,'reasons for reduction division'!$B53,'reductions data'!$A:$A,T$25)</f>
        <v>0</v>
      </c>
      <c r="U53" s="93">
        <f>COUNTIFS('reductions data'!$G:$G,'reasons for reduction division'!$B53,'reductions data'!$A:$A,U$25)</f>
        <v>0</v>
      </c>
      <c r="V53" s="93">
        <f>COUNTIFS('reductions data'!$G:$G,'reasons for reduction division'!$B53,'reductions data'!$A:$A,V$25)</f>
        <v>0</v>
      </c>
      <c r="W53" s="93">
        <f>COUNTIFS('reductions data'!$G:$G,'reasons for reduction division'!$B53,'reductions data'!$A:$A,W$25)</f>
        <v>0</v>
      </c>
      <c r="X53" s="93">
        <f>COUNTIFS('reductions data'!$G:$G,'reasons for reduction division'!$B53,'reductions data'!$A:$A,X$25)</f>
        <v>0</v>
      </c>
      <c r="Y53" s="138">
        <f>COUNTIF('reductions data'!G:G,'reasons for reduction division'!B53)</f>
        <v>0</v>
      </c>
    </row>
    <row r="54" spans="2:25" x14ac:dyDescent="0.15">
      <c r="B54" s="146" t="s">
        <v>221</v>
      </c>
      <c r="C54" s="93">
        <f>COUNTIFS('reductions data'!G:G,'reasons for reduction division'!B54,'reductions data'!A:A,$C$25)</f>
        <v>0</v>
      </c>
      <c r="D54" s="93">
        <f>COUNTIFS('reductions data'!G:G,'reasons for reduction division'!B54,'reductions data'!A:A,$D$25)</f>
        <v>0</v>
      </c>
      <c r="E54" s="93">
        <f>COUNTIFS('reductions data'!G:G,'reasons for reduction division'!B54,'reductions data'!A:A,$E$25)</f>
        <v>0</v>
      </c>
      <c r="F54" s="93">
        <f>COUNTIFS('reductions data'!G:G,'reasons for reduction division'!B54,'reductions data'!A:A,$F$25)</f>
        <v>0</v>
      </c>
      <c r="G54" s="93">
        <f>COUNTIFS('reductions data'!G:G,'reasons for reduction division'!B54,'reductions data'!A:A,$G$25)</f>
        <v>0</v>
      </c>
      <c r="H54" s="93">
        <f>COUNTIFS('reductions data'!G:G,'reasons for reduction division'!B54,'reductions data'!A:A,$H$25)</f>
        <v>0</v>
      </c>
      <c r="I54" s="93">
        <f>COUNTIFS('reductions data'!G:G,'reasons for reduction division'!B54,'reductions data'!A:A,$I$25)</f>
        <v>0</v>
      </c>
      <c r="J54" s="93">
        <f>COUNTIFS('reductions data'!G:G,'reasons for reduction division'!B54,'reductions data'!A:A,$J$25)</f>
        <v>0</v>
      </c>
      <c r="K54" s="93">
        <f>COUNTIFS('reductions data'!G:G,'reasons for reduction division'!B54,'reductions data'!A:A,$K$25)</f>
        <v>0</v>
      </c>
      <c r="L54" s="93">
        <f>COUNTIFS('reductions data'!G:G,'reasons for reduction division'!B54,'reductions data'!A:A,$L$25)</f>
        <v>0</v>
      </c>
      <c r="M54" s="93">
        <f>COUNTIFS('reductions data'!G:G,'reasons for reduction division'!B54,'reductions data'!A:A,$M$25)</f>
        <v>0</v>
      </c>
      <c r="N54" s="93">
        <f>COUNTIFS('reductions data'!G:G,'reasons for reduction division'!B54,'reductions data'!A:A,$N$25)</f>
        <v>0</v>
      </c>
      <c r="O54" s="93">
        <f>COUNTIFS('reductions data'!$G:$G,'reasons for reduction division'!$B54,'reductions data'!$A:$A,O$25)</f>
        <v>0</v>
      </c>
      <c r="P54" s="93">
        <f>COUNTIFS('reductions data'!$G:$G,'reasons for reduction division'!$B54,'reductions data'!$A:$A,P$25)</f>
        <v>0</v>
      </c>
      <c r="Q54" s="93">
        <f>COUNTIFS('reductions data'!$G:$G,'reasons for reduction division'!$B54,'reductions data'!$A:$A,Q$25)</f>
        <v>0</v>
      </c>
      <c r="R54" s="93">
        <f>COUNTIFS('reductions data'!$G:$G,'reasons for reduction division'!$B54,'reductions data'!$A:$A,R$25)</f>
        <v>0</v>
      </c>
      <c r="S54" s="93">
        <f>COUNTIFS('reductions data'!$G:$G,'reasons for reduction division'!$B54,'reductions data'!$A:$A,S$25)</f>
        <v>0</v>
      </c>
      <c r="T54" s="93">
        <f>COUNTIFS('reductions data'!$G:$G,'reasons for reduction division'!$B54,'reductions data'!$A:$A,T$25)</f>
        <v>0</v>
      </c>
      <c r="U54" s="93">
        <f>COUNTIFS('reductions data'!$G:$G,'reasons for reduction division'!$B54,'reductions data'!$A:$A,U$25)</f>
        <v>0</v>
      </c>
      <c r="V54" s="93">
        <f>COUNTIFS('reductions data'!$G:$G,'reasons for reduction division'!$B54,'reductions data'!$A:$A,V$25)</f>
        <v>0</v>
      </c>
      <c r="W54" s="93">
        <f>COUNTIFS('reductions data'!$G:$G,'reasons for reduction division'!$B54,'reductions data'!$A:$A,W$25)</f>
        <v>0</v>
      </c>
      <c r="X54" s="93">
        <f>COUNTIFS('reductions data'!$G:$G,'reasons for reduction division'!$B54,'reductions data'!$A:$A,X$25)</f>
        <v>0</v>
      </c>
      <c r="Y54" s="138">
        <f>COUNTIF('reductions data'!G:G,'reasons for reduction division'!B54)</f>
        <v>0</v>
      </c>
    </row>
    <row r="55" spans="2:25" x14ac:dyDescent="0.15">
      <c r="B55" s="146" t="s">
        <v>219</v>
      </c>
      <c r="C55" s="93">
        <f>COUNTIFS('reductions data'!G:G,'reasons for reduction division'!B55,'reductions data'!A:A,$C$25)</f>
        <v>0</v>
      </c>
      <c r="D55" s="93">
        <f>COUNTIFS('reductions data'!G:G,'reasons for reduction division'!B55,'reductions data'!A:A,$D$25)</f>
        <v>0</v>
      </c>
      <c r="E55" s="93">
        <f>COUNTIFS('reductions data'!G:G,'reasons for reduction division'!B55,'reductions data'!A:A,$E$25)</f>
        <v>0</v>
      </c>
      <c r="F55" s="93">
        <f>COUNTIFS('reductions data'!G:G,'reasons for reduction division'!B55,'reductions data'!A:A,$F$25)</f>
        <v>0</v>
      </c>
      <c r="G55" s="93">
        <f>COUNTIFS('reductions data'!G:G,'reasons for reduction division'!B55,'reductions data'!A:A,$G$25)</f>
        <v>0</v>
      </c>
      <c r="H55" s="93">
        <f>COUNTIFS('reductions data'!G:G,'reasons for reduction division'!B55,'reductions data'!A:A,$H$25)</f>
        <v>0</v>
      </c>
      <c r="I55" s="93">
        <f>COUNTIFS('reductions data'!G:G,'reasons for reduction division'!B55,'reductions data'!A:A,$I$25)</f>
        <v>0</v>
      </c>
      <c r="J55" s="93">
        <f>COUNTIFS('reductions data'!G:G,'reasons for reduction division'!B55,'reductions data'!A:A,$J$25)</f>
        <v>0</v>
      </c>
      <c r="K55" s="93">
        <f>COUNTIFS('reductions data'!G:G,'reasons for reduction division'!B55,'reductions data'!A:A,$K$25)</f>
        <v>0</v>
      </c>
      <c r="L55" s="93">
        <f>COUNTIFS('reductions data'!G:G,'reasons for reduction division'!B55,'reductions data'!A:A,$L$25)</f>
        <v>0</v>
      </c>
      <c r="M55" s="93">
        <f>COUNTIFS('reductions data'!G:G,'reasons for reduction division'!B55,'reductions data'!A:A,$M$25)</f>
        <v>0</v>
      </c>
      <c r="N55" s="93">
        <f>COUNTIFS('reductions data'!G:G,'reasons for reduction division'!B55,'reductions data'!A:A,$N$25)</f>
        <v>0</v>
      </c>
      <c r="O55" s="93">
        <f>COUNTIFS('reductions data'!$G:$G,'reasons for reduction division'!$B55,'reductions data'!$A:$A,O$25)</f>
        <v>0</v>
      </c>
      <c r="P55" s="93">
        <f>COUNTIFS('reductions data'!$G:$G,'reasons for reduction division'!$B55,'reductions data'!$A:$A,P$25)</f>
        <v>0</v>
      </c>
      <c r="Q55" s="93">
        <f>COUNTIFS('reductions data'!$G:$G,'reasons for reduction division'!$B55,'reductions data'!$A:$A,Q$25)</f>
        <v>0</v>
      </c>
      <c r="R55" s="93">
        <f>COUNTIFS('reductions data'!$G:$G,'reasons for reduction division'!$B55,'reductions data'!$A:$A,R$25)</f>
        <v>0</v>
      </c>
      <c r="S55" s="93">
        <f>COUNTIFS('reductions data'!$G:$G,'reasons for reduction division'!$B55,'reductions data'!$A:$A,S$25)</f>
        <v>0</v>
      </c>
      <c r="T55" s="93">
        <f>COUNTIFS('reductions data'!$G:$G,'reasons for reduction division'!$B55,'reductions data'!$A:$A,T$25)</f>
        <v>0</v>
      </c>
      <c r="U55" s="93">
        <f>COUNTIFS('reductions data'!$G:$G,'reasons for reduction division'!$B55,'reductions data'!$A:$A,U$25)</f>
        <v>0</v>
      </c>
      <c r="V55" s="93">
        <f>COUNTIFS('reductions data'!$G:$G,'reasons for reduction division'!$B55,'reductions data'!$A:$A,V$25)</f>
        <v>0</v>
      </c>
      <c r="W55" s="93">
        <f>COUNTIFS('reductions data'!$G:$G,'reasons for reduction division'!$B55,'reductions data'!$A:$A,W$25)</f>
        <v>0</v>
      </c>
      <c r="X55" s="93">
        <f>COUNTIFS('reductions data'!$G:$G,'reasons for reduction division'!$B55,'reductions data'!$A:$A,X$25)</f>
        <v>0</v>
      </c>
      <c r="Y55" s="138">
        <f>COUNTIF('reductions data'!G:G,'reasons for reduction division'!B55)</f>
        <v>0</v>
      </c>
    </row>
    <row r="56" spans="2:25" x14ac:dyDescent="0.15">
      <c r="B56" s="146" t="s">
        <v>224</v>
      </c>
      <c r="C56" s="93">
        <f>COUNTIFS('reductions data'!G:G,'reasons for reduction division'!B56,'reductions data'!A:A,$C$25)</f>
        <v>0</v>
      </c>
      <c r="D56" s="93">
        <f>COUNTIFS('reductions data'!G:G,'reasons for reduction division'!B56,'reductions data'!A:A,$D$25)</f>
        <v>0</v>
      </c>
      <c r="E56" s="93">
        <f>COUNTIFS('reductions data'!G:G,'reasons for reduction division'!B56,'reductions data'!A:A,$E$25)</f>
        <v>0</v>
      </c>
      <c r="F56" s="93">
        <f>COUNTIFS('reductions data'!G:G,'reasons for reduction division'!B56,'reductions data'!A:A,$F$25)</f>
        <v>0</v>
      </c>
      <c r="G56" s="93">
        <f>COUNTIFS('reductions data'!G:G,'reasons for reduction division'!B56,'reductions data'!A:A,$G$25)</f>
        <v>0</v>
      </c>
      <c r="H56" s="93">
        <f>COUNTIFS('reductions data'!G:G,'reasons for reduction division'!B56,'reductions data'!A:A,$H$25)</f>
        <v>0</v>
      </c>
      <c r="I56" s="93">
        <f>COUNTIFS('reductions data'!G:G,'reasons for reduction division'!B56,'reductions data'!A:A,$I$25)</f>
        <v>0</v>
      </c>
      <c r="J56" s="93">
        <f>COUNTIFS('reductions data'!G:G,'reasons for reduction division'!B56,'reductions data'!A:A,$J$25)</f>
        <v>0</v>
      </c>
      <c r="K56" s="93">
        <f>COUNTIFS('reductions data'!G:G,'reasons for reduction division'!B56,'reductions data'!A:A,$K$25)</f>
        <v>0</v>
      </c>
      <c r="L56" s="93">
        <f>COUNTIFS('reductions data'!G:G,'reasons for reduction division'!B56,'reductions data'!A:A,$L$25)</f>
        <v>0</v>
      </c>
      <c r="M56" s="93">
        <f>COUNTIFS('reductions data'!G:G,'reasons for reduction division'!B56,'reductions data'!A:A,$M$25)</f>
        <v>0</v>
      </c>
      <c r="N56" s="93">
        <f>COUNTIFS('reductions data'!G:G,'reasons for reduction division'!B56,'reductions data'!A:A,$N$25)</f>
        <v>0</v>
      </c>
      <c r="O56" s="93">
        <f>COUNTIFS('reductions data'!$G:$G,'reasons for reduction division'!$B56,'reductions data'!$A:$A,O$25)</f>
        <v>0</v>
      </c>
      <c r="P56" s="93">
        <f>COUNTIFS('reductions data'!$G:$G,'reasons for reduction division'!$B56,'reductions data'!$A:$A,P$25)</f>
        <v>0</v>
      </c>
      <c r="Q56" s="93">
        <f>COUNTIFS('reductions data'!$G:$G,'reasons for reduction division'!$B56,'reductions data'!$A:$A,Q$25)</f>
        <v>0</v>
      </c>
      <c r="R56" s="93">
        <f>COUNTIFS('reductions data'!$G:$G,'reasons for reduction division'!$B56,'reductions data'!$A:$A,R$25)</f>
        <v>0</v>
      </c>
      <c r="S56" s="93">
        <f>COUNTIFS('reductions data'!$G:$G,'reasons for reduction division'!$B56,'reductions data'!$A:$A,S$25)</f>
        <v>0</v>
      </c>
      <c r="T56" s="93">
        <f>COUNTIFS('reductions data'!$G:$G,'reasons for reduction division'!$B56,'reductions data'!$A:$A,T$25)</f>
        <v>0</v>
      </c>
      <c r="U56" s="93">
        <f>COUNTIFS('reductions data'!$G:$G,'reasons for reduction division'!$B56,'reductions data'!$A:$A,U$25)</f>
        <v>0</v>
      </c>
      <c r="V56" s="93">
        <f>COUNTIFS('reductions data'!$G:$G,'reasons for reduction division'!$B56,'reductions data'!$A:$A,V$25)</f>
        <v>0</v>
      </c>
      <c r="W56" s="93">
        <f>COUNTIFS('reductions data'!$G:$G,'reasons for reduction division'!$B56,'reductions data'!$A:$A,W$25)</f>
        <v>0</v>
      </c>
      <c r="X56" s="93">
        <f>COUNTIFS('reductions data'!$G:$G,'reasons for reduction division'!$B56,'reductions data'!$A:$A,X$25)</f>
        <v>0</v>
      </c>
      <c r="Y56" s="138">
        <f>COUNTIF('reductions data'!G:G,'reasons for reduction division'!B56)</f>
        <v>0</v>
      </c>
    </row>
    <row r="57" spans="2:25" x14ac:dyDescent="0.15">
      <c r="B57" s="146" t="s">
        <v>213</v>
      </c>
      <c r="C57" s="93">
        <f>COUNTIFS('reductions data'!G:G,'reasons for reduction division'!B57,'reductions data'!A:A,$C$25)</f>
        <v>0</v>
      </c>
      <c r="D57" s="93">
        <f>COUNTIFS('reductions data'!G:G,'reasons for reduction division'!B57,'reductions data'!A:A,$D$25)</f>
        <v>0</v>
      </c>
      <c r="E57" s="93">
        <f>COUNTIFS('reductions data'!G:G,'reasons for reduction division'!B57,'reductions data'!A:A,$E$25)</f>
        <v>0</v>
      </c>
      <c r="F57" s="93">
        <f>COUNTIFS('reductions data'!G:G,'reasons for reduction division'!B57,'reductions data'!A:A,$F$25)</f>
        <v>0</v>
      </c>
      <c r="G57" s="93">
        <f>COUNTIFS('reductions data'!G:G,'reasons for reduction division'!B57,'reductions data'!A:A,$G$25)</f>
        <v>0</v>
      </c>
      <c r="H57" s="93">
        <f>COUNTIFS('reductions data'!G:G,'reasons for reduction division'!B57,'reductions data'!A:A,$H$25)</f>
        <v>0</v>
      </c>
      <c r="I57" s="93">
        <f>COUNTIFS('reductions data'!G:G,'reasons for reduction division'!B57,'reductions data'!A:A,$I$25)</f>
        <v>0</v>
      </c>
      <c r="J57" s="93">
        <f>COUNTIFS('reductions data'!G:G,'reasons for reduction division'!B57,'reductions data'!A:A,$J$25)</f>
        <v>0</v>
      </c>
      <c r="K57" s="93">
        <f>COUNTIFS('reductions data'!G:G,'reasons for reduction division'!B57,'reductions data'!A:A,$K$25)</f>
        <v>0</v>
      </c>
      <c r="L57" s="93">
        <f>COUNTIFS('reductions data'!G:G,'reasons for reduction division'!B57,'reductions data'!A:A,$L$25)</f>
        <v>0</v>
      </c>
      <c r="M57" s="93">
        <f>COUNTIFS('reductions data'!G:G,'reasons for reduction division'!B57,'reductions data'!A:A,$M$25)</f>
        <v>0</v>
      </c>
      <c r="N57" s="93">
        <f>COUNTIFS('reductions data'!G:G,'reasons for reduction division'!B57,'reductions data'!A:A,$N$25)</f>
        <v>0</v>
      </c>
      <c r="O57" s="93">
        <f>COUNTIFS('reductions data'!$G:$G,'reasons for reduction division'!$B57,'reductions data'!$A:$A,O$25)</f>
        <v>0</v>
      </c>
      <c r="P57" s="93">
        <f>COUNTIFS('reductions data'!$G:$G,'reasons for reduction division'!$B57,'reductions data'!$A:$A,P$25)</f>
        <v>0</v>
      </c>
      <c r="Q57" s="93">
        <f>COUNTIFS('reductions data'!$G:$G,'reasons for reduction division'!$B57,'reductions data'!$A:$A,Q$25)</f>
        <v>0</v>
      </c>
      <c r="R57" s="93">
        <f>COUNTIFS('reductions data'!$G:$G,'reasons for reduction division'!$B57,'reductions data'!$A:$A,R$25)</f>
        <v>0</v>
      </c>
      <c r="S57" s="93">
        <f>COUNTIFS('reductions data'!$G:$G,'reasons for reduction division'!$B57,'reductions data'!$A:$A,S$25)</f>
        <v>0</v>
      </c>
      <c r="T57" s="93">
        <f>COUNTIFS('reductions data'!$G:$G,'reasons for reduction division'!$B57,'reductions data'!$A:$A,T$25)</f>
        <v>0</v>
      </c>
      <c r="U57" s="93">
        <f>COUNTIFS('reductions data'!$G:$G,'reasons for reduction division'!$B57,'reductions data'!$A:$A,U$25)</f>
        <v>0</v>
      </c>
      <c r="V57" s="93">
        <f>COUNTIFS('reductions data'!$G:$G,'reasons for reduction division'!$B57,'reductions data'!$A:$A,V$25)</f>
        <v>0</v>
      </c>
      <c r="W57" s="93">
        <f>COUNTIFS('reductions data'!$G:$G,'reasons for reduction division'!$B57,'reductions data'!$A:$A,W$25)</f>
        <v>0</v>
      </c>
      <c r="X57" s="93">
        <f>COUNTIFS('reductions data'!$G:$G,'reasons for reduction division'!$B57,'reductions data'!$A:$A,X$25)</f>
        <v>0</v>
      </c>
      <c r="Y57" s="138">
        <f>COUNTIF('reductions data'!G:G,'reasons for reduction division'!B57)</f>
        <v>0</v>
      </c>
    </row>
    <row r="58" spans="2:25" x14ac:dyDescent="0.15">
      <c r="B58" s="146" t="s">
        <v>227</v>
      </c>
      <c r="C58" s="93">
        <f>COUNTIFS('reductions data'!G:G,'reasons for reduction division'!B58,'reductions data'!A:A,$C$25)</f>
        <v>0</v>
      </c>
      <c r="D58" s="93">
        <f>COUNTIFS('reductions data'!G:G,'reasons for reduction division'!B58,'reductions data'!A:A,$D$25)</f>
        <v>0</v>
      </c>
      <c r="E58" s="93">
        <f>COUNTIFS('reductions data'!G:G,'reasons for reduction division'!B58,'reductions data'!A:A,$E$25)</f>
        <v>0</v>
      </c>
      <c r="F58" s="93">
        <f>COUNTIFS('reductions data'!G:G,'reasons for reduction division'!B58,'reductions data'!A:A,$F$25)</f>
        <v>0</v>
      </c>
      <c r="G58" s="93">
        <f>COUNTIFS('reductions data'!G:G,'reasons for reduction division'!B58,'reductions data'!A:A,$G$25)</f>
        <v>0</v>
      </c>
      <c r="H58" s="93">
        <f>COUNTIFS('reductions data'!G:G,'reasons for reduction division'!B58,'reductions data'!A:A,$H$25)</f>
        <v>0</v>
      </c>
      <c r="I58" s="93">
        <f>COUNTIFS('reductions data'!G:G,'reasons for reduction division'!B58,'reductions data'!A:A,$I$25)</f>
        <v>0</v>
      </c>
      <c r="J58" s="93">
        <f>COUNTIFS('reductions data'!G:G,'reasons for reduction division'!B58,'reductions data'!A:A,$J$25)</f>
        <v>0</v>
      </c>
      <c r="K58" s="93">
        <f>COUNTIFS('reductions data'!G:G,'reasons for reduction division'!B58,'reductions data'!A:A,$K$25)</f>
        <v>0</v>
      </c>
      <c r="L58" s="93">
        <f>COUNTIFS('reductions data'!G:G,'reasons for reduction division'!B58,'reductions data'!A:A,$L$25)</f>
        <v>0</v>
      </c>
      <c r="M58" s="93">
        <f>COUNTIFS('reductions data'!G:G,'reasons for reduction division'!B58,'reductions data'!A:A,$M$25)</f>
        <v>0</v>
      </c>
      <c r="N58" s="93">
        <f>COUNTIFS('reductions data'!G:G,'reasons for reduction division'!B58,'reductions data'!A:A,$N$25)</f>
        <v>0</v>
      </c>
      <c r="O58" s="93">
        <f>COUNTIFS('reductions data'!$G:$G,'reasons for reduction division'!$B58,'reductions data'!$A:$A,O$25)</f>
        <v>0</v>
      </c>
      <c r="P58" s="93">
        <f>COUNTIFS('reductions data'!$G:$G,'reasons for reduction division'!$B58,'reductions data'!$A:$A,P$25)</f>
        <v>0</v>
      </c>
      <c r="Q58" s="93">
        <f>COUNTIFS('reductions data'!$G:$G,'reasons for reduction division'!$B58,'reductions data'!$A:$A,Q$25)</f>
        <v>0</v>
      </c>
      <c r="R58" s="93">
        <f>COUNTIFS('reductions data'!$G:$G,'reasons for reduction division'!$B58,'reductions data'!$A:$A,R$25)</f>
        <v>0</v>
      </c>
      <c r="S58" s="93">
        <f>COUNTIFS('reductions data'!$G:$G,'reasons for reduction division'!$B58,'reductions data'!$A:$A,S$25)</f>
        <v>0</v>
      </c>
      <c r="T58" s="93">
        <f>COUNTIFS('reductions data'!$G:$G,'reasons for reduction division'!$B58,'reductions data'!$A:$A,T$25)</f>
        <v>0</v>
      </c>
      <c r="U58" s="93">
        <f>COUNTIFS('reductions data'!$G:$G,'reasons for reduction division'!$B58,'reductions data'!$A:$A,U$25)</f>
        <v>0</v>
      </c>
      <c r="V58" s="93">
        <f>COUNTIFS('reductions data'!$G:$G,'reasons for reduction division'!$B58,'reductions data'!$A:$A,V$25)</f>
        <v>0</v>
      </c>
      <c r="W58" s="93">
        <f>COUNTIFS('reductions data'!$G:$G,'reasons for reduction division'!$B58,'reductions data'!$A:$A,W$25)</f>
        <v>0</v>
      </c>
      <c r="X58" s="93">
        <f>COUNTIFS('reductions data'!$G:$G,'reasons for reduction division'!$B58,'reductions data'!$A:$A,X$25)</f>
        <v>0</v>
      </c>
      <c r="Y58" s="138">
        <f>COUNTIF('reductions data'!G:G,'reasons for reduction division'!B58)</f>
        <v>0</v>
      </c>
    </row>
    <row r="59" spans="2:25" s="30" customFormat="1" x14ac:dyDescent="0.15">
      <c r="B59" s="146" t="s">
        <v>496</v>
      </c>
      <c r="C59" s="93">
        <f>COUNTIFS('reductions data'!G:G,'reasons for reduction division'!B59,'reductions data'!A:A,$C$25)</f>
        <v>0</v>
      </c>
      <c r="D59" s="93">
        <f>COUNTIFS('reductions data'!G:G,'reasons for reduction division'!B59,'reductions data'!A:A,$D$25)</f>
        <v>0</v>
      </c>
      <c r="E59" s="93">
        <f>COUNTIFS('reductions data'!G:G,'reasons for reduction division'!B59,'reductions data'!A:A,$E$25)</f>
        <v>0</v>
      </c>
      <c r="F59" s="93">
        <f>COUNTIFS('reductions data'!G:G,'reasons for reduction division'!B59,'reductions data'!A:A,$F$25)</f>
        <v>0</v>
      </c>
      <c r="G59" s="93">
        <f>COUNTIFS('reductions data'!G:G,'reasons for reduction division'!B59,'reductions data'!A:A,$G$25)</f>
        <v>0</v>
      </c>
      <c r="H59" s="93">
        <f>COUNTIFS('reductions data'!G:G,'reasons for reduction division'!B59,'reductions data'!A:A,$H$25)</f>
        <v>0</v>
      </c>
      <c r="I59" s="93">
        <f>COUNTIFS('reductions data'!G:G,'reasons for reduction division'!B59,'reductions data'!A:A,$I$25)</f>
        <v>0</v>
      </c>
      <c r="J59" s="93">
        <f>COUNTIFS('reductions data'!G:G,'reasons for reduction division'!B59,'reductions data'!A:A,$J$25)</f>
        <v>0</v>
      </c>
      <c r="K59" s="93">
        <f>COUNTIFS('reductions data'!G:G,'reasons for reduction division'!B59,'reductions data'!A:A,$K$25)</f>
        <v>0</v>
      </c>
      <c r="L59" s="93">
        <f>COUNTIFS('reductions data'!G:G,'reasons for reduction division'!B59,'reductions data'!A:A,$L$25)</f>
        <v>0</v>
      </c>
      <c r="M59" s="93">
        <f>COUNTIFS('reductions data'!G:G,'reasons for reduction division'!B59,'reductions data'!A:A,$M$25)</f>
        <v>0</v>
      </c>
      <c r="N59" s="93">
        <f>COUNTIFS('reductions data'!G:G,'reasons for reduction division'!B59,'reductions data'!A:A,$N$25)</f>
        <v>0</v>
      </c>
      <c r="O59" s="93">
        <f>COUNTIFS('reductions data'!$G:$G,'reasons for reduction division'!$B59,'reductions data'!$A:$A,O$25)</f>
        <v>0</v>
      </c>
      <c r="P59" s="93">
        <f>COUNTIFS('reductions data'!$G:$G,'reasons for reduction division'!$B59,'reductions data'!$A:$A,P$25)</f>
        <v>0</v>
      </c>
      <c r="Q59" s="93">
        <f>COUNTIFS('reductions data'!$G:$G,'reasons for reduction division'!$B59,'reductions data'!$A:$A,Q$25)</f>
        <v>0</v>
      </c>
      <c r="R59" s="93">
        <f>COUNTIFS('reductions data'!$G:$G,'reasons for reduction division'!$B59,'reductions data'!$A:$A,R$25)</f>
        <v>0</v>
      </c>
      <c r="S59" s="93">
        <f>COUNTIFS('reductions data'!$G:$G,'reasons for reduction division'!$B59,'reductions data'!$A:$A,S$25)</f>
        <v>0</v>
      </c>
      <c r="T59" s="93">
        <f>COUNTIFS('reductions data'!$G:$G,'reasons for reduction division'!$B59,'reductions data'!$A:$A,T$25)</f>
        <v>0</v>
      </c>
      <c r="U59" s="93">
        <f>COUNTIFS('reductions data'!$G:$G,'reasons for reduction division'!$B59,'reductions data'!$A:$A,U$25)</f>
        <v>0</v>
      </c>
      <c r="V59" s="93">
        <f>COUNTIFS('reductions data'!$G:$G,'reasons for reduction division'!$B59,'reductions data'!$A:$A,V$25)</f>
        <v>0</v>
      </c>
      <c r="W59" s="93">
        <f>COUNTIFS('reductions data'!$G:$G,'reasons for reduction division'!$B59,'reductions data'!$A:$A,W$25)</f>
        <v>0</v>
      </c>
      <c r="X59" s="93">
        <f>COUNTIFS('reductions data'!$G:$G,'reasons for reduction division'!$B59,'reductions data'!$A:$A,X$25)</f>
        <v>0</v>
      </c>
      <c r="Y59" s="138">
        <f>COUNTIF('reductions data'!G:G,'reasons for reduction division'!B59)</f>
        <v>0</v>
      </c>
    </row>
    <row r="60" spans="2:25" s="30" customFormat="1" x14ac:dyDescent="0.15">
      <c r="B60" s="146" t="s">
        <v>498</v>
      </c>
      <c r="C60" s="93">
        <f>COUNTIFS('reductions data'!G:G,'reasons for reduction division'!B60,'reductions data'!A:A,$C$25)</f>
        <v>0</v>
      </c>
      <c r="D60" s="93">
        <f>COUNTIFS('reductions data'!G:G,'reasons for reduction division'!B60,'reductions data'!A:A,$D$25)</f>
        <v>0</v>
      </c>
      <c r="E60" s="93">
        <f>COUNTIFS('reductions data'!G:G,'reasons for reduction division'!B60,'reductions data'!A:A,$E$25)</f>
        <v>0</v>
      </c>
      <c r="F60" s="93">
        <f>COUNTIFS('reductions data'!G:G,'reasons for reduction division'!B60,'reductions data'!A:A,$F$25)</f>
        <v>0</v>
      </c>
      <c r="G60" s="93">
        <f>COUNTIFS('reductions data'!G:G,'reasons for reduction division'!B60,'reductions data'!A:A,$G$25)</f>
        <v>0</v>
      </c>
      <c r="H60" s="93">
        <f>COUNTIFS('reductions data'!G:G,'reasons for reduction division'!B60,'reductions data'!A:A,$H$25)</f>
        <v>0</v>
      </c>
      <c r="I60" s="93">
        <f>COUNTIFS('reductions data'!G:G,'reasons for reduction division'!B60,'reductions data'!A:A,$I$25)</f>
        <v>0</v>
      </c>
      <c r="J60" s="93">
        <f>COUNTIFS('reductions data'!G:G,'reasons for reduction division'!B60,'reductions data'!A:A,$J$25)</f>
        <v>0</v>
      </c>
      <c r="K60" s="93">
        <f>COUNTIFS('reductions data'!G:G,'reasons for reduction division'!B60,'reductions data'!A:A,$K$25)</f>
        <v>0</v>
      </c>
      <c r="L60" s="93">
        <f>COUNTIFS('reductions data'!G:G,'reasons for reduction division'!B60,'reductions data'!A:A,$L$25)</f>
        <v>0</v>
      </c>
      <c r="M60" s="93">
        <f>COUNTIFS('reductions data'!G:G,'reasons for reduction division'!B60,'reductions data'!A:A,$M$25)</f>
        <v>0</v>
      </c>
      <c r="N60" s="93">
        <f>COUNTIFS('reductions data'!G:G,'reasons for reduction division'!B60,'reductions data'!A:A,$N$25)</f>
        <v>0</v>
      </c>
      <c r="O60" s="93">
        <f>COUNTIFS('reductions data'!$G:$G,'reasons for reduction division'!$B60,'reductions data'!$A:$A,O$25)</f>
        <v>0</v>
      </c>
      <c r="P60" s="93">
        <f>COUNTIFS('reductions data'!$G:$G,'reasons for reduction division'!$B60,'reductions data'!$A:$A,P$25)</f>
        <v>0</v>
      </c>
      <c r="Q60" s="93">
        <f>COUNTIFS('reductions data'!$G:$G,'reasons for reduction division'!$B60,'reductions data'!$A:$A,Q$25)</f>
        <v>0</v>
      </c>
      <c r="R60" s="93">
        <f>COUNTIFS('reductions data'!$G:$G,'reasons for reduction division'!$B60,'reductions data'!$A:$A,R$25)</f>
        <v>0</v>
      </c>
      <c r="S60" s="93">
        <f>COUNTIFS('reductions data'!$G:$G,'reasons for reduction division'!$B60,'reductions data'!$A:$A,S$25)</f>
        <v>0</v>
      </c>
      <c r="T60" s="93">
        <f>COUNTIFS('reductions data'!$G:$G,'reasons for reduction division'!$B60,'reductions data'!$A:$A,T$25)</f>
        <v>0</v>
      </c>
      <c r="U60" s="93">
        <f>COUNTIFS('reductions data'!$G:$G,'reasons for reduction division'!$B60,'reductions data'!$A:$A,U$25)</f>
        <v>0</v>
      </c>
      <c r="V60" s="93">
        <f>COUNTIFS('reductions data'!$G:$G,'reasons for reduction division'!$B60,'reductions data'!$A:$A,V$25)</f>
        <v>0</v>
      </c>
      <c r="W60" s="93">
        <f>COUNTIFS('reductions data'!$G:$G,'reasons for reduction division'!$B60,'reductions data'!$A:$A,W$25)</f>
        <v>0</v>
      </c>
      <c r="X60" s="93">
        <f>COUNTIFS('reductions data'!$G:$G,'reasons for reduction division'!$B60,'reductions data'!$A:$A,X$25)</f>
        <v>0</v>
      </c>
      <c r="Y60" s="138">
        <f>COUNTIF('reductions data'!G:G,'reasons for reduction division'!B60)</f>
        <v>0</v>
      </c>
    </row>
    <row r="61" spans="2:25" s="30" customFormat="1" x14ac:dyDescent="0.15">
      <c r="B61" s="146" t="s">
        <v>499</v>
      </c>
      <c r="C61" s="93">
        <f>COUNTIFS('reductions data'!G:G,'reasons for reduction division'!B61,'reductions data'!A:A,$C$25)</f>
        <v>0</v>
      </c>
      <c r="D61" s="93">
        <f>COUNTIFS('reductions data'!G:G,'reasons for reduction division'!B61,'reductions data'!A:A,$D$25)</f>
        <v>0</v>
      </c>
      <c r="E61" s="93">
        <f>COUNTIFS('reductions data'!G:G,'reasons for reduction division'!B61,'reductions data'!A:A,$E$25)</f>
        <v>0</v>
      </c>
      <c r="F61" s="93">
        <f>COUNTIFS('reductions data'!G:G,'reasons for reduction division'!B61,'reductions data'!A:A,$F$25)</f>
        <v>0</v>
      </c>
      <c r="G61" s="93">
        <f>COUNTIFS('reductions data'!G:G,'reasons for reduction division'!B61,'reductions data'!A:A,$G$25)</f>
        <v>0</v>
      </c>
      <c r="H61" s="93">
        <f>COUNTIFS('reductions data'!G:G,'reasons for reduction division'!B61,'reductions data'!A:A,$H$25)</f>
        <v>0</v>
      </c>
      <c r="I61" s="93">
        <f>COUNTIFS('reductions data'!G:G,'reasons for reduction division'!B61,'reductions data'!A:A,$I$25)</f>
        <v>0</v>
      </c>
      <c r="J61" s="93">
        <f>COUNTIFS('reductions data'!G:G,'reasons for reduction division'!B61,'reductions data'!A:A,$J$25)</f>
        <v>0</v>
      </c>
      <c r="K61" s="93">
        <f>COUNTIFS('reductions data'!G:G,'reasons for reduction division'!B61,'reductions data'!A:A,$K$25)</f>
        <v>0</v>
      </c>
      <c r="L61" s="93">
        <f>COUNTIFS('reductions data'!G:G,'reasons for reduction division'!B61,'reductions data'!A:A,$L$25)</f>
        <v>0</v>
      </c>
      <c r="M61" s="93">
        <f>COUNTIFS('reductions data'!G:G,'reasons for reduction division'!B61,'reductions data'!A:A,$M$25)</f>
        <v>0</v>
      </c>
      <c r="N61" s="93">
        <f>COUNTIFS('reductions data'!G:G,'reasons for reduction division'!B61,'reductions data'!A:A,$N$25)</f>
        <v>0</v>
      </c>
      <c r="O61" s="93">
        <f>COUNTIFS('reductions data'!$G:$G,'reasons for reduction division'!$B61,'reductions data'!$A:$A,O$25)</f>
        <v>0</v>
      </c>
      <c r="P61" s="93">
        <f>COUNTIFS('reductions data'!$G:$G,'reasons for reduction division'!$B61,'reductions data'!$A:$A,P$25)</f>
        <v>0</v>
      </c>
      <c r="Q61" s="93">
        <f>COUNTIFS('reductions data'!$G:$G,'reasons for reduction division'!$B61,'reductions data'!$A:$A,Q$25)</f>
        <v>0</v>
      </c>
      <c r="R61" s="93">
        <f>COUNTIFS('reductions data'!$G:$G,'reasons for reduction division'!$B61,'reductions data'!$A:$A,R$25)</f>
        <v>0</v>
      </c>
      <c r="S61" s="93">
        <f>COUNTIFS('reductions data'!$G:$G,'reasons for reduction division'!$B61,'reductions data'!$A:$A,S$25)</f>
        <v>0</v>
      </c>
      <c r="T61" s="93">
        <f>COUNTIFS('reductions data'!$G:$G,'reasons for reduction division'!$B61,'reductions data'!$A:$A,T$25)</f>
        <v>0</v>
      </c>
      <c r="U61" s="93">
        <f>COUNTIFS('reductions data'!$G:$G,'reasons for reduction division'!$B61,'reductions data'!$A:$A,U$25)</f>
        <v>0</v>
      </c>
      <c r="V61" s="93">
        <f>COUNTIFS('reductions data'!$G:$G,'reasons for reduction division'!$B61,'reductions data'!$A:$A,V$25)</f>
        <v>0</v>
      </c>
      <c r="W61" s="93">
        <f>COUNTIFS('reductions data'!$G:$G,'reasons for reduction division'!$B61,'reductions data'!$A:$A,W$25)</f>
        <v>0</v>
      </c>
      <c r="X61" s="93">
        <f>COUNTIFS('reductions data'!$G:$G,'reasons for reduction division'!$B61,'reductions data'!$A:$A,X$25)</f>
        <v>0</v>
      </c>
      <c r="Y61" s="138">
        <f>COUNTIF('reductions data'!G:G,'reasons for reduction division'!B61)</f>
        <v>0</v>
      </c>
    </row>
    <row r="62" spans="2:25" x14ac:dyDescent="0.15">
      <c r="B62" s="146" t="s">
        <v>253</v>
      </c>
      <c r="C62" s="93">
        <f>COUNTIFS('reductions data'!G:G,'reasons for reduction division'!B62,'reductions data'!A:A,$C$25)</f>
        <v>0</v>
      </c>
      <c r="D62" s="93">
        <f>COUNTIFS('reductions data'!G:G,'reasons for reduction division'!B62,'reductions data'!A:A,$D$25)</f>
        <v>0</v>
      </c>
      <c r="E62" s="93">
        <f>COUNTIFS('reductions data'!G:G,'reasons for reduction division'!B62,'reductions data'!A:A,$E$25)</f>
        <v>0</v>
      </c>
      <c r="F62" s="93">
        <f>COUNTIFS('reductions data'!G:G,'reasons for reduction division'!B62,'reductions data'!A:A,$F$25)</f>
        <v>0</v>
      </c>
      <c r="G62" s="93">
        <f>COUNTIFS('reductions data'!G:G,'reasons for reduction division'!B62,'reductions data'!A:A,$G$25)</f>
        <v>0</v>
      </c>
      <c r="H62" s="93">
        <f>COUNTIFS('reductions data'!G:G,'reasons for reduction division'!B62,'reductions data'!A:A,$H$25)</f>
        <v>0</v>
      </c>
      <c r="I62" s="93">
        <f>COUNTIFS('reductions data'!G:G,'reasons for reduction division'!B62,'reductions data'!A:A,$I$25)</f>
        <v>0</v>
      </c>
      <c r="J62" s="93">
        <f>COUNTIFS('reductions data'!G:G,'reasons for reduction division'!B62,'reductions data'!A:A,$J$25)</f>
        <v>0</v>
      </c>
      <c r="K62" s="93">
        <f>COUNTIFS('reductions data'!G:G,'reasons for reduction division'!B62,'reductions data'!A:A,$K$25)</f>
        <v>0</v>
      </c>
      <c r="L62" s="93">
        <f>COUNTIFS('reductions data'!G:G,'reasons for reduction division'!B62,'reductions data'!A:A,$L$25)</f>
        <v>0</v>
      </c>
      <c r="M62" s="93">
        <f>COUNTIFS('reductions data'!G:G,'reasons for reduction division'!B62,'reductions data'!A:A,$M$25)</f>
        <v>0</v>
      </c>
      <c r="N62" s="93">
        <f>COUNTIFS('reductions data'!G:G,'reasons for reduction division'!B62,'reductions data'!A:A,$N$25)</f>
        <v>0</v>
      </c>
      <c r="O62" s="93">
        <f>COUNTIFS('reductions data'!$G:$G,'reasons for reduction division'!$B62,'reductions data'!$A:$A,O$25)</f>
        <v>0</v>
      </c>
      <c r="P62" s="93">
        <f>COUNTIFS('reductions data'!$G:$G,'reasons for reduction division'!$B62,'reductions data'!$A:$A,P$25)</f>
        <v>0</v>
      </c>
      <c r="Q62" s="93">
        <f>COUNTIFS('reductions data'!$G:$G,'reasons for reduction division'!$B62,'reductions data'!$A:$A,Q$25)</f>
        <v>0</v>
      </c>
      <c r="R62" s="93">
        <f>COUNTIFS('reductions data'!$G:$G,'reasons for reduction division'!$B62,'reductions data'!$A:$A,R$25)</f>
        <v>0</v>
      </c>
      <c r="S62" s="93">
        <f>COUNTIFS('reductions data'!$G:$G,'reasons for reduction division'!$B62,'reductions data'!$A:$A,S$25)</f>
        <v>0</v>
      </c>
      <c r="T62" s="93">
        <f>COUNTIFS('reductions data'!$G:$G,'reasons for reduction division'!$B62,'reductions data'!$A:$A,T$25)</f>
        <v>0</v>
      </c>
      <c r="U62" s="93">
        <f>COUNTIFS('reductions data'!$G:$G,'reasons for reduction division'!$B62,'reductions data'!$A:$A,U$25)</f>
        <v>0</v>
      </c>
      <c r="V62" s="93">
        <f>COUNTIFS('reductions data'!$G:$G,'reasons for reduction division'!$B62,'reductions data'!$A:$A,V$25)</f>
        <v>0</v>
      </c>
      <c r="W62" s="93">
        <f>COUNTIFS('reductions data'!$G:$G,'reasons for reduction division'!$B62,'reductions data'!$A:$A,W$25)</f>
        <v>0</v>
      </c>
      <c r="X62" s="93">
        <f>COUNTIFS('reductions data'!$G:$G,'reasons for reduction division'!$B62,'reductions data'!$A:$A,X$25)</f>
        <v>0</v>
      </c>
      <c r="Y62" s="138">
        <f>COUNTIF('reductions data'!G:G,'reasons for reduction division'!B62)</f>
        <v>0</v>
      </c>
    </row>
    <row r="63" spans="2:25" x14ac:dyDescent="0.15">
      <c r="B63" s="146" t="s">
        <v>225</v>
      </c>
      <c r="C63" s="93">
        <f>COUNTIFS('reductions data'!G:G,'reasons for reduction division'!B63,'reductions data'!A:A,$C$25)</f>
        <v>0</v>
      </c>
      <c r="D63" s="93">
        <f>COUNTIFS('reductions data'!G:G,'reasons for reduction division'!B63,'reductions data'!A:A,$D$25)</f>
        <v>0</v>
      </c>
      <c r="E63" s="93">
        <f>COUNTIFS('reductions data'!G:G,'reasons for reduction division'!B63,'reductions data'!A:A,$E$25)</f>
        <v>0</v>
      </c>
      <c r="F63" s="93">
        <f>COUNTIFS('reductions data'!G:G,'reasons for reduction division'!B63,'reductions data'!A:A,$F$25)</f>
        <v>0</v>
      </c>
      <c r="G63" s="93">
        <f>COUNTIFS('reductions data'!G:G,'reasons for reduction division'!B63,'reductions data'!A:A,$G$25)</f>
        <v>0</v>
      </c>
      <c r="H63" s="93">
        <f>COUNTIFS('reductions data'!G:G,'reasons for reduction division'!B63,'reductions data'!A:A,$H$25)</f>
        <v>0</v>
      </c>
      <c r="I63" s="93">
        <f>COUNTIFS('reductions data'!G:G,'reasons for reduction division'!B63,'reductions data'!A:A,$I$25)</f>
        <v>0</v>
      </c>
      <c r="J63" s="93">
        <f>COUNTIFS('reductions data'!G:G,'reasons for reduction division'!B63,'reductions data'!A:A,$J$25)</f>
        <v>0</v>
      </c>
      <c r="K63" s="93">
        <f>COUNTIFS('reductions data'!G:G,'reasons for reduction division'!B63,'reductions data'!A:A,$K$25)</f>
        <v>0</v>
      </c>
      <c r="L63" s="93">
        <f>COUNTIFS('reductions data'!G:G,'reasons for reduction division'!B63,'reductions data'!A:A,$L$25)</f>
        <v>0</v>
      </c>
      <c r="M63" s="93">
        <f>COUNTIFS('reductions data'!G:G,'reasons for reduction division'!B63,'reductions data'!A:A,$M$25)</f>
        <v>0</v>
      </c>
      <c r="N63" s="93">
        <f>COUNTIFS('reductions data'!G:G,'reasons for reduction division'!B63,'reductions data'!A:A,$N$25)</f>
        <v>0</v>
      </c>
      <c r="O63" s="93">
        <f>COUNTIFS('reductions data'!$G:$G,'reasons for reduction division'!$B63,'reductions data'!$A:$A,O$25)</f>
        <v>0</v>
      </c>
      <c r="P63" s="93">
        <f>COUNTIFS('reductions data'!$G:$G,'reasons for reduction division'!$B63,'reductions data'!$A:$A,P$25)</f>
        <v>0</v>
      </c>
      <c r="Q63" s="93">
        <f>COUNTIFS('reductions data'!$G:$G,'reasons for reduction division'!$B63,'reductions data'!$A:$A,Q$25)</f>
        <v>0</v>
      </c>
      <c r="R63" s="93">
        <f>COUNTIFS('reductions data'!$G:$G,'reasons for reduction division'!$B63,'reductions data'!$A:$A,R$25)</f>
        <v>0</v>
      </c>
      <c r="S63" s="93">
        <f>COUNTIFS('reductions data'!$G:$G,'reasons for reduction division'!$B63,'reductions data'!$A:$A,S$25)</f>
        <v>0</v>
      </c>
      <c r="T63" s="93">
        <f>COUNTIFS('reductions data'!$G:$G,'reasons for reduction division'!$B63,'reductions data'!$A:$A,T$25)</f>
        <v>0</v>
      </c>
      <c r="U63" s="93">
        <f>COUNTIFS('reductions data'!$G:$G,'reasons for reduction division'!$B63,'reductions data'!$A:$A,U$25)</f>
        <v>0</v>
      </c>
      <c r="V63" s="93">
        <f>COUNTIFS('reductions data'!$G:$G,'reasons for reduction division'!$B63,'reductions data'!$A:$A,V$25)</f>
        <v>0</v>
      </c>
      <c r="W63" s="93">
        <f>COUNTIFS('reductions data'!$G:$G,'reasons for reduction division'!$B63,'reductions data'!$A:$A,W$25)</f>
        <v>0</v>
      </c>
      <c r="X63" s="93">
        <f>COUNTIFS('reductions data'!$G:$G,'reasons for reduction division'!$B63,'reductions data'!$A:$A,X$25)</f>
        <v>0</v>
      </c>
      <c r="Y63" s="138">
        <f>COUNTIF('reductions data'!G:G,'reasons for reduction division'!B63)</f>
        <v>0</v>
      </c>
    </row>
    <row r="64" spans="2:25" x14ac:dyDescent="0.15">
      <c r="B64" s="146" t="s">
        <v>254</v>
      </c>
      <c r="C64" s="93">
        <f>COUNTIFS('reductions data'!G:G,'reasons for reduction division'!B64,'reductions data'!A:A,$C$25)</f>
        <v>0</v>
      </c>
      <c r="D64" s="93">
        <f>COUNTIFS('reductions data'!G:G,'reasons for reduction division'!B64,'reductions data'!A:A,$D$25)</f>
        <v>0</v>
      </c>
      <c r="E64" s="93">
        <f>COUNTIFS('reductions data'!G:G,'reasons for reduction division'!B64,'reductions data'!A:A,$E$25)</f>
        <v>0</v>
      </c>
      <c r="F64" s="93">
        <f>COUNTIFS('reductions data'!G:G,'reasons for reduction division'!B64,'reductions data'!A:A,$F$25)</f>
        <v>0</v>
      </c>
      <c r="G64" s="93">
        <f>COUNTIFS('reductions data'!G:G,'reasons for reduction division'!B64,'reductions data'!A:A,$G$25)</f>
        <v>0</v>
      </c>
      <c r="H64" s="93">
        <f>COUNTIFS('reductions data'!G:G,'reasons for reduction division'!B64,'reductions data'!A:A,$H$25)</f>
        <v>0</v>
      </c>
      <c r="I64" s="93">
        <f>COUNTIFS('reductions data'!G:G,'reasons for reduction division'!B64,'reductions data'!A:A,$I$25)</f>
        <v>0</v>
      </c>
      <c r="J64" s="93">
        <f>COUNTIFS('reductions data'!G:G,'reasons for reduction division'!B64,'reductions data'!A:A,$J$25)</f>
        <v>0</v>
      </c>
      <c r="K64" s="93">
        <f>COUNTIFS('reductions data'!G:G,'reasons for reduction division'!B64,'reductions data'!A:A,$K$25)</f>
        <v>0</v>
      </c>
      <c r="L64" s="93">
        <f>COUNTIFS('reductions data'!G:G,'reasons for reduction division'!B64,'reductions data'!A:A,$L$25)</f>
        <v>0</v>
      </c>
      <c r="M64" s="93">
        <f>COUNTIFS('reductions data'!G:G,'reasons for reduction division'!B64,'reductions data'!A:A,$M$25)</f>
        <v>0</v>
      </c>
      <c r="N64" s="93">
        <f>COUNTIFS('reductions data'!G:G,'reasons for reduction division'!B64,'reductions data'!A:A,$N$25)</f>
        <v>0</v>
      </c>
      <c r="O64" s="93">
        <f>COUNTIFS('reductions data'!$G:$G,'reasons for reduction division'!$B64,'reductions data'!$A:$A,O$25)</f>
        <v>0</v>
      </c>
      <c r="P64" s="93">
        <f>COUNTIFS('reductions data'!$G:$G,'reasons for reduction division'!$B64,'reductions data'!$A:$A,P$25)</f>
        <v>0</v>
      </c>
      <c r="Q64" s="93">
        <f>COUNTIFS('reductions data'!$G:$G,'reasons for reduction division'!$B64,'reductions data'!$A:$A,Q$25)</f>
        <v>0</v>
      </c>
      <c r="R64" s="93">
        <f>COUNTIFS('reductions data'!$G:$G,'reasons for reduction division'!$B64,'reductions data'!$A:$A,R$25)</f>
        <v>0</v>
      </c>
      <c r="S64" s="93">
        <f>COUNTIFS('reductions data'!$G:$G,'reasons for reduction division'!$B64,'reductions data'!$A:$A,S$25)</f>
        <v>0</v>
      </c>
      <c r="T64" s="93">
        <f>COUNTIFS('reductions data'!$G:$G,'reasons for reduction division'!$B64,'reductions data'!$A:$A,T$25)</f>
        <v>0</v>
      </c>
      <c r="U64" s="93">
        <f>COUNTIFS('reductions data'!$G:$G,'reasons for reduction division'!$B64,'reductions data'!$A:$A,U$25)</f>
        <v>0</v>
      </c>
      <c r="V64" s="93">
        <f>COUNTIFS('reductions data'!$G:$G,'reasons for reduction division'!$B64,'reductions data'!$A:$A,V$25)</f>
        <v>0</v>
      </c>
      <c r="W64" s="93">
        <f>COUNTIFS('reductions data'!$G:$G,'reasons for reduction division'!$B64,'reductions data'!$A:$A,W$25)</f>
        <v>0</v>
      </c>
      <c r="X64" s="93">
        <f>COUNTIFS('reductions data'!$G:$G,'reasons for reduction division'!$B64,'reductions data'!$A:$A,X$25)</f>
        <v>0</v>
      </c>
      <c r="Y64" s="138">
        <f>COUNTIF('reductions data'!G:G,'reasons for reduction division'!B64)</f>
        <v>0</v>
      </c>
    </row>
    <row r="65" spans="2:25" x14ac:dyDescent="0.15">
      <c r="B65" s="146" t="s">
        <v>216</v>
      </c>
      <c r="C65" s="93">
        <f>COUNTIFS('reductions data'!G:G,'reasons for reduction division'!B65,'reductions data'!A:A,$C$25)</f>
        <v>0</v>
      </c>
      <c r="D65" s="93">
        <f>COUNTIFS('reductions data'!G:G,'reasons for reduction division'!B65,'reductions data'!A:A,$D$25)</f>
        <v>0</v>
      </c>
      <c r="E65" s="93">
        <f>COUNTIFS('reductions data'!G:G,'reasons for reduction division'!B65,'reductions data'!A:A,$E$25)</f>
        <v>0</v>
      </c>
      <c r="F65" s="93">
        <f>COUNTIFS('reductions data'!G:G,'reasons for reduction division'!B65,'reductions data'!A:A,$F$25)</f>
        <v>0</v>
      </c>
      <c r="G65" s="93">
        <f>COUNTIFS('reductions data'!G:G,'reasons for reduction division'!B65,'reductions data'!A:A,$G$25)</f>
        <v>0</v>
      </c>
      <c r="H65" s="93">
        <f>COUNTIFS('reductions data'!G:G,'reasons for reduction division'!B65,'reductions data'!A:A,$H$25)</f>
        <v>0</v>
      </c>
      <c r="I65" s="93">
        <f>COUNTIFS('reductions data'!G:G,'reasons for reduction division'!B65,'reductions data'!A:A,$I$25)</f>
        <v>0</v>
      </c>
      <c r="J65" s="93">
        <f>COUNTIFS('reductions data'!G:G,'reasons for reduction division'!B65,'reductions data'!A:A,$J$25)</f>
        <v>0</v>
      </c>
      <c r="K65" s="93">
        <f>COUNTIFS('reductions data'!G:G,'reasons for reduction division'!B65,'reductions data'!A:A,$K$25)</f>
        <v>0</v>
      </c>
      <c r="L65" s="93">
        <f>COUNTIFS('reductions data'!G:G,'reasons for reduction division'!B65,'reductions data'!A:A,$L$25)</f>
        <v>0</v>
      </c>
      <c r="M65" s="93">
        <f>COUNTIFS('reductions data'!G:G,'reasons for reduction division'!B65,'reductions data'!A:A,$M$25)</f>
        <v>0</v>
      </c>
      <c r="N65" s="93">
        <f>COUNTIFS('reductions data'!G:G,'reasons for reduction division'!B65,'reductions data'!A:A,$N$25)</f>
        <v>0</v>
      </c>
      <c r="O65" s="93">
        <f>COUNTIFS('reductions data'!$G:$G,'reasons for reduction division'!$B65,'reductions data'!$A:$A,O$25)</f>
        <v>0</v>
      </c>
      <c r="P65" s="93">
        <f>COUNTIFS('reductions data'!$G:$G,'reasons for reduction division'!$B65,'reductions data'!$A:$A,P$25)</f>
        <v>0</v>
      </c>
      <c r="Q65" s="93">
        <f>COUNTIFS('reductions data'!$G:$G,'reasons for reduction division'!$B65,'reductions data'!$A:$A,Q$25)</f>
        <v>0</v>
      </c>
      <c r="R65" s="93">
        <f>COUNTIFS('reductions data'!$G:$G,'reasons for reduction division'!$B65,'reductions data'!$A:$A,R$25)</f>
        <v>0</v>
      </c>
      <c r="S65" s="93">
        <f>COUNTIFS('reductions data'!$G:$G,'reasons for reduction division'!$B65,'reductions data'!$A:$A,S$25)</f>
        <v>0</v>
      </c>
      <c r="T65" s="93">
        <f>COUNTIFS('reductions data'!$G:$G,'reasons for reduction division'!$B65,'reductions data'!$A:$A,T$25)</f>
        <v>0</v>
      </c>
      <c r="U65" s="93">
        <f>COUNTIFS('reductions data'!$G:$G,'reasons for reduction division'!$B65,'reductions data'!$A:$A,U$25)</f>
        <v>0</v>
      </c>
      <c r="V65" s="93">
        <f>COUNTIFS('reductions data'!$G:$G,'reasons for reduction division'!$B65,'reductions data'!$A:$A,V$25)</f>
        <v>0</v>
      </c>
      <c r="W65" s="93">
        <f>COUNTIFS('reductions data'!$G:$G,'reasons for reduction division'!$B65,'reductions data'!$A:$A,W$25)</f>
        <v>0</v>
      </c>
      <c r="X65" s="93">
        <f>COUNTIFS('reductions data'!$G:$G,'reasons for reduction division'!$B65,'reductions data'!$A:$A,X$25)</f>
        <v>0</v>
      </c>
      <c r="Y65" s="138">
        <f>COUNTIF('reductions data'!G:G,'reasons for reduction division'!B65)</f>
        <v>0</v>
      </c>
    </row>
    <row r="66" spans="2:25" x14ac:dyDescent="0.15">
      <c r="B66" s="146" t="s">
        <v>231</v>
      </c>
      <c r="C66" s="93">
        <f>COUNTIFS('reductions data'!G:G,'reasons for reduction division'!B66,'reductions data'!A:A,$C$25)</f>
        <v>0</v>
      </c>
      <c r="D66" s="93">
        <f>COUNTIFS('reductions data'!G:G,'reasons for reduction division'!B66,'reductions data'!A:A,$D$25)</f>
        <v>0</v>
      </c>
      <c r="E66" s="93">
        <f>COUNTIFS('reductions data'!G:G,'reasons for reduction division'!B66,'reductions data'!A:A,$E$25)</f>
        <v>0</v>
      </c>
      <c r="F66" s="93">
        <f>COUNTIFS('reductions data'!G:G,'reasons for reduction division'!B66,'reductions data'!A:A,$F$25)</f>
        <v>0</v>
      </c>
      <c r="G66" s="93">
        <f>COUNTIFS('reductions data'!G:G,'reasons for reduction division'!B66,'reductions data'!A:A,$G$25)</f>
        <v>0</v>
      </c>
      <c r="H66" s="93">
        <f>COUNTIFS('reductions data'!G:G,'reasons for reduction division'!B66,'reductions data'!A:A,$H$25)</f>
        <v>0</v>
      </c>
      <c r="I66" s="93">
        <f>COUNTIFS('reductions data'!G:G,'reasons for reduction division'!B66,'reductions data'!A:A,$I$25)</f>
        <v>0</v>
      </c>
      <c r="J66" s="93">
        <f>COUNTIFS('reductions data'!G:G,'reasons for reduction division'!B66,'reductions data'!A:A,$J$25)</f>
        <v>0</v>
      </c>
      <c r="K66" s="93">
        <f>COUNTIFS('reductions data'!G:G,'reasons for reduction division'!B66,'reductions data'!A:A,$K$25)</f>
        <v>0</v>
      </c>
      <c r="L66" s="93">
        <f>COUNTIFS('reductions data'!G:G,'reasons for reduction division'!B66,'reductions data'!A:A,$L$25)</f>
        <v>0</v>
      </c>
      <c r="M66" s="93">
        <f>COUNTIFS('reductions data'!G:G,'reasons for reduction division'!B66,'reductions data'!A:A,$M$25)</f>
        <v>0</v>
      </c>
      <c r="N66" s="93">
        <f>COUNTIFS('reductions data'!G:G,'reasons for reduction division'!B66,'reductions data'!A:A,$N$25)</f>
        <v>0</v>
      </c>
      <c r="O66" s="93">
        <f>COUNTIFS('reductions data'!$G:$G,'reasons for reduction division'!$B66,'reductions data'!$A:$A,O$25)</f>
        <v>0</v>
      </c>
      <c r="P66" s="93">
        <f>COUNTIFS('reductions data'!$G:$G,'reasons for reduction division'!$B66,'reductions data'!$A:$A,P$25)</f>
        <v>0</v>
      </c>
      <c r="Q66" s="93">
        <f>COUNTIFS('reductions data'!$G:$G,'reasons for reduction division'!$B66,'reductions data'!$A:$A,Q$25)</f>
        <v>0</v>
      </c>
      <c r="R66" s="93">
        <f>COUNTIFS('reductions data'!$G:$G,'reasons for reduction division'!$B66,'reductions data'!$A:$A,R$25)</f>
        <v>0</v>
      </c>
      <c r="S66" s="93">
        <f>COUNTIFS('reductions data'!$G:$G,'reasons for reduction division'!$B66,'reductions data'!$A:$A,S$25)</f>
        <v>0</v>
      </c>
      <c r="T66" s="93">
        <f>COUNTIFS('reductions data'!$G:$G,'reasons for reduction division'!$B66,'reductions data'!$A:$A,T$25)</f>
        <v>0</v>
      </c>
      <c r="U66" s="93">
        <f>COUNTIFS('reductions data'!$G:$G,'reasons for reduction division'!$B66,'reductions data'!$A:$A,U$25)</f>
        <v>0</v>
      </c>
      <c r="V66" s="93">
        <f>COUNTIFS('reductions data'!$G:$G,'reasons for reduction division'!$B66,'reductions data'!$A:$A,V$25)</f>
        <v>0</v>
      </c>
      <c r="W66" s="93">
        <f>COUNTIFS('reductions data'!$G:$G,'reasons for reduction division'!$B66,'reductions data'!$A:$A,W$25)</f>
        <v>0</v>
      </c>
      <c r="X66" s="93">
        <f>COUNTIFS('reductions data'!$G:$G,'reasons for reduction division'!$B66,'reductions data'!$A:$A,X$25)</f>
        <v>0</v>
      </c>
      <c r="Y66" s="138">
        <f>COUNTIF('reductions data'!G:G,'reasons for reduction division'!B66)</f>
        <v>0</v>
      </c>
    </row>
    <row r="67" spans="2:25" x14ac:dyDescent="0.15">
      <c r="B67" s="146" t="s">
        <v>1020</v>
      </c>
      <c r="C67" s="93">
        <f>COUNTIFS('reductions data'!G:G,'reasons for reduction division'!B67,'reductions data'!A:A,$C$25)</f>
        <v>0</v>
      </c>
      <c r="D67" s="93">
        <f>COUNTIFS('reductions data'!G:G,'reasons for reduction division'!B67,'reductions data'!A:A,$D$25)</f>
        <v>0</v>
      </c>
      <c r="E67" s="93">
        <f>COUNTIFS('reductions data'!G:G,'reasons for reduction division'!B67,'reductions data'!A:A,$E$25)</f>
        <v>0</v>
      </c>
      <c r="F67" s="93">
        <f>COUNTIFS('reductions data'!G:G,'reasons for reduction division'!B67,'reductions data'!A:A,$F$25)</f>
        <v>0</v>
      </c>
      <c r="G67" s="93">
        <f>COUNTIFS('reductions data'!G:G,'reasons for reduction division'!B67,'reductions data'!A:A,$G$25)</f>
        <v>0</v>
      </c>
      <c r="H67" s="93">
        <f>COUNTIFS('reductions data'!G:G,'reasons for reduction division'!B67,'reductions data'!A:A,$H$25)</f>
        <v>0</v>
      </c>
      <c r="I67" s="93">
        <f>COUNTIFS('reductions data'!G:G,'reasons for reduction division'!B67,'reductions data'!A:A,$I$25)</f>
        <v>0</v>
      </c>
      <c r="J67" s="93">
        <f>COUNTIFS('reductions data'!G:G,'reasons for reduction division'!B67,'reductions data'!A:A,$J$25)</f>
        <v>0</v>
      </c>
      <c r="K67" s="93">
        <f>COUNTIFS('reductions data'!G:G,'reasons for reduction division'!B67,'reductions data'!A:A,$K$25)</f>
        <v>0</v>
      </c>
      <c r="L67" s="93">
        <f>COUNTIFS('reductions data'!G:G,'reasons for reduction division'!B67,'reductions data'!A:A,$L$25)</f>
        <v>0</v>
      </c>
      <c r="M67" s="93">
        <f>COUNTIFS('reductions data'!G:G,'reasons for reduction division'!B67,'reductions data'!A:A,$M$25)</f>
        <v>0</v>
      </c>
      <c r="N67" s="93">
        <f>COUNTIFS('reductions data'!G:G,'reasons for reduction division'!B67,'reductions data'!A:A,$N$25)</f>
        <v>0</v>
      </c>
      <c r="O67" s="93">
        <f>COUNTIFS('reductions data'!$G:$G,'reasons for reduction division'!$B67,'reductions data'!$A:$A,O$25)</f>
        <v>0</v>
      </c>
      <c r="P67" s="93">
        <f>COUNTIFS('reductions data'!$G:$G,'reasons for reduction division'!$B67,'reductions data'!$A:$A,P$25)</f>
        <v>0</v>
      </c>
      <c r="Q67" s="93">
        <f>COUNTIFS('reductions data'!$G:$G,'reasons for reduction division'!$B67,'reductions data'!$A:$A,Q$25)</f>
        <v>0</v>
      </c>
      <c r="R67" s="93">
        <f>COUNTIFS('reductions data'!$G:$G,'reasons for reduction division'!$B67,'reductions data'!$A:$A,R$25)</f>
        <v>0</v>
      </c>
      <c r="S67" s="93">
        <f>COUNTIFS('reductions data'!$G:$G,'reasons for reduction division'!$B67,'reductions data'!$A:$A,S$25)</f>
        <v>0</v>
      </c>
      <c r="T67" s="93">
        <f>COUNTIFS('reductions data'!$G:$G,'reasons for reduction division'!$B67,'reductions data'!$A:$A,T$25)</f>
        <v>0</v>
      </c>
      <c r="U67" s="93">
        <f>COUNTIFS('reductions data'!$G:$G,'reasons for reduction division'!$B67,'reductions data'!$A:$A,U$25)</f>
        <v>0</v>
      </c>
      <c r="V67" s="93">
        <f>COUNTIFS('reductions data'!$G:$G,'reasons for reduction division'!$B67,'reductions data'!$A:$A,V$25)</f>
        <v>0</v>
      </c>
      <c r="W67" s="93">
        <f>COUNTIFS('reductions data'!$G:$G,'reasons for reduction division'!$B67,'reductions data'!$A:$A,W$25)</f>
        <v>0</v>
      </c>
      <c r="X67" s="93">
        <f>COUNTIFS('reductions data'!$G:$G,'reasons for reduction division'!$B67,'reductions data'!$A:$A,X$25)</f>
        <v>0</v>
      </c>
      <c r="Y67" s="138">
        <f>COUNTIF('reductions data'!G:G,'reasons for reduction division'!B67)</f>
        <v>0</v>
      </c>
    </row>
    <row r="68" spans="2:25" x14ac:dyDescent="0.15">
      <c r="B68" s="225" t="s">
        <v>357</v>
      </c>
      <c r="C68" s="226">
        <f>COUNTIF('reductions data'!A:A,$C$25)</f>
        <v>0</v>
      </c>
      <c r="D68" s="226">
        <f>COUNTIF('reductions data'!A:A,$D$25)</f>
        <v>0</v>
      </c>
      <c r="E68" s="226">
        <f>COUNTIF('reductions data'!A:A,$E$25)</f>
        <v>0</v>
      </c>
      <c r="F68" s="226">
        <f>COUNTIF('reductions data'!A:A,$F$25)</f>
        <v>0</v>
      </c>
      <c r="G68" s="226">
        <f>COUNTIF('reductions data'!A:A,$G$25)</f>
        <v>0</v>
      </c>
      <c r="H68" s="226">
        <f>COUNTIF('reductions data'!A:A,$H$25)</f>
        <v>0</v>
      </c>
      <c r="I68" s="226">
        <f>COUNTIF('reductions data'!A:A,$I$25)</f>
        <v>0</v>
      </c>
      <c r="J68" s="226">
        <f>COUNTIF('reductions data'!A:A,$J$25)</f>
        <v>0</v>
      </c>
      <c r="K68" s="226">
        <f>COUNTIF('reductions data'!A:A,$K$25)</f>
        <v>0</v>
      </c>
      <c r="L68" s="226">
        <f>COUNTIF('reductions data'!A:A,$L$25)</f>
        <v>0</v>
      </c>
      <c r="M68" s="226">
        <f>COUNTIF('reductions data'!A:A,$M$25)</f>
        <v>0</v>
      </c>
      <c r="N68" s="226">
        <f>COUNTIF('reductions data'!$A:$A,N$25)</f>
        <v>0</v>
      </c>
      <c r="O68" s="226">
        <f>COUNTIF('reductions data'!$A:$A,O$25)</f>
        <v>0</v>
      </c>
      <c r="P68" s="226">
        <f>COUNTIF('reductions data'!$A:$A,P$25)</f>
        <v>0</v>
      </c>
      <c r="Q68" s="226">
        <f>COUNTIF('reductions data'!$A:$A,Q$25)</f>
        <v>0</v>
      </c>
      <c r="R68" s="226">
        <f>COUNTIF('reductions data'!$A:$A,R$25)</f>
        <v>0</v>
      </c>
      <c r="S68" s="226">
        <f>COUNTIF('reductions data'!$A:$A,S$25)</f>
        <v>0</v>
      </c>
      <c r="T68" s="226">
        <f>COUNTIF('reductions data'!$A:$A,T$25)</f>
        <v>0</v>
      </c>
      <c r="U68" s="226">
        <f>COUNTIF('reductions data'!$A:$A,U$25)</f>
        <v>0</v>
      </c>
      <c r="V68" s="226">
        <f>COUNTIF('reductions data'!$A:$A,V$25)</f>
        <v>0</v>
      </c>
      <c r="W68" s="226">
        <f>COUNTIF('reductions data'!$A:$A,W$25)</f>
        <v>0</v>
      </c>
      <c r="X68" s="226">
        <f>COUNTIF('reductions data'!$A:$A,X$25)</f>
        <v>0</v>
      </c>
      <c r="Y68" s="138">
        <f>COUNTIF('reductions data'!K:K,"ACTIVE")</f>
        <v>0</v>
      </c>
    </row>
    <row r="71" spans="2:25" ht="16" x14ac:dyDescent="0.2">
      <c r="B71" s="30"/>
      <c r="C71" s="426" t="s">
        <v>483</v>
      </c>
      <c r="D71" s="426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426"/>
      <c r="Q71" s="426"/>
      <c r="R71" s="426"/>
      <c r="S71" s="426"/>
      <c r="T71" s="426"/>
      <c r="U71" s="426"/>
      <c r="V71" s="426"/>
      <c r="W71" s="426"/>
      <c r="X71" s="426"/>
      <c r="Y71" s="426"/>
    </row>
    <row r="72" spans="2:25" ht="34.5" customHeight="1" x14ac:dyDescent="0.15">
      <c r="B72" s="107" t="s">
        <v>237</v>
      </c>
      <c r="C72" s="107" t="s">
        <v>4</v>
      </c>
      <c r="D72" s="107" t="s">
        <v>1014</v>
      </c>
      <c r="E72" s="107" t="s">
        <v>5</v>
      </c>
      <c r="F72" s="107" t="s">
        <v>6</v>
      </c>
      <c r="G72" s="107" t="s">
        <v>376</v>
      </c>
      <c r="H72" s="107" t="s">
        <v>1130</v>
      </c>
      <c r="I72" s="107" t="s">
        <v>7</v>
      </c>
      <c r="J72" s="107" t="s">
        <v>1132</v>
      </c>
      <c r="K72" s="107" t="s">
        <v>1217</v>
      </c>
      <c r="L72" s="107" t="s">
        <v>382</v>
      </c>
      <c r="M72" s="107" t="s">
        <v>8</v>
      </c>
      <c r="N72" s="107" t="s">
        <v>9</v>
      </c>
      <c r="O72" s="107" t="s">
        <v>514</v>
      </c>
      <c r="P72" s="107" t="s">
        <v>515</v>
      </c>
      <c r="Q72" s="107" t="s">
        <v>516</v>
      </c>
      <c r="R72" s="107" t="s">
        <v>517</v>
      </c>
      <c r="S72" s="107" t="s">
        <v>518</v>
      </c>
      <c r="T72" s="107" t="s">
        <v>519</v>
      </c>
      <c r="U72" s="107" t="s">
        <v>520</v>
      </c>
      <c r="V72" s="107" t="s">
        <v>521</v>
      </c>
      <c r="W72" s="107" t="s">
        <v>522</v>
      </c>
      <c r="X72" s="107" t="s">
        <v>523</v>
      </c>
      <c r="Y72" s="107" t="s">
        <v>357</v>
      </c>
    </row>
    <row r="73" spans="2:25" x14ac:dyDescent="0.15">
      <c r="B73" s="145" t="s">
        <v>240</v>
      </c>
      <c r="C73" s="93">
        <f>SUMIFS('reductions data'!H:H,'reductions data'!G:G,'reasons for reduction division'!B73,'reductions data'!A:A,$C$72)</f>
        <v>0</v>
      </c>
      <c r="D73" s="93">
        <f>SUMIFS('reductions data'!H:H,'reductions data'!G:G,'reasons for reduction division'!B73,'reductions data'!A:A,$D$72)</f>
        <v>0</v>
      </c>
      <c r="E73" s="93">
        <f>SUMIFS('reductions data'!H:H,'reductions data'!G:G,'reasons for reduction division'!B73,'reductions data'!A:A,$E$72)</f>
        <v>0</v>
      </c>
      <c r="F73" s="93">
        <f>SUMIFS('reductions data'!H:H,'reductions data'!G:G,'reasons for reduction division'!B73,'reductions data'!A:A,$F$72)</f>
        <v>0</v>
      </c>
      <c r="G73" s="93">
        <f>SUMIFS('reductions data'!H:H,'reductions data'!G:G,'reasons for reduction division'!B73,'reductions data'!A:A,$G$72)</f>
        <v>0</v>
      </c>
      <c r="H73" s="93">
        <f>SUMIFS('reductions data'!H:H,'reductions data'!G:G,'reasons for reduction division'!B73,'reductions data'!A:A,$H$72)</f>
        <v>0</v>
      </c>
      <c r="I73" s="93">
        <f>SUMIFS('reductions data'!H:H,'reductions data'!G:G,'reasons for reduction division'!B73,'reductions data'!A:A,$I$72)</f>
        <v>0</v>
      </c>
      <c r="J73" s="93">
        <f>SUMIFS('reductions data'!H:H,'reductions data'!G:G,'reasons for reduction division'!B73,'reductions data'!A:A,$J$72)</f>
        <v>0</v>
      </c>
      <c r="K73" s="93">
        <f>SUMIFS('reductions data'!H:H,'reductions data'!G:G,'reasons for reduction division'!B73,'reductions data'!A:A,$K$72)</f>
        <v>0</v>
      </c>
      <c r="L73" s="93">
        <f>SUMIFS('reductions data'!H:H,'reductions data'!G:G,'reasons for reduction division'!B73,'reductions data'!A:A,$L$72)</f>
        <v>0</v>
      </c>
      <c r="M73" s="93">
        <f>SUMIFS('reductions data'!H:H,'reductions data'!G:G,'reasons for reduction division'!B73,'reductions data'!A:A,$M$72)</f>
        <v>0</v>
      </c>
      <c r="N73" s="93">
        <f>SUMIFS('reductions data'!H:H,'reductions data'!G:G,'reasons for reduction division'!B73,'reductions data'!A:A,$N$72)</f>
        <v>0</v>
      </c>
      <c r="O73" s="93">
        <f>SUMIFS('reductions data'!$H:$H,'reductions data'!$G:$G,'reasons for reduction division'!B73,'reductions data'!$A:$A,O$72)</f>
        <v>0</v>
      </c>
      <c r="P73" s="93">
        <f>SUMIFS('reductions data'!$H:$H,'reductions data'!$G:$G,'reasons for reduction division'!B73,'reductions data'!$A:$A,P$72)</f>
        <v>0</v>
      </c>
      <c r="Q73" s="93">
        <f>SUMIFS('reductions data'!$H:$H,'reductions data'!$G:$G,'reasons for reduction division'!B73,'reductions data'!$A:$A,Q$72)</f>
        <v>0</v>
      </c>
      <c r="R73" s="93">
        <f>SUMIFS('reductions data'!$H:$H,'reductions data'!$G:$G,'reasons for reduction division'!B73,'reductions data'!$A:$A,R$72)</f>
        <v>0</v>
      </c>
      <c r="S73" s="93">
        <f>SUMIFS('reductions data'!$H:$H,'reductions data'!$G:$G,'reasons for reduction division'!B73,'reductions data'!$A:$A,S$72)</f>
        <v>0</v>
      </c>
      <c r="T73" s="93">
        <f>SUMIFS('reductions data'!$H:$H,'reductions data'!$G:$G,'reasons for reduction division'!B73,'reductions data'!$A:$A,T$72)</f>
        <v>0</v>
      </c>
      <c r="U73" s="93">
        <f>SUMIFS('reductions data'!$H:$H,'reductions data'!$G:$G,'reasons for reduction division'!B73,'reductions data'!$A:$A,U$72)</f>
        <v>0</v>
      </c>
      <c r="V73" s="93">
        <f>SUMIFS('reductions data'!$H:$H,'reductions data'!$G:$G,'reasons for reduction division'!B73,'reductions data'!$A:$A,V$72)</f>
        <v>0</v>
      </c>
      <c r="W73" s="93">
        <f>SUMIFS('reductions data'!$H:$H,'reductions data'!$G:$G,'reasons for reduction division'!B73,'reductions data'!$A:$A,W$72)</f>
        <v>0</v>
      </c>
      <c r="X73" s="93">
        <f>SUMIFS('reductions data'!$H:$H,'reductions data'!$G:$G,'reasons for reduction division'!B73,'reductions data'!$A:$A,X$72)</f>
        <v>0</v>
      </c>
      <c r="Y73" s="138">
        <f>SUMIF('reductions data'!G:G,'reasons for reduction division'!B73,'reductions data'!H:H)</f>
        <v>0</v>
      </c>
    </row>
    <row r="74" spans="2:25" x14ac:dyDescent="0.15">
      <c r="B74" s="146" t="s">
        <v>235</v>
      </c>
      <c r="C74" s="93">
        <f>SUMIFS('reductions data'!H:H,'reductions data'!G:G,'reasons for reduction division'!B74,'reductions data'!A:A,$C$72)</f>
        <v>0</v>
      </c>
      <c r="D74" s="93">
        <f>SUMIFS('reductions data'!H:H,'reductions data'!G:G,'reasons for reduction division'!B74,'reductions data'!A:A,$D$72)</f>
        <v>0</v>
      </c>
      <c r="E74" s="93">
        <f>SUMIFS('reductions data'!H:H,'reductions data'!G:G,'reasons for reduction division'!B74,'reductions data'!A:A,$E$72)</f>
        <v>0</v>
      </c>
      <c r="F74" s="93">
        <f>SUMIFS('reductions data'!H:H,'reductions data'!G:G,'reasons for reduction division'!B74,'reductions data'!A:A,$F$72)</f>
        <v>0</v>
      </c>
      <c r="G74" s="93">
        <f>SUMIFS('reductions data'!H:H,'reductions data'!G:G,'reasons for reduction division'!B74,'reductions data'!A:A,$G$72)</f>
        <v>0</v>
      </c>
      <c r="H74" s="93">
        <f>SUMIFS('reductions data'!H:H,'reductions data'!G:G,'reasons for reduction division'!B74,'reductions data'!A:A,$H$72)</f>
        <v>0</v>
      </c>
      <c r="I74" s="93">
        <f>SUMIFS('reductions data'!H:H,'reductions data'!G:G,'reasons for reduction division'!B74,'reductions data'!A:A,$I$72)</f>
        <v>0</v>
      </c>
      <c r="J74" s="93">
        <f>SUMIFS('reductions data'!H:H,'reductions data'!G:G,'reasons for reduction division'!B74,'reductions data'!A:A,$J$72)</f>
        <v>0</v>
      </c>
      <c r="K74" s="93">
        <f>SUMIFS('reductions data'!H:H,'reductions data'!G:G,'reasons for reduction division'!B74,'reductions data'!A:A,$K$72)</f>
        <v>0</v>
      </c>
      <c r="L74" s="93">
        <f>SUMIFS('reductions data'!H:H,'reductions data'!G:G,'reasons for reduction division'!B74,'reductions data'!A:A,$L$72)</f>
        <v>0</v>
      </c>
      <c r="M74" s="93">
        <f>SUMIFS('reductions data'!H:H,'reductions data'!G:G,'reasons for reduction division'!B74,'reductions data'!A:A,$M$72)</f>
        <v>0</v>
      </c>
      <c r="N74" s="93">
        <f>SUMIFS('reductions data'!H:H,'reductions data'!G:G,'reasons for reduction division'!B74,'reductions data'!A:A,$N$72)</f>
        <v>0</v>
      </c>
      <c r="O74" s="93">
        <f>SUMIFS('reductions data'!$H:$H,'reductions data'!$G:$G,'reasons for reduction division'!B74,'reductions data'!$A:$A,O$72)</f>
        <v>0</v>
      </c>
      <c r="P74" s="93">
        <f>SUMIFS('reductions data'!$H:$H,'reductions data'!$G:$G,'reasons for reduction division'!B74,'reductions data'!$A:$A,P$72)</f>
        <v>0</v>
      </c>
      <c r="Q74" s="93">
        <f>SUMIFS('reductions data'!$H:$H,'reductions data'!$G:$G,'reasons for reduction division'!B74,'reductions data'!$A:$A,Q$72)</f>
        <v>0</v>
      </c>
      <c r="R74" s="93">
        <f>SUMIFS('reductions data'!$H:$H,'reductions data'!$G:$G,'reasons for reduction division'!B74,'reductions data'!$A:$A,R$72)</f>
        <v>0</v>
      </c>
      <c r="S74" s="93">
        <f>SUMIFS('reductions data'!$H:$H,'reductions data'!$G:$G,'reasons for reduction division'!B74,'reductions data'!$A:$A,S$72)</f>
        <v>0</v>
      </c>
      <c r="T74" s="93">
        <f>SUMIFS('reductions data'!$H:$H,'reductions data'!$G:$G,'reasons for reduction division'!B74,'reductions data'!$A:$A,T$72)</f>
        <v>0</v>
      </c>
      <c r="U74" s="93">
        <f>SUMIFS('reductions data'!$H:$H,'reductions data'!$G:$G,'reasons for reduction division'!B74,'reductions data'!$A:$A,U$72)</f>
        <v>0</v>
      </c>
      <c r="V74" s="93">
        <f>SUMIFS('reductions data'!$H:$H,'reductions data'!$G:$G,'reasons for reduction division'!B74,'reductions data'!$A:$A,V$72)</f>
        <v>0</v>
      </c>
      <c r="W74" s="93">
        <f>SUMIFS('reductions data'!$H:$H,'reductions data'!$G:$G,'reasons for reduction division'!B74,'reductions data'!$A:$A,W$72)</f>
        <v>0</v>
      </c>
      <c r="X74" s="93">
        <f>SUMIFS('reductions data'!$H:$H,'reductions data'!$G:$G,'reasons for reduction division'!B74,'reductions data'!$A:$A,X$72)</f>
        <v>0</v>
      </c>
      <c r="Y74" s="138">
        <f>SUMIF('reductions data'!G:G,'reasons for reduction division'!B74,'reductions data'!H:H)</f>
        <v>0</v>
      </c>
    </row>
    <row r="75" spans="2:25" x14ac:dyDescent="0.15">
      <c r="B75" s="146" t="s">
        <v>226</v>
      </c>
      <c r="C75" s="93">
        <f>SUMIFS('reductions data'!H:H,'reductions data'!G:G,'reasons for reduction division'!B75,'reductions data'!A:A,$C$72)</f>
        <v>0</v>
      </c>
      <c r="D75" s="93">
        <f>SUMIFS('reductions data'!H:H,'reductions data'!G:G,'reasons for reduction division'!B75,'reductions data'!A:A,$D$72)</f>
        <v>0</v>
      </c>
      <c r="E75" s="93">
        <f>SUMIFS('reductions data'!H:H,'reductions data'!G:G,'reasons for reduction division'!B75,'reductions data'!A:A,$E$72)</f>
        <v>0</v>
      </c>
      <c r="F75" s="93">
        <f>SUMIFS('reductions data'!H:H,'reductions data'!G:G,'reasons for reduction division'!B75,'reductions data'!A:A,$F$72)</f>
        <v>0</v>
      </c>
      <c r="G75" s="93">
        <f>SUMIFS('reductions data'!H:H,'reductions data'!G:G,'reasons for reduction division'!B75,'reductions data'!A:A,$G$72)</f>
        <v>0</v>
      </c>
      <c r="H75" s="93">
        <f>SUMIFS('reductions data'!H:H,'reductions data'!G:G,'reasons for reduction division'!B75,'reductions data'!A:A,$H$72)</f>
        <v>0</v>
      </c>
      <c r="I75" s="93">
        <f>SUMIFS('reductions data'!H:H,'reductions data'!G:G,'reasons for reduction division'!B75,'reductions data'!A:A,$I$72)</f>
        <v>0</v>
      </c>
      <c r="J75" s="93">
        <f>SUMIFS('reductions data'!H:H,'reductions data'!G:G,'reasons for reduction division'!B75,'reductions data'!A:A,$J$72)</f>
        <v>0</v>
      </c>
      <c r="K75" s="93">
        <f>SUMIFS('reductions data'!H:H,'reductions data'!G:G,'reasons for reduction division'!B75,'reductions data'!A:A,$K$72)</f>
        <v>0</v>
      </c>
      <c r="L75" s="93">
        <f>SUMIFS('reductions data'!H:H,'reductions data'!G:G,'reasons for reduction division'!B75,'reductions data'!A:A,$L$72)</f>
        <v>0</v>
      </c>
      <c r="M75" s="93">
        <f>SUMIFS('reductions data'!H:H,'reductions data'!G:G,'reasons for reduction division'!B75,'reductions data'!A:A,$M$72)</f>
        <v>0</v>
      </c>
      <c r="N75" s="93">
        <f>SUMIFS('reductions data'!H:H,'reductions data'!G:G,'reasons for reduction division'!B75,'reductions data'!A:A,$N$72)</f>
        <v>0</v>
      </c>
      <c r="O75" s="93">
        <f>SUMIFS('reductions data'!$H:$H,'reductions data'!$G:$G,'reasons for reduction division'!B75,'reductions data'!$A:$A,O$72)</f>
        <v>0</v>
      </c>
      <c r="P75" s="93">
        <f>SUMIFS('reductions data'!$H:$H,'reductions data'!$G:$G,'reasons for reduction division'!B75,'reductions data'!$A:$A,P$72)</f>
        <v>0</v>
      </c>
      <c r="Q75" s="93">
        <f>SUMIFS('reductions data'!$H:$H,'reductions data'!$G:$G,'reasons for reduction division'!B75,'reductions data'!$A:$A,Q$72)</f>
        <v>0</v>
      </c>
      <c r="R75" s="93">
        <f>SUMIFS('reductions data'!$H:$H,'reductions data'!$G:$G,'reasons for reduction division'!B75,'reductions data'!$A:$A,R$72)</f>
        <v>0</v>
      </c>
      <c r="S75" s="93">
        <f>SUMIFS('reductions data'!$H:$H,'reductions data'!$G:$G,'reasons for reduction division'!B75,'reductions data'!$A:$A,S$72)</f>
        <v>0</v>
      </c>
      <c r="T75" s="93">
        <f>SUMIFS('reductions data'!$H:$H,'reductions data'!$G:$G,'reasons for reduction division'!B75,'reductions data'!$A:$A,T$72)</f>
        <v>0</v>
      </c>
      <c r="U75" s="93">
        <f>SUMIFS('reductions data'!$H:$H,'reductions data'!$G:$G,'reasons for reduction division'!B75,'reductions data'!$A:$A,U$72)</f>
        <v>0</v>
      </c>
      <c r="V75" s="93">
        <f>SUMIFS('reductions data'!$H:$H,'reductions data'!$G:$G,'reasons for reduction division'!B75,'reductions data'!$A:$A,V$72)</f>
        <v>0</v>
      </c>
      <c r="W75" s="93">
        <f>SUMIFS('reductions data'!$H:$H,'reductions data'!$G:$G,'reasons for reduction division'!B75,'reductions data'!$A:$A,W$72)</f>
        <v>0</v>
      </c>
      <c r="X75" s="93">
        <f>SUMIFS('reductions data'!$H:$H,'reductions data'!$G:$G,'reasons for reduction division'!B75,'reductions data'!$A:$A,X$72)</f>
        <v>0</v>
      </c>
      <c r="Y75" s="138">
        <f>SUMIF('reductions data'!G:G,'reasons for reduction division'!B75,'reductions data'!H:H)</f>
        <v>0</v>
      </c>
    </row>
    <row r="76" spans="2:25" x14ac:dyDescent="0.15">
      <c r="B76" s="146" t="s">
        <v>220</v>
      </c>
      <c r="C76" s="93">
        <f>SUMIFS('reductions data'!H:H,'reductions data'!G:G,'reasons for reduction division'!B76,'reductions data'!A:A,$C$72)</f>
        <v>0</v>
      </c>
      <c r="D76" s="93">
        <f>SUMIFS('reductions data'!H:H,'reductions data'!G:G,'reasons for reduction division'!B76,'reductions data'!A:A,$D$72)</f>
        <v>0</v>
      </c>
      <c r="E76" s="93">
        <f>SUMIFS('reductions data'!H:H,'reductions data'!G:G,'reasons for reduction division'!B76,'reductions data'!A:A,$E$72)</f>
        <v>0</v>
      </c>
      <c r="F76" s="93">
        <f>SUMIFS('reductions data'!H:H,'reductions data'!G:G,'reasons for reduction division'!B76,'reductions data'!A:A,$F$72)</f>
        <v>0</v>
      </c>
      <c r="G76" s="93">
        <f>SUMIFS('reductions data'!H:H,'reductions data'!G:G,'reasons for reduction division'!B76,'reductions data'!A:A,$G$72)</f>
        <v>0</v>
      </c>
      <c r="H76" s="93">
        <f>SUMIFS('reductions data'!H:H,'reductions data'!G:G,'reasons for reduction division'!B76,'reductions data'!A:A,$H$72)</f>
        <v>0</v>
      </c>
      <c r="I76" s="93">
        <f>SUMIFS('reductions data'!H:H,'reductions data'!G:G,'reasons for reduction division'!B76,'reductions data'!A:A,$I$72)</f>
        <v>0</v>
      </c>
      <c r="J76" s="93">
        <f>SUMIFS('reductions data'!H:H,'reductions data'!G:G,'reasons for reduction division'!B76,'reductions data'!A:A,$J$72)</f>
        <v>0</v>
      </c>
      <c r="K76" s="93">
        <f>SUMIFS('reductions data'!H:H,'reductions data'!G:G,'reasons for reduction division'!B76,'reductions data'!A:A,$K$72)</f>
        <v>0</v>
      </c>
      <c r="L76" s="93">
        <f>SUMIFS('reductions data'!H:H,'reductions data'!G:G,'reasons for reduction division'!B76,'reductions data'!A:A,$L$72)</f>
        <v>0</v>
      </c>
      <c r="M76" s="93">
        <f>SUMIFS('reductions data'!H:H,'reductions data'!G:G,'reasons for reduction division'!B76,'reductions data'!A:A,$M$72)</f>
        <v>0</v>
      </c>
      <c r="N76" s="93">
        <f>SUMIFS('reductions data'!H:H,'reductions data'!G:G,'reasons for reduction division'!B76,'reductions data'!A:A,$N$72)</f>
        <v>0</v>
      </c>
      <c r="O76" s="93">
        <f>SUMIFS('reductions data'!$H:$H,'reductions data'!$G:$G,'reasons for reduction division'!B76,'reductions data'!$A:$A,O$72)</f>
        <v>0</v>
      </c>
      <c r="P76" s="93">
        <f>SUMIFS('reductions data'!$H:$H,'reductions data'!$G:$G,'reasons for reduction division'!B76,'reductions data'!$A:$A,P$72)</f>
        <v>0</v>
      </c>
      <c r="Q76" s="93">
        <f>SUMIFS('reductions data'!$H:$H,'reductions data'!$G:$G,'reasons for reduction division'!B76,'reductions data'!$A:$A,Q$72)</f>
        <v>0</v>
      </c>
      <c r="R76" s="93">
        <f>SUMIFS('reductions data'!$H:$H,'reductions data'!$G:$G,'reasons for reduction division'!B76,'reductions data'!$A:$A,R$72)</f>
        <v>0</v>
      </c>
      <c r="S76" s="93">
        <f>SUMIFS('reductions data'!$H:$H,'reductions data'!$G:$G,'reasons for reduction division'!B76,'reductions data'!$A:$A,S$72)</f>
        <v>0</v>
      </c>
      <c r="T76" s="93">
        <f>SUMIFS('reductions data'!$H:$H,'reductions data'!$G:$G,'reasons for reduction division'!B76,'reductions data'!$A:$A,T$72)</f>
        <v>0</v>
      </c>
      <c r="U76" s="93">
        <f>SUMIFS('reductions data'!$H:$H,'reductions data'!$G:$G,'reasons for reduction division'!B76,'reductions data'!$A:$A,U$72)</f>
        <v>0</v>
      </c>
      <c r="V76" s="93">
        <f>SUMIFS('reductions data'!$H:$H,'reductions data'!$G:$G,'reasons for reduction division'!B76,'reductions data'!$A:$A,V$72)</f>
        <v>0</v>
      </c>
      <c r="W76" s="93">
        <f>SUMIFS('reductions data'!$H:$H,'reductions data'!$G:$G,'reasons for reduction division'!B76,'reductions data'!$A:$A,W$72)</f>
        <v>0</v>
      </c>
      <c r="X76" s="93">
        <f>SUMIFS('reductions data'!$H:$H,'reductions data'!$G:$G,'reasons for reduction division'!B76,'reductions data'!$A:$A,X$72)</f>
        <v>0</v>
      </c>
      <c r="Y76" s="138">
        <f>SUMIF('reductions data'!G:G,'reasons for reduction division'!B76,'reductions data'!H:H)</f>
        <v>0</v>
      </c>
    </row>
    <row r="77" spans="2:25" x14ac:dyDescent="0.15">
      <c r="B77" s="146" t="s">
        <v>241</v>
      </c>
      <c r="C77" s="93">
        <f>SUMIFS('reductions data'!H:H,'reductions data'!G:G,'reasons for reduction division'!B77,'reductions data'!A:A,$C$72)</f>
        <v>0</v>
      </c>
      <c r="D77" s="93">
        <f>SUMIFS('reductions data'!H:H,'reductions data'!G:G,'reasons for reduction division'!B77,'reductions data'!A:A,$D$72)</f>
        <v>0</v>
      </c>
      <c r="E77" s="93">
        <f>SUMIFS('reductions data'!H:H,'reductions data'!G:G,'reasons for reduction division'!B77,'reductions data'!A:A,$E$72)</f>
        <v>0</v>
      </c>
      <c r="F77" s="93">
        <f>SUMIFS('reductions data'!H:H,'reductions data'!G:G,'reasons for reduction division'!B77,'reductions data'!A:A,$F$72)</f>
        <v>0</v>
      </c>
      <c r="G77" s="93">
        <f>SUMIFS('reductions data'!H:H,'reductions data'!G:G,'reasons for reduction division'!B77,'reductions data'!A:A,$G$72)</f>
        <v>0</v>
      </c>
      <c r="H77" s="93">
        <f>SUMIFS('reductions data'!H:H,'reductions data'!G:G,'reasons for reduction division'!B77,'reductions data'!A:A,$H$72)</f>
        <v>0</v>
      </c>
      <c r="I77" s="93">
        <f>SUMIFS('reductions data'!H:H,'reductions data'!G:G,'reasons for reduction division'!B77,'reductions data'!A:A,$I$72)</f>
        <v>0</v>
      </c>
      <c r="J77" s="93">
        <f>SUMIFS('reductions data'!H:H,'reductions data'!G:G,'reasons for reduction division'!B77,'reductions data'!A:A,$J$72)</f>
        <v>0</v>
      </c>
      <c r="K77" s="93">
        <f>SUMIFS('reductions data'!H:H,'reductions data'!G:G,'reasons for reduction division'!B77,'reductions data'!A:A,$K$72)</f>
        <v>0</v>
      </c>
      <c r="L77" s="93">
        <f>SUMIFS('reductions data'!H:H,'reductions data'!G:G,'reasons for reduction division'!B77,'reductions data'!A:A,$L$72)</f>
        <v>0</v>
      </c>
      <c r="M77" s="93">
        <f>SUMIFS('reductions data'!H:H,'reductions data'!G:G,'reasons for reduction division'!B77,'reductions data'!A:A,$M$72)</f>
        <v>0</v>
      </c>
      <c r="N77" s="93">
        <f>SUMIFS('reductions data'!H:H,'reductions data'!G:G,'reasons for reduction division'!B77,'reductions data'!A:A,$N$72)</f>
        <v>0</v>
      </c>
      <c r="O77" s="93">
        <f>SUMIFS('reductions data'!$H:$H,'reductions data'!$G:$G,'reasons for reduction division'!B77,'reductions data'!$A:$A,O$72)</f>
        <v>0</v>
      </c>
      <c r="P77" s="93">
        <f>SUMIFS('reductions data'!$H:$H,'reductions data'!$G:$G,'reasons for reduction division'!B77,'reductions data'!$A:$A,P$72)</f>
        <v>0</v>
      </c>
      <c r="Q77" s="93">
        <f>SUMIFS('reductions data'!$H:$H,'reductions data'!$G:$G,'reasons for reduction division'!B77,'reductions data'!$A:$A,Q$72)</f>
        <v>0</v>
      </c>
      <c r="R77" s="93">
        <f>SUMIFS('reductions data'!$H:$H,'reductions data'!$G:$G,'reasons for reduction division'!B77,'reductions data'!$A:$A,R$72)</f>
        <v>0</v>
      </c>
      <c r="S77" s="93">
        <f>SUMIFS('reductions data'!$H:$H,'reductions data'!$G:$G,'reasons for reduction division'!B77,'reductions data'!$A:$A,S$72)</f>
        <v>0</v>
      </c>
      <c r="T77" s="93">
        <f>SUMIFS('reductions data'!$H:$H,'reductions data'!$G:$G,'reasons for reduction division'!B77,'reductions data'!$A:$A,T$72)</f>
        <v>0</v>
      </c>
      <c r="U77" s="93">
        <f>SUMIFS('reductions data'!$H:$H,'reductions data'!$G:$G,'reasons for reduction division'!B77,'reductions data'!$A:$A,U$72)</f>
        <v>0</v>
      </c>
      <c r="V77" s="93">
        <f>SUMIFS('reductions data'!$H:$H,'reductions data'!$G:$G,'reasons for reduction division'!B77,'reductions data'!$A:$A,V$72)</f>
        <v>0</v>
      </c>
      <c r="W77" s="93">
        <f>SUMIFS('reductions data'!$H:$H,'reductions data'!$G:$G,'reasons for reduction division'!B77,'reductions data'!$A:$A,W$72)</f>
        <v>0</v>
      </c>
      <c r="X77" s="93">
        <f>SUMIFS('reductions data'!$H:$H,'reductions data'!$G:$G,'reasons for reduction division'!B77,'reductions data'!$A:$A,X$72)</f>
        <v>0</v>
      </c>
      <c r="Y77" s="138">
        <f>SUMIF('reductions data'!G:G,'reasons for reduction division'!B77,'reductions data'!H:H)</f>
        <v>0</v>
      </c>
    </row>
    <row r="78" spans="2:25" x14ac:dyDescent="0.15">
      <c r="B78" s="146" t="s">
        <v>242</v>
      </c>
      <c r="C78" s="93">
        <f>SUMIFS('reductions data'!H:H,'reductions data'!G:G,'reasons for reduction division'!B78,'reductions data'!A:A,$C$72)</f>
        <v>0</v>
      </c>
      <c r="D78" s="93">
        <f>SUMIFS('reductions data'!H:H,'reductions data'!G:G,'reasons for reduction division'!B78,'reductions data'!A:A,$D$72)</f>
        <v>0</v>
      </c>
      <c r="E78" s="93">
        <f>SUMIFS('reductions data'!H:H,'reductions data'!G:G,'reasons for reduction division'!B78,'reductions data'!A:A,$E$72)</f>
        <v>0</v>
      </c>
      <c r="F78" s="93">
        <f>SUMIFS('reductions data'!H:H,'reductions data'!G:G,'reasons for reduction division'!B78,'reductions data'!A:A,$F$72)</f>
        <v>0</v>
      </c>
      <c r="G78" s="93">
        <f>SUMIFS('reductions data'!H:H,'reductions data'!G:G,'reasons for reduction division'!B78,'reductions data'!A:A,$G$72)</f>
        <v>0</v>
      </c>
      <c r="H78" s="93">
        <f>SUMIFS('reductions data'!H:H,'reductions data'!G:G,'reasons for reduction division'!B78,'reductions data'!A:A,$H$72)</f>
        <v>0</v>
      </c>
      <c r="I78" s="93">
        <f>SUMIFS('reductions data'!H:H,'reductions data'!G:G,'reasons for reduction division'!B78,'reductions data'!A:A,$I$72)</f>
        <v>0</v>
      </c>
      <c r="J78" s="93">
        <f>SUMIFS('reductions data'!H:H,'reductions data'!G:G,'reasons for reduction division'!B78,'reductions data'!A:A,$J$72)</f>
        <v>0</v>
      </c>
      <c r="K78" s="93">
        <f>SUMIFS('reductions data'!H:H,'reductions data'!G:G,'reasons for reduction division'!B78,'reductions data'!A:A,$K$72)</f>
        <v>0</v>
      </c>
      <c r="L78" s="93">
        <f>SUMIFS('reductions data'!H:H,'reductions data'!G:G,'reasons for reduction division'!B78,'reductions data'!A:A,$L$72)</f>
        <v>0</v>
      </c>
      <c r="M78" s="93">
        <f>SUMIFS('reductions data'!H:H,'reductions data'!G:G,'reasons for reduction division'!B78,'reductions data'!A:A,$M$72)</f>
        <v>0</v>
      </c>
      <c r="N78" s="93">
        <f>SUMIFS('reductions data'!H:H,'reductions data'!G:G,'reasons for reduction division'!B78,'reductions data'!A:A,$N$72)</f>
        <v>0</v>
      </c>
      <c r="O78" s="93">
        <f>SUMIFS('reductions data'!$H:$H,'reductions data'!$G:$G,'reasons for reduction division'!B78,'reductions data'!$A:$A,O$72)</f>
        <v>0</v>
      </c>
      <c r="P78" s="93">
        <f>SUMIFS('reductions data'!$H:$H,'reductions data'!$G:$G,'reasons for reduction division'!B78,'reductions data'!$A:$A,P$72)</f>
        <v>0</v>
      </c>
      <c r="Q78" s="93">
        <f>SUMIFS('reductions data'!$H:$H,'reductions data'!$G:$G,'reasons for reduction division'!B78,'reductions data'!$A:$A,Q$72)</f>
        <v>0</v>
      </c>
      <c r="R78" s="93">
        <f>SUMIFS('reductions data'!$H:$H,'reductions data'!$G:$G,'reasons for reduction division'!B78,'reductions data'!$A:$A,R$72)</f>
        <v>0</v>
      </c>
      <c r="S78" s="93">
        <f>SUMIFS('reductions data'!$H:$H,'reductions data'!$G:$G,'reasons for reduction division'!B78,'reductions data'!$A:$A,S$72)</f>
        <v>0</v>
      </c>
      <c r="T78" s="93">
        <f>SUMIFS('reductions data'!$H:$H,'reductions data'!$G:$G,'reasons for reduction division'!B78,'reductions data'!$A:$A,T$72)</f>
        <v>0</v>
      </c>
      <c r="U78" s="93">
        <f>SUMIFS('reductions data'!$H:$H,'reductions data'!$G:$G,'reasons for reduction division'!B78,'reductions data'!$A:$A,U$72)</f>
        <v>0</v>
      </c>
      <c r="V78" s="93">
        <f>SUMIFS('reductions data'!$H:$H,'reductions data'!$G:$G,'reasons for reduction division'!B78,'reductions data'!$A:$A,V$72)</f>
        <v>0</v>
      </c>
      <c r="W78" s="93">
        <f>SUMIFS('reductions data'!$H:$H,'reductions data'!$G:$G,'reasons for reduction division'!B78,'reductions data'!$A:$A,W$72)</f>
        <v>0</v>
      </c>
      <c r="X78" s="93">
        <f>SUMIFS('reductions data'!$H:$H,'reductions data'!$G:$G,'reasons for reduction division'!B78,'reductions data'!$A:$A,X$72)</f>
        <v>0</v>
      </c>
      <c r="Y78" s="138">
        <f>SUMIF('reductions data'!G:G,'reasons for reduction division'!B78,'reductions data'!H:H)</f>
        <v>0</v>
      </c>
    </row>
    <row r="79" spans="2:25" s="30" customFormat="1" x14ac:dyDescent="0.15">
      <c r="B79" s="146" t="s">
        <v>500</v>
      </c>
      <c r="C79" s="93">
        <f>SUMIFS('reductions data'!H:H,'reductions data'!G:G,'reasons for reduction division'!B79,'reductions data'!A:A,$C$72)</f>
        <v>0</v>
      </c>
      <c r="D79" s="93">
        <f>SUMIFS('reductions data'!H:H,'reductions data'!G:G,'reasons for reduction division'!B79,'reductions data'!A:A,$D$72)</f>
        <v>0</v>
      </c>
      <c r="E79" s="93">
        <f>SUMIFS('reductions data'!H:H,'reductions data'!G:G,'reasons for reduction division'!B79,'reductions data'!A:A,$E$72)</f>
        <v>0</v>
      </c>
      <c r="F79" s="93">
        <f>SUMIFS('reductions data'!H:H,'reductions data'!G:G,'reasons for reduction division'!B79,'reductions data'!A:A,$F$72)</f>
        <v>0</v>
      </c>
      <c r="G79" s="93">
        <f>SUMIFS('reductions data'!H:H,'reductions data'!G:G,'reasons for reduction division'!B79,'reductions data'!A:A,$G$72)</f>
        <v>0</v>
      </c>
      <c r="H79" s="93">
        <f>SUMIFS('reductions data'!H:H,'reductions data'!G:G,'reasons for reduction division'!B79,'reductions data'!A:A,$H$72)</f>
        <v>0</v>
      </c>
      <c r="I79" s="93">
        <f>SUMIFS('reductions data'!H:H,'reductions data'!G:G,'reasons for reduction division'!B79,'reductions data'!A:A,$I$72)</f>
        <v>0</v>
      </c>
      <c r="J79" s="93">
        <f>SUMIFS('reductions data'!H:H,'reductions data'!G:G,'reasons for reduction division'!B79,'reductions data'!A:A,$J$72)</f>
        <v>0</v>
      </c>
      <c r="K79" s="93">
        <f>SUMIFS('reductions data'!H:H,'reductions data'!G:G,'reasons for reduction division'!B79,'reductions data'!A:A,$K$72)</f>
        <v>0</v>
      </c>
      <c r="L79" s="93">
        <f>SUMIFS('reductions data'!H:H,'reductions data'!G:G,'reasons for reduction division'!B79,'reductions data'!A:A,$L$72)</f>
        <v>0</v>
      </c>
      <c r="M79" s="93">
        <f>SUMIFS('reductions data'!H:H,'reductions data'!G:G,'reasons for reduction division'!B79,'reductions data'!A:A,$M$72)</f>
        <v>0</v>
      </c>
      <c r="N79" s="93">
        <f>SUMIFS('reductions data'!H:H,'reductions data'!G:G,'reasons for reduction division'!B79,'reductions data'!A:A,$N$72)</f>
        <v>0</v>
      </c>
      <c r="O79" s="93">
        <f>SUMIFS('reductions data'!$H:$H,'reductions data'!$G:$G,'reasons for reduction division'!B79,'reductions data'!$A:$A,O$72)</f>
        <v>0</v>
      </c>
      <c r="P79" s="93">
        <f>SUMIFS('reductions data'!$H:$H,'reductions data'!$G:$G,'reasons for reduction division'!B79,'reductions data'!$A:$A,P$72)</f>
        <v>0</v>
      </c>
      <c r="Q79" s="93">
        <f>SUMIFS('reductions data'!$H:$H,'reductions data'!$G:$G,'reasons for reduction division'!B79,'reductions data'!$A:$A,Q$72)</f>
        <v>0</v>
      </c>
      <c r="R79" s="93">
        <f>SUMIFS('reductions data'!$H:$H,'reductions data'!$G:$G,'reasons for reduction division'!B79,'reductions data'!$A:$A,R$72)</f>
        <v>0</v>
      </c>
      <c r="S79" s="93">
        <f>SUMIFS('reductions data'!$H:$H,'reductions data'!$G:$G,'reasons for reduction division'!B79,'reductions data'!$A:$A,S$72)</f>
        <v>0</v>
      </c>
      <c r="T79" s="93">
        <f>SUMIFS('reductions data'!$H:$H,'reductions data'!$G:$G,'reasons for reduction division'!B79,'reductions data'!$A:$A,T$72)</f>
        <v>0</v>
      </c>
      <c r="U79" s="93">
        <f>SUMIFS('reductions data'!$H:$H,'reductions data'!$G:$G,'reasons for reduction division'!B79,'reductions data'!$A:$A,U$72)</f>
        <v>0</v>
      </c>
      <c r="V79" s="93">
        <f>SUMIFS('reductions data'!$H:$H,'reductions data'!$G:$G,'reasons for reduction division'!B79,'reductions data'!$A:$A,V$72)</f>
        <v>0</v>
      </c>
      <c r="W79" s="93">
        <f>SUMIFS('reductions data'!$H:$H,'reductions data'!$G:$G,'reasons for reduction division'!B79,'reductions data'!$A:$A,W$72)</f>
        <v>0</v>
      </c>
      <c r="X79" s="93">
        <f>SUMIFS('reductions data'!$H:$H,'reductions data'!$G:$G,'reasons for reduction division'!B79,'reductions data'!$A:$A,X$72)</f>
        <v>0</v>
      </c>
      <c r="Y79" s="138">
        <f>SUMIF('reductions data'!G:G,'reasons for reduction division'!B79,'reductions data'!H:H)</f>
        <v>0</v>
      </c>
    </row>
    <row r="80" spans="2:25" x14ac:dyDescent="0.15">
      <c r="B80" s="146" t="s">
        <v>243</v>
      </c>
      <c r="C80" s="93">
        <f>SUMIFS('reductions data'!H:H,'reductions data'!G:G,'reasons for reduction division'!B80,'reductions data'!A:A,$C$72)</f>
        <v>0</v>
      </c>
      <c r="D80" s="93">
        <f>SUMIFS('reductions data'!H:H,'reductions data'!G:G,'reasons for reduction division'!B80,'reductions data'!A:A,$D$72)</f>
        <v>0</v>
      </c>
      <c r="E80" s="93">
        <f>SUMIFS('reductions data'!H:H,'reductions data'!G:G,'reasons for reduction division'!B80,'reductions data'!A:A,$E$72)</f>
        <v>0</v>
      </c>
      <c r="F80" s="93">
        <f>SUMIFS('reductions data'!H:H,'reductions data'!G:G,'reasons for reduction division'!B80,'reductions data'!A:A,$F$72)</f>
        <v>0</v>
      </c>
      <c r="G80" s="93">
        <f>SUMIFS('reductions data'!H:H,'reductions data'!G:G,'reasons for reduction division'!B80,'reductions data'!A:A,$G$72)</f>
        <v>0</v>
      </c>
      <c r="H80" s="93">
        <f>SUMIFS('reductions data'!H:H,'reductions data'!G:G,'reasons for reduction division'!B80,'reductions data'!A:A,$H$72)</f>
        <v>0</v>
      </c>
      <c r="I80" s="93">
        <f>SUMIFS('reductions data'!H:H,'reductions data'!G:G,'reasons for reduction division'!B80,'reductions data'!A:A,$I$72)</f>
        <v>0</v>
      </c>
      <c r="J80" s="93">
        <f>SUMIFS('reductions data'!H:H,'reductions data'!G:G,'reasons for reduction division'!B80,'reductions data'!A:A,$J$72)</f>
        <v>0</v>
      </c>
      <c r="K80" s="93">
        <f>SUMIFS('reductions data'!H:H,'reductions data'!G:G,'reasons for reduction division'!B80,'reductions data'!A:A,$K$72)</f>
        <v>0</v>
      </c>
      <c r="L80" s="93">
        <f>SUMIFS('reductions data'!H:H,'reductions data'!G:G,'reasons for reduction division'!B80,'reductions data'!A:A,$L$72)</f>
        <v>0</v>
      </c>
      <c r="M80" s="93">
        <f>SUMIFS('reductions data'!H:H,'reductions data'!G:G,'reasons for reduction division'!B80,'reductions data'!A:A,$M$72)</f>
        <v>0</v>
      </c>
      <c r="N80" s="93">
        <f>SUMIFS('reductions data'!H:H,'reductions data'!G:G,'reasons for reduction division'!B80,'reductions data'!A:A,$N$72)</f>
        <v>0</v>
      </c>
      <c r="O80" s="93">
        <f>SUMIFS('reductions data'!$H:$H,'reductions data'!$G:$G,'reasons for reduction division'!B80,'reductions data'!$A:$A,O$72)</f>
        <v>0</v>
      </c>
      <c r="P80" s="93">
        <f>SUMIFS('reductions data'!$H:$H,'reductions data'!$G:$G,'reasons for reduction division'!B80,'reductions data'!$A:$A,P$72)</f>
        <v>0</v>
      </c>
      <c r="Q80" s="93">
        <f>SUMIFS('reductions data'!$H:$H,'reductions data'!$G:$G,'reasons for reduction division'!B80,'reductions data'!$A:$A,Q$72)</f>
        <v>0</v>
      </c>
      <c r="R80" s="93">
        <f>SUMIFS('reductions data'!$H:$H,'reductions data'!$G:$G,'reasons for reduction division'!B80,'reductions data'!$A:$A,R$72)</f>
        <v>0</v>
      </c>
      <c r="S80" s="93">
        <f>SUMIFS('reductions data'!$H:$H,'reductions data'!$G:$G,'reasons for reduction division'!B80,'reductions data'!$A:$A,S$72)</f>
        <v>0</v>
      </c>
      <c r="T80" s="93">
        <f>SUMIFS('reductions data'!$H:$H,'reductions data'!$G:$G,'reasons for reduction division'!B80,'reductions data'!$A:$A,T$72)</f>
        <v>0</v>
      </c>
      <c r="U80" s="93">
        <f>SUMIFS('reductions data'!$H:$H,'reductions data'!$G:$G,'reasons for reduction division'!B80,'reductions data'!$A:$A,U$72)</f>
        <v>0</v>
      </c>
      <c r="V80" s="93">
        <f>SUMIFS('reductions data'!$H:$H,'reductions data'!$G:$G,'reasons for reduction division'!B80,'reductions data'!$A:$A,V$72)</f>
        <v>0</v>
      </c>
      <c r="W80" s="93">
        <f>SUMIFS('reductions data'!$H:$H,'reductions data'!$G:$G,'reasons for reduction division'!B80,'reductions data'!$A:$A,W$72)</f>
        <v>0</v>
      </c>
      <c r="X80" s="93">
        <f>SUMIFS('reductions data'!$H:$H,'reductions data'!$G:$G,'reasons for reduction division'!B80,'reductions data'!$A:$A,X$72)</f>
        <v>0</v>
      </c>
      <c r="Y80" s="138">
        <f>SUMIF('reductions data'!G:G,'reasons for reduction division'!B80,'reductions data'!H:H)</f>
        <v>0</v>
      </c>
    </row>
    <row r="81" spans="1:25" x14ac:dyDescent="0.15">
      <c r="B81" s="146" t="s">
        <v>223</v>
      </c>
      <c r="C81" s="93">
        <f>SUMIFS('reductions data'!H:H,'reductions data'!G:G,'reasons for reduction division'!B81,'reductions data'!A:A,$C$72)</f>
        <v>0</v>
      </c>
      <c r="D81" s="93">
        <f>SUMIFS('reductions data'!H:H,'reductions data'!G:G,'reasons for reduction division'!B81,'reductions data'!A:A,$D$72)</f>
        <v>0</v>
      </c>
      <c r="E81" s="93">
        <f>SUMIFS('reductions data'!H:H,'reductions data'!G:G,'reasons for reduction division'!B81,'reductions data'!A:A,$E$72)</f>
        <v>0</v>
      </c>
      <c r="F81" s="93">
        <f>SUMIFS('reductions data'!H:H,'reductions data'!G:G,'reasons for reduction division'!B81,'reductions data'!A:A,$F$72)</f>
        <v>0</v>
      </c>
      <c r="G81" s="93">
        <f>SUMIFS('reductions data'!H:H,'reductions data'!G:G,'reasons for reduction division'!B81,'reductions data'!A:A,$G$72)</f>
        <v>0</v>
      </c>
      <c r="H81" s="93">
        <f>SUMIFS('reductions data'!H:H,'reductions data'!G:G,'reasons for reduction division'!B81,'reductions data'!A:A,$H$72)</f>
        <v>0</v>
      </c>
      <c r="I81" s="93">
        <f>SUMIFS('reductions data'!H:H,'reductions data'!G:G,'reasons for reduction division'!B81,'reductions data'!A:A,$I$72)</f>
        <v>0</v>
      </c>
      <c r="J81" s="93">
        <f>SUMIFS('reductions data'!H:H,'reductions data'!G:G,'reasons for reduction division'!B81,'reductions data'!A:A,$J$72)</f>
        <v>0</v>
      </c>
      <c r="K81" s="93">
        <f>SUMIFS('reductions data'!H:H,'reductions data'!G:G,'reasons for reduction division'!B81,'reductions data'!A:A,$K$72)</f>
        <v>0</v>
      </c>
      <c r="L81" s="93">
        <f>SUMIFS('reductions data'!H:H,'reductions data'!G:G,'reasons for reduction division'!B81,'reductions data'!A:A,$L$72)</f>
        <v>0</v>
      </c>
      <c r="M81" s="93">
        <f>SUMIFS('reductions data'!H:H,'reductions data'!G:G,'reasons for reduction division'!B81,'reductions data'!A:A,$M$72)</f>
        <v>0</v>
      </c>
      <c r="N81" s="93">
        <f>SUMIFS('reductions data'!H:H,'reductions data'!G:G,'reasons for reduction division'!B81,'reductions data'!A:A,$N$72)</f>
        <v>0</v>
      </c>
      <c r="O81" s="93">
        <f>SUMIFS('reductions data'!$H:$H,'reductions data'!$G:$G,'reasons for reduction division'!B81,'reductions data'!$A:$A,O$72)</f>
        <v>0</v>
      </c>
      <c r="P81" s="93">
        <f>SUMIFS('reductions data'!$H:$H,'reductions data'!$G:$G,'reasons for reduction division'!B81,'reductions data'!$A:$A,P$72)</f>
        <v>0</v>
      </c>
      <c r="Q81" s="93">
        <f>SUMIFS('reductions data'!$H:$H,'reductions data'!$G:$G,'reasons for reduction division'!B81,'reductions data'!$A:$A,Q$72)</f>
        <v>0</v>
      </c>
      <c r="R81" s="93">
        <f>SUMIFS('reductions data'!$H:$H,'reductions data'!$G:$G,'reasons for reduction division'!B81,'reductions data'!$A:$A,R$72)</f>
        <v>0</v>
      </c>
      <c r="S81" s="93">
        <f>SUMIFS('reductions data'!$H:$H,'reductions data'!$G:$G,'reasons for reduction division'!B81,'reductions data'!$A:$A,S$72)</f>
        <v>0</v>
      </c>
      <c r="T81" s="93">
        <f>SUMIFS('reductions data'!$H:$H,'reductions data'!$G:$G,'reasons for reduction division'!B81,'reductions data'!$A:$A,T$72)</f>
        <v>0</v>
      </c>
      <c r="U81" s="93">
        <f>SUMIFS('reductions data'!$H:$H,'reductions data'!$G:$G,'reasons for reduction division'!B81,'reductions data'!$A:$A,U$72)</f>
        <v>0</v>
      </c>
      <c r="V81" s="93">
        <f>SUMIFS('reductions data'!$H:$H,'reductions data'!$G:$G,'reasons for reduction division'!B81,'reductions data'!$A:$A,V$72)</f>
        <v>0</v>
      </c>
      <c r="W81" s="93">
        <f>SUMIFS('reductions data'!$H:$H,'reductions data'!$G:$G,'reasons for reduction division'!B81,'reductions data'!$A:$A,W$72)</f>
        <v>0</v>
      </c>
      <c r="X81" s="93">
        <f>SUMIFS('reductions data'!$H:$H,'reductions data'!$G:$G,'reasons for reduction division'!B81,'reductions data'!$A:$A,X$72)</f>
        <v>0</v>
      </c>
      <c r="Y81" s="138">
        <f>SUMIF('reductions data'!G:G,'reasons for reduction division'!B81,'reductions data'!H:H)</f>
        <v>0</v>
      </c>
    </row>
    <row r="82" spans="1:25" x14ac:dyDescent="0.15">
      <c r="B82" s="146" t="s">
        <v>230</v>
      </c>
      <c r="C82" s="93">
        <f>SUMIFS('reductions data'!H:H,'reductions data'!G:G,'reasons for reduction division'!B82,'reductions data'!A:A,$C$72)</f>
        <v>0</v>
      </c>
      <c r="D82" s="93">
        <f>SUMIFS('reductions data'!H:H,'reductions data'!G:G,'reasons for reduction division'!B82,'reductions data'!A:A,$D$72)</f>
        <v>0</v>
      </c>
      <c r="E82" s="93">
        <f>SUMIFS('reductions data'!H:H,'reductions data'!G:G,'reasons for reduction division'!B82,'reductions data'!A:A,$E$72)</f>
        <v>0</v>
      </c>
      <c r="F82" s="93">
        <f>SUMIFS('reductions data'!H:H,'reductions data'!G:G,'reasons for reduction division'!B82,'reductions data'!A:A,$F$72)</f>
        <v>0</v>
      </c>
      <c r="G82" s="93">
        <f>SUMIFS('reductions data'!H:H,'reductions data'!G:G,'reasons for reduction division'!B82,'reductions data'!A:A,$G$72)</f>
        <v>0</v>
      </c>
      <c r="H82" s="93">
        <f>SUMIFS('reductions data'!H:H,'reductions data'!G:G,'reasons for reduction division'!B82,'reductions data'!A:A,$H$72)</f>
        <v>0</v>
      </c>
      <c r="I82" s="93">
        <f>SUMIFS('reductions data'!H:H,'reductions data'!G:G,'reasons for reduction division'!B82,'reductions data'!A:A,$I$72)</f>
        <v>0</v>
      </c>
      <c r="J82" s="93">
        <f>SUMIFS('reductions data'!H:H,'reductions data'!G:G,'reasons for reduction division'!B82,'reductions data'!A:A,$J$72)</f>
        <v>0</v>
      </c>
      <c r="K82" s="93">
        <f>SUMIFS('reductions data'!H:H,'reductions data'!G:G,'reasons for reduction division'!B82,'reductions data'!A:A,$K$72)</f>
        <v>0</v>
      </c>
      <c r="L82" s="93">
        <f>SUMIFS('reductions data'!H:H,'reductions data'!G:G,'reasons for reduction division'!B82,'reductions data'!A:A,$L$72)</f>
        <v>0</v>
      </c>
      <c r="M82" s="93">
        <f>SUMIFS('reductions data'!H:H,'reductions data'!G:G,'reasons for reduction division'!B82,'reductions data'!A:A,$M$72)</f>
        <v>0</v>
      </c>
      <c r="N82" s="93">
        <f>SUMIFS('reductions data'!H:H,'reductions data'!G:G,'reasons for reduction division'!B82,'reductions data'!A:A,$N$72)</f>
        <v>0</v>
      </c>
      <c r="O82" s="93">
        <f>SUMIFS('reductions data'!$H:$H,'reductions data'!$G:$G,'reasons for reduction division'!B82,'reductions data'!$A:$A,O$72)</f>
        <v>0</v>
      </c>
      <c r="P82" s="93">
        <f>SUMIFS('reductions data'!$H:$H,'reductions data'!$G:$G,'reasons for reduction division'!B82,'reductions data'!$A:$A,P$72)</f>
        <v>0</v>
      </c>
      <c r="Q82" s="93">
        <f>SUMIFS('reductions data'!$H:$H,'reductions data'!$G:$G,'reasons for reduction division'!B82,'reductions data'!$A:$A,Q$72)</f>
        <v>0</v>
      </c>
      <c r="R82" s="93">
        <f>SUMIFS('reductions data'!$H:$H,'reductions data'!$G:$G,'reasons for reduction division'!B82,'reductions data'!$A:$A,R$72)</f>
        <v>0</v>
      </c>
      <c r="S82" s="93">
        <f>SUMIFS('reductions data'!$H:$H,'reductions data'!$G:$G,'reasons for reduction division'!B82,'reductions data'!$A:$A,S$72)</f>
        <v>0</v>
      </c>
      <c r="T82" s="93">
        <f>SUMIFS('reductions data'!$H:$H,'reductions data'!$G:$G,'reasons for reduction division'!B82,'reductions data'!$A:$A,T$72)</f>
        <v>0</v>
      </c>
      <c r="U82" s="93">
        <f>SUMIFS('reductions data'!$H:$H,'reductions data'!$G:$G,'reasons for reduction division'!B82,'reductions data'!$A:$A,U$72)</f>
        <v>0</v>
      </c>
      <c r="V82" s="93">
        <f>SUMIFS('reductions data'!$H:$H,'reductions data'!$G:$G,'reasons for reduction division'!B82,'reductions data'!$A:$A,V$72)</f>
        <v>0</v>
      </c>
      <c r="W82" s="93">
        <f>SUMIFS('reductions data'!$H:$H,'reductions data'!$G:$G,'reasons for reduction division'!B82,'reductions data'!$A:$A,W$72)</f>
        <v>0</v>
      </c>
      <c r="X82" s="93">
        <f>SUMIFS('reductions data'!$H:$H,'reductions data'!$G:$G,'reasons for reduction division'!B82,'reductions data'!$A:$A,X$72)</f>
        <v>0</v>
      </c>
      <c r="Y82" s="138">
        <f>SUMIF('reductions data'!G:G,'reasons for reduction division'!B82,'reductions data'!H:H)</f>
        <v>0</v>
      </c>
    </row>
    <row r="83" spans="1:25" s="30" customFormat="1" x14ac:dyDescent="0.15">
      <c r="B83" s="146" t="s">
        <v>497</v>
      </c>
      <c r="C83" s="93">
        <f>SUMIFS('reductions data'!H:H,'reductions data'!G:G,'reasons for reduction division'!B83,'reductions data'!A:A,$C$72)</f>
        <v>0</v>
      </c>
      <c r="D83" s="93">
        <f>SUMIFS('reductions data'!H:H,'reductions data'!G:G,'reasons for reduction division'!B83,'reductions data'!A:A,$D$72)</f>
        <v>0</v>
      </c>
      <c r="E83" s="93">
        <f>SUMIFS('reductions data'!H:H,'reductions data'!G:G,'reasons for reduction division'!B83,'reductions data'!A:A,$E$72)</f>
        <v>0</v>
      </c>
      <c r="F83" s="93">
        <f>SUMIFS('reductions data'!H:H,'reductions data'!G:G,'reasons for reduction division'!B83,'reductions data'!A:A,$F$72)</f>
        <v>0</v>
      </c>
      <c r="G83" s="93">
        <f>SUMIFS('reductions data'!H:H,'reductions data'!G:G,'reasons for reduction division'!B83,'reductions data'!A:A,$G$72)</f>
        <v>0</v>
      </c>
      <c r="H83" s="93">
        <f>SUMIFS('reductions data'!H:H,'reductions data'!G:G,'reasons for reduction division'!B83,'reductions data'!A:A,$H$72)</f>
        <v>0</v>
      </c>
      <c r="I83" s="93">
        <f>SUMIFS('reductions data'!H:H,'reductions data'!G:G,'reasons for reduction division'!B83,'reductions data'!A:A,$I$72)</f>
        <v>0</v>
      </c>
      <c r="J83" s="93">
        <f>SUMIFS('reductions data'!H:H,'reductions data'!G:G,'reasons for reduction division'!B83,'reductions data'!A:A,$J$72)</f>
        <v>0</v>
      </c>
      <c r="K83" s="93">
        <f>SUMIFS('reductions data'!H:H,'reductions data'!G:G,'reasons for reduction division'!B83,'reductions data'!A:A,$K$72)</f>
        <v>0</v>
      </c>
      <c r="L83" s="93">
        <f>SUMIFS('reductions data'!H:H,'reductions data'!G:G,'reasons for reduction division'!B83,'reductions data'!A:A,$L$72)</f>
        <v>0</v>
      </c>
      <c r="M83" s="93">
        <f>SUMIFS('reductions data'!H:H,'reductions data'!G:G,'reasons for reduction division'!B83,'reductions data'!A:A,$M$72)</f>
        <v>0</v>
      </c>
      <c r="N83" s="93">
        <f>SUMIFS('reductions data'!H:H,'reductions data'!G:G,'reasons for reduction division'!B83,'reductions data'!A:A,$N$72)</f>
        <v>0</v>
      </c>
      <c r="O83" s="93">
        <f>SUMIFS('reductions data'!$H:$H,'reductions data'!$G:$G,'reasons for reduction division'!B83,'reductions data'!$A:$A,O$72)</f>
        <v>0</v>
      </c>
      <c r="P83" s="93">
        <f>SUMIFS('reductions data'!$H:$H,'reductions data'!$G:$G,'reasons for reduction division'!B83,'reductions data'!$A:$A,P$72)</f>
        <v>0</v>
      </c>
      <c r="Q83" s="93">
        <f>SUMIFS('reductions data'!$H:$H,'reductions data'!$G:$G,'reasons for reduction division'!B83,'reductions data'!$A:$A,Q$72)</f>
        <v>0</v>
      </c>
      <c r="R83" s="93">
        <f>SUMIFS('reductions data'!$H:$H,'reductions data'!$G:$G,'reasons for reduction division'!B83,'reductions data'!$A:$A,R$72)</f>
        <v>0</v>
      </c>
      <c r="S83" s="93">
        <f>SUMIFS('reductions data'!$H:$H,'reductions data'!$G:$G,'reasons for reduction division'!B83,'reductions data'!$A:$A,S$72)</f>
        <v>0</v>
      </c>
      <c r="T83" s="93">
        <f>SUMIFS('reductions data'!$H:$H,'reductions data'!$G:$G,'reasons for reduction division'!B83,'reductions data'!$A:$A,T$72)</f>
        <v>0</v>
      </c>
      <c r="U83" s="93">
        <f>SUMIFS('reductions data'!$H:$H,'reductions data'!$G:$G,'reasons for reduction division'!B83,'reductions data'!$A:$A,U$72)</f>
        <v>0</v>
      </c>
      <c r="V83" s="93">
        <f>SUMIFS('reductions data'!$H:$H,'reductions data'!$G:$G,'reasons for reduction division'!B83,'reductions data'!$A:$A,V$72)</f>
        <v>0</v>
      </c>
      <c r="W83" s="93">
        <f>SUMIFS('reductions data'!$H:$H,'reductions data'!$G:$G,'reasons for reduction division'!B83,'reductions data'!$A:$A,W$72)</f>
        <v>0</v>
      </c>
      <c r="X83" s="93">
        <f>SUMIFS('reductions data'!$H:$H,'reductions data'!$G:$G,'reasons for reduction division'!B83,'reductions data'!$A:$A,X$72)</f>
        <v>0</v>
      </c>
      <c r="Y83" s="138">
        <f>SUMIF('reductions data'!G:G,'reasons for reduction division'!B83,'reductions data'!H:H)</f>
        <v>0</v>
      </c>
    </row>
    <row r="84" spans="1:25" x14ac:dyDescent="0.15">
      <c r="B84" s="146" t="s">
        <v>232</v>
      </c>
      <c r="C84" s="93">
        <f>SUMIFS('reductions data'!H:H,'reductions data'!G:G,'reasons for reduction division'!B84,'reductions data'!A:A,$C$72)</f>
        <v>0</v>
      </c>
      <c r="D84" s="93">
        <f>SUMIFS('reductions data'!H:H,'reductions data'!G:G,'reasons for reduction division'!B84,'reductions data'!A:A,$D$72)</f>
        <v>0</v>
      </c>
      <c r="E84" s="93">
        <f>SUMIFS('reductions data'!H:H,'reductions data'!G:G,'reasons for reduction division'!B84,'reductions data'!A:A,$E$72)</f>
        <v>0</v>
      </c>
      <c r="F84" s="93">
        <f>SUMIFS('reductions data'!H:H,'reductions data'!G:G,'reasons for reduction division'!B84,'reductions data'!A:A,$F$72)</f>
        <v>0</v>
      </c>
      <c r="G84" s="93">
        <f>SUMIFS('reductions data'!H:H,'reductions data'!G:G,'reasons for reduction division'!B84,'reductions data'!A:A,$G$72)</f>
        <v>0</v>
      </c>
      <c r="H84" s="93">
        <f>SUMIFS('reductions data'!H:H,'reductions data'!G:G,'reasons for reduction division'!B84,'reductions data'!A:A,$H$72)</f>
        <v>0</v>
      </c>
      <c r="I84" s="93">
        <f>SUMIFS('reductions data'!H:H,'reductions data'!G:G,'reasons for reduction division'!B84,'reductions data'!A:A,$I$72)</f>
        <v>0</v>
      </c>
      <c r="J84" s="93">
        <f>SUMIFS('reductions data'!H:H,'reductions data'!G:G,'reasons for reduction division'!B84,'reductions data'!A:A,$J$72)</f>
        <v>0</v>
      </c>
      <c r="K84" s="93">
        <f>SUMIFS('reductions data'!H:H,'reductions data'!G:G,'reasons for reduction division'!B84,'reductions data'!A:A,$K$72)</f>
        <v>0</v>
      </c>
      <c r="L84" s="93">
        <f>SUMIFS('reductions data'!H:H,'reductions data'!G:G,'reasons for reduction division'!B84,'reductions data'!A:A,$L$72)</f>
        <v>0</v>
      </c>
      <c r="M84" s="93">
        <f>SUMIFS('reductions data'!H:H,'reductions data'!G:G,'reasons for reduction division'!B84,'reductions data'!A:A,$M$72)</f>
        <v>0</v>
      </c>
      <c r="N84" s="93">
        <f>SUMIFS('reductions data'!H:H,'reductions data'!G:G,'reasons for reduction division'!B84,'reductions data'!A:A,$N$72)</f>
        <v>0</v>
      </c>
      <c r="O84" s="93">
        <f>SUMIFS('reductions data'!$H:$H,'reductions data'!$G:$G,'reasons for reduction division'!B84,'reductions data'!$A:$A,O$72)</f>
        <v>0</v>
      </c>
      <c r="P84" s="93">
        <f>SUMIFS('reductions data'!$H:$H,'reductions data'!$G:$G,'reasons for reduction division'!B84,'reductions data'!$A:$A,P$72)</f>
        <v>0</v>
      </c>
      <c r="Q84" s="93">
        <f>SUMIFS('reductions data'!$H:$H,'reductions data'!$G:$G,'reasons for reduction division'!B84,'reductions data'!$A:$A,Q$72)</f>
        <v>0</v>
      </c>
      <c r="R84" s="93">
        <f>SUMIFS('reductions data'!$H:$H,'reductions data'!$G:$G,'reasons for reduction division'!B84,'reductions data'!$A:$A,R$72)</f>
        <v>0</v>
      </c>
      <c r="S84" s="93">
        <f>SUMIFS('reductions data'!$H:$H,'reductions data'!$G:$G,'reasons for reduction division'!B84,'reductions data'!$A:$A,S$72)</f>
        <v>0</v>
      </c>
      <c r="T84" s="93">
        <f>SUMIFS('reductions data'!$H:$H,'reductions data'!$G:$G,'reasons for reduction division'!B84,'reductions data'!$A:$A,T$72)</f>
        <v>0</v>
      </c>
      <c r="U84" s="93">
        <f>SUMIFS('reductions data'!$H:$H,'reductions data'!$G:$G,'reasons for reduction division'!B84,'reductions data'!$A:$A,U$72)</f>
        <v>0</v>
      </c>
      <c r="V84" s="93">
        <f>SUMIFS('reductions data'!$H:$H,'reductions data'!$G:$G,'reasons for reduction division'!B84,'reductions data'!$A:$A,V$72)</f>
        <v>0</v>
      </c>
      <c r="W84" s="93">
        <f>SUMIFS('reductions data'!$H:$H,'reductions data'!$G:$G,'reasons for reduction division'!B84,'reductions data'!$A:$A,W$72)</f>
        <v>0</v>
      </c>
      <c r="X84" s="93">
        <f>SUMIFS('reductions data'!$H:$H,'reductions data'!$G:$G,'reasons for reduction division'!B84,'reductions data'!$A:$A,X$72)</f>
        <v>0</v>
      </c>
      <c r="Y84" s="138">
        <f>SUMIF('reductions data'!G:G,'reasons for reduction division'!B84,'reductions data'!H:H)</f>
        <v>0</v>
      </c>
    </row>
    <row r="85" spans="1:25" x14ac:dyDescent="0.15">
      <c r="B85" s="146" t="s">
        <v>214</v>
      </c>
      <c r="C85" s="93">
        <f>SUMIFS('reductions data'!H:H,'reductions data'!G:G,'reasons for reduction division'!B85,'reductions data'!A:A,$C$72)</f>
        <v>0</v>
      </c>
      <c r="D85" s="93">
        <f>SUMIFS('reductions data'!H:H,'reductions data'!G:G,'reasons for reduction division'!B85,'reductions data'!A:A,$D$72)</f>
        <v>0</v>
      </c>
      <c r="E85" s="93">
        <f>SUMIFS('reductions data'!H:H,'reductions data'!G:G,'reasons for reduction division'!B85,'reductions data'!A:A,$E$72)</f>
        <v>0</v>
      </c>
      <c r="F85" s="93">
        <f>SUMIFS('reductions data'!H:H,'reductions data'!G:G,'reasons for reduction division'!B85,'reductions data'!A:A,$F$72)</f>
        <v>0</v>
      </c>
      <c r="G85" s="93">
        <f>SUMIFS('reductions data'!H:H,'reductions data'!G:G,'reasons for reduction division'!B85,'reductions data'!A:A,$G$72)</f>
        <v>0</v>
      </c>
      <c r="H85" s="93">
        <f>SUMIFS('reductions data'!H:H,'reductions data'!G:G,'reasons for reduction division'!B85,'reductions data'!A:A,$H$72)</f>
        <v>0</v>
      </c>
      <c r="I85" s="93">
        <f>SUMIFS('reductions data'!H:H,'reductions data'!G:G,'reasons for reduction division'!B85,'reductions data'!A:A,$I$72)</f>
        <v>0</v>
      </c>
      <c r="J85" s="93">
        <f>SUMIFS('reductions data'!H:H,'reductions data'!G:G,'reasons for reduction division'!B85,'reductions data'!A:A,$J$72)</f>
        <v>0</v>
      </c>
      <c r="K85" s="93">
        <f>SUMIFS('reductions data'!H:H,'reductions data'!G:G,'reasons for reduction division'!B85,'reductions data'!A:A,$K$72)</f>
        <v>0</v>
      </c>
      <c r="L85" s="93">
        <f>SUMIFS('reductions data'!H:H,'reductions data'!G:G,'reasons for reduction division'!B85,'reductions data'!A:A,$L$72)</f>
        <v>0</v>
      </c>
      <c r="M85" s="93">
        <f>SUMIFS('reductions data'!H:H,'reductions data'!G:G,'reasons for reduction division'!B85,'reductions data'!A:A,$M$72)</f>
        <v>0</v>
      </c>
      <c r="N85" s="93">
        <f>SUMIFS('reductions data'!H:H,'reductions data'!G:G,'reasons for reduction division'!B85,'reductions data'!A:A,$N$72)</f>
        <v>0</v>
      </c>
      <c r="O85" s="93">
        <f>SUMIFS('reductions data'!$H:$H,'reductions data'!$G:$G,'reasons for reduction division'!B85,'reductions data'!$A:$A,O$72)</f>
        <v>0</v>
      </c>
      <c r="P85" s="93">
        <f>SUMIFS('reductions data'!$H:$H,'reductions data'!$G:$G,'reasons for reduction division'!B85,'reductions data'!$A:$A,P$72)</f>
        <v>0</v>
      </c>
      <c r="Q85" s="93">
        <f>SUMIFS('reductions data'!$H:$H,'reductions data'!$G:$G,'reasons for reduction division'!B85,'reductions data'!$A:$A,Q$72)</f>
        <v>0</v>
      </c>
      <c r="R85" s="93">
        <f>SUMIFS('reductions data'!$H:$H,'reductions data'!$G:$G,'reasons for reduction division'!B85,'reductions data'!$A:$A,R$72)</f>
        <v>0</v>
      </c>
      <c r="S85" s="93">
        <f>SUMIFS('reductions data'!$H:$H,'reductions data'!$G:$G,'reasons for reduction division'!B85,'reductions data'!$A:$A,S$72)</f>
        <v>0</v>
      </c>
      <c r="T85" s="93">
        <f>SUMIFS('reductions data'!$H:$H,'reductions data'!$G:$G,'reasons for reduction division'!B85,'reductions data'!$A:$A,T$72)</f>
        <v>0</v>
      </c>
      <c r="U85" s="93">
        <f>SUMIFS('reductions data'!$H:$H,'reductions data'!$G:$G,'reasons for reduction division'!B85,'reductions data'!$A:$A,U$72)</f>
        <v>0</v>
      </c>
      <c r="V85" s="93">
        <f>SUMIFS('reductions data'!$H:$H,'reductions data'!$G:$G,'reasons for reduction division'!B85,'reductions data'!$A:$A,V$72)</f>
        <v>0</v>
      </c>
      <c r="W85" s="93">
        <f>SUMIFS('reductions data'!$H:$H,'reductions data'!$G:$G,'reasons for reduction division'!B85,'reductions data'!$A:$A,W$72)</f>
        <v>0</v>
      </c>
      <c r="X85" s="93">
        <f>SUMIFS('reductions data'!$H:$H,'reductions data'!$G:$G,'reasons for reduction division'!B85,'reductions data'!$A:$A,X$72)</f>
        <v>0</v>
      </c>
      <c r="Y85" s="138">
        <f>SUMIF('reductions data'!G:G,'reasons for reduction division'!B85,'reductions data'!H:H)</f>
        <v>0</v>
      </c>
    </row>
    <row r="86" spans="1:25" x14ac:dyDescent="0.15">
      <c r="B86" s="146" t="s">
        <v>215</v>
      </c>
      <c r="C86" s="93">
        <f>SUMIFS('reductions data'!H:H,'reductions data'!G:G,'reasons for reduction division'!B86,'reductions data'!A:A,$C$72)</f>
        <v>0</v>
      </c>
      <c r="D86" s="93">
        <f>SUMIFS('reductions data'!H:H,'reductions data'!G:G,'reasons for reduction division'!B86,'reductions data'!A:A,$D$72)</f>
        <v>0</v>
      </c>
      <c r="E86" s="93">
        <f>SUMIFS('reductions data'!H:H,'reductions data'!G:G,'reasons for reduction division'!B86,'reductions data'!A:A,$E$72)</f>
        <v>0</v>
      </c>
      <c r="F86" s="93">
        <f>SUMIFS('reductions data'!H:H,'reductions data'!G:G,'reasons for reduction division'!B86,'reductions data'!A:A,$F$72)</f>
        <v>0</v>
      </c>
      <c r="G86" s="93">
        <f>SUMIFS('reductions data'!H:H,'reductions data'!G:G,'reasons for reduction division'!B86,'reductions data'!A:A,$G$72)</f>
        <v>0</v>
      </c>
      <c r="H86" s="93">
        <f>SUMIFS('reductions data'!H:H,'reductions data'!G:G,'reasons for reduction division'!B86,'reductions data'!A:A,$H$72)</f>
        <v>0</v>
      </c>
      <c r="I86" s="93">
        <f>SUMIFS('reductions data'!H:H,'reductions data'!G:G,'reasons for reduction division'!B86,'reductions data'!A:A,$I$72)</f>
        <v>0</v>
      </c>
      <c r="J86" s="93">
        <f>SUMIFS('reductions data'!H:H,'reductions data'!G:G,'reasons for reduction division'!B86,'reductions data'!A:A,$J$72)</f>
        <v>0</v>
      </c>
      <c r="K86" s="93">
        <f>SUMIFS('reductions data'!H:H,'reductions data'!G:G,'reasons for reduction division'!B86,'reductions data'!A:A,$K$72)</f>
        <v>0</v>
      </c>
      <c r="L86" s="93">
        <f>SUMIFS('reductions data'!H:H,'reductions data'!G:G,'reasons for reduction division'!B86,'reductions data'!A:A,$L$72)</f>
        <v>0</v>
      </c>
      <c r="M86" s="93">
        <f>SUMIFS('reductions data'!H:H,'reductions data'!G:G,'reasons for reduction division'!B86,'reductions data'!A:A,$M$72)</f>
        <v>0</v>
      </c>
      <c r="N86" s="93">
        <f>SUMIFS('reductions data'!H:H,'reductions data'!G:G,'reasons for reduction division'!B86,'reductions data'!A:A,$N$72)</f>
        <v>0</v>
      </c>
      <c r="O86" s="93">
        <f>SUMIFS('reductions data'!$H:$H,'reductions data'!$G:$G,'reasons for reduction division'!B86,'reductions data'!$A:$A,O$72)</f>
        <v>0</v>
      </c>
      <c r="P86" s="93">
        <f>SUMIFS('reductions data'!$H:$H,'reductions data'!$G:$G,'reasons for reduction division'!B86,'reductions data'!$A:$A,P$72)</f>
        <v>0</v>
      </c>
      <c r="Q86" s="93">
        <f>SUMIFS('reductions data'!$H:$H,'reductions data'!$G:$G,'reasons for reduction division'!B86,'reductions data'!$A:$A,Q$72)</f>
        <v>0</v>
      </c>
      <c r="R86" s="93">
        <f>SUMIFS('reductions data'!$H:$H,'reductions data'!$G:$G,'reasons for reduction division'!B86,'reductions data'!$A:$A,R$72)</f>
        <v>0</v>
      </c>
      <c r="S86" s="93">
        <f>SUMIFS('reductions data'!$H:$H,'reductions data'!$G:$G,'reasons for reduction division'!B86,'reductions data'!$A:$A,S$72)</f>
        <v>0</v>
      </c>
      <c r="T86" s="93">
        <f>SUMIFS('reductions data'!$H:$H,'reductions data'!$G:$G,'reasons for reduction division'!B86,'reductions data'!$A:$A,T$72)</f>
        <v>0</v>
      </c>
      <c r="U86" s="93">
        <f>SUMIFS('reductions data'!$H:$H,'reductions data'!$G:$G,'reasons for reduction division'!B86,'reductions data'!$A:$A,U$72)</f>
        <v>0</v>
      </c>
      <c r="V86" s="93">
        <f>SUMIFS('reductions data'!$H:$H,'reductions data'!$G:$G,'reasons for reduction division'!B86,'reductions data'!$A:$A,V$72)</f>
        <v>0</v>
      </c>
      <c r="W86" s="93">
        <f>SUMIFS('reductions data'!$H:$H,'reductions data'!$G:$G,'reasons for reduction division'!B86,'reductions data'!$A:$A,W$72)</f>
        <v>0</v>
      </c>
      <c r="X86" s="93">
        <f>SUMIFS('reductions data'!$H:$H,'reductions data'!$G:$G,'reasons for reduction division'!B86,'reductions data'!$A:$A,X$72)</f>
        <v>0</v>
      </c>
      <c r="Y86" s="138">
        <f>SUMIF('reductions data'!G:G,'reasons for reduction division'!B86,'reductions data'!H:H)</f>
        <v>0</v>
      </c>
    </row>
    <row r="87" spans="1:25" x14ac:dyDescent="0.15">
      <c r="B87" s="146" t="s">
        <v>244</v>
      </c>
      <c r="C87" s="93">
        <f>SUMIFS('reductions data'!H:H,'reductions data'!G:G,'reasons for reduction division'!B87,'reductions data'!A:A,$C$72)</f>
        <v>0</v>
      </c>
      <c r="D87" s="93">
        <f>SUMIFS('reductions data'!H:H,'reductions data'!G:G,'reasons for reduction division'!B87,'reductions data'!A:A,$D$72)</f>
        <v>0</v>
      </c>
      <c r="E87" s="93">
        <f>SUMIFS('reductions data'!H:H,'reductions data'!G:G,'reasons for reduction division'!B87,'reductions data'!A:A,$E$72)</f>
        <v>0</v>
      </c>
      <c r="F87" s="93">
        <f>SUMIFS('reductions data'!H:H,'reductions data'!G:G,'reasons for reduction division'!B87,'reductions data'!A:A,$F$72)</f>
        <v>0</v>
      </c>
      <c r="G87" s="93">
        <f>SUMIFS('reductions data'!H:H,'reductions data'!G:G,'reasons for reduction division'!B87,'reductions data'!A:A,$G$72)</f>
        <v>0</v>
      </c>
      <c r="H87" s="93">
        <f>SUMIFS('reductions data'!H:H,'reductions data'!G:G,'reasons for reduction division'!B87,'reductions data'!A:A,$H$72)</f>
        <v>0</v>
      </c>
      <c r="I87" s="93">
        <f>SUMIFS('reductions data'!H:H,'reductions data'!G:G,'reasons for reduction division'!B87,'reductions data'!A:A,$I$72)</f>
        <v>0</v>
      </c>
      <c r="J87" s="93">
        <f>SUMIFS('reductions data'!H:H,'reductions data'!G:G,'reasons for reduction division'!B87,'reductions data'!A:A,$J$72)</f>
        <v>0</v>
      </c>
      <c r="K87" s="93">
        <f>SUMIFS('reductions data'!H:H,'reductions data'!G:G,'reasons for reduction division'!B87,'reductions data'!A:A,$K$72)</f>
        <v>0</v>
      </c>
      <c r="L87" s="93">
        <f>SUMIFS('reductions data'!H:H,'reductions data'!G:G,'reasons for reduction division'!B87,'reductions data'!A:A,$L$72)</f>
        <v>0</v>
      </c>
      <c r="M87" s="93">
        <f>SUMIFS('reductions data'!H:H,'reductions data'!G:G,'reasons for reduction division'!B87,'reductions data'!A:A,$M$72)</f>
        <v>0</v>
      </c>
      <c r="N87" s="93">
        <f>SUMIFS('reductions data'!H:H,'reductions data'!G:G,'reasons for reduction division'!B87,'reductions data'!A:A,$N$72)</f>
        <v>0</v>
      </c>
      <c r="O87" s="93">
        <f>SUMIFS('reductions data'!$H:$H,'reductions data'!$G:$G,'reasons for reduction division'!B87,'reductions data'!$A:$A,O$72)</f>
        <v>0</v>
      </c>
      <c r="P87" s="93">
        <f>SUMIFS('reductions data'!$H:$H,'reductions data'!$G:$G,'reasons for reduction division'!B87,'reductions data'!$A:$A,P$72)</f>
        <v>0</v>
      </c>
      <c r="Q87" s="93">
        <f>SUMIFS('reductions data'!$H:$H,'reductions data'!$G:$G,'reasons for reduction division'!B87,'reductions data'!$A:$A,Q$72)</f>
        <v>0</v>
      </c>
      <c r="R87" s="93">
        <f>SUMIFS('reductions data'!$H:$H,'reductions data'!$G:$G,'reasons for reduction division'!B87,'reductions data'!$A:$A,R$72)</f>
        <v>0</v>
      </c>
      <c r="S87" s="93">
        <f>SUMIFS('reductions data'!$H:$H,'reductions data'!$G:$G,'reasons for reduction division'!B87,'reductions data'!$A:$A,S$72)</f>
        <v>0</v>
      </c>
      <c r="T87" s="93">
        <f>SUMIFS('reductions data'!$H:$H,'reductions data'!$G:$G,'reasons for reduction division'!B87,'reductions data'!$A:$A,T$72)</f>
        <v>0</v>
      </c>
      <c r="U87" s="93">
        <f>SUMIFS('reductions data'!$H:$H,'reductions data'!$G:$G,'reasons for reduction division'!B87,'reductions data'!$A:$A,U$72)</f>
        <v>0</v>
      </c>
      <c r="V87" s="93">
        <f>SUMIFS('reductions data'!$H:$H,'reductions data'!$G:$G,'reasons for reduction division'!B87,'reductions data'!$A:$A,V$72)</f>
        <v>0</v>
      </c>
      <c r="W87" s="93">
        <f>SUMIFS('reductions data'!$H:$H,'reductions data'!$G:$G,'reasons for reduction division'!B87,'reductions data'!$A:$A,W$72)</f>
        <v>0</v>
      </c>
      <c r="X87" s="93">
        <f>SUMIFS('reductions data'!$H:$H,'reductions data'!$G:$G,'reasons for reduction division'!B87,'reductions data'!$A:$A,X$72)</f>
        <v>0</v>
      </c>
      <c r="Y87" s="138">
        <f>SUMIF('reductions data'!G:G,'reasons for reduction division'!B87,'reductions data'!H:H)</f>
        <v>0</v>
      </c>
    </row>
    <row r="88" spans="1:25" x14ac:dyDescent="0.15">
      <c r="B88" s="146" t="s">
        <v>311</v>
      </c>
      <c r="C88" s="93">
        <f>SUMIFS('reductions data'!H:H,'reductions data'!G:G,'reasons for reduction division'!B88,'reductions data'!A:A,$C$72)</f>
        <v>0</v>
      </c>
      <c r="D88" s="93">
        <f>SUMIFS('reductions data'!H:H,'reductions data'!G:G,'reasons for reduction division'!B88,'reductions data'!A:A,$D$72)</f>
        <v>0</v>
      </c>
      <c r="E88" s="93">
        <f>SUMIFS('reductions data'!H:H,'reductions data'!G:G,'reasons for reduction division'!B88,'reductions data'!A:A,$E$72)</f>
        <v>0</v>
      </c>
      <c r="F88" s="93">
        <f>SUMIFS('reductions data'!H:H,'reductions data'!G:G,'reasons for reduction division'!B88,'reductions data'!A:A,$F$72)</f>
        <v>0</v>
      </c>
      <c r="G88" s="93">
        <f>SUMIFS('reductions data'!H:H,'reductions data'!G:G,'reasons for reduction division'!B88,'reductions data'!A:A,$G$72)</f>
        <v>0</v>
      </c>
      <c r="H88" s="93">
        <f>SUMIFS('reductions data'!H:H,'reductions data'!G:G,'reasons for reduction division'!B88,'reductions data'!A:A,$H$72)</f>
        <v>0</v>
      </c>
      <c r="I88" s="93">
        <f>SUMIFS('reductions data'!H:H,'reductions data'!G:G,'reasons for reduction division'!B88,'reductions data'!A:A,$I$72)</f>
        <v>0</v>
      </c>
      <c r="J88" s="93">
        <f>SUMIFS('reductions data'!H:H,'reductions data'!G:G,'reasons for reduction division'!B88,'reductions data'!A:A,$J$72)</f>
        <v>0</v>
      </c>
      <c r="K88" s="93">
        <f>SUMIFS('reductions data'!H:H,'reductions data'!G:G,'reasons for reduction division'!B88,'reductions data'!A:A,$K$72)</f>
        <v>0</v>
      </c>
      <c r="L88" s="93">
        <f>SUMIFS('reductions data'!H:H,'reductions data'!G:G,'reasons for reduction division'!B88,'reductions data'!A:A,$L$72)</f>
        <v>0</v>
      </c>
      <c r="M88" s="93">
        <f>SUMIFS('reductions data'!H:H,'reductions data'!G:G,'reasons for reduction division'!B88,'reductions data'!A:A,$M$72)</f>
        <v>0</v>
      </c>
      <c r="N88" s="93">
        <f>SUMIFS('reductions data'!H:H,'reductions data'!G:G,'reasons for reduction division'!B88,'reductions data'!A:A,$N$72)</f>
        <v>0</v>
      </c>
      <c r="O88" s="93">
        <f>SUMIFS('reductions data'!$H:$H,'reductions data'!$G:$G,'reasons for reduction division'!B88,'reductions data'!$A:$A,O$72)</f>
        <v>0</v>
      </c>
      <c r="P88" s="93">
        <f>SUMIFS('reductions data'!$H:$H,'reductions data'!$G:$G,'reasons for reduction division'!B88,'reductions data'!$A:$A,P$72)</f>
        <v>0</v>
      </c>
      <c r="Q88" s="93">
        <f>SUMIFS('reductions data'!$H:$H,'reductions data'!$G:$G,'reasons for reduction division'!B88,'reductions data'!$A:$A,Q$72)</f>
        <v>0</v>
      </c>
      <c r="R88" s="93">
        <f>SUMIFS('reductions data'!$H:$H,'reductions data'!$G:$G,'reasons for reduction division'!B88,'reductions data'!$A:$A,R$72)</f>
        <v>0</v>
      </c>
      <c r="S88" s="93">
        <f>SUMIFS('reductions data'!$H:$H,'reductions data'!$G:$G,'reasons for reduction division'!B88,'reductions data'!$A:$A,S$72)</f>
        <v>0</v>
      </c>
      <c r="T88" s="93">
        <f>SUMIFS('reductions data'!$H:$H,'reductions data'!$G:$G,'reasons for reduction division'!B88,'reductions data'!$A:$A,T$72)</f>
        <v>0</v>
      </c>
      <c r="U88" s="93">
        <f>SUMIFS('reductions data'!$H:$H,'reductions data'!$G:$G,'reasons for reduction division'!B88,'reductions data'!$A:$A,U$72)</f>
        <v>0</v>
      </c>
      <c r="V88" s="93">
        <f>SUMIFS('reductions data'!$H:$H,'reductions data'!$G:$G,'reasons for reduction division'!B88,'reductions data'!$A:$A,V$72)</f>
        <v>0</v>
      </c>
      <c r="W88" s="93">
        <f>SUMIFS('reductions data'!$H:$H,'reductions data'!$G:$G,'reasons for reduction division'!B88,'reductions data'!$A:$A,W$72)</f>
        <v>0</v>
      </c>
      <c r="X88" s="93">
        <f>SUMIFS('reductions data'!$H:$H,'reductions data'!$G:$G,'reasons for reduction division'!B88,'reductions data'!$A:$A,X$72)</f>
        <v>0</v>
      </c>
      <c r="Y88" s="138">
        <f>SUMIF('reductions data'!G:G,'reasons for reduction division'!B88,'reductions data'!H:H)</f>
        <v>0</v>
      </c>
    </row>
    <row r="89" spans="1:25" s="6" customFormat="1" x14ac:dyDescent="0.15">
      <c r="A89" s="30"/>
      <c r="B89" s="146" t="s">
        <v>246</v>
      </c>
      <c r="C89" s="93">
        <f>SUMIFS('reductions data'!H:H,'reductions data'!G:G,'reasons for reduction division'!B89,'reductions data'!A:A,$C$72)</f>
        <v>0</v>
      </c>
      <c r="D89" s="93">
        <f>SUMIFS('reductions data'!H:H,'reductions data'!G:G,'reasons for reduction division'!B89,'reductions data'!A:A,$D$72)</f>
        <v>0</v>
      </c>
      <c r="E89" s="93">
        <f>SUMIFS('reductions data'!H:H,'reductions data'!G:G,'reasons for reduction division'!B89,'reductions data'!A:A,$E$72)</f>
        <v>0</v>
      </c>
      <c r="F89" s="93">
        <f>SUMIFS('reductions data'!H:H,'reductions data'!G:G,'reasons for reduction division'!B89,'reductions data'!A:A,$F$72)</f>
        <v>0</v>
      </c>
      <c r="G89" s="93">
        <f>SUMIFS('reductions data'!H:H,'reductions data'!G:G,'reasons for reduction division'!B89,'reductions data'!A:A,$G$72)</f>
        <v>0</v>
      </c>
      <c r="H89" s="93">
        <f>SUMIFS('reductions data'!H:H,'reductions data'!G:G,'reasons for reduction division'!B89,'reductions data'!A:A,$H$72)</f>
        <v>0</v>
      </c>
      <c r="I89" s="93">
        <f>SUMIFS('reductions data'!H:H,'reductions data'!G:G,'reasons for reduction division'!B89,'reductions data'!A:A,$I$72)</f>
        <v>0</v>
      </c>
      <c r="J89" s="93">
        <f>SUMIFS('reductions data'!H:H,'reductions data'!G:G,'reasons for reduction division'!B89,'reductions data'!A:A,$J$72)</f>
        <v>0</v>
      </c>
      <c r="K89" s="93">
        <f>SUMIFS('reductions data'!H:H,'reductions data'!G:G,'reasons for reduction division'!B89,'reductions data'!A:A,$K$72)</f>
        <v>0</v>
      </c>
      <c r="L89" s="93">
        <f>SUMIFS('reductions data'!H:H,'reductions data'!G:G,'reasons for reduction division'!B89,'reductions data'!A:A,$L$72)</f>
        <v>0</v>
      </c>
      <c r="M89" s="93">
        <f>SUMIFS('reductions data'!H:H,'reductions data'!G:G,'reasons for reduction division'!B89,'reductions data'!A:A,$M$72)</f>
        <v>0</v>
      </c>
      <c r="N89" s="93">
        <f>SUMIFS('reductions data'!H:H,'reductions data'!G:G,'reasons for reduction division'!B89,'reductions data'!A:A,$N$72)</f>
        <v>0</v>
      </c>
      <c r="O89" s="93">
        <f>SUMIFS('reductions data'!$H:$H,'reductions data'!$G:$G,'reasons for reduction division'!B89,'reductions data'!$A:$A,O$72)</f>
        <v>0</v>
      </c>
      <c r="P89" s="93">
        <f>SUMIFS('reductions data'!$H:$H,'reductions data'!$G:$G,'reasons for reduction division'!B89,'reductions data'!$A:$A,P$72)</f>
        <v>0</v>
      </c>
      <c r="Q89" s="93">
        <f>SUMIFS('reductions data'!$H:$H,'reductions data'!$G:$G,'reasons for reduction division'!B89,'reductions data'!$A:$A,Q$72)</f>
        <v>0</v>
      </c>
      <c r="R89" s="93">
        <f>SUMIFS('reductions data'!$H:$H,'reductions data'!$G:$G,'reasons for reduction division'!B89,'reductions data'!$A:$A,R$72)</f>
        <v>0</v>
      </c>
      <c r="S89" s="93">
        <f>SUMIFS('reductions data'!$H:$H,'reductions data'!$G:$G,'reasons for reduction division'!B89,'reductions data'!$A:$A,S$72)</f>
        <v>0</v>
      </c>
      <c r="T89" s="93">
        <f>SUMIFS('reductions data'!$H:$H,'reductions data'!$G:$G,'reasons for reduction division'!B89,'reductions data'!$A:$A,T$72)</f>
        <v>0</v>
      </c>
      <c r="U89" s="93">
        <f>SUMIFS('reductions data'!$H:$H,'reductions data'!$G:$G,'reasons for reduction division'!B89,'reductions data'!$A:$A,U$72)</f>
        <v>0</v>
      </c>
      <c r="V89" s="93">
        <f>SUMIFS('reductions data'!$H:$H,'reductions data'!$G:$G,'reasons for reduction division'!B89,'reductions data'!$A:$A,V$72)</f>
        <v>0</v>
      </c>
      <c r="W89" s="93">
        <f>SUMIFS('reductions data'!$H:$H,'reductions data'!$G:$G,'reasons for reduction division'!B89,'reductions data'!$A:$A,W$72)</f>
        <v>0</v>
      </c>
      <c r="X89" s="93">
        <f>SUMIFS('reductions data'!$H:$H,'reductions data'!$G:$G,'reasons for reduction division'!B89,'reductions data'!$A:$A,X$72)</f>
        <v>0</v>
      </c>
      <c r="Y89" s="138">
        <f>SUMIF('reductions data'!G:G,'reasons for reduction division'!B89,'reductions data'!H:H)</f>
        <v>0</v>
      </c>
    </row>
    <row r="90" spans="1:25" x14ac:dyDescent="0.15">
      <c r="B90" s="146" t="s">
        <v>247</v>
      </c>
      <c r="C90" s="93">
        <f>SUMIFS('reductions data'!H:H,'reductions data'!G:G,'reasons for reduction division'!B90,'reductions data'!A:A,$C$72)</f>
        <v>0</v>
      </c>
      <c r="D90" s="93">
        <f>SUMIFS('reductions data'!H:H,'reductions data'!G:G,'reasons for reduction division'!B90,'reductions data'!A:A,$D$72)</f>
        <v>0</v>
      </c>
      <c r="E90" s="93">
        <f>SUMIFS('reductions data'!H:H,'reductions data'!G:G,'reasons for reduction division'!B90,'reductions data'!A:A,$E$72)</f>
        <v>0</v>
      </c>
      <c r="F90" s="93">
        <f>SUMIFS('reductions data'!H:H,'reductions data'!G:G,'reasons for reduction division'!B90,'reductions data'!A:A,$F$72)</f>
        <v>0</v>
      </c>
      <c r="G90" s="93">
        <f>SUMIFS('reductions data'!H:H,'reductions data'!G:G,'reasons for reduction division'!B90,'reductions data'!A:A,$G$72)</f>
        <v>0</v>
      </c>
      <c r="H90" s="93">
        <f>SUMIFS('reductions data'!H:H,'reductions data'!G:G,'reasons for reduction division'!B90,'reductions data'!A:A,$H$72)</f>
        <v>0</v>
      </c>
      <c r="I90" s="93">
        <f>SUMIFS('reductions data'!H:H,'reductions data'!G:G,'reasons for reduction division'!B90,'reductions data'!A:A,$I$72)</f>
        <v>0</v>
      </c>
      <c r="J90" s="93">
        <f>SUMIFS('reductions data'!H:H,'reductions data'!G:G,'reasons for reduction division'!B90,'reductions data'!A:A,$J$72)</f>
        <v>0</v>
      </c>
      <c r="K90" s="93">
        <f>SUMIFS('reductions data'!H:H,'reductions data'!G:G,'reasons for reduction division'!B90,'reductions data'!A:A,$K$72)</f>
        <v>0</v>
      </c>
      <c r="L90" s="93">
        <f>SUMIFS('reductions data'!H:H,'reductions data'!G:G,'reasons for reduction division'!B90,'reductions data'!A:A,$L$72)</f>
        <v>0</v>
      </c>
      <c r="M90" s="93">
        <f>SUMIFS('reductions data'!H:H,'reductions data'!G:G,'reasons for reduction division'!B90,'reductions data'!A:A,$M$72)</f>
        <v>0</v>
      </c>
      <c r="N90" s="93">
        <f>SUMIFS('reductions data'!H:H,'reductions data'!G:G,'reasons for reduction division'!B90,'reductions data'!A:A,$N$72)</f>
        <v>0</v>
      </c>
      <c r="O90" s="93">
        <f>SUMIFS('reductions data'!$H:$H,'reductions data'!$G:$G,'reasons for reduction division'!B90,'reductions data'!$A:$A,O$72)</f>
        <v>0</v>
      </c>
      <c r="P90" s="93">
        <f>SUMIFS('reductions data'!$H:$H,'reductions data'!$G:$G,'reasons for reduction division'!B90,'reductions data'!$A:$A,P$72)</f>
        <v>0</v>
      </c>
      <c r="Q90" s="93">
        <f>SUMIFS('reductions data'!$H:$H,'reductions data'!$G:$G,'reasons for reduction division'!B90,'reductions data'!$A:$A,Q$72)</f>
        <v>0</v>
      </c>
      <c r="R90" s="93">
        <f>SUMIFS('reductions data'!$H:$H,'reductions data'!$G:$G,'reasons for reduction division'!B90,'reductions data'!$A:$A,R$72)</f>
        <v>0</v>
      </c>
      <c r="S90" s="93">
        <f>SUMIFS('reductions data'!$H:$H,'reductions data'!$G:$G,'reasons for reduction division'!B90,'reductions data'!$A:$A,S$72)</f>
        <v>0</v>
      </c>
      <c r="T90" s="93">
        <f>SUMIFS('reductions data'!$H:$H,'reductions data'!$G:$G,'reasons for reduction division'!B90,'reductions data'!$A:$A,T$72)</f>
        <v>0</v>
      </c>
      <c r="U90" s="93">
        <f>SUMIFS('reductions data'!$H:$H,'reductions data'!$G:$G,'reasons for reduction division'!B90,'reductions data'!$A:$A,U$72)</f>
        <v>0</v>
      </c>
      <c r="V90" s="93">
        <f>SUMIFS('reductions data'!$H:$H,'reductions data'!$G:$G,'reasons for reduction division'!B90,'reductions data'!$A:$A,V$72)</f>
        <v>0</v>
      </c>
      <c r="W90" s="93">
        <f>SUMIFS('reductions data'!$H:$H,'reductions data'!$G:$G,'reasons for reduction division'!B90,'reductions data'!$A:$A,W$72)</f>
        <v>0</v>
      </c>
      <c r="X90" s="93">
        <f>SUMIFS('reductions data'!$H:$H,'reductions data'!$G:$G,'reasons for reduction division'!B90,'reductions data'!$A:$A,X$72)</f>
        <v>0</v>
      </c>
      <c r="Y90" s="138">
        <f>SUMIF('reductions data'!G:G,'reasons for reduction division'!B90,'reductions data'!H:H)</f>
        <v>0</v>
      </c>
    </row>
    <row r="91" spans="1:25" x14ac:dyDescent="0.15">
      <c r="B91" s="146" t="s">
        <v>228</v>
      </c>
      <c r="C91" s="93">
        <f>SUMIFS('reductions data'!H:H,'reductions data'!G:G,'reasons for reduction division'!B91,'reductions data'!A:A,$C$72)</f>
        <v>0</v>
      </c>
      <c r="D91" s="93">
        <f>SUMIFS('reductions data'!H:H,'reductions data'!G:G,'reasons for reduction division'!B91,'reductions data'!A:A,$D$72)</f>
        <v>0</v>
      </c>
      <c r="E91" s="93">
        <f>SUMIFS('reductions data'!H:H,'reductions data'!G:G,'reasons for reduction division'!B91,'reductions data'!A:A,$E$72)</f>
        <v>0</v>
      </c>
      <c r="F91" s="93">
        <f>SUMIFS('reductions data'!H:H,'reductions data'!G:G,'reasons for reduction division'!B91,'reductions data'!A:A,$F$72)</f>
        <v>0</v>
      </c>
      <c r="G91" s="93">
        <f>SUMIFS('reductions data'!H:H,'reductions data'!G:G,'reasons for reduction division'!B91,'reductions data'!A:A,$G$72)</f>
        <v>0</v>
      </c>
      <c r="H91" s="93">
        <f>SUMIFS('reductions data'!H:H,'reductions data'!G:G,'reasons for reduction division'!B91,'reductions data'!A:A,$H$72)</f>
        <v>0</v>
      </c>
      <c r="I91" s="93">
        <f>SUMIFS('reductions data'!H:H,'reductions data'!G:G,'reasons for reduction division'!B91,'reductions data'!A:A,$I$72)</f>
        <v>0</v>
      </c>
      <c r="J91" s="93">
        <f>SUMIFS('reductions data'!H:H,'reductions data'!G:G,'reasons for reduction division'!B91,'reductions data'!A:A,$J$72)</f>
        <v>0</v>
      </c>
      <c r="K91" s="93">
        <f>SUMIFS('reductions data'!H:H,'reductions data'!G:G,'reasons for reduction division'!B91,'reductions data'!A:A,$K$72)</f>
        <v>0</v>
      </c>
      <c r="L91" s="93">
        <f>SUMIFS('reductions data'!H:H,'reductions data'!G:G,'reasons for reduction division'!B91,'reductions data'!A:A,$L$72)</f>
        <v>0</v>
      </c>
      <c r="M91" s="93">
        <f>SUMIFS('reductions data'!H:H,'reductions data'!G:G,'reasons for reduction division'!B91,'reductions data'!A:A,$M$72)</f>
        <v>0</v>
      </c>
      <c r="N91" s="93">
        <f>SUMIFS('reductions data'!H:H,'reductions data'!G:G,'reasons for reduction division'!B91,'reductions data'!A:A,$N$72)</f>
        <v>0</v>
      </c>
      <c r="O91" s="93">
        <f>SUMIFS('reductions data'!$H:$H,'reductions data'!$G:$G,'reasons for reduction division'!B91,'reductions data'!$A:$A,O$72)</f>
        <v>0</v>
      </c>
      <c r="P91" s="93">
        <f>SUMIFS('reductions data'!$H:$H,'reductions data'!$G:$G,'reasons for reduction division'!B91,'reductions data'!$A:$A,P$72)</f>
        <v>0</v>
      </c>
      <c r="Q91" s="93">
        <f>SUMIFS('reductions data'!$H:$H,'reductions data'!$G:$G,'reasons for reduction division'!B91,'reductions data'!$A:$A,Q$72)</f>
        <v>0</v>
      </c>
      <c r="R91" s="93">
        <f>SUMIFS('reductions data'!$H:$H,'reductions data'!$G:$G,'reasons for reduction division'!B91,'reductions data'!$A:$A,R$72)</f>
        <v>0</v>
      </c>
      <c r="S91" s="93">
        <f>SUMIFS('reductions data'!$H:$H,'reductions data'!$G:$G,'reasons for reduction division'!B91,'reductions data'!$A:$A,S$72)</f>
        <v>0</v>
      </c>
      <c r="T91" s="93">
        <f>SUMIFS('reductions data'!$H:$H,'reductions data'!$G:$G,'reasons for reduction division'!B91,'reductions data'!$A:$A,T$72)</f>
        <v>0</v>
      </c>
      <c r="U91" s="93">
        <f>SUMIFS('reductions data'!$H:$H,'reductions data'!$G:$G,'reasons for reduction division'!B91,'reductions data'!$A:$A,U$72)</f>
        <v>0</v>
      </c>
      <c r="V91" s="93">
        <f>SUMIFS('reductions data'!$H:$H,'reductions data'!$G:$G,'reasons for reduction division'!B91,'reductions data'!$A:$A,V$72)</f>
        <v>0</v>
      </c>
      <c r="W91" s="93">
        <f>SUMIFS('reductions data'!$H:$H,'reductions data'!$G:$G,'reasons for reduction division'!B91,'reductions data'!$A:$A,W$72)</f>
        <v>0</v>
      </c>
      <c r="X91" s="93">
        <f>SUMIFS('reductions data'!$H:$H,'reductions data'!$G:$G,'reasons for reduction division'!B91,'reductions data'!$A:$A,X$72)</f>
        <v>0</v>
      </c>
      <c r="Y91" s="138">
        <f>SUMIF('reductions data'!G:G,'reasons for reduction division'!B91,'reductions data'!H:H)</f>
        <v>0</v>
      </c>
    </row>
    <row r="92" spans="1:25" x14ac:dyDescent="0.15">
      <c r="B92" s="146" t="s">
        <v>248</v>
      </c>
      <c r="C92" s="93">
        <f>SUMIFS('reductions data'!H:H,'reductions data'!G:G,'reasons for reduction division'!B92,'reductions data'!A:A,$C$72)</f>
        <v>0</v>
      </c>
      <c r="D92" s="93">
        <f>SUMIFS('reductions data'!H:H,'reductions data'!G:G,'reasons for reduction division'!B92,'reductions data'!A:A,$D$72)</f>
        <v>0</v>
      </c>
      <c r="E92" s="93">
        <f>SUMIFS('reductions data'!H:H,'reductions data'!G:G,'reasons for reduction division'!B92,'reductions data'!A:A,$E$72)</f>
        <v>0</v>
      </c>
      <c r="F92" s="93">
        <f>SUMIFS('reductions data'!H:H,'reductions data'!G:G,'reasons for reduction division'!B92,'reductions data'!A:A,$F$72)</f>
        <v>0</v>
      </c>
      <c r="G92" s="93">
        <f>SUMIFS('reductions data'!H:H,'reductions data'!G:G,'reasons for reduction division'!B92,'reductions data'!A:A,$G$72)</f>
        <v>0</v>
      </c>
      <c r="H92" s="93">
        <f>SUMIFS('reductions data'!H:H,'reductions data'!G:G,'reasons for reduction division'!B92,'reductions data'!A:A,$H$72)</f>
        <v>0</v>
      </c>
      <c r="I92" s="93">
        <f>SUMIFS('reductions data'!H:H,'reductions data'!G:G,'reasons for reduction division'!B92,'reductions data'!A:A,$I$72)</f>
        <v>0</v>
      </c>
      <c r="J92" s="93">
        <f>SUMIFS('reductions data'!H:H,'reductions data'!G:G,'reasons for reduction division'!B92,'reductions data'!A:A,$J$72)</f>
        <v>0</v>
      </c>
      <c r="K92" s="93">
        <f>SUMIFS('reductions data'!H:H,'reductions data'!G:G,'reasons for reduction division'!B92,'reductions data'!A:A,$K$72)</f>
        <v>0</v>
      </c>
      <c r="L92" s="93">
        <f>SUMIFS('reductions data'!H:H,'reductions data'!G:G,'reasons for reduction division'!B92,'reductions data'!A:A,$L$72)</f>
        <v>0</v>
      </c>
      <c r="M92" s="93">
        <f>SUMIFS('reductions data'!H:H,'reductions data'!G:G,'reasons for reduction division'!B92,'reductions data'!A:A,$M$72)</f>
        <v>0</v>
      </c>
      <c r="N92" s="93">
        <f>SUMIFS('reductions data'!H:H,'reductions data'!G:G,'reasons for reduction division'!B92,'reductions data'!A:A,$N$72)</f>
        <v>0</v>
      </c>
      <c r="O92" s="93">
        <f>SUMIFS('reductions data'!$H:$H,'reductions data'!$G:$G,'reasons for reduction division'!B92,'reductions data'!$A:$A,O$72)</f>
        <v>0</v>
      </c>
      <c r="P92" s="93">
        <f>SUMIFS('reductions data'!$H:$H,'reductions data'!$G:$G,'reasons for reduction division'!B92,'reductions data'!$A:$A,P$72)</f>
        <v>0</v>
      </c>
      <c r="Q92" s="93">
        <f>SUMIFS('reductions data'!$H:$H,'reductions data'!$G:$G,'reasons for reduction division'!B92,'reductions data'!$A:$A,Q$72)</f>
        <v>0</v>
      </c>
      <c r="R92" s="93">
        <f>SUMIFS('reductions data'!$H:$H,'reductions data'!$G:$G,'reasons for reduction division'!B92,'reductions data'!$A:$A,R$72)</f>
        <v>0</v>
      </c>
      <c r="S92" s="93">
        <f>SUMIFS('reductions data'!$H:$H,'reductions data'!$G:$G,'reasons for reduction division'!B92,'reductions data'!$A:$A,S$72)</f>
        <v>0</v>
      </c>
      <c r="T92" s="93">
        <f>SUMIFS('reductions data'!$H:$H,'reductions data'!$G:$G,'reasons for reduction division'!B92,'reductions data'!$A:$A,T$72)</f>
        <v>0</v>
      </c>
      <c r="U92" s="93">
        <f>SUMIFS('reductions data'!$H:$H,'reductions data'!$G:$G,'reasons for reduction division'!B92,'reductions data'!$A:$A,U$72)</f>
        <v>0</v>
      </c>
      <c r="V92" s="93">
        <f>SUMIFS('reductions data'!$H:$H,'reductions data'!$G:$G,'reasons for reduction division'!B92,'reductions data'!$A:$A,V$72)</f>
        <v>0</v>
      </c>
      <c r="W92" s="93">
        <f>SUMIFS('reductions data'!$H:$H,'reductions data'!$G:$G,'reasons for reduction division'!B92,'reductions data'!$A:$A,W$72)</f>
        <v>0</v>
      </c>
      <c r="X92" s="93">
        <f>SUMIFS('reductions data'!$H:$H,'reductions data'!$G:$G,'reasons for reduction division'!B92,'reductions data'!$A:$A,X$72)</f>
        <v>0</v>
      </c>
      <c r="Y92" s="138">
        <f>SUMIF('reductions data'!G:G,'reasons for reduction division'!B92,'reductions data'!H:H)</f>
        <v>0</v>
      </c>
    </row>
    <row r="93" spans="1:25" x14ac:dyDescent="0.15">
      <c r="B93" s="146" t="s">
        <v>217</v>
      </c>
      <c r="C93" s="93">
        <f>SUMIFS('reductions data'!H:H,'reductions data'!G:G,'reasons for reduction division'!B93,'reductions data'!A:A,$C$72)</f>
        <v>0</v>
      </c>
      <c r="D93" s="93">
        <f>SUMIFS('reductions data'!H:H,'reductions data'!G:G,'reasons for reduction division'!B93,'reductions data'!A:A,$D$72)</f>
        <v>0</v>
      </c>
      <c r="E93" s="93">
        <f>SUMIFS('reductions data'!H:H,'reductions data'!G:G,'reasons for reduction division'!B93,'reductions data'!A:A,$E$72)</f>
        <v>0</v>
      </c>
      <c r="F93" s="93">
        <f>SUMIFS('reductions data'!H:H,'reductions data'!G:G,'reasons for reduction division'!B93,'reductions data'!A:A,$F$72)</f>
        <v>0</v>
      </c>
      <c r="G93" s="93">
        <f>SUMIFS('reductions data'!H:H,'reductions data'!G:G,'reasons for reduction division'!B93,'reductions data'!A:A,$G$72)</f>
        <v>0</v>
      </c>
      <c r="H93" s="93">
        <f>SUMIFS('reductions data'!H:H,'reductions data'!G:G,'reasons for reduction division'!B93,'reductions data'!A:A,$H$72)</f>
        <v>0</v>
      </c>
      <c r="I93" s="93">
        <f>SUMIFS('reductions data'!H:H,'reductions data'!G:G,'reasons for reduction division'!B93,'reductions data'!A:A,$I$72)</f>
        <v>0</v>
      </c>
      <c r="J93" s="93">
        <f>SUMIFS('reductions data'!H:H,'reductions data'!G:G,'reasons for reduction division'!B93,'reductions data'!A:A,$J$72)</f>
        <v>0</v>
      </c>
      <c r="K93" s="93">
        <f>SUMIFS('reductions data'!H:H,'reductions data'!G:G,'reasons for reduction division'!B93,'reductions data'!A:A,$K$72)</f>
        <v>0</v>
      </c>
      <c r="L93" s="93">
        <f>SUMIFS('reductions data'!H:H,'reductions data'!G:G,'reasons for reduction division'!B93,'reductions data'!A:A,$L$72)</f>
        <v>0</v>
      </c>
      <c r="M93" s="93">
        <f>SUMIFS('reductions data'!H:H,'reductions data'!G:G,'reasons for reduction division'!B93,'reductions data'!A:A,$M$72)</f>
        <v>0</v>
      </c>
      <c r="N93" s="93">
        <f>SUMIFS('reductions data'!H:H,'reductions data'!G:G,'reasons for reduction division'!B93,'reductions data'!A:A,$N$72)</f>
        <v>0</v>
      </c>
      <c r="O93" s="93">
        <f>SUMIFS('reductions data'!$H:$H,'reductions data'!$G:$G,'reasons for reduction division'!B93,'reductions data'!$A:$A,O$72)</f>
        <v>0</v>
      </c>
      <c r="P93" s="93">
        <f>SUMIFS('reductions data'!$H:$H,'reductions data'!$G:$G,'reasons for reduction division'!B93,'reductions data'!$A:$A,P$72)</f>
        <v>0</v>
      </c>
      <c r="Q93" s="93">
        <f>SUMIFS('reductions data'!$H:$H,'reductions data'!$G:$G,'reasons for reduction division'!B93,'reductions data'!$A:$A,Q$72)</f>
        <v>0</v>
      </c>
      <c r="R93" s="93">
        <f>SUMIFS('reductions data'!$H:$H,'reductions data'!$G:$G,'reasons for reduction division'!B93,'reductions data'!$A:$A,R$72)</f>
        <v>0</v>
      </c>
      <c r="S93" s="93">
        <f>SUMIFS('reductions data'!$H:$H,'reductions data'!$G:$G,'reasons for reduction division'!B93,'reductions data'!$A:$A,S$72)</f>
        <v>0</v>
      </c>
      <c r="T93" s="93">
        <f>SUMIFS('reductions data'!$H:$H,'reductions data'!$G:$G,'reasons for reduction division'!B93,'reductions data'!$A:$A,T$72)</f>
        <v>0</v>
      </c>
      <c r="U93" s="93">
        <f>SUMIFS('reductions data'!$H:$H,'reductions data'!$G:$G,'reasons for reduction division'!B93,'reductions data'!$A:$A,U$72)</f>
        <v>0</v>
      </c>
      <c r="V93" s="93">
        <f>SUMIFS('reductions data'!$H:$H,'reductions data'!$G:$G,'reasons for reduction division'!B93,'reductions data'!$A:$A,V$72)</f>
        <v>0</v>
      </c>
      <c r="W93" s="93">
        <f>SUMIFS('reductions data'!$H:$H,'reductions data'!$G:$G,'reasons for reduction division'!B93,'reductions data'!$A:$A,W$72)</f>
        <v>0</v>
      </c>
      <c r="X93" s="93">
        <f>SUMIFS('reductions data'!$H:$H,'reductions data'!$G:$G,'reasons for reduction division'!B93,'reductions data'!$A:$A,X$72)</f>
        <v>0</v>
      </c>
      <c r="Y93" s="138">
        <f>SUMIF('reductions data'!G:G,'reasons for reduction division'!B93,'reductions data'!H:H)</f>
        <v>0</v>
      </c>
    </row>
    <row r="94" spans="1:25" x14ac:dyDescent="0.15">
      <c r="B94" s="146" t="s">
        <v>249</v>
      </c>
      <c r="C94" s="93">
        <f>SUMIFS('reductions data'!H:H,'reductions data'!G:G,'reasons for reduction division'!B94,'reductions data'!A:A,$C$72)</f>
        <v>0</v>
      </c>
      <c r="D94" s="93">
        <f>SUMIFS('reductions data'!H:H,'reductions data'!G:G,'reasons for reduction division'!B94,'reductions data'!A:A,$D$72)</f>
        <v>0</v>
      </c>
      <c r="E94" s="93">
        <f>SUMIFS('reductions data'!H:H,'reductions data'!G:G,'reasons for reduction division'!B94,'reductions data'!A:A,$E$72)</f>
        <v>0</v>
      </c>
      <c r="F94" s="93">
        <f>SUMIFS('reductions data'!H:H,'reductions data'!G:G,'reasons for reduction division'!B94,'reductions data'!A:A,$F$72)</f>
        <v>0</v>
      </c>
      <c r="G94" s="93">
        <f>SUMIFS('reductions data'!H:H,'reductions data'!G:G,'reasons for reduction division'!B94,'reductions data'!A:A,$G$72)</f>
        <v>0</v>
      </c>
      <c r="H94" s="93">
        <f>SUMIFS('reductions data'!H:H,'reductions data'!G:G,'reasons for reduction division'!B94,'reductions data'!A:A,$H$72)</f>
        <v>0</v>
      </c>
      <c r="I94" s="93">
        <f>SUMIFS('reductions data'!H:H,'reductions data'!G:G,'reasons for reduction division'!B94,'reductions data'!A:A,$I$72)</f>
        <v>0</v>
      </c>
      <c r="J94" s="93">
        <f>SUMIFS('reductions data'!H:H,'reductions data'!G:G,'reasons for reduction division'!B94,'reductions data'!A:A,$J$72)</f>
        <v>0</v>
      </c>
      <c r="K94" s="93">
        <f>SUMIFS('reductions data'!H:H,'reductions data'!G:G,'reasons for reduction division'!B94,'reductions data'!A:A,$K$72)</f>
        <v>0</v>
      </c>
      <c r="L94" s="93">
        <f>SUMIFS('reductions data'!H:H,'reductions data'!G:G,'reasons for reduction division'!B94,'reductions data'!A:A,$L$72)</f>
        <v>0</v>
      </c>
      <c r="M94" s="93">
        <f>SUMIFS('reductions data'!H:H,'reductions data'!G:G,'reasons for reduction division'!B94,'reductions data'!A:A,$M$72)</f>
        <v>0</v>
      </c>
      <c r="N94" s="93">
        <f>SUMIFS('reductions data'!H:H,'reductions data'!G:G,'reasons for reduction division'!B94,'reductions data'!A:A,$N$72)</f>
        <v>0</v>
      </c>
      <c r="O94" s="93">
        <f>SUMIFS('reductions data'!$H:$H,'reductions data'!$G:$G,'reasons for reduction division'!B94,'reductions data'!$A:$A,O$72)</f>
        <v>0</v>
      </c>
      <c r="P94" s="93">
        <f>SUMIFS('reductions data'!$H:$H,'reductions data'!$G:$G,'reasons for reduction division'!B94,'reductions data'!$A:$A,P$72)</f>
        <v>0</v>
      </c>
      <c r="Q94" s="93">
        <f>SUMIFS('reductions data'!$H:$H,'reductions data'!$G:$G,'reasons for reduction division'!B94,'reductions data'!$A:$A,Q$72)</f>
        <v>0</v>
      </c>
      <c r="R94" s="93">
        <f>SUMIFS('reductions data'!$H:$H,'reductions data'!$G:$G,'reasons for reduction division'!B94,'reductions data'!$A:$A,R$72)</f>
        <v>0</v>
      </c>
      <c r="S94" s="93">
        <f>SUMIFS('reductions data'!$H:$H,'reductions data'!$G:$G,'reasons for reduction division'!B94,'reductions data'!$A:$A,S$72)</f>
        <v>0</v>
      </c>
      <c r="T94" s="93">
        <f>SUMIFS('reductions data'!$H:$H,'reductions data'!$G:$G,'reasons for reduction division'!B94,'reductions data'!$A:$A,T$72)</f>
        <v>0</v>
      </c>
      <c r="U94" s="93">
        <f>SUMIFS('reductions data'!$H:$H,'reductions data'!$G:$G,'reasons for reduction division'!B94,'reductions data'!$A:$A,U$72)</f>
        <v>0</v>
      </c>
      <c r="V94" s="93">
        <f>SUMIFS('reductions data'!$H:$H,'reductions data'!$G:$G,'reasons for reduction division'!B94,'reductions data'!$A:$A,V$72)</f>
        <v>0</v>
      </c>
      <c r="W94" s="93">
        <f>SUMIFS('reductions data'!$H:$H,'reductions data'!$G:$G,'reasons for reduction division'!B94,'reductions data'!$A:$A,W$72)</f>
        <v>0</v>
      </c>
      <c r="X94" s="93">
        <f>SUMIFS('reductions data'!$H:$H,'reductions data'!$G:$G,'reasons for reduction division'!B94,'reductions data'!$A:$A,X$72)</f>
        <v>0</v>
      </c>
      <c r="Y94" s="138">
        <f>SUMIF('reductions data'!G:G,'reasons for reduction division'!B94,'reductions data'!H:H)</f>
        <v>0</v>
      </c>
    </row>
    <row r="95" spans="1:25" x14ac:dyDescent="0.15">
      <c r="B95" s="146" t="s">
        <v>250</v>
      </c>
      <c r="C95" s="93">
        <f>SUMIFS('reductions data'!H:H,'reductions data'!G:G,'reasons for reduction division'!B95,'reductions data'!A:A,$C$72)</f>
        <v>0</v>
      </c>
      <c r="D95" s="93">
        <f>SUMIFS('reductions data'!H:H,'reductions data'!G:G,'reasons for reduction division'!B95,'reductions data'!A:A,$D$72)</f>
        <v>0</v>
      </c>
      <c r="E95" s="93">
        <f>SUMIFS('reductions data'!H:H,'reductions data'!G:G,'reasons for reduction division'!B95,'reductions data'!A:A,$E$72)</f>
        <v>0</v>
      </c>
      <c r="F95" s="93">
        <f>SUMIFS('reductions data'!H:H,'reductions data'!G:G,'reasons for reduction division'!B95,'reductions data'!A:A,$F$72)</f>
        <v>0</v>
      </c>
      <c r="G95" s="93">
        <f>SUMIFS('reductions data'!H:H,'reductions data'!G:G,'reasons for reduction division'!B95,'reductions data'!A:A,$G$72)</f>
        <v>0</v>
      </c>
      <c r="H95" s="93">
        <f>SUMIFS('reductions data'!H:H,'reductions data'!G:G,'reasons for reduction division'!B95,'reductions data'!A:A,$H$72)</f>
        <v>0</v>
      </c>
      <c r="I95" s="93">
        <f>SUMIFS('reductions data'!H:H,'reductions data'!G:G,'reasons for reduction division'!B95,'reductions data'!A:A,$I$72)</f>
        <v>0</v>
      </c>
      <c r="J95" s="93">
        <f>SUMIFS('reductions data'!H:H,'reductions data'!G:G,'reasons for reduction division'!B95,'reductions data'!A:A,$J$72)</f>
        <v>0</v>
      </c>
      <c r="K95" s="93">
        <f>SUMIFS('reductions data'!H:H,'reductions data'!G:G,'reasons for reduction division'!B95,'reductions data'!A:A,$K$72)</f>
        <v>0</v>
      </c>
      <c r="L95" s="93">
        <f>SUMIFS('reductions data'!H:H,'reductions data'!G:G,'reasons for reduction division'!B95,'reductions data'!A:A,$L$72)</f>
        <v>0</v>
      </c>
      <c r="M95" s="93">
        <f>SUMIFS('reductions data'!H:H,'reductions data'!G:G,'reasons for reduction division'!B95,'reductions data'!A:A,$M$72)</f>
        <v>0</v>
      </c>
      <c r="N95" s="93">
        <f>SUMIFS('reductions data'!H:H,'reductions data'!G:G,'reasons for reduction division'!B95,'reductions data'!A:A,$N$72)</f>
        <v>0</v>
      </c>
      <c r="O95" s="93">
        <f>SUMIFS('reductions data'!$H:$H,'reductions data'!$G:$G,'reasons for reduction division'!B95,'reductions data'!$A:$A,O$72)</f>
        <v>0</v>
      </c>
      <c r="P95" s="93">
        <f>SUMIFS('reductions data'!$H:$H,'reductions data'!$G:$G,'reasons for reduction division'!B95,'reductions data'!$A:$A,P$72)</f>
        <v>0</v>
      </c>
      <c r="Q95" s="93">
        <f>SUMIFS('reductions data'!$H:$H,'reductions data'!$G:$G,'reasons for reduction division'!B95,'reductions data'!$A:$A,Q$72)</f>
        <v>0</v>
      </c>
      <c r="R95" s="93">
        <f>SUMIFS('reductions data'!$H:$H,'reductions data'!$G:$G,'reasons for reduction division'!B95,'reductions data'!$A:$A,R$72)</f>
        <v>0</v>
      </c>
      <c r="S95" s="93">
        <f>SUMIFS('reductions data'!$H:$H,'reductions data'!$G:$G,'reasons for reduction division'!B95,'reductions data'!$A:$A,S$72)</f>
        <v>0</v>
      </c>
      <c r="T95" s="93">
        <f>SUMIFS('reductions data'!$H:$H,'reductions data'!$G:$G,'reasons for reduction division'!B95,'reductions data'!$A:$A,T$72)</f>
        <v>0</v>
      </c>
      <c r="U95" s="93">
        <f>SUMIFS('reductions data'!$H:$H,'reductions data'!$G:$G,'reasons for reduction division'!B95,'reductions data'!$A:$A,U$72)</f>
        <v>0</v>
      </c>
      <c r="V95" s="93">
        <f>SUMIFS('reductions data'!$H:$H,'reductions data'!$G:$G,'reasons for reduction division'!B95,'reductions data'!$A:$A,V$72)</f>
        <v>0</v>
      </c>
      <c r="W95" s="93">
        <f>SUMIFS('reductions data'!$H:$H,'reductions data'!$G:$G,'reasons for reduction division'!B95,'reductions data'!$A:$A,W$72)</f>
        <v>0</v>
      </c>
      <c r="X95" s="93">
        <f>SUMIFS('reductions data'!$H:$H,'reductions data'!$G:$G,'reasons for reduction division'!B95,'reductions data'!$A:$A,X$72)</f>
        <v>0</v>
      </c>
      <c r="Y95" s="138">
        <f>SUMIF('reductions data'!G:G,'reasons for reduction division'!B95,'reductions data'!H:H)</f>
        <v>0</v>
      </c>
    </row>
    <row r="96" spans="1:25" x14ac:dyDescent="0.15">
      <c r="B96" s="146" t="s">
        <v>233</v>
      </c>
      <c r="C96" s="93">
        <f>SUMIFS('reductions data'!H:H,'reductions data'!G:G,'reasons for reduction division'!B96,'reductions data'!A:A,$C$72)</f>
        <v>0</v>
      </c>
      <c r="D96" s="93">
        <f>SUMIFS('reductions data'!H:H,'reductions data'!G:G,'reasons for reduction division'!B96,'reductions data'!A:A,$D$72)</f>
        <v>0</v>
      </c>
      <c r="E96" s="93">
        <f>SUMIFS('reductions data'!H:H,'reductions data'!G:G,'reasons for reduction division'!B96,'reductions data'!A:A,$E$72)</f>
        <v>0</v>
      </c>
      <c r="F96" s="93">
        <f>SUMIFS('reductions data'!H:H,'reductions data'!G:G,'reasons for reduction division'!B96,'reductions data'!A:A,$F$72)</f>
        <v>0</v>
      </c>
      <c r="G96" s="93">
        <f>SUMIFS('reductions data'!H:H,'reductions data'!G:G,'reasons for reduction division'!B96,'reductions data'!A:A,$G$72)</f>
        <v>0</v>
      </c>
      <c r="H96" s="93">
        <f>SUMIFS('reductions data'!H:H,'reductions data'!G:G,'reasons for reduction division'!B96,'reductions data'!A:A,$H$72)</f>
        <v>0</v>
      </c>
      <c r="I96" s="93">
        <f>SUMIFS('reductions data'!H:H,'reductions data'!G:G,'reasons for reduction division'!B96,'reductions data'!A:A,$I$72)</f>
        <v>0</v>
      </c>
      <c r="J96" s="93">
        <f>SUMIFS('reductions data'!H:H,'reductions data'!G:G,'reasons for reduction division'!B96,'reductions data'!A:A,$J$72)</f>
        <v>0</v>
      </c>
      <c r="K96" s="93">
        <f>SUMIFS('reductions data'!H:H,'reductions data'!G:G,'reasons for reduction division'!B96,'reductions data'!A:A,$K$72)</f>
        <v>0</v>
      </c>
      <c r="L96" s="93">
        <f>SUMIFS('reductions data'!H:H,'reductions data'!G:G,'reasons for reduction division'!B96,'reductions data'!A:A,$L$72)</f>
        <v>0</v>
      </c>
      <c r="M96" s="93">
        <f>SUMIFS('reductions data'!H:H,'reductions data'!G:G,'reasons for reduction division'!B96,'reductions data'!A:A,$M$72)</f>
        <v>0</v>
      </c>
      <c r="N96" s="93">
        <f>SUMIFS('reductions data'!H:H,'reductions data'!G:G,'reasons for reduction division'!B96,'reductions data'!A:A,$N$72)</f>
        <v>0</v>
      </c>
      <c r="O96" s="93">
        <f>SUMIFS('reductions data'!$H:$H,'reductions data'!$G:$G,'reasons for reduction division'!B96,'reductions data'!$A:$A,O$72)</f>
        <v>0</v>
      </c>
      <c r="P96" s="93">
        <f>SUMIFS('reductions data'!$H:$H,'reductions data'!$G:$G,'reasons for reduction division'!B96,'reductions data'!$A:$A,P$72)</f>
        <v>0</v>
      </c>
      <c r="Q96" s="93">
        <f>SUMIFS('reductions data'!$H:$H,'reductions data'!$G:$G,'reasons for reduction division'!B96,'reductions data'!$A:$A,Q$72)</f>
        <v>0</v>
      </c>
      <c r="R96" s="93">
        <f>SUMIFS('reductions data'!$H:$H,'reductions data'!$G:$G,'reasons for reduction division'!B96,'reductions data'!$A:$A,R$72)</f>
        <v>0</v>
      </c>
      <c r="S96" s="93">
        <f>SUMIFS('reductions data'!$H:$H,'reductions data'!$G:$G,'reasons for reduction division'!B96,'reductions data'!$A:$A,S$72)</f>
        <v>0</v>
      </c>
      <c r="T96" s="93">
        <f>SUMIFS('reductions data'!$H:$H,'reductions data'!$G:$G,'reasons for reduction division'!B96,'reductions data'!$A:$A,T$72)</f>
        <v>0</v>
      </c>
      <c r="U96" s="93">
        <f>SUMIFS('reductions data'!$H:$H,'reductions data'!$G:$G,'reasons for reduction division'!B96,'reductions data'!$A:$A,U$72)</f>
        <v>0</v>
      </c>
      <c r="V96" s="93">
        <f>SUMIFS('reductions data'!$H:$H,'reductions data'!$G:$G,'reasons for reduction division'!B96,'reductions data'!$A:$A,V$72)</f>
        <v>0</v>
      </c>
      <c r="W96" s="93">
        <f>SUMIFS('reductions data'!$H:$H,'reductions data'!$G:$G,'reasons for reduction division'!B96,'reductions data'!$A:$A,W$72)</f>
        <v>0</v>
      </c>
      <c r="X96" s="93">
        <f>SUMIFS('reductions data'!$H:$H,'reductions data'!$G:$G,'reasons for reduction division'!B96,'reductions data'!$A:$A,X$72)</f>
        <v>0</v>
      </c>
      <c r="Y96" s="138">
        <f>SUMIF('reductions data'!G:G,'reasons for reduction division'!B96,'reductions data'!H:H)</f>
        <v>0</v>
      </c>
    </row>
    <row r="97" spans="1:25" ht="15.75" customHeight="1" x14ac:dyDescent="0.15">
      <c r="B97" s="240" t="s">
        <v>312</v>
      </c>
      <c r="C97" s="93">
        <f>SUMIFS('reductions data'!H:H,'reductions data'!G:G,'reasons for reduction division'!B97,'reductions data'!A:A,$C$72)</f>
        <v>0</v>
      </c>
      <c r="D97" s="93">
        <f>SUMIFS('reductions data'!H:H,'reductions data'!G:G,'reasons for reduction division'!B97,'reductions data'!A:A,$D$72)</f>
        <v>0</v>
      </c>
      <c r="E97" s="93">
        <f>SUMIFS('reductions data'!H:H,'reductions data'!G:G,'reasons for reduction division'!B97,'reductions data'!A:A,$E$72)</f>
        <v>0</v>
      </c>
      <c r="F97" s="93">
        <f>SUMIFS('reductions data'!H:H,'reductions data'!G:G,'reasons for reduction division'!B97,'reductions data'!A:A,$F$72)</f>
        <v>0</v>
      </c>
      <c r="G97" s="93">
        <f>SUMIFS('reductions data'!H:H,'reductions data'!G:G,'reasons for reduction division'!B97,'reductions data'!A:A,$G$72)</f>
        <v>0</v>
      </c>
      <c r="H97" s="93">
        <f>SUMIFS('reductions data'!H:H,'reductions data'!G:G,'reasons for reduction division'!B97,'reductions data'!A:A,$H$72)</f>
        <v>0</v>
      </c>
      <c r="I97" s="93">
        <f>SUMIFS('reductions data'!H:H,'reductions data'!G:G,'reasons for reduction division'!B97,'reductions data'!A:A,$I$72)</f>
        <v>0</v>
      </c>
      <c r="J97" s="93">
        <f>SUMIFS('reductions data'!H:H,'reductions data'!G:G,'reasons for reduction division'!B97,'reductions data'!A:A,$J$72)</f>
        <v>0</v>
      </c>
      <c r="K97" s="93">
        <f>SUMIFS('reductions data'!H:H,'reductions data'!G:G,'reasons for reduction division'!B97,'reductions data'!A:A,$K$72)</f>
        <v>0</v>
      </c>
      <c r="L97" s="93">
        <f>SUMIFS('reductions data'!H:H,'reductions data'!G:G,'reasons for reduction division'!B97,'reductions data'!A:A,$L$72)</f>
        <v>0</v>
      </c>
      <c r="M97" s="93">
        <f>SUMIFS('reductions data'!H:H,'reductions data'!G:G,'reasons for reduction division'!B97,'reductions data'!A:A,$M$72)</f>
        <v>0</v>
      </c>
      <c r="N97" s="93">
        <f>SUMIFS('reductions data'!H:H,'reductions data'!G:G,'reasons for reduction division'!B97,'reductions data'!A:A,$N$72)</f>
        <v>0</v>
      </c>
      <c r="O97" s="93">
        <f>SUMIFS('reductions data'!$H:$H,'reductions data'!$G:$G,'reasons for reduction division'!B97,'reductions data'!$A:$A,O$72)</f>
        <v>0</v>
      </c>
      <c r="P97" s="93">
        <f>SUMIFS('reductions data'!$H:$H,'reductions data'!$G:$G,'reasons for reduction division'!B97,'reductions data'!$A:$A,P$72)</f>
        <v>0</v>
      </c>
      <c r="Q97" s="93">
        <f>SUMIFS('reductions data'!$H:$H,'reductions data'!$G:$G,'reasons for reduction division'!B97,'reductions data'!$A:$A,Q$72)</f>
        <v>0</v>
      </c>
      <c r="R97" s="93">
        <f>SUMIFS('reductions data'!$H:$H,'reductions data'!$G:$G,'reasons for reduction division'!B97,'reductions data'!$A:$A,R$72)</f>
        <v>0</v>
      </c>
      <c r="S97" s="93">
        <f>SUMIFS('reductions data'!$H:$H,'reductions data'!$G:$G,'reasons for reduction division'!B97,'reductions data'!$A:$A,S$72)</f>
        <v>0</v>
      </c>
      <c r="T97" s="93">
        <f>SUMIFS('reductions data'!$H:$H,'reductions data'!$G:$G,'reasons for reduction division'!B97,'reductions data'!$A:$A,T$72)</f>
        <v>0</v>
      </c>
      <c r="U97" s="93">
        <f>SUMIFS('reductions data'!$H:$H,'reductions data'!$G:$G,'reasons for reduction division'!B97,'reductions data'!$A:$A,U$72)</f>
        <v>0</v>
      </c>
      <c r="V97" s="93">
        <f>SUMIFS('reductions data'!$H:$H,'reductions data'!$G:$G,'reasons for reduction division'!B97,'reductions data'!$A:$A,V$72)</f>
        <v>0</v>
      </c>
      <c r="W97" s="93">
        <f>SUMIFS('reductions data'!$H:$H,'reductions data'!$G:$G,'reasons for reduction division'!B97,'reductions data'!$A:$A,W$72)</f>
        <v>0</v>
      </c>
      <c r="X97" s="93">
        <f>SUMIFS('reductions data'!$H:$H,'reductions data'!$G:$G,'reasons for reduction division'!B97,'reductions data'!$A:$A,X$72)</f>
        <v>0</v>
      </c>
      <c r="Y97" s="138">
        <f>SUMIF('reductions data'!G:G,'reasons for reduction division'!B97,'reductions data'!H:H)</f>
        <v>0</v>
      </c>
    </row>
    <row r="98" spans="1:25" x14ac:dyDescent="0.15">
      <c r="B98" s="146" t="s">
        <v>234</v>
      </c>
      <c r="C98" s="93">
        <f>SUMIFS('reductions data'!H:H,'reductions data'!G:G,'reasons for reduction division'!B98,'reductions data'!A:A,$C$72)</f>
        <v>0</v>
      </c>
      <c r="D98" s="93">
        <f>SUMIFS('reductions data'!H:H,'reductions data'!G:G,'reasons for reduction division'!B98,'reductions data'!A:A,$D$72)</f>
        <v>0</v>
      </c>
      <c r="E98" s="93">
        <f>SUMIFS('reductions data'!H:H,'reductions data'!G:G,'reasons for reduction division'!B98,'reductions data'!A:A,$E$72)</f>
        <v>0</v>
      </c>
      <c r="F98" s="93">
        <f>SUMIFS('reductions data'!H:H,'reductions data'!G:G,'reasons for reduction division'!B98,'reductions data'!A:A,$F$72)</f>
        <v>0</v>
      </c>
      <c r="G98" s="93">
        <f>SUMIFS('reductions data'!H:H,'reductions data'!G:G,'reasons for reduction division'!B98,'reductions data'!A:A,$G$72)</f>
        <v>0</v>
      </c>
      <c r="H98" s="93">
        <f>SUMIFS('reductions data'!H:H,'reductions data'!G:G,'reasons for reduction division'!B98,'reductions data'!A:A,$H$72)</f>
        <v>0</v>
      </c>
      <c r="I98" s="93">
        <f>SUMIFS('reductions data'!H:H,'reductions data'!G:G,'reasons for reduction division'!B98,'reductions data'!A:A,$I$72)</f>
        <v>0</v>
      </c>
      <c r="J98" s="93">
        <f>SUMIFS('reductions data'!H:H,'reductions data'!G:G,'reasons for reduction division'!B98,'reductions data'!A:A,$J$72)</f>
        <v>0</v>
      </c>
      <c r="K98" s="93">
        <f>SUMIFS('reductions data'!H:H,'reductions data'!G:G,'reasons for reduction division'!B98,'reductions data'!A:A,$K$72)</f>
        <v>0</v>
      </c>
      <c r="L98" s="93">
        <f>SUMIFS('reductions data'!H:H,'reductions data'!G:G,'reasons for reduction division'!B98,'reductions data'!A:A,$L$72)</f>
        <v>0</v>
      </c>
      <c r="M98" s="93">
        <f>SUMIFS('reductions data'!H:H,'reductions data'!G:G,'reasons for reduction division'!B98,'reductions data'!A:A,$M$72)</f>
        <v>0</v>
      </c>
      <c r="N98" s="93">
        <f>SUMIFS('reductions data'!H:H,'reductions data'!G:G,'reasons for reduction division'!B98,'reductions data'!A:A,$N$72)</f>
        <v>0</v>
      </c>
      <c r="O98" s="93">
        <f>SUMIFS('reductions data'!$H:$H,'reductions data'!$G:$G,'reasons for reduction division'!B98,'reductions data'!$A:$A,O$72)</f>
        <v>0</v>
      </c>
      <c r="P98" s="93">
        <f>SUMIFS('reductions data'!$H:$H,'reductions data'!$G:$G,'reasons for reduction division'!B98,'reductions data'!$A:$A,P$72)</f>
        <v>0</v>
      </c>
      <c r="Q98" s="93">
        <f>SUMIFS('reductions data'!$H:$H,'reductions data'!$G:$G,'reasons for reduction division'!B98,'reductions data'!$A:$A,Q$72)</f>
        <v>0</v>
      </c>
      <c r="R98" s="93">
        <f>SUMIFS('reductions data'!$H:$H,'reductions data'!$G:$G,'reasons for reduction division'!B98,'reductions data'!$A:$A,R$72)</f>
        <v>0</v>
      </c>
      <c r="S98" s="93">
        <f>SUMIFS('reductions data'!$H:$H,'reductions data'!$G:$G,'reasons for reduction division'!B98,'reductions data'!$A:$A,S$72)</f>
        <v>0</v>
      </c>
      <c r="T98" s="93">
        <f>SUMIFS('reductions data'!$H:$H,'reductions data'!$G:$G,'reasons for reduction division'!B98,'reductions data'!$A:$A,T$72)</f>
        <v>0</v>
      </c>
      <c r="U98" s="93">
        <f>SUMIFS('reductions data'!$H:$H,'reductions data'!$G:$G,'reasons for reduction division'!B98,'reductions data'!$A:$A,U$72)</f>
        <v>0</v>
      </c>
      <c r="V98" s="93">
        <f>SUMIFS('reductions data'!$H:$H,'reductions data'!$G:$G,'reasons for reduction division'!B98,'reductions data'!$A:$A,V$72)</f>
        <v>0</v>
      </c>
      <c r="W98" s="93">
        <f>SUMIFS('reductions data'!$H:$H,'reductions data'!$G:$G,'reasons for reduction division'!B98,'reductions data'!$A:$A,W$72)</f>
        <v>0</v>
      </c>
      <c r="X98" s="93">
        <f>SUMIFS('reductions data'!$H:$H,'reductions data'!$G:$G,'reasons for reduction division'!B98,'reductions data'!$A:$A,X$72)</f>
        <v>0</v>
      </c>
      <c r="Y98" s="138">
        <f>SUMIF('reductions data'!G:G,'reasons for reduction division'!B98,'reductions data'!H:H)</f>
        <v>0</v>
      </c>
    </row>
    <row r="99" spans="1:25" x14ac:dyDescent="0.15">
      <c r="B99" s="146" t="s">
        <v>218</v>
      </c>
      <c r="C99" s="93">
        <f>SUMIFS('reductions data'!H:H,'reductions data'!G:G,'reasons for reduction division'!B99,'reductions data'!A:A,$C$72)</f>
        <v>0</v>
      </c>
      <c r="D99" s="93">
        <f>SUMIFS('reductions data'!H:H,'reductions data'!G:G,'reasons for reduction division'!B99,'reductions data'!A:A,$D$72)</f>
        <v>0</v>
      </c>
      <c r="E99" s="93">
        <f>SUMIFS('reductions data'!H:H,'reductions data'!G:G,'reasons for reduction division'!B99,'reductions data'!A:A,$E$72)</f>
        <v>0</v>
      </c>
      <c r="F99" s="93">
        <f>SUMIFS('reductions data'!H:H,'reductions data'!G:G,'reasons for reduction division'!B99,'reductions data'!A:A,$F$72)</f>
        <v>0</v>
      </c>
      <c r="G99" s="93">
        <f>SUMIFS('reductions data'!H:H,'reductions data'!G:G,'reasons for reduction division'!B99,'reductions data'!A:A,$G$72)</f>
        <v>0</v>
      </c>
      <c r="H99" s="93">
        <f>SUMIFS('reductions data'!H:H,'reductions data'!G:G,'reasons for reduction division'!B99,'reductions data'!A:A,$H$72)</f>
        <v>0</v>
      </c>
      <c r="I99" s="93">
        <f>SUMIFS('reductions data'!H:H,'reductions data'!G:G,'reasons for reduction division'!B99,'reductions data'!A:A,$I$72)</f>
        <v>0</v>
      </c>
      <c r="J99" s="93">
        <f>SUMIFS('reductions data'!H:H,'reductions data'!G:G,'reasons for reduction division'!B99,'reductions data'!A:A,$J$72)</f>
        <v>0</v>
      </c>
      <c r="K99" s="93">
        <f>SUMIFS('reductions data'!H:H,'reductions data'!G:G,'reasons for reduction division'!B99,'reductions data'!A:A,$K$72)</f>
        <v>0</v>
      </c>
      <c r="L99" s="93">
        <f>SUMIFS('reductions data'!H:H,'reductions data'!G:G,'reasons for reduction division'!B99,'reductions data'!A:A,$L$72)</f>
        <v>0</v>
      </c>
      <c r="M99" s="93">
        <f>SUMIFS('reductions data'!H:H,'reductions data'!G:G,'reasons for reduction division'!B99,'reductions data'!A:A,$M$72)</f>
        <v>0</v>
      </c>
      <c r="N99" s="93">
        <f>SUMIFS('reductions data'!H:H,'reductions data'!G:G,'reasons for reduction division'!B99,'reductions data'!A:A,$N$72)</f>
        <v>0</v>
      </c>
      <c r="O99" s="93">
        <f>SUMIFS('reductions data'!$H:$H,'reductions data'!$G:$G,'reasons for reduction division'!B99,'reductions data'!$A:$A,O$72)</f>
        <v>0</v>
      </c>
      <c r="P99" s="93">
        <f>SUMIFS('reductions data'!$H:$H,'reductions data'!$G:$G,'reasons for reduction division'!B99,'reductions data'!$A:$A,P$72)</f>
        <v>0</v>
      </c>
      <c r="Q99" s="93">
        <f>SUMIFS('reductions data'!$H:$H,'reductions data'!$G:$G,'reasons for reduction division'!B99,'reductions data'!$A:$A,Q$72)</f>
        <v>0</v>
      </c>
      <c r="R99" s="93">
        <f>SUMIFS('reductions data'!$H:$H,'reductions data'!$G:$G,'reasons for reduction division'!B99,'reductions data'!$A:$A,R$72)</f>
        <v>0</v>
      </c>
      <c r="S99" s="93">
        <f>SUMIFS('reductions data'!$H:$H,'reductions data'!$G:$G,'reasons for reduction division'!B99,'reductions data'!$A:$A,S$72)</f>
        <v>0</v>
      </c>
      <c r="T99" s="93">
        <f>SUMIFS('reductions data'!$H:$H,'reductions data'!$G:$G,'reasons for reduction division'!B99,'reductions data'!$A:$A,T$72)</f>
        <v>0</v>
      </c>
      <c r="U99" s="93">
        <f>SUMIFS('reductions data'!$H:$H,'reductions data'!$G:$G,'reasons for reduction division'!B99,'reductions data'!$A:$A,U$72)</f>
        <v>0</v>
      </c>
      <c r="V99" s="93">
        <f>SUMIFS('reductions data'!$H:$H,'reductions data'!$G:$G,'reasons for reduction division'!B99,'reductions data'!$A:$A,V$72)</f>
        <v>0</v>
      </c>
      <c r="W99" s="93">
        <f>SUMIFS('reductions data'!$H:$H,'reductions data'!$G:$G,'reasons for reduction division'!B99,'reductions data'!$A:$A,W$72)</f>
        <v>0</v>
      </c>
      <c r="X99" s="93">
        <f>SUMIFS('reductions data'!$H:$H,'reductions data'!$G:$G,'reasons for reduction division'!B99,'reductions data'!$A:$A,X$72)</f>
        <v>0</v>
      </c>
      <c r="Y99" s="138">
        <f>SUMIF('reductions data'!G:G,'reasons for reduction division'!B99,'reductions data'!H:H)</f>
        <v>0</v>
      </c>
    </row>
    <row r="100" spans="1:25" x14ac:dyDescent="0.15">
      <c r="B100" s="146" t="s">
        <v>222</v>
      </c>
      <c r="C100" s="93">
        <f>SUMIFS('reductions data'!H:H,'reductions data'!G:G,'reasons for reduction division'!B100,'reductions data'!A:A,$C$72)</f>
        <v>0</v>
      </c>
      <c r="D100" s="93">
        <f>SUMIFS('reductions data'!H:H,'reductions data'!G:G,'reasons for reduction division'!B100,'reductions data'!A:A,$D$72)</f>
        <v>0</v>
      </c>
      <c r="E100" s="93">
        <f>SUMIFS('reductions data'!H:H,'reductions data'!G:G,'reasons for reduction division'!B100,'reductions data'!A:A,$E$72)</f>
        <v>0</v>
      </c>
      <c r="F100" s="93">
        <f>SUMIFS('reductions data'!H:H,'reductions data'!G:G,'reasons for reduction division'!B100,'reductions data'!A:A,$F$72)</f>
        <v>0</v>
      </c>
      <c r="G100" s="93">
        <f>SUMIFS('reductions data'!H:H,'reductions data'!G:G,'reasons for reduction division'!B100,'reductions data'!A:A,$G$72)</f>
        <v>0</v>
      </c>
      <c r="H100" s="93">
        <f>SUMIFS('reductions data'!H:H,'reductions data'!G:G,'reasons for reduction division'!B100,'reductions data'!A:A,$H$72)</f>
        <v>0</v>
      </c>
      <c r="I100" s="93">
        <f>SUMIFS('reductions data'!H:H,'reductions data'!G:G,'reasons for reduction division'!B100,'reductions data'!A:A,$I$72)</f>
        <v>0</v>
      </c>
      <c r="J100" s="93">
        <f>SUMIFS('reductions data'!H:H,'reductions data'!G:G,'reasons for reduction division'!B100,'reductions data'!A:A,$J$72)</f>
        <v>0</v>
      </c>
      <c r="K100" s="93">
        <f>SUMIFS('reductions data'!H:H,'reductions data'!G:G,'reasons for reduction division'!B100,'reductions data'!A:A,$K$72)</f>
        <v>0</v>
      </c>
      <c r="L100" s="93">
        <f>SUMIFS('reductions data'!H:H,'reductions data'!G:G,'reasons for reduction division'!B100,'reductions data'!A:A,$L$72)</f>
        <v>0</v>
      </c>
      <c r="M100" s="93">
        <f>SUMIFS('reductions data'!H:H,'reductions data'!G:G,'reasons for reduction division'!B100,'reductions data'!A:A,$M$72)</f>
        <v>0</v>
      </c>
      <c r="N100" s="93">
        <f>SUMIFS('reductions data'!H:H,'reductions data'!G:G,'reasons for reduction division'!B100,'reductions data'!A:A,$N$72)</f>
        <v>0</v>
      </c>
      <c r="O100" s="93">
        <f>SUMIFS('reductions data'!$H:$H,'reductions data'!$G:$G,'reasons for reduction division'!B100,'reductions data'!$A:$A,O$72)</f>
        <v>0</v>
      </c>
      <c r="P100" s="93">
        <f>SUMIFS('reductions data'!$H:$H,'reductions data'!$G:$G,'reasons for reduction division'!B100,'reductions data'!$A:$A,P$72)</f>
        <v>0</v>
      </c>
      <c r="Q100" s="93">
        <f>SUMIFS('reductions data'!$H:$H,'reductions data'!$G:$G,'reasons for reduction division'!B100,'reductions data'!$A:$A,Q$72)</f>
        <v>0</v>
      </c>
      <c r="R100" s="93">
        <f>SUMIFS('reductions data'!$H:$H,'reductions data'!$G:$G,'reasons for reduction division'!B100,'reductions data'!$A:$A,R$72)</f>
        <v>0</v>
      </c>
      <c r="S100" s="93">
        <f>SUMIFS('reductions data'!$H:$H,'reductions data'!$G:$G,'reasons for reduction division'!B100,'reductions data'!$A:$A,S$72)</f>
        <v>0</v>
      </c>
      <c r="T100" s="93">
        <f>SUMIFS('reductions data'!$H:$H,'reductions data'!$G:$G,'reasons for reduction division'!B100,'reductions data'!$A:$A,T$72)</f>
        <v>0</v>
      </c>
      <c r="U100" s="93">
        <f>SUMIFS('reductions data'!$H:$H,'reductions data'!$G:$G,'reasons for reduction division'!B100,'reductions data'!$A:$A,U$72)</f>
        <v>0</v>
      </c>
      <c r="V100" s="93">
        <f>SUMIFS('reductions data'!$H:$H,'reductions data'!$G:$G,'reasons for reduction division'!B100,'reductions data'!$A:$A,V$72)</f>
        <v>0</v>
      </c>
      <c r="W100" s="93">
        <f>SUMIFS('reductions data'!$H:$H,'reductions data'!$G:$G,'reasons for reduction division'!B100,'reductions data'!$A:$A,W$72)</f>
        <v>0</v>
      </c>
      <c r="X100" s="93">
        <f>SUMIFS('reductions data'!$H:$H,'reductions data'!$G:$G,'reasons for reduction division'!B100,'reductions data'!$A:$A,X$72)</f>
        <v>0</v>
      </c>
      <c r="Y100" s="138">
        <f>SUMIF('reductions data'!G:G,'reasons for reduction division'!B100,'reductions data'!H:H)</f>
        <v>0</v>
      </c>
    </row>
    <row r="101" spans="1:25" s="6" customFormat="1" x14ac:dyDescent="0.15">
      <c r="A101" s="30"/>
      <c r="B101" s="146" t="s">
        <v>221</v>
      </c>
      <c r="C101" s="93">
        <f>SUMIFS('reductions data'!H:H,'reductions data'!G:G,'reasons for reduction division'!B101,'reductions data'!A:A,$C$72)</f>
        <v>0</v>
      </c>
      <c r="D101" s="93">
        <f>SUMIFS('reductions data'!H:H,'reductions data'!G:G,'reasons for reduction division'!B101,'reductions data'!A:A,$D$72)</f>
        <v>0</v>
      </c>
      <c r="E101" s="93">
        <f>SUMIFS('reductions data'!H:H,'reductions data'!G:G,'reasons for reduction division'!B101,'reductions data'!A:A,$E$72)</f>
        <v>0</v>
      </c>
      <c r="F101" s="93">
        <f>SUMIFS('reductions data'!H:H,'reductions data'!G:G,'reasons for reduction division'!B101,'reductions data'!A:A,$F$72)</f>
        <v>0</v>
      </c>
      <c r="G101" s="93">
        <f>SUMIFS('reductions data'!H:H,'reductions data'!G:G,'reasons for reduction division'!B101,'reductions data'!A:A,$G$72)</f>
        <v>0</v>
      </c>
      <c r="H101" s="93">
        <f>SUMIFS('reductions data'!H:H,'reductions data'!G:G,'reasons for reduction division'!B101,'reductions data'!A:A,$H$72)</f>
        <v>0</v>
      </c>
      <c r="I101" s="93">
        <f>SUMIFS('reductions data'!H:H,'reductions data'!G:G,'reasons for reduction division'!B101,'reductions data'!A:A,$I$72)</f>
        <v>0</v>
      </c>
      <c r="J101" s="93">
        <f>SUMIFS('reductions data'!H:H,'reductions data'!G:G,'reasons for reduction division'!B101,'reductions data'!A:A,$J$72)</f>
        <v>0</v>
      </c>
      <c r="K101" s="93">
        <f>SUMIFS('reductions data'!H:H,'reductions data'!G:G,'reasons for reduction division'!B101,'reductions data'!A:A,$K$72)</f>
        <v>0</v>
      </c>
      <c r="L101" s="93">
        <f>SUMIFS('reductions data'!H:H,'reductions data'!G:G,'reasons for reduction division'!B101,'reductions data'!A:A,$L$72)</f>
        <v>0</v>
      </c>
      <c r="M101" s="93">
        <f>SUMIFS('reductions data'!H:H,'reductions data'!G:G,'reasons for reduction division'!B101,'reductions data'!A:A,$M$72)</f>
        <v>0</v>
      </c>
      <c r="N101" s="93">
        <f>SUMIFS('reductions data'!H:H,'reductions data'!G:G,'reasons for reduction division'!B101,'reductions data'!A:A,$N$72)</f>
        <v>0</v>
      </c>
      <c r="O101" s="93">
        <f>SUMIFS('reductions data'!$H:$H,'reductions data'!$G:$G,'reasons for reduction division'!B101,'reductions data'!$A:$A,O$72)</f>
        <v>0</v>
      </c>
      <c r="P101" s="93">
        <f>SUMIFS('reductions data'!$H:$H,'reductions data'!$G:$G,'reasons for reduction division'!B101,'reductions data'!$A:$A,P$72)</f>
        <v>0</v>
      </c>
      <c r="Q101" s="93">
        <f>SUMIFS('reductions data'!$H:$H,'reductions data'!$G:$G,'reasons for reduction division'!B101,'reductions data'!$A:$A,Q$72)</f>
        <v>0</v>
      </c>
      <c r="R101" s="93">
        <f>SUMIFS('reductions data'!$H:$H,'reductions data'!$G:$G,'reasons for reduction division'!B101,'reductions data'!$A:$A,R$72)</f>
        <v>0</v>
      </c>
      <c r="S101" s="93">
        <f>SUMIFS('reductions data'!$H:$H,'reductions data'!$G:$G,'reasons for reduction division'!B101,'reductions data'!$A:$A,S$72)</f>
        <v>0</v>
      </c>
      <c r="T101" s="93">
        <f>SUMIFS('reductions data'!$H:$H,'reductions data'!$G:$G,'reasons for reduction division'!B101,'reductions data'!$A:$A,T$72)</f>
        <v>0</v>
      </c>
      <c r="U101" s="93">
        <f>SUMIFS('reductions data'!$H:$H,'reductions data'!$G:$G,'reasons for reduction division'!B101,'reductions data'!$A:$A,U$72)</f>
        <v>0</v>
      </c>
      <c r="V101" s="93">
        <f>SUMIFS('reductions data'!$H:$H,'reductions data'!$G:$G,'reasons for reduction division'!B101,'reductions data'!$A:$A,V$72)</f>
        <v>0</v>
      </c>
      <c r="W101" s="93">
        <f>SUMIFS('reductions data'!$H:$H,'reductions data'!$G:$G,'reasons for reduction division'!B101,'reductions data'!$A:$A,W$72)</f>
        <v>0</v>
      </c>
      <c r="X101" s="93">
        <f>SUMIFS('reductions data'!$H:$H,'reductions data'!$G:$G,'reasons for reduction division'!B101,'reductions data'!$A:$A,X$72)</f>
        <v>0</v>
      </c>
      <c r="Y101" s="138">
        <f>SUMIF('reductions data'!G:G,'reasons for reduction division'!B101,'reductions data'!H:H)</f>
        <v>0</v>
      </c>
    </row>
    <row r="102" spans="1:25" x14ac:dyDescent="0.15">
      <c r="B102" s="146" t="s">
        <v>219</v>
      </c>
      <c r="C102" s="93">
        <f>SUMIFS('reductions data'!H:H,'reductions data'!G:G,'reasons for reduction division'!B102,'reductions data'!A:A,$C$72)</f>
        <v>0</v>
      </c>
      <c r="D102" s="93">
        <f>SUMIFS('reductions data'!H:H,'reductions data'!G:G,'reasons for reduction division'!B102,'reductions data'!A:A,$D$72)</f>
        <v>0</v>
      </c>
      <c r="E102" s="93">
        <f>SUMIFS('reductions data'!H:H,'reductions data'!G:G,'reasons for reduction division'!B102,'reductions data'!A:A,$E$72)</f>
        <v>0</v>
      </c>
      <c r="F102" s="93">
        <f>SUMIFS('reductions data'!H:H,'reductions data'!G:G,'reasons for reduction division'!B102,'reductions data'!A:A,$F$72)</f>
        <v>0</v>
      </c>
      <c r="G102" s="93">
        <f>SUMIFS('reductions data'!H:H,'reductions data'!G:G,'reasons for reduction division'!B102,'reductions data'!A:A,$G$72)</f>
        <v>0</v>
      </c>
      <c r="H102" s="93">
        <f>SUMIFS('reductions data'!H:H,'reductions data'!G:G,'reasons for reduction division'!B102,'reductions data'!A:A,$H$72)</f>
        <v>0</v>
      </c>
      <c r="I102" s="93">
        <f>SUMIFS('reductions data'!H:H,'reductions data'!G:G,'reasons for reduction division'!B102,'reductions data'!A:A,$I$72)</f>
        <v>0</v>
      </c>
      <c r="J102" s="93">
        <f>SUMIFS('reductions data'!H:H,'reductions data'!G:G,'reasons for reduction division'!B102,'reductions data'!A:A,$J$72)</f>
        <v>0</v>
      </c>
      <c r="K102" s="93">
        <f>SUMIFS('reductions data'!H:H,'reductions data'!G:G,'reasons for reduction division'!B102,'reductions data'!A:A,$K$72)</f>
        <v>0</v>
      </c>
      <c r="L102" s="93">
        <f>SUMIFS('reductions data'!H:H,'reductions data'!G:G,'reasons for reduction division'!B102,'reductions data'!A:A,$L$72)</f>
        <v>0</v>
      </c>
      <c r="M102" s="93">
        <f>SUMIFS('reductions data'!H:H,'reductions data'!G:G,'reasons for reduction division'!B102,'reductions data'!A:A,$M$72)</f>
        <v>0</v>
      </c>
      <c r="N102" s="93">
        <f>SUMIFS('reductions data'!H:H,'reductions data'!G:G,'reasons for reduction division'!B102,'reductions data'!A:A,$N$72)</f>
        <v>0</v>
      </c>
      <c r="O102" s="93">
        <f>SUMIFS('reductions data'!$H:$H,'reductions data'!$G:$G,'reasons for reduction division'!B102,'reductions data'!$A:$A,O$72)</f>
        <v>0</v>
      </c>
      <c r="P102" s="93">
        <f>SUMIFS('reductions data'!$H:$H,'reductions data'!$G:$G,'reasons for reduction division'!B102,'reductions data'!$A:$A,P$72)</f>
        <v>0</v>
      </c>
      <c r="Q102" s="93">
        <f>SUMIFS('reductions data'!$H:$H,'reductions data'!$G:$G,'reasons for reduction division'!B102,'reductions data'!$A:$A,Q$72)</f>
        <v>0</v>
      </c>
      <c r="R102" s="93">
        <f>SUMIFS('reductions data'!$H:$H,'reductions data'!$G:$G,'reasons for reduction division'!B102,'reductions data'!$A:$A,R$72)</f>
        <v>0</v>
      </c>
      <c r="S102" s="93">
        <f>SUMIFS('reductions data'!$H:$H,'reductions data'!$G:$G,'reasons for reduction division'!B102,'reductions data'!$A:$A,S$72)</f>
        <v>0</v>
      </c>
      <c r="T102" s="93">
        <f>SUMIFS('reductions data'!$H:$H,'reductions data'!$G:$G,'reasons for reduction division'!B102,'reductions data'!$A:$A,T$72)</f>
        <v>0</v>
      </c>
      <c r="U102" s="93">
        <f>SUMIFS('reductions data'!$H:$H,'reductions data'!$G:$G,'reasons for reduction division'!B102,'reductions data'!$A:$A,U$72)</f>
        <v>0</v>
      </c>
      <c r="V102" s="93">
        <f>SUMIFS('reductions data'!$H:$H,'reductions data'!$G:$G,'reasons for reduction division'!B102,'reductions data'!$A:$A,V$72)</f>
        <v>0</v>
      </c>
      <c r="W102" s="93">
        <f>SUMIFS('reductions data'!$H:$H,'reductions data'!$G:$G,'reasons for reduction division'!B102,'reductions data'!$A:$A,W$72)</f>
        <v>0</v>
      </c>
      <c r="X102" s="93">
        <f>SUMIFS('reductions data'!$H:$H,'reductions data'!$G:$G,'reasons for reduction division'!B102,'reductions data'!$A:$A,X$72)</f>
        <v>0</v>
      </c>
      <c r="Y102" s="138">
        <f>SUMIF('reductions data'!G:G,'reasons for reduction division'!B102,'reductions data'!H:H)</f>
        <v>0</v>
      </c>
    </row>
    <row r="103" spans="1:25" x14ac:dyDescent="0.15">
      <c r="B103" s="146" t="s">
        <v>224</v>
      </c>
      <c r="C103" s="93">
        <f>SUMIFS('reductions data'!H:H,'reductions data'!G:G,'reasons for reduction division'!B103,'reductions data'!A:A,$C$72)</f>
        <v>0</v>
      </c>
      <c r="D103" s="93">
        <f>SUMIFS('reductions data'!H:H,'reductions data'!G:G,'reasons for reduction division'!B103,'reductions data'!A:A,$D$72)</f>
        <v>0</v>
      </c>
      <c r="E103" s="93">
        <f>SUMIFS('reductions data'!H:H,'reductions data'!G:G,'reasons for reduction division'!B103,'reductions data'!A:A,$E$72)</f>
        <v>0</v>
      </c>
      <c r="F103" s="93">
        <f>SUMIFS('reductions data'!H:H,'reductions data'!G:G,'reasons for reduction division'!B103,'reductions data'!A:A,$F$72)</f>
        <v>0</v>
      </c>
      <c r="G103" s="93">
        <f>SUMIFS('reductions data'!H:H,'reductions data'!G:G,'reasons for reduction division'!B103,'reductions data'!A:A,$G$72)</f>
        <v>0</v>
      </c>
      <c r="H103" s="93">
        <f>SUMIFS('reductions data'!H:H,'reductions data'!G:G,'reasons for reduction division'!B103,'reductions data'!A:A,$H$72)</f>
        <v>0</v>
      </c>
      <c r="I103" s="93">
        <f>SUMIFS('reductions data'!H:H,'reductions data'!G:G,'reasons for reduction division'!B103,'reductions data'!A:A,$I$72)</f>
        <v>0</v>
      </c>
      <c r="J103" s="93">
        <f>SUMIFS('reductions data'!H:H,'reductions data'!G:G,'reasons for reduction division'!B103,'reductions data'!A:A,$J$72)</f>
        <v>0</v>
      </c>
      <c r="K103" s="93">
        <f>SUMIFS('reductions data'!H:H,'reductions data'!G:G,'reasons for reduction division'!B103,'reductions data'!A:A,$K$72)</f>
        <v>0</v>
      </c>
      <c r="L103" s="93">
        <f>SUMIFS('reductions data'!H:H,'reductions data'!G:G,'reasons for reduction division'!B103,'reductions data'!A:A,$L$72)</f>
        <v>0</v>
      </c>
      <c r="M103" s="93">
        <f>SUMIFS('reductions data'!H:H,'reductions data'!G:G,'reasons for reduction division'!B103,'reductions data'!A:A,$M$72)</f>
        <v>0</v>
      </c>
      <c r="N103" s="93">
        <f>SUMIFS('reductions data'!H:H,'reductions data'!G:G,'reasons for reduction division'!B103,'reductions data'!A:A,$N$72)</f>
        <v>0</v>
      </c>
      <c r="O103" s="93">
        <f>SUMIFS('reductions data'!$H:$H,'reductions data'!$G:$G,'reasons for reduction division'!B103,'reductions data'!$A:$A,O$72)</f>
        <v>0</v>
      </c>
      <c r="P103" s="93">
        <f>SUMIFS('reductions data'!$H:$H,'reductions data'!$G:$G,'reasons for reduction division'!B103,'reductions data'!$A:$A,P$72)</f>
        <v>0</v>
      </c>
      <c r="Q103" s="93">
        <f>SUMIFS('reductions data'!$H:$H,'reductions data'!$G:$G,'reasons for reduction division'!B103,'reductions data'!$A:$A,Q$72)</f>
        <v>0</v>
      </c>
      <c r="R103" s="93">
        <f>SUMIFS('reductions data'!$H:$H,'reductions data'!$G:$G,'reasons for reduction division'!B103,'reductions data'!$A:$A,R$72)</f>
        <v>0</v>
      </c>
      <c r="S103" s="93">
        <f>SUMIFS('reductions data'!$H:$H,'reductions data'!$G:$G,'reasons for reduction division'!B103,'reductions data'!$A:$A,S$72)</f>
        <v>0</v>
      </c>
      <c r="T103" s="93">
        <f>SUMIFS('reductions data'!$H:$H,'reductions data'!$G:$G,'reasons for reduction division'!B103,'reductions data'!$A:$A,T$72)</f>
        <v>0</v>
      </c>
      <c r="U103" s="93">
        <f>SUMIFS('reductions data'!$H:$H,'reductions data'!$G:$G,'reasons for reduction division'!B103,'reductions data'!$A:$A,U$72)</f>
        <v>0</v>
      </c>
      <c r="V103" s="93">
        <f>SUMIFS('reductions data'!$H:$H,'reductions data'!$G:$G,'reasons for reduction division'!B103,'reductions data'!$A:$A,V$72)</f>
        <v>0</v>
      </c>
      <c r="W103" s="93">
        <f>SUMIFS('reductions data'!$H:$H,'reductions data'!$G:$G,'reasons for reduction division'!B103,'reductions data'!$A:$A,W$72)</f>
        <v>0</v>
      </c>
      <c r="X103" s="93">
        <f>SUMIFS('reductions data'!$H:$H,'reductions data'!$G:$G,'reasons for reduction division'!B103,'reductions data'!$A:$A,X$72)</f>
        <v>0</v>
      </c>
      <c r="Y103" s="138">
        <f>SUMIF('reductions data'!G:G,'reasons for reduction division'!B103,'reductions data'!H:H)</f>
        <v>0</v>
      </c>
    </row>
    <row r="104" spans="1:25" x14ac:dyDescent="0.15">
      <c r="B104" s="146" t="s">
        <v>213</v>
      </c>
      <c r="C104" s="93">
        <f>SUMIFS('reductions data'!H:H,'reductions data'!G:G,'reasons for reduction division'!B104,'reductions data'!A:A,$C$72)</f>
        <v>0</v>
      </c>
      <c r="D104" s="93">
        <f>SUMIFS('reductions data'!H:H,'reductions data'!G:G,'reasons for reduction division'!B104,'reductions data'!A:A,$D$72)</f>
        <v>0</v>
      </c>
      <c r="E104" s="93">
        <f>SUMIFS('reductions data'!H:H,'reductions data'!G:G,'reasons for reduction division'!B104,'reductions data'!A:A,$E$72)</f>
        <v>0</v>
      </c>
      <c r="F104" s="93">
        <f>SUMIFS('reductions data'!H:H,'reductions data'!G:G,'reasons for reduction division'!B104,'reductions data'!A:A,$F$72)</f>
        <v>0</v>
      </c>
      <c r="G104" s="93">
        <f>SUMIFS('reductions data'!H:H,'reductions data'!G:G,'reasons for reduction division'!B104,'reductions data'!A:A,$G$72)</f>
        <v>0</v>
      </c>
      <c r="H104" s="93">
        <f>SUMIFS('reductions data'!H:H,'reductions data'!G:G,'reasons for reduction division'!B104,'reductions data'!A:A,$H$72)</f>
        <v>0</v>
      </c>
      <c r="I104" s="93">
        <f>SUMIFS('reductions data'!H:H,'reductions data'!G:G,'reasons for reduction division'!B104,'reductions data'!A:A,$I$72)</f>
        <v>0</v>
      </c>
      <c r="J104" s="93">
        <f>SUMIFS('reductions data'!H:H,'reductions data'!G:G,'reasons for reduction division'!B104,'reductions data'!A:A,$J$72)</f>
        <v>0</v>
      </c>
      <c r="K104" s="93">
        <f>SUMIFS('reductions data'!H:H,'reductions data'!G:G,'reasons for reduction division'!B104,'reductions data'!A:A,$K$72)</f>
        <v>0</v>
      </c>
      <c r="L104" s="93">
        <f>SUMIFS('reductions data'!H:H,'reductions data'!G:G,'reasons for reduction division'!B104,'reductions data'!A:A,$L$72)</f>
        <v>0</v>
      </c>
      <c r="M104" s="93">
        <f>SUMIFS('reductions data'!H:H,'reductions data'!G:G,'reasons for reduction division'!B104,'reductions data'!A:A,$M$72)</f>
        <v>0</v>
      </c>
      <c r="N104" s="93">
        <f>SUMIFS('reductions data'!H:H,'reductions data'!G:G,'reasons for reduction division'!B104,'reductions data'!A:A,$N$72)</f>
        <v>0</v>
      </c>
      <c r="O104" s="93">
        <f>SUMIFS('reductions data'!$H:$H,'reductions data'!$G:$G,'reasons for reduction division'!B104,'reductions data'!$A:$A,O$72)</f>
        <v>0</v>
      </c>
      <c r="P104" s="93">
        <f>SUMIFS('reductions data'!$H:$H,'reductions data'!$G:$G,'reasons for reduction division'!B104,'reductions data'!$A:$A,P$72)</f>
        <v>0</v>
      </c>
      <c r="Q104" s="93">
        <f>SUMIFS('reductions data'!$H:$H,'reductions data'!$G:$G,'reasons for reduction division'!B104,'reductions data'!$A:$A,Q$72)</f>
        <v>0</v>
      </c>
      <c r="R104" s="93">
        <f>SUMIFS('reductions data'!$H:$H,'reductions data'!$G:$G,'reasons for reduction division'!B104,'reductions data'!$A:$A,R$72)</f>
        <v>0</v>
      </c>
      <c r="S104" s="93">
        <f>SUMIFS('reductions data'!$H:$H,'reductions data'!$G:$G,'reasons for reduction division'!B104,'reductions data'!$A:$A,S$72)</f>
        <v>0</v>
      </c>
      <c r="T104" s="93">
        <f>SUMIFS('reductions data'!$H:$H,'reductions data'!$G:$G,'reasons for reduction division'!B104,'reductions data'!$A:$A,T$72)</f>
        <v>0</v>
      </c>
      <c r="U104" s="93">
        <f>SUMIFS('reductions data'!$H:$H,'reductions data'!$G:$G,'reasons for reduction division'!B104,'reductions data'!$A:$A,U$72)</f>
        <v>0</v>
      </c>
      <c r="V104" s="93">
        <f>SUMIFS('reductions data'!$H:$H,'reductions data'!$G:$G,'reasons for reduction division'!B104,'reductions data'!$A:$A,V$72)</f>
        <v>0</v>
      </c>
      <c r="W104" s="93">
        <f>SUMIFS('reductions data'!$H:$H,'reductions data'!$G:$G,'reasons for reduction division'!B104,'reductions data'!$A:$A,W$72)</f>
        <v>0</v>
      </c>
      <c r="X104" s="93">
        <f>SUMIFS('reductions data'!$H:$H,'reductions data'!$G:$G,'reasons for reduction division'!B104,'reductions data'!$A:$A,X$72)</f>
        <v>0</v>
      </c>
      <c r="Y104" s="138">
        <f>SUMIF('reductions data'!G:G,'reasons for reduction division'!B104,'reductions data'!H:H)</f>
        <v>0</v>
      </c>
    </row>
    <row r="105" spans="1:25" x14ac:dyDescent="0.15">
      <c r="B105" s="146" t="s">
        <v>227</v>
      </c>
      <c r="C105" s="93">
        <f>SUMIFS('reductions data'!H:H,'reductions data'!G:G,'reasons for reduction division'!B105,'reductions data'!A:A,$C$72)</f>
        <v>0</v>
      </c>
      <c r="D105" s="93">
        <f>SUMIFS('reductions data'!H:H,'reductions data'!G:G,'reasons for reduction division'!B105,'reductions data'!A:A,$D$72)</f>
        <v>0</v>
      </c>
      <c r="E105" s="93">
        <f>SUMIFS('reductions data'!H:H,'reductions data'!G:G,'reasons for reduction division'!B105,'reductions data'!A:A,$E$72)</f>
        <v>0</v>
      </c>
      <c r="F105" s="93">
        <f>SUMIFS('reductions data'!H:H,'reductions data'!G:G,'reasons for reduction division'!B105,'reductions data'!A:A,$F$72)</f>
        <v>0</v>
      </c>
      <c r="G105" s="93">
        <f>SUMIFS('reductions data'!H:H,'reductions data'!G:G,'reasons for reduction division'!B105,'reductions data'!A:A,$G$72)</f>
        <v>0</v>
      </c>
      <c r="H105" s="93">
        <f>SUMIFS('reductions data'!H:H,'reductions data'!G:G,'reasons for reduction division'!B105,'reductions data'!A:A,$H$72)</f>
        <v>0</v>
      </c>
      <c r="I105" s="93">
        <f>SUMIFS('reductions data'!H:H,'reductions data'!G:G,'reasons for reduction division'!B105,'reductions data'!A:A,$I$72)</f>
        <v>0</v>
      </c>
      <c r="J105" s="93">
        <f>SUMIFS('reductions data'!H:H,'reductions data'!G:G,'reasons for reduction division'!B105,'reductions data'!A:A,$J$72)</f>
        <v>0</v>
      </c>
      <c r="K105" s="93">
        <f>SUMIFS('reductions data'!H:H,'reductions data'!G:G,'reasons for reduction division'!B105,'reductions data'!A:A,$K$72)</f>
        <v>0</v>
      </c>
      <c r="L105" s="93">
        <f>SUMIFS('reductions data'!H:H,'reductions data'!G:G,'reasons for reduction division'!B105,'reductions data'!A:A,$L$72)</f>
        <v>0</v>
      </c>
      <c r="M105" s="93">
        <f>SUMIFS('reductions data'!H:H,'reductions data'!G:G,'reasons for reduction division'!B105,'reductions data'!A:A,$M$72)</f>
        <v>0</v>
      </c>
      <c r="N105" s="93">
        <f>SUMIFS('reductions data'!H:H,'reductions data'!G:G,'reasons for reduction division'!B105,'reductions data'!A:A,$N$72)</f>
        <v>0</v>
      </c>
      <c r="O105" s="93">
        <f>SUMIFS('reductions data'!$H:$H,'reductions data'!$G:$G,'reasons for reduction division'!B105,'reductions data'!$A:$A,O$72)</f>
        <v>0</v>
      </c>
      <c r="P105" s="93">
        <f>SUMIFS('reductions data'!$H:$H,'reductions data'!$G:$G,'reasons for reduction division'!B105,'reductions data'!$A:$A,P$72)</f>
        <v>0</v>
      </c>
      <c r="Q105" s="93">
        <f>SUMIFS('reductions data'!$H:$H,'reductions data'!$G:$G,'reasons for reduction division'!B105,'reductions data'!$A:$A,Q$72)</f>
        <v>0</v>
      </c>
      <c r="R105" s="93">
        <f>SUMIFS('reductions data'!$H:$H,'reductions data'!$G:$G,'reasons for reduction division'!B105,'reductions data'!$A:$A,R$72)</f>
        <v>0</v>
      </c>
      <c r="S105" s="93">
        <f>SUMIFS('reductions data'!$H:$H,'reductions data'!$G:$G,'reasons for reduction division'!B105,'reductions data'!$A:$A,S$72)</f>
        <v>0</v>
      </c>
      <c r="T105" s="93">
        <f>SUMIFS('reductions data'!$H:$H,'reductions data'!$G:$G,'reasons for reduction division'!B105,'reductions data'!$A:$A,T$72)</f>
        <v>0</v>
      </c>
      <c r="U105" s="93">
        <f>SUMIFS('reductions data'!$H:$H,'reductions data'!$G:$G,'reasons for reduction division'!B105,'reductions data'!$A:$A,U$72)</f>
        <v>0</v>
      </c>
      <c r="V105" s="93">
        <f>SUMIFS('reductions data'!$H:$H,'reductions data'!$G:$G,'reasons for reduction division'!B105,'reductions data'!$A:$A,V$72)</f>
        <v>0</v>
      </c>
      <c r="W105" s="93">
        <f>SUMIFS('reductions data'!$H:$H,'reductions data'!$G:$G,'reasons for reduction division'!B105,'reductions data'!$A:$A,W$72)</f>
        <v>0</v>
      </c>
      <c r="X105" s="93">
        <f>SUMIFS('reductions data'!$H:$H,'reductions data'!$G:$G,'reasons for reduction division'!B105,'reductions data'!$A:$A,X$72)</f>
        <v>0</v>
      </c>
      <c r="Y105" s="138">
        <f>SUMIF('reductions data'!G:G,'reasons for reduction division'!B105,'reductions data'!H:H)</f>
        <v>0</v>
      </c>
    </row>
    <row r="106" spans="1:25" s="30" customFormat="1" x14ac:dyDescent="0.15">
      <c r="B106" s="146" t="s">
        <v>496</v>
      </c>
      <c r="C106" s="93">
        <f>SUMIFS('reductions data'!H:H,'reductions data'!G:G,'reasons for reduction division'!B106,'reductions data'!A:A,$C$72)</f>
        <v>0</v>
      </c>
      <c r="D106" s="93">
        <f>SUMIFS('reductions data'!H:H,'reductions data'!G:G,'reasons for reduction division'!B106,'reductions data'!A:A,$D$72)</f>
        <v>0</v>
      </c>
      <c r="E106" s="93">
        <f>SUMIFS('reductions data'!H:H,'reductions data'!G:G,'reasons for reduction division'!B106,'reductions data'!A:A,$E$72)</f>
        <v>0</v>
      </c>
      <c r="F106" s="93">
        <f>SUMIFS('reductions data'!H:H,'reductions data'!G:G,'reasons for reduction division'!B106,'reductions data'!A:A,$F$72)</f>
        <v>0</v>
      </c>
      <c r="G106" s="93">
        <f>SUMIFS('reductions data'!H:H,'reductions data'!G:G,'reasons for reduction division'!B106,'reductions data'!A:A,$G$72)</f>
        <v>0</v>
      </c>
      <c r="H106" s="93">
        <f>SUMIFS('reductions data'!H:H,'reductions data'!G:G,'reasons for reduction division'!B106,'reductions data'!A:A,$H$72)</f>
        <v>0</v>
      </c>
      <c r="I106" s="93">
        <f>SUMIFS('reductions data'!H:H,'reductions data'!G:G,'reasons for reduction division'!B106,'reductions data'!A:A,$I$72)</f>
        <v>0</v>
      </c>
      <c r="J106" s="93">
        <f>SUMIFS('reductions data'!H:H,'reductions data'!G:G,'reasons for reduction division'!B106,'reductions data'!A:A,$J$72)</f>
        <v>0</v>
      </c>
      <c r="K106" s="93">
        <f>SUMIFS('reductions data'!H:H,'reductions data'!G:G,'reasons for reduction division'!B106,'reductions data'!A:A,$K$72)</f>
        <v>0</v>
      </c>
      <c r="L106" s="93">
        <f>SUMIFS('reductions data'!H:H,'reductions data'!G:G,'reasons for reduction division'!B106,'reductions data'!A:A,$L$72)</f>
        <v>0</v>
      </c>
      <c r="M106" s="93">
        <f>SUMIFS('reductions data'!H:H,'reductions data'!G:G,'reasons for reduction division'!B106,'reductions data'!A:A,$M$72)</f>
        <v>0</v>
      </c>
      <c r="N106" s="93">
        <f>SUMIFS('reductions data'!H:H,'reductions data'!G:G,'reasons for reduction division'!B106,'reductions data'!A:A,$N$72)</f>
        <v>0</v>
      </c>
      <c r="O106" s="93">
        <f>SUMIFS('reductions data'!$H:$H,'reductions data'!$G:$G,'reasons for reduction division'!B106,'reductions data'!$A:$A,O$72)</f>
        <v>0</v>
      </c>
      <c r="P106" s="93">
        <f>SUMIFS('reductions data'!$H:$H,'reductions data'!$G:$G,'reasons for reduction division'!B106,'reductions data'!$A:$A,P$72)</f>
        <v>0</v>
      </c>
      <c r="Q106" s="93">
        <f>SUMIFS('reductions data'!$H:$H,'reductions data'!$G:$G,'reasons for reduction division'!B106,'reductions data'!$A:$A,Q$72)</f>
        <v>0</v>
      </c>
      <c r="R106" s="93">
        <f>SUMIFS('reductions data'!$H:$H,'reductions data'!$G:$G,'reasons for reduction division'!B106,'reductions data'!$A:$A,R$72)</f>
        <v>0</v>
      </c>
      <c r="S106" s="93">
        <f>SUMIFS('reductions data'!$H:$H,'reductions data'!$G:$G,'reasons for reduction division'!B106,'reductions data'!$A:$A,S$72)</f>
        <v>0</v>
      </c>
      <c r="T106" s="93">
        <f>SUMIFS('reductions data'!$H:$H,'reductions data'!$G:$G,'reasons for reduction division'!B106,'reductions data'!$A:$A,T$72)</f>
        <v>0</v>
      </c>
      <c r="U106" s="93">
        <f>SUMIFS('reductions data'!$H:$H,'reductions data'!$G:$G,'reasons for reduction division'!B106,'reductions data'!$A:$A,U$72)</f>
        <v>0</v>
      </c>
      <c r="V106" s="93">
        <f>SUMIFS('reductions data'!$H:$H,'reductions data'!$G:$G,'reasons for reduction division'!B106,'reductions data'!$A:$A,V$72)</f>
        <v>0</v>
      </c>
      <c r="W106" s="93">
        <f>SUMIFS('reductions data'!$H:$H,'reductions data'!$G:$G,'reasons for reduction division'!B106,'reductions data'!$A:$A,W$72)</f>
        <v>0</v>
      </c>
      <c r="X106" s="93">
        <f>SUMIFS('reductions data'!$H:$H,'reductions data'!$G:$G,'reasons for reduction division'!B106,'reductions data'!$A:$A,X$72)</f>
        <v>0</v>
      </c>
      <c r="Y106" s="138">
        <f>SUMIF('reductions data'!G:G,'reasons for reduction division'!B106,'reductions data'!H:H)</f>
        <v>0</v>
      </c>
    </row>
    <row r="107" spans="1:25" s="30" customFormat="1" x14ac:dyDescent="0.15">
      <c r="B107" s="146" t="s">
        <v>498</v>
      </c>
      <c r="C107" s="93">
        <f>SUMIFS('reductions data'!H:H,'reductions data'!G:G,'reasons for reduction division'!B107,'reductions data'!A:A,$C$72)</f>
        <v>0</v>
      </c>
      <c r="D107" s="93">
        <f>SUMIFS('reductions data'!H:H,'reductions data'!G:G,'reasons for reduction division'!B107,'reductions data'!A:A,$D$72)</f>
        <v>0</v>
      </c>
      <c r="E107" s="93">
        <f>SUMIFS('reductions data'!H:H,'reductions data'!G:G,'reasons for reduction division'!B107,'reductions data'!A:A,$E$72)</f>
        <v>0</v>
      </c>
      <c r="F107" s="93">
        <f>SUMIFS('reductions data'!H:H,'reductions data'!G:G,'reasons for reduction division'!B107,'reductions data'!A:A,$F$72)</f>
        <v>0</v>
      </c>
      <c r="G107" s="93">
        <f>SUMIFS('reductions data'!H:H,'reductions data'!G:G,'reasons for reduction division'!B107,'reductions data'!A:A,$G$72)</f>
        <v>0</v>
      </c>
      <c r="H107" s="93">
        <f>SUMIFS('reductions data'!H:H,'reductions data'!G:G,'reasons for reduction division'!B107,'reductions data'!A:A,$H$72)</f>
        <v>0</v>
      </c>
      <c r="I107" s="93">
        <f>SUMIFS('reductions data'!H:H,'reductions data'!G:G,'reasons for reduction division'!B107,'reductions data'!A:A,$I$72)</f>
        <v>0</v>
      </c>
      <c r="J107" s="93">
        <f>SUMIFS('reductions data'!H:H,'reductions data'!G:G,'reasons for reduction division'!B107,'reductions data'!A:A,$J$72)</f>
        <v>0</v>
      </c>
      <c r="K107" s="93">
        <f>SUMIFS('reductions data'!H:H,'reductions data'!G:G,'reasons for reduction division'!B107,'reductions data'!A:A,$K$72)</f>
        <v>0</v>
      </c>
      <c r="L107" s="93">
        <f>SUMIFS('reductions data'!H:H,'reductions data'!G:G,'reasons for reduction division'!B107,'reductions data'!A:A,$L$72)</f>
        <v>0</v>
      </c>
      <c r="M107" s="93">
        <f>SUMIFS('reductions data'!H:H,'reductions data'!G:G,'reasons for reduction division'!B107,'reductions data'!A:A,$M$72)</f>
        <v>0</v>
      </c>
      <c r="N107" s="93">
        <f>SUMIFS('reductions data'!H:H,'reductions data'!G:G,'reasons for reduction division'!B107,'reductions data'!A:A,$N$72)</f>
        <v>0</v>
      </c>
      <c r="O107" s="93">
        <f>SUMIFS('reductions data'!$H:$H,'reductions data'!$G:$G,'reasons for reduction division'!B107,'reductions data'!$A:$A,O$72)</f>
        <v>0</v>
      </c>
      <c r="P107" s="93">
        <f>SUMIFS('reductions data'!$H:$H,'reductions data'!$G:$G,'reasons for reduction division'!B107,'reductions data'!$A:$A,P$72)</f>
        <v>0</v>
      </c>
      <c r="Q107" s="93">
        <f>SUMIFS('reductions data'!$H:$H,'reductions data'!$G:$G,'reasons for reduction division'!B107,'reductions data'!$A:$A,Q$72)</f>
        <v>0</v>
      </c>
      <c r="R107" s="93">
        <f>SUMIFS('reductions data'!$H:$H,'reductions data'!$G:$G,'reasons for reduction division'!B107,'reductions data'!$A:$A,R$72)</f>
        <v>0</v>
      </c>
      <c r="S107" s="93">
        <f>SUMIFS('reductions data'!$H:$H,'reductions data'!$G:$G,'reasons for reduction division'!B107,'reductions data'!$A:$A,S$72)</f>
        <v>0</v>
      </c>
      <c r="T107" s="93">
        <f>SUMIFS('reductions data'!$H:$H,'reductions data'!$G:$G,'reasons for reduction division'!B107,'reductions data'!$A:$A,T$72)</f>
        <v>0</v>
      </c>
      <c r="U107" s="93">
        <f>SUMIFS('reductions data'!$H:$H,'reductions data'!$G:$G,'reasons for reduction division'!B107,'reductions data'!$A:$A,U$72)</f>
        <v>0</v>
      </c>
      <c r="V107" s="93">
        <f>SUMIFS('reductions data'!$H:$H,'reductions data'!$G:$G,'reasons for reduction division'!B107,'reductions data'!$A:$A,V$72)</f>
        <v>0</v>
      </c>
      <c r="W107" s="93">
        <f>SUMIFS('reductions data'!$H:$H,'reductions data'!$G:$G,'reasons for reduction division'!B107,'reductions data'!$A:$A,W$72)</f>
        <v>0</v>
      </c>
      <c r="X107" s="93">
        <f>SUMIFS('reductions data'!$H:$H,'reductions data'!$G:$G,'reasons for reduction division'!B107,'reductions data'!$A:$A,X$72)</f>
        <v>0</v>
      </c>
      <c r="Y107" s="138">
        <f>SUMIF('reductions data'!G:G,'reasons for reduction division'!B107,'reductions data'!H:H)</f>
        <v>0</v>
      </c>
    </row>
    <row r="108" spans="1:25" s="30" customFormat="1" x14ac:dyDescent="0.15">
      <c r="B108" s="146" t="s">
        <v>499</v>
      </c>
      <c r="C108" s="93">
        <f>SUMIFS('reductions data'!H:H,'reductions data'!G:G,'reasons for reduction division'!B108,'reductions data'!A:A,$C$72)</f>
        <v>0</v>
      </c>
      <c r="D108" s="93">
        <f>SUMIFS('reductions data'!H:H,'reductions data'!G:G,'reasons for reduction division'!B108,'reductions data'!A:A,$D$72)</f>
        <v>0</v>
      </c>
      <c r="E108" s="93">
        <f>SUMIFS('reductions data'!H:H,'reductions data'!G:G,'reasons for reduction division'!B108,'reductions data'!A:A,$E$72)</f>
        <v>0</v>
      </c>
      <c r="F108" s="93">
        <f>SUMIFS('reductions data'!H:H,'reductions data'!G:G,'reasons for reduction division'!B108,'reductions data'!A:A,$F$72)</f>
        <v>0</v>
      </c>
      <c r="G108" s="93">
        <f>SUMIFS('reductions data'!H:H,'reductions data'!G:G,'reasons for reduction division'!B108,'reductions data'!A:A,$G$72)</f>
        <v>0</v>
      </c>
      <c r="H108" s="93">
        <f>SUMIFS('reductions data'!H:H,'reductions data'!G:G,'reasons for reduction division'!B108,'reductions data'!A:A,$H$72)</f>
        <v>0</v>
      </c>
      <c r="I108" s="93">
        <f>SUMIFS('reductions data'!H:H,'reductions data'!G:G,'reasons for reduction division'!B108,'reductions data'!A:A,$I$72)</f>
        <v>0</v>
      </c>
      <c r="J108" s="93">
        <f>SUMIFS('reductions data'!H:H,'reductions data'!G:G,'reasons for reduction division'!B108,'reductions data'!A:A,$J$72)</f>
        <v>0</v>
      </c>
      <c r="K108" s="93">
        <f>SUMIFS('reductions data'!H:H,'reductions data'!G:G,'reasons for reduction division'!B108,'reductions data'!A:A,$K$72)</f>
        <v>0</v>
      </c>
      <c r="L108" s="93">
        <f>SUMIFS('reductions data'!H:H,'reductions data'!G:G,'reasons for reduction division'!B108,'reductions data'!A:A,$L$72)</f>
        <v>0</v>
      </c>
      <c r="M108" s="93">
        <f>SUMIFS('reductions data'!H:H,'reductions data'!G:G,'reasons for reduction division'!B108,'reductions data'!A:A,$M$72)</f>
        <v>0</v>
      </c>
      <c r="N108" s="93">
        <f>SUMIFS('reductions data'!H:H,'reductions data'!G:G,'reasons for reduction division'!B108,'reductions data'!A:A,$N$72)</f>
        <v>0</v>
      </c>
      <c r="O108" s="93">
        <f>SUMIFS('reductions data'!$H:$H,'reductions data'!$G:$G,'reasons for reduction division'!B108,'reductions data'!$A:$A,O$72)</f>
        <v>0</v>
      </c>
      <c r="P108" s="93">
        <f>SUMIFS('reductions data'!$H:$H,'reductions data'!$G:$G,'reasons for reduction division'!B108,'reductions data'!$A:$A,P$72)</f>
        <v>0</v>
      </c>
      <c r="Q108" s="93">
        <f>SUMIFS('reductions data'!$H:$H,'reductions data'!$G:$G,'reasons for reduction division'!B108,'reductions data'!$A:$A,Q$72)</f>
        <v>0</v>
      </c>
      <c r="R108" s="93">
        <f>SUMIFS('reductions data'!$H:$H,'reductions data'!$G:$G,'reasons for reduction division'!B108,'reductions data'!$A:$A,R$72)</f>
        <v>0</v>
      </c>
      <c r="S108" s="93">
        <f>SUMIFS('reductions data'!$H:$H,'reductions data'!$G:$G,'reasons for reduction division'!B108,'reductions data'!$A:$A,S$72)</f>
        <v>0</v>
      </c>
      <c r="T108" s="93">
        <f>SUMIFS('reductions data'!$H:$H,'reductions data'!$G:$G,'reasons for reduction division'!B108,'reductions data'!$A:$A,T$72)</f>
        <v>0</v>
      </c>
      <c r="U108" s="93">
        <f>SUMIFS('reductions data'!$H:$H,'reductions data'!$G:$G,'reasons for reduction division'!B108,'reductions data'!$A:$A,U$72)</f>
        <v>0</v>
      </c>
      <c r="V108" s="93">
        <f>SUMIFS('reductions data'!$H:$H,'reductions data'!$G:$G,'reasons for reduction division'!B108,'reductions data'!$A:$A,V$72)</f>
        <v>0</v>
      </c>
      <c r="W108" s="93">
        <f>SUMIFS('reductions data'!$H:$H,'reductions data'!$G:$G,'reasons for reduction division'!B108,'reductions data'!$A:$A,W$72)</f>
        <v>0</v>
      </c>
      <c r="X108" s="93">
        <f>SUMIFS('reductions data'!$H:$H,'reductions data'!$G:$G,'reasons for reduction division'!B108,'reductions data'!$A:$A,X$72)</f>
        <v>0</v>
      </c>
      <c r="Y108" s="138">
        <f>SUMIF('reductions data'!G:G,'reasons for reduction division'!B108,'reductions data'!H:H)</f>
        <v>0</v>
      </c>
    </row>
    <row r="109" spans="1:25" x14ac:dyDescent="0.15">
      <c r="B109" s="146" t="s">
        <v>253</v>
      </c>
      <c r="C109" s="93">
        <f>SUMIFS('reductions data'!H:H,'reductions data'!G:G,'reasons for reduction division'!B109,'reductions data'!A:A,$C$72)</f>
        <v>0</v>
      </c>
      <c r="D109" s="93">
        <f>SUMIFS('reductions data'!H:H,'reductions data'!G:G,'reasons for reduction division'!B109,'reductions data'!A:A,$D$72)</f>
        <v>0</v>
      </c>
      <c r="E109" s="93">
        <f>SUMIFS('reductions data'!H:H,'reductions data'!G:G,'reasons for reduction division'!B109,'reductions data'!A:A,$E$72)</f>
        <v>0</v>
      </c>
      <c r="F109" s="93">
        <f>SUMIFS('reductions data'!H:H,'reductions data'!G:G,'reasons for reduction division'!B109,'reductions data'!A:A,$F$72)</f>
        <v>0</v>
      </c>
      <c r="G109" s="93">
        <f>SUMIFS('reductions data'!H:H,'reductions data'!G:G,'reasons for reduction division'!B109,'reductions data'!A:A,$G$72)</f>
        <v>0</v>
      </c>
      <c r="H109" s="93">
        <f>SUMIFS('reductions data'!H:H,'reductions data'!G:G,'reasons for reduction division'!B109,'reductions data'!A:A,$H$72)</f>
        <v>0</v>
      </c>
      <c r="I109" s="93">
        <f>SUMIFS('reductions data'!H:H,'reductions data'!G:G,'reasons for reduction division'!B109,'reductions data'!A:A,$I$72)</f>
        <v>0</v>
      </c>
      <c r="J109" s="93">
        <f>SUMIFS('reductions data'!H:H,'reductions data'!G:G,'reasons for reduction division'!B109,'reductions data'!A:A,$J$72)</f>
        <v>0</v>
      </c>
      <c r="K109" s="93">
        <f>SUMIFS('reductions data'!H:H,'reductions data'!G:G,'reasons for reduction division'!B109,'reductions data'!A:A,$K$72)</f>
        <v>0</v>
      </c>
      <c r="L109" s="93">
        <f>SUMIFS('reductions data'!H:H,'reductions data'!G:G,'reasons for reduction division'!B109,'reductions data'!A:A,$L$72)</f>
        <v>0</v>
      </c>
      <c r="M109" s="93">
        <f>SUMIFS('reductions data'!H:H,'reductions data'!G:G,'reasons for reduction division'!B109,'reductions data'!A:A,$M$72)</f>
        <v>0</v>
      </c>
      <c r="N109" s="93">
        <f>SUMIFS('reductions data'!H:H,'reductions data'!G:G,'reasons for reduction division'!B109,'reductions data'!A:A,$N$72)</f>
        <v>0</v>
      </c>
      <c r="O109" s="93">
        <f>SUMIFS('reductions data'!$H:$H,'reductions data'!$G:$G,'reasons for reduction division'!B109,'reductions data'!$A:$A,O$72)</f>
        <v>0</v>
      </c>
      <c r="P109" s="93">
        <f>SUMIFS('reductions data'!$H:$H,'reductions data'!$G:$G,'reasons for reduction division'!B109,'reductions data'!$A:$A,P$72)</f>
        <v>0</v>
      </c>
      <c r="Q109" s="93">
        <f>SUMIFS('reductions data'!$H:$H,'reductions data'!$G:$G,'reasons for reduction division'!B109,'reductions data'!$A:$A,Q$72)</f>
        <v>0</v>
      </c>
      <c r="R109" s="93">
        <f>SUMIFS('reductions data'!$H:$H,'reductions data'!$G:$G,'reasons for reduction division'!B109,'reductions data'!$A:$A,R$72)</f>
        <v>0</v>
      </c>
      <c r="S109" s="93">
        <f>SUMIFS('reductions data'!$H:$H,'reductions data'!$G:$G,'reasons for reduction division'!B109,'reductions data'!$A:$A,S$72)</f>
        <v>0</v>
      </c>
      <c r="T109" s="93">
        <f>SUMIFS('reductions data'!$H:$H,'reductions data'!$G:$G,'reasons for reduction division'!B109,'reductions data'!$A:$A,T$72)</f>
        <v>0</v>
      </c>
      <c r="U109" s="93">
        <f>SUMIFS('reductions data'!$H:$H,'reductions data'!$G:$G,'reasons for reduction division'!B109,'reductions data'!$A:$A,U$72)</f>
        <v>0</v>
      </c>
      <c r="V109" s="93">
        <f>SUMIFS('reductions data'!$H:$H,'reductions data'!$G:$G,'reasons for reduction division'!B109,'reductions data'!$A:$A,V$72)</f>
        <v>0</v>
      </c>
      <c r="W109" s="93">
        <f>SUMIFS('reductions data'!$H:$H,'reductions data'!$G:$G,'reasons for reduction division'!B109,'reductions data'!$A:$A,W$72)</f>
        <v>0</v>
      </c>
      <c r="X109" s="93">
        <f>SUMIFS('reductions data'!$H:$H,'reductions data'!$G:$G,'reasons for reduction division'!B109,'reductions data'!$A:$A,X$72)</f>
        <v>0</v>
      </c>
      <c r="Y109" s="138">
        <f>SUMIF('reductions data'!G:G,'reasons for reduction division'!B109,'reductions data'!H:H)</f>
        <v>0</v>
      </c>
    </row>
    <row r="110" spans="1:25" x14ac:dyDescent="0.15">
      <c r="B110" s="146" t="s">
        <v>225</v>
      </c>
      <c r="C110" s="93">
        <f>SUMIFS('reductions data'!H:H,'reductions data'!G:G,'reasons for reduction division'!B110,'reductions data'!A:A,$C$72)</f>
        <v>0</v>
      </c>
      <c r="D110" s="93">
        <f>SUMIFS('reductions data'!H:H,'reductions data'!G:G,'reasons for reduction division'!B110,'reductions data'!A:A,$D$72)</f>
        <v>0</v>
      </c>
      <c r="E110" s="93">
        <f>SUMIFS('reductions data'!H:H,'reductions data'!G:G,'reasons for reduction division'!B110,'reductions data'!A:A,$E$72)</f>
        <v>0</v>
      </c>
      <c r="F110" s="93">
        <f>SUMIFS('reductions data'!H:H,'reductions data'!G:G,'reasons for reduction division'!B110,'reductions data'!A:A,$F$72)</f>
        <v>0</v>
      </c>
      <c r="G110" s="93">
        <f>SUMIFS('reductions data'!H:H,'reductions data'!G:G,'reasons for reduction division'!B110,'reductions data'!A:A,$G$72)</f>
        <v>0</v>
      </c>
      <c r="H110" s="93">
        <f>SUMIFS('reductions data'!H:H,'reductions data'!G:G,'reasons for reduction division'!B110,'reductions data'!A:A,$H$72)</f>
        <v>0</v>
      </c>
      <c r="I110" s="93">
        <f>SUMIFS('reductions data'!H:H,'reductions data'!G:G,'reasons for reduction division'!B110,'reductions data'!A:A,$I$72)</f>
        <v>0</v>
      </c>
      <c r="J110" s="93">
        <f>SUMIFS('reductions data'!H:H,'reductions data'!G:G,'reasons for reduction division'!B110,'reductions data'!A:A,$J$72)</f>
        <v>0</v>
      </c>
      <c r="K110" s="93">
        <f>SUMIFS('reductions data'!H:H,'reductions data'!G:G,'reasons for reduction division'!B110,'reductions data'!A:A,$K$72)</f>
        <v>0</v>
      </c>
      <c r="L110" s="93">
        <f>SUMIFS('reductions data'!H:H,'reductions data'!G:G,'reasons for reduction division'!B110,'reductions data'!A:A,$L$72)</f>
        <v>0</v>
      </c>
      <c r="M110" s="93">
        <f>SUMIFS('reductions data'!H:H,'reductions data'!G:G,'reasons for reduction division'!B110,'reductions data'!A:A,$M$72)</f>
        <v>0</v>
      </c>
      <c r="N110" s="93">
        <f>SUMIFS('reductions data'!H:H,'reductions data'!G:G,'reasons for reduction division'!B110,'reductions data'!A:A,$N$72)</f>
        <v>0</v>
      </c>
      <c r="O110" s="93">
        <f>SUMIFS('reductions data'!$H:$H,'reductions data'!$G:$G,'reasons for reduction division'!B110,'reductions data'!$A:$A,O$72)</f>
        <v>0</v>
      </c>
      <c r="P110" s="93">
        <f>SUMIFS('reductions data'!$H:$H,'reductions data'!$G:$G,'reasons for reduction division'!B110,'reductions data'!$A:$A,P$72)</f>
        <v>0</v>
      </c>
      <c r="Q110" s="93">
        <f>SUMIFS('reductions data'!$H:$H,'reductions data'!$G:$G,'reasons for reduction division'!B110,'reductions data'!$A:$A,Q$72)</f>
        <v>0</v>
      </c>
      <c r="R110" s="93">
        <f>SUMIFS('reductions data'!$H:$H,'reductions data'!$G:$G,'reasons for reduction division'!B110,'reductions data'!$A:$A,R$72)</f>
        <v>0</v>
      </c>
      <c r="S110" s="93">
        <f>SUMIFS('reductions data'!$H:$H,'reductions data'!$G:$G,'reasons for reduction division'!B110,'reductions data'!$A:$A,S$72)</f>
        <v>0</v>
      </c>
      <c r="T110" s="93">
        <f>SUMIFS('reductions data'!$H:$H,'reductions data'!$G:$G,'reasons for reduction division'!B110,'reductions data'!$A:$A,T$72)</f>
        <v>0</v>
      </c>
      <c r="U110" s="93">
        <f>SUMIFS('reductions data'!$H:$H,'reductions data'!$G:$G,'reasons for reduction division'!B110,'reductions data'!$A:$A,U$72)</f>
        <v>0</v>
      </c>
      <c r="V110" s="93">
        <f>SUMIFS('reductions data'!$H:$H,'reductions data'!$G:$G,'reasons for reduction division'!B110,'reductions data'!$A:$A,V$72)</f>
        <v>0</v>
      </c>
      <c r="W110" s="93">
        <f>SUMIFS('reductions data'!$H:$H,'reductions data'!$G:$G,'reasons for reduction division'!B110,'reductions data'!$A:$A,W$72)</f>
        <v>0</v>
      </c>
      <c r="X110" s="93">
        <f>SUMIFS('reductions data'!$H:$H,'reductions data'!$G:$G,'reasons for reduction division'!B110,'reductions data'!$A:$A,X$72)</f>
        <v>0</v>
      </c>
      <c r="Y110" s="138">
        <f>SUMIF('reductions data'!G:G,'reasons for reduction division'!B110,'reductions data'!H:H)</f>
        <v>0</v>
      </c>
    </row>
    <row r="111" spans="1:25" x14ac:dyDescent="0.15">
      <c r="B111" s="146" t="s">
        <v>254</v>
      </c>
      <c r="C111" s="93">
        <f>SUMIFS('reductions data'!H:H,'reductions data'!G:G,'reasons for reduction division'!B111,'reductions data'!A:A,$C$72)</f>
        <v>0</v>
      </c>
      <c r="D111" s="93">
        <f>SUMIFS('reductions data'!H:H,'reductions data'!G:G,'reasons for reduction division'!B111,'reductions data'!A:A,$D$72)</f>
        <v>0</v>
      </c>
      <c r="E111" s="93">
        <f>SUMIFS('reductions data'!H:H,'reductions data'!G:G,'reasons for reduction division'!B111,'reductions data'!A:A,$E$72)</f>
        <v>0</v>
      </c>
      <c r="F111" s="93">
        <f>SUMIFS('reductions data'!H:H,'reductions data'!G:G,'reasons for reduction division'!B111,'reductions data'!A:A,$F$72)</f>
        <v>0</v>
      </c>
      <c r="G111" s="93">
        <f>SUMIFS('reductions data'!H:H,'reductions data'!G:G,'reasons for reduction division'!B111,'reductions data'!A:A,$G$72)</f>
        <v>0</v>
      </c>
      <c r="H111" s="93">
        <f>SUMIFS('reductions data'!H:H,'reductions data'!G:G,'reasons for reduction division'!B111,'reductions data'!A:A,$H$72)</f>
        <v>0</v>
      </c>
      <c r="I111" s="93">
        <f>SUMIFS('reductions data'!H:H,'reductions data'!G:G,'reasons for reduction division'!B111,'reductions data'!A:A,$I$72)</f>
        <v>0</v>
      </c>
      <c r="J111" s="93">
        <f>SUMIFS('reductions data'!H:H,'reductions data'!G:G,'reasons for reduction division'!B111,'reductions data'!A:A,$J$72)</f>
        <v>0</v>
      </c>
      <c r="K111" s="93">
        <f>SUMIFS('reductions data'!H:H,'reductions data'!G:G,'reasons for reduction division'!B111,'reductions data'!A:A,$K$72)</f>
        <v>0</v>
      </c>
      <c r="L111" s="93">
        <f>SUMIFS('reductions data'!H:H,'reductions data'!G:G,'reasons for reduction division'!B111,'reductions data'!A:A,$L$72)</f>
        <v>0</v>
      </c>
      <c r="M111" s="93">
        <f>SUMIFS('reductions data'!H:H,'reductions data'!G:G,'reasons for reduction division'!B111,'reductions data'!A:A,$M$72)</f>
        <v>0</v>
      </c>
      <c r="N111" s="93">
        <f>SUMIFS('reductions data'!H:H,'reductions data'!G:G,'reasons for reduction division'!B111,'reductions data'!A:A,$N$72)</f>
        <v>0</v>
      </c>
      <c r="O111" s="93">
        <f>SUMIFS('reductions data'!$H:$H,'reductions data'!$G:$G,'reasons for reduction division'!B111,'reductions data'!$A:$A,O$72)</f>
        <v>0</v>
      </c>
      <c r="P111" s="93">
        <f>SUMIFS('reductions data'!$H:$H,'reductions data'!$G:$G,'reasons for reduction division'!B111,'reductions data'!$A:$A,P$72)</f>
        <v>0</v>
      </c>
      <c r="Q111" s="93">
        <f>SUMIFS('reductions data'!$H:$H,'reductions data'!$G:$G,'reasons for reduction division'!B111,'reductions data'!$A:$A,Q$72)</f>
        <v>0</v>
      </c>
      <c r="R111" s="93">
        <f>SUMIFS('reductions data'!$H:$H,'reductions data'!$G:$G,'reasons for reduction division'!B111,'reductions data'!$A:$A,R$72)</f>
        <v>0</v>
      </c>
      <c r="S111" s="93">
        <f>SUMIFS('reductions data'!$H:$H,'reductions data'!$G:$G,'reasons for reduction division'!B111,'reductions data'!$A:$A,S$72)</f>
        <v>0</v>
      </c>
      <c r="T111" s="93">
        <f>SUMIFS('reductions data'!$H:$H,'reductions data'!$G:$G,'reasons for reduction division'!B111,'reductions data'!$A:$A,T$72)</f>
        <v>0</v>
      </c>
      <c r="U111" s="93">
        <f>SUMIFS('reductions data'!$H:$H,'reductions data'!$G:$G,'reasons for reduction division'!B111,'reductions data'!$A:$A,U$72)</f>
        <v>0</v>
      </c>
      <c r="V111" s="93">
        <f>SUMIFS('reductions data'!$H:$H,'reductions data'!$G:$G,'reasons for reduction division'!B111,'reductions data'!$A:$A,V$72)</f>
        <v>0</v>
      </c>
      <c r="W111" s="93">
        <f>SUMIFS('reductions data'!$H:$H,'reductions data'!$G:$G,'reasons for reduction division'!B111,'reductions data'!$A:$A,W$72)</f>
        <v>0</v>
      </c>
      <c r="X111" s="93">
        <f>SUMIFS('reductions data'!$H:$H,'reductions data'!$G:$G,'reasons for reduction division'!B111,'reductions data'!$A:$A,X$72)</f>
        <v>0</v>
      </c>
      <c r="Y111" s="138">
        <f>SUMIF('reductions data'!G:G,'reasons for reduction division'!B111,'reductions data'!H:H)</f>
        <v>0</v>
      </c>
    </row>
    <row r="112" spans="1:25" x14ac:dyDescent="0.15">
      <c r="B112" s="146" t="s">
        <v>216</v>
      </c>
      <c r="C112" s="93">
        <f>SUMIFS('reductions data'!H:H,'reductions data'!G:G,'reasons for reduction division'!B112,'reductions data'!A:A,$C$72)</f>
        <v>0</v>
      </c>
      <c r="D112" s="93">
        <f>SUMIFS('reductions data'!H:H,'reductions data'!G:G,'reasons for reduction division'!B112,'reductions data'!A:A,$D$72)</f>
        <v>0</v>
      </c>
      <c r="E112" s="93">
        <f>SUMIFS('reductions data'!H:H,'reductions data'!G:G,'reasons for reduction division'!B112,'reductions data'!A:A,$E$72)</f>
        <v>0</v>
      </c>
      <c r="F112" s="93">
        <f>SUMIFS('reductions data'!H:H,'reductions data'!G:G,'reasons for reduction division'!B112,'reductions data'!A:A,$F$72)</f>
        <v>0</v>
      </c>
      <c r="G112" s="93">
        <f>SUMIFS('reductions data'!H:H,'reductions data'!G:G,'reasons for reduction division'!B112,'reductions data'!A:A,$G$72)</f>
        <v>0</v>
      </c>
      <c r="H112" s="93">
        <f>SUMIFS('reductions data'!H:H,'reductions data'!G:G,'reasons for reduction division'!B112,'reductions data'!A:A,$H$72)</f>
        <v>0</v>
      </c>
      <c r="I112" s="93">
        <f>SUMIFS('reductions data'!H:H,'reductions data'!G:G,'reasons for reduction division'!B112,'reductions data'!A:A,$I$72)</f>
        <v>0</v>
      </c>
      <c r="J112" s="93">
        <f>SUMIFS('reductions data'!H:H,'reductions data'!G:G,'reasons for reduction division'!B112,'reductions data'!A:A,$J$72)</f>
        <v>0</v>
      </c>
      <c r="K112" s="93">
        <f>SUMIFS('reductions data'!H:H,'reductions data'!G:G,'reasons for reduction division'!B112,'reductions data'!A:A,$K$72)</f>
        <v>0</v>
      </c>
      <c r="L112" s="93">
        <f>SUMIFS('reductions data'!H:H,'reductions data'!G:G,'reasons for reduction division'!B112,'reductions data'!A:A,$L$72)</f>
        <v>0</v>
      </c>
      <c r="M112" s="93">
        <f>SUMIFS('reductions data'!H:H,'reductions data'!G:G,'reasons for reduction division'!B112,'reductions data'!A:A,$M$72)</f>
        <v>0</v>
      </c>
      <c r="N112" s="93">
        <f>SUMIFS('reductions data'!H:H,'reductions data'!G:G,'reasons for reduction division'!B112,'reductions data'!A:A,$N$72)</f>
        <v>0</v>
      </c>
      <c r="O112" s="93">
        <f>SUMIFS('reductions data'!$H:$H,'reductions data'!$G:$G,'reasons for reduction division'!B112,'reductions data'!$A:$A,O$72)</f>
        <v>0</v>
      </c>
      <c r="P112" s="93">
        <f>SUMIFS('reductions data'!$H:$H,'reductions data'!$G:$G,'reasons for reduction division'!B112,'reductions data'!$A:$A,P$72)</f>
        <v>0</v>
      </c>
      <c r="Q112" s="93">
        <f>SUMIFS('reductions data'!$H:$H,'reductions data'!$G:$G,'reasons for reduction division'!B112,'reductions data'!$A:$A,Q$72)</f>
        <v>0</v>
      </c>
      <c r="R112" s="93">
        <f>SUMIFS('reductions data'!$H:$H,'reductions data'!$G:$G,'reasons for reduction division'!B112,'reductions data'!$A:$A,R$72)</f>
        <v>0</v>
      </c>
      <c r="S112" s="93">
        <f>SUMIFS('reductions data'!$H:$H,'reductions data'!$G:$G,'reasons for reduction division'!B112,'reductions data'!$A:$A,S$72)</f>
        <v>0</v>
      </c>
      <c r="T112" s="93">
        <f>SUMIFS('reductions data'!$H:$H,'reductions data'!$G:$G,'reasons for reduction division'!B112,'reductions data'!$A:$A,T$72)</f>
        <v>0</v>
      </c>
      <c r="U112" s="93">
        <f>SUMIFS('reductions data'!$H:$H,'reductions data'!$G:$G,'reasons for reduction division'!B112,'reductions data'!$A:$A,U$72)</f>
        <v>0</v>
      </c>
      <c r="V112" s="93">
        <f>SUMIFS('reductions data'!$H:$H,'reductions data'!$G:$G,'reasons for reduction division'!B112,'reductions data'!$A:$A,V$72)</f>
        <v>0</v>
      </c>
      <c r="W112" s="93">
        <f>SUMIFS('reductions data'!$H:$H,'reductions data'!$G:$G,'reasons for reduction division'!B112,'reductions data'!$A:$A,W$72)</f>
        <v>0</v>
      </c>
      <c r="X112" s="93">
        <f>SUMIFS('reductions data'!$H:$H,'reductions data'!$G:$G,'reasons for reduction division'!B112,'reductions data'!$A:$A,X$72)</f>
        <v>0</v>
      </c>
      <c r="Y112" s="138">
        <f>SUMIF('reductions data'!G:G,'reasons for reduction division'!B112,'reductions data'!H:H)</f>
        <v>0</v>
      </c>
    </row>
    <row r="113" spans="1:25" x14ac:dyDescent="0.15">
      <c r="B113" s="146" t="s">
        <v>231</v>
      </c>
      <c r="C113" s="93">
        <f>SUMIFS('reductions data'!H:H,'reductions data'!G:G,'reasons for reduction division'!B113,'reductions data'!A:A,$C$72)</f>
        <v>0</v>
      </c>
      <c r="D113" s="93">
        <f>SUMIFS('reductions data'!H:H,'reductions data'!G:G,'reasons for reduction division'!B113,'reductions data'!A:A,$D$72)</f>
        <v>0</v>
      </c>
      <c r="E113" s="93">
        <f>SUMIFS('reductions data'!H:H,'reductions data'!G:G,'reasons for reduction division'!B113,'reductions data'!A:A,$E$72)</f>
        <v>0</v>
      </c>
      <c r="F113" s="93">
        <f>SUMIFS('reductions data'!H:H,'reductions data'!G:G,'reasons for reduction division'!B113,'reductions data'!A:A,$F$72)</f>
        <v>0</v>
      </c>
      <c r="G113" s="93">
        <f>SUMIFS('reductions data'!H:H,'reductions data'!G:G,'reasons for reduction division'!B113,'reductions data'!A:A,$G$72)</f>
        <v>0</v>
      </c>
      <c r="H113" s="93">
        <f>SUMIFS('reductions data'!H:H,'reductions data'!G:G,'reasons for reduction division'!B113,'reductions data'!A:A,$H$72)</f>
        <v>0</v>
      </c>
      <c r="I113" s="93">
        <f>SUMIFS('reductions data'!H:H,'reductions data'!G:G,'reasons for reduction division'!B113,'reductions data'!A:A,$I$72)</f>
        <v>0</v>
      </c>
      <c r="J113" s="93">
        <f>SUMIFS('reductions data'!H:H,'reductions data'!G:G,'reasons for reduction division'!B113,'reductions data'!A:A,$J$72)</f>
        <v>0</v>
      </c>
      <c r="K113" s="93">
        <f>SUMIFS('reductions data'!H:H,'reductions data'!G:G,'reasons for reduction division'!B113,'reductions data'!A:A,$K$72)</f>
        <v>0</v>
      </c>
      <c r="L113" s="93">
        <f>SUMIFS('reductions data'!H:H,'reductions data'!G:G,'reasons for reduction division'!B113,'reductions data'!A:A,$L$72)</f>
        <v>0</v>
      </c>
      <c r="M113" s="93">
        <f>SUMIFS('reductions data'!H:H,'reductions data'!G:G,'reasons for reduction division'!B113,'reductions data'!A:A,$M$72)</f>
        <v>0</v>
      </c>
      <c r="N113" s="93">
        <f>SUMIFS('reductions data'!H:H,'reductions data'!G:G,'reasons for reduction division'!B113,'reductions data'!A:A,$N$72)</f>
        <v>0</v>
      </c>
      <c r="O113" s="93">
        <f>SUMIFS('reductions data'!$H:$H,'reductions data'!$G:$G,'reasons for reduction division'!B113,'reductions data'!$A:$A,O$72)</f>
        <v>0</v>
      </c>
      <c r="P113" s="93">
        <f>SUMIFS('reductions data'!$H:$H,'reductions data'!$G:$G,'reasons for reduction division'!B113,'reductions data'!$A:$A,P$72)</f>
        <v>0</v>
      </c>
      <c r="Q113" s="93">
        <f>SUMIFS('reductions data'!$H:$H,'reductions data'!$G:$G,'reasons for reduction division'!B113,'reductions data'!$A:$A,Q$72)</f>
        <v>0</v>
      </c>
      <c r="R113" s="93">
        <f>SUMIFS('reductions data'!$H:$H,'reductions data'!$G:$G,'reasons for reduction division'!B113,'reductions data'!$A:$A,R$72)</f>
        <v>0</v>
      </c>
      <c r="S113" s="93">
        <f>SUMIFS('reductions data'!$H:$H,'reductions data'!$G:$G,'reasons for reduction division'!B113,'reductions data'!$A:$A,S$72)</f>
        <v>0</v>
      </c>
      <c r="T113" s="93">
        <f>SUMIFS('reductions data'!$H:$H,'reductions data'!$G:$G,'reasons for reduction division'!B113,'reductions data'!$A:$A,T$72)</f>
        <v>0</v>
      </c>
      <c r="U113" s="93">
        <f>SUMIFS('reductions data'!$H:$H,'reductions data'!$G:$G,'reasons for reduction division'!B113,'reductions data'!$A:$A,U$72)</f>
        <v>0</v>
      </c>
      <c r="V113" s="93">
        <f>SUMIFS('reductions data'!$H:$H,'reductions data'!$G:$G,'reasons for reduction division'!B113,'reductions data'!$A:$A,V$72)</f>
        <v>0</v>
      </c>
      <c r="W113" s="93">
        <f>SUMIFS('reductions data'!$H:$H,'reductions data'!$G:$G,'reasons for reduction division'!B113,'reductions data'!$A:$A,W$72)</f>
        <v>0</v>
      </c>
      <c r="X113" s="93">
        <f>SUMIFS('reductions data'!$H:$H,'reductions data'!$G:$G,'reasons for reduction division'!B113,'reductions data'!$A:$A,X$72)</f>
        <v>0</v>
      </c>
      <c r="Y113" s="138">
        <f>SUMIF('reductions data'!G:G,'reasons for reduction division'!B113,'reductions data'!H:H)</f>
        <v>0</v>
      </c>
    </row>
    <row r="114" spans="1:25" x14ac:dyDescent="0.15">
      <c r="B114" s="146" t="s">
        <v>1020</v>
      </c>
      <c r="C114" s="93">
        <f>SUMIFS('reductions data'!H:H,'reductions data'!G:G,'reasons for reduction division'!B114,'reductions data'!A:A,$C$72)</f>
        <v>0</v>
      </c>
      <c r="D114" s="93">
        <f>SUMIFS('reductions data'!H:H,'reductions data'!G:G,'reasons for reduction division'!B114,'reductions data'!A:A,$D$72)</f>
        <v>0</v>
      </c>
      <c r="E114" s="93">
        <f>SUMIFS('reductions data'!H:H,'reductions data'!G:G,'reasons for reduction division'!B114,'reductions data'!A:A,$E$72)</f>
        <v>0</v>
      </c>
      <c r="F114" s="93">
        <f>SUMIFS('reductions data'!H:H,'reductions data'!G:G,'reasons for reduction division'!B114,'reductions data'!A:A,$F$72)</f>
        <v>0</v>
      </c>
      <c r="G114" s="93">
        <f>SUMIFS('reductions data'!H:H,'reductions data'!G:G,'reasons for reduction division'!B114,'reductions data'!A:A,$G$72)</f>
        <v>0</v>
      </c>
      <c r="H114" s="93">
        <f>SUMIFS('reductions data'!H:H,'reductions data'!G:G,'reasons for reduction division'!B114,'reductions data'!A:A,$H$72)</f>
        <v>0</v>
      </c>
      <c r="I114" s="93">
        <f>SUMIFS('reductions data'!H:H,'reductions data'!G:G,'reasons for reduction division'!B114,'reductions data'!A:A,$I$72)</f>
        <v>0</v>
      </c>
      <c r="J114" s="93">
        <f>SUMIFS('reductions data'!H:H,'reductions data'!G:G,'reasons for reduction division'!B114,'reductions data'!A:A,$J$72)</f>
        <v>0</v>
      </c>
      <c r="K114" s="93">
        <f>SUMIFS('reductions data'!H:H,'reductions data'!G:G,'reasons for reduction division'!B114,'reductions data'!A:A,$K$72)</f>
        <v>0</v>
      </c>
      <c r="L114" s="93">
        <f>SUMIFS('reductions data'!H:H,'reductions data'!G:G,'reasons for reduction division'!B114,'reductions data'!A:A,$L$72)</f>
        <v>0</v>
      </c>
      <c r="M114" s="93">
        <f>SUMIFS('reductions data'!H:H,'reductions data'!G:G,'reasons for reduction division'!B114,'reductions data'!A:A,$M$72)</f>
        <v>0</v>
      </c>
      <c r="N114" s="93">
        <f>SUMIFS('reductions data'!H:H,'reductions data'!G:G,'reasons for reduction division'!B114,'reductions data'!A:A,$N$72)</f>
        <v>0</v>
      </c>
      <c r="O114" s="93">
        <f>SUMIFS('reductions data'!$H:$H,'reductions data'!$G:$G,'reasons for reduction division'!B114,'reductions data'!$A:$A,O$72)</f>
        <v>0</v>
      </c>
      <c r="P114" s="93">
        <f>SUMIFS('reductions data'!$H:$H,'reductions data'!$G:$G,'reasons for reduction division'!B114,'reductions data'!$A:$A,P$72)</f>
        <v>0</v>
      </c>
      <c r="Q114" s="93">
        <f>SUMIFS('reductions data'!$H:$H,'reductions data'!$G:$G,'reasons for reduction division'!B114,'reductions data'!$A:$A,Q$72)</f>
        <v>0</v>
      </c>
      <c r="R114" s="93">
        <f>SUMIFS('reductions data'!$H:$H,'reductions data'!$G:$G,'reasons for reduction division'!B114,'reductions data'!$A:$A,R$72)</f>
        <v>0</v>
      </c>
      <c r="S114" s="93">
        <f>SUMIFS('reductions data'!$H:$H,'reductions data'!$G:$G,'reasons for reduction division'!B114,'reductions data'!$A:$A,S$72)</f>
        <v>0</v>
      </c>
      <c r="T114" s="93">
        <f>SUMIFS('reductions data'!$H:$H,'reductions data'!$G:$G,'reasons for reduction division'!B114,'reductions data'!$A:$A,T$72)</f>
        <v>0</v>
      </c>
      <c r="U114" s="93">
        <f>SUMIFS('reductions data'!$H:$H,'reductions data'!$G:$G,'reasons for reduction division'!B114,'reductions data'!$A:$A,U$72)</f>
        <v>0</v>
      </c>
      <c r="V114" s="93">
        <f>SUMIFS('reductions data'!$H:$H,'reductions data'!$G:$G,'reasons for reduction division'!B114,'reductions data'!$A:$A,V$72)</f>
        <v>0</v>
      </c>
      <c r="W114" s="93">
        <f>SUMIFS('reductions data'!$H:$H,'reductions data'!$G:$G,'reasons for reduction division'!B114,'reductions data'!$A:$A,W$72)</f>
        <v>0</v>
      </c>
      <c r="X114" s="93">
        <f>SUMIFS('reductions data'!$H:$H,'reductions data'!$G:$G,'reasons for reduction division'!B114,'reductions data'!$A:$A,X$72)</f>
        <v>0</v>
      </c>
      <c r="Y114" s="138">
        <f>SUMIF('reductions data'!G:G,'reasons for reduction division'!B114,'reductions data'!H:H)</f>
        <v>0</v>
      </c>
    </row>
    <row r="115" spans="1:25" x14ac:dyDescent="0.15">
      <c r="B115" s="268" t="s">
        <v>357</v>
      </c>
      <c r="C115" s="217">
        <f>SUMIF('reductions data'!A:A,$C$72,'reductions data'!H:H)</f>
        <v>0</v>
      </c>
      <c r="D115" s="217">
        <f>SUMIF('reductions data'!A:A,$D$72,'reductions data'!H:H)</f>
        <v>0</v>
      </c>
      <c r="E115" s="217">
        <f>SUMIF('reductions data'!A:A,$E$72,'reductions data'!H:H)</f>
        <v>0</v>
      </c>
      <c r="F115" s="217">
        <f>SUMIF('reductions data'!A:A,$F$72,'reductions data'!H:H)</f>
        <v>0</v>
      </c>
      <c r="G115" s="217">
        <f>SUMIF('reductions data'!A:A,$G$72,'reductions data'!H:H)</f>
        <v>0</v>
      </c>
      <c r="H115" s="217">
        <f>SUMIF('reductions data'!A:A,$H$72,'reductions data'!H:H)</f>
        <v>0</v>
      </c>
      <c r="I115" s="217">
        <f>SUMIF('reductions data'!A:A,$I$72,'reductions data'!H:H)</f>
        <v>0</v>
      </c>
      <c r="J115" s="217">
        <f>SUMIF('reductions data'!A:A,$J$72,'reductions data'!H:H)</f>
        <v>0</v>
      </c>
      <c r="K115" s="217">
        <f>SUMIF('reductions data'!A:A,$K$72,'reductions data'!H:H)</f>
        <v>0</v>
      </c>
      <c r="L115" s="217">
        <f>SUMIF('reductions data'!A:A,$L$72,'reductions data'!H:H)</f>
        <v>0</v>
      </c>
      <c r="M115" s="217">
        <f>SUMIF('reductions data'!A:A,$M$72,'reductions data'!H:H)</f>
        <v>0</v>
      </c>
      <c r="N115" s="217">
        <f>SUMIF('reductions data'!$A:$A,N72,'reductions data'!$H:$H)</f>
        <v>0</v>
      </c>
      <c r="O115" s="217">
        <f>SUMIF('reductions data'!$A:$A,O72,'reductions data'!$H:$H)</f>
        <v>0</v>
      </c>
      <c r="P115" s="217">
        <f>SUMIF('reductions data'!$A:$A,P72,'reductions data'!$H:$H)</f>
        <v>0</v>
      </c>
      <c r="Q115" s="217">
        <f>SUMIF('reductions data'!$A:$A,Q72,'reductions data'!$H:$H)</f>
        <v>0</v>
      </c>
      <c r="R115" s="217">
        <f>SUMIF('reductions data'!$A:$A,R72,'reductions data'!$H:$H)</f>
        <v>0</v>
      </c>
      <c r="S115" s="217">
        <f>SUMIF('reductions data'!$A:$A,S72,'reductions data'!$H:$H)</f>
        <v>0</v>
      </c>
      <c r="T115" s="217">
        <f>SUMIF('reductions data'!$A:$A,T72,'reductions data'!$H:$H)</f>
        <v>0</v>
      </c>
      <c r="U115" s="217">
        <f>SUMIF('reductions data'!$A:$A,U72,'reductions data'!$H:$H)</f>
        <v>0</v>
      </c>
      <c r="V115" s="217">
        <f>SUMIF('reductions data'!$A:$A,V72,'reductions data'!$H:$H)</f>
        <v>0</v>
      </c>
      <c r="W115" s="217">
        <f>SUMIF('reductions data'!$A:$A,W72,'reductions data'!$H:$H)</f>
        <v>0</v>
      </c>
      <c r="X115" s="217">
        <f>SUMIF('reductions data'!$A:$A,X72,'reductions data'!$H:$H)</f>
        <v>0</v>
      </c>
      <c r="Y115" s="227">
        <f>SUM('reductions data'!H:H)</f>
        <v>0</v>
      </c>
    </row>
    <row r="116" spans="1:25" s="6" customFormat="1" x14ac:dyDescent="0.15">
      <c r="A116" s="30"/>
      <c r="B116" s="217" t="s">
        <v>484</v>
      </c>
      <c r="C116" s="217">
        <f>SUMIF('capacity data'!A:A,$C$72,'capacity data'!I:I)</f>
        <v>0</v>
      </c>
      <c r="D116" s="217">
        <f>SUMIF('capacity data'!A:A,$D$72,'capacity data'!I:I)</f>
        <v>0</v>
      </c>
      <c r="E116" s="217">
        <f>SUMIF('capacity data'!A:A,$E$72,'capacity data'!I:I)</f>
        <v>0</v>
      </c>
      <c r="F116" s="217">
        <f>SUMIF('capacity data'!A:A,$F$72,'capacity data'!I:I)</f>
        <v>0</v>
      </c>
      <c r="G116" s="217">
        <f>SUMIF('capacity data'!A:A,$G$72,'capacity data'!I:I)</f>
        <v>0</v>
      </c>
      <c r="H116" s="217">
        <f>SUMIF('capacity data'!A:A,$H$72,'capacity data'!I:I)</f>
        <v>0</v>
      </c>
      <c r="I116" s="217">
        <f>SUMIF('capacity data'!A:A,$I$72,'capacity data'!I:I)</f>
        <v>0</v>
      </c>
      <c r="J116" s="217">
        <f>SUMIF('capacity data'!A:A,$J$72,'capacity data'!I:I)</f>
        <v>0</v>
      </c>
      <c r="K116" s="217">
        <f>SUMIF('capacity data'!A:A,$K$72,'capacity data'!I:I)</f>
        <v>0</v>
      </c>
      <c r="L116" s="217">
        <f>SUMIF('capacity data'!A:A,$L$72,'capacity data'!I:I)</f>
        <v>0</v>
      </c>
      <c r="M116" s="217">
        <f>SUMIF('capacity data'!$A:$A,M$72,'capacity data'!$I:$I)</f>
        <v>0</v>
      </c>
      <c r="N116" s="217">
        <f>SUMIF('capacity data'!$A:$A,N$72,'capacity data'!$I:$I)</f>
        <v>0</v>
      </c>
      <c r="O116" s="217">
        <f>SUMIF('capacity data'!$A:$A,O$72,'capacity data'!$I:$I)</f>
        <v>0</v>
      </c>
      <c r="P116" s="217">
        <f>SUMIF('capacity data'!$A:$A,P$72,'capacity data'!$I:$I)</f>
        <v>0</v>
      </c>
      <c r="Q116" s="217">
        <f>SUMIF('capacity data'!$A:$A,Q$72,'capacity data'!$I:$I)</f>
        <v>0</v>
      </c>
      <c r="R116" s="217">
        <f>SUMIF('capacity data'!$A:$A,R$72,'capacity data'!$I:$I)</f>
        <v>0</v>
      </c>
      <c r="S116" s="217">
        <f>SUMIF('capacity data'!$A:$A,S$72,'capacity data'!$I:$I)</f>
        <v>0</v>
      </c>
      <c r="T116" s="217">
        <f>SUMIF('capacity data'!$A:$A,T$72,'capacity data'!$I:$I)</f>
        <v>0</v>
      </c>
      <c r="U116" s="217">
        <f>SUMIF('capacity data'!$A:$A,U$72,'capacity data'!$I:$I)</f>
        <v>0</v>
      </c>
      <c r="V116" s="217">
        <f>SUMIF('capacity data'!$A:$A,V$72,'capacity data'!$I:$I)</f>
        <v>0</v>
      </c>
      <c r="W116" s="217">
        <f>SUMIF('capacity data'!$A:$A,W$72,'capacity data'!$I:$I)</f>
        <v>0</v>
      </c>
      <c r="X116" s="217">
        <f>SUMIF('capacity data'!$A:$A,X$72,'capacity data'!$I:$I)</f>
        <v>0</v>
      </c>
      <c r="Y116" s="217">
        <f>SUM(C116:N116)</f>
        <v>0</v>
      </c>
    </row>
    <row r="117" spans="1:25" x14ac:dyDescent="0.15">
      <c r="B117" s="267" t="s">
        <v>485</v>
      </c>
      <c r="C117" s="228" t="e">
        <f t="shared" ref="C117:Y117" si="0">C115/C116</f>
        <v>#DIV/0!</v>
      </c>
      <c r="D117" s="228" t="e">
        <f t="shared" si="0"/>
        <v>#DIV/0!</v>
      </c>
      <c r="E117" s="228" t="e">
        <f t="shared" si="0"/>
        <v>#DIV/0!</v>
      </c>
      <c r="F117" s="228" t="e">
        <f t="shared" si="0"/>
        <v>#DIV/0!</v>
      </c>
      <c r="G117" s="228" t="e">
        <f t="shared" si="0"/>
        <v>#DIV/0!</v>
      </c>
      <c r="H117" s="228" t="e">
        <f t="shared" si="0"/>
        <v>#DIV/0!</v>
      </c>
      <c r="I117" s="228" t="e">
        <f t="shared" si="0"/>
        <v>#DIV/0!</v>
      </c>
      <c r="J117" s="228" t="e">
        <f t="shared" si="0"/>
        <v>#DIV/0!</v>
      </c>
      <c r="K117" s="228" t="e">
        <f t="shared" si="0"/>
        <v>#DIV/0!</v>
      </c>
      <c r="L117" s="228" t="e">
        <f t="shared" si="0"/>
        <v>#DIV/0!</v>
      </c>
      <c r="M117" s="228" t="e">
        <f t="shared" si="0"/>
        <v>#DIV/0!</v>
      </c>
      <c r="N117" s="228" t="e">
        <f t="shared" si="0"/>
        <v>#DIV/0!</v>
      </c>
      <c r="O117" s="228" t="e">
        <f t="shared" si="0"/>
        <v>#DIV/0!</v>
      </c>
      <c r="P117" s="228" t="e">
        <f t="shared" si="0"/>
        <v>#DIV/0!</v>
      </c>
      <c r="Q117" s="228" t="e">
        <f t="shared" si="0"/>
        <v>#DIV/0!</v>
      </c>
      <c r="R117" s="228" t="e">
        <f t="shared" si="0"/>
        <v>#DIV/0!</v>
      </c>
      <c r="S117" s="228" t="e">
        <f t="shared" si="0"/>
        <v>#DIV/0!</v>
      </c>
      <c r="T117" s="228" t="e">
        <f t="shared" si="0"/>
        <v>#DIV/0!</v>
      </c>
      <c r="U117" s="228" t="e">
        <f t="shared" si="0"/>
        <v>#DIV/0!</v>
      </c>
      <c r="V117" s="228" t="e">
        <f t="shared" si="0"/>
        <v>#DIV/0!</v>
      </c>
      <c r="W117" s="228" t="e">
        <f t="shared" si="0"/>
        <v>#DIV/0!</v>
      </c>
      <c r="X117" s="228" t="e">
        <f t="shared" si="0"/>
        <v>#DIV/0!</v>
      </c>
      <c r="Y117" s="228" t="e">
        <f t="shared" si="0"/>
        <v>#DIV/0!</v>
      </c>
    </row>
  </sheetData>
  <mergeCells count="26">
    <mergeCell ref="A1:Y1"/>
    <mergeCell ref="A2:Y2"/>
    <mergeCell ref="C71:Y71"/>
    <mergeCell ref="C24:Y24"/>
    <mergeCell ref="B4:C5"/>
    <mergeCell ref="E22:F22"/>
    <mergeCell ref="E6:F6"/>
    <mergeCell ref="E7:F7"/>
    <mergeCell ref="E8:F8"/>
    <mergeCell ref="E9:F9"/>
    <mergeCell ref="E10:F10"/>
    <mergeCell ref="E11:F11"/>
    <mergeCell ref="E12:F12"/>
    <mergeCell ref="H4:H5"/>
    <mergeCell ref="G21:H21"/>
    <mergeCell ref="G22:H22"/>
    <mergeCell ref="E18:F18"/>
    <mergeCell ref="E19:F19"/>
    <mergeCell ref="E20:F20"/>
    <mergeCell ref="E21:F21"/>
    <mergeCell ref="E4:G5"/>
    <mergeCell ref="E13:F13"/>
    <mergeCell ref="E14:F14"/>
    <mergeCell ref="E15:F15"/>
    <mergeCell ref="E16:F16"/>
    <mergeCell ref="E17:F17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2"/>
  <dimension ref="A1:Q54"/>
  <sheetViews>
    <sheetView showGridLines="0" zoomScale="85" zoomScaleNormal="85" workbookViewId="0">
      <selection activeCell="A68" sqref="A68"/>
    </sheetView>
  </sheetViews>
  <sheetFormatPr baseColWidth="10" defaultColWidth="8.83203125" defaultRowHeight="14" x14ac:dyDescent="0.15"/>
  <cols>
    <col min="1" max="1" width="41.5" customWidth="1"/>
    <col min="2" max="3" width="25.5" customWidth="1"/>
    <col min="4" max="4" width="9.1640625" customWidth="1"/>
    <col min="5" max="5" width="48.5" bestFit="1" customWidth="1"/>
    <col min="6" max="6" width="15.1640625" customWidth="1"/>
    <col min="7" max="7" width="16.83203125" customWidth="1"/>
  </cols>
  <sheetData>
    <row r="1" spans="1:17" ht="68.25" customHeight="1" x14ac:dyDescent="0.15">
      <c r="A1" s="437" t="s">
        <v>418</v>
      </c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</row>
    <row r="2" spans="1:17" ht="38.25" customHeight="1" x14ac:dyDescent="0.15">
      <c r="A2" s="438"/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</row>
    <row r="4" spans="1:17" ht="30" x14ac:dyDescent="0.15">
      <c r="A4" s="56" t="s">
        <v>471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5" spans="1:17" ht="15" x14ac:dyDescent="0.15">
      <c r="A5" s="78" t="s">
        <v>1014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</row>
    <row r="6" spans="1:17" ht="16" x14ac:dyDescent="0.2">
      <c r="A6" s="79" t="s">
        <v>58</v>
      </c>
      <c r="B6" s="66"/>
      <c r="C6" s="66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</row>
    <row r="8" spans="1:17" ht="16" x14ac:dyDescent="0.2">
      <c r="A8" s="439" t="s">
        <v>336</v>
      </c>
      <c r="B8" s="440"/>
      <c r="C8" s="44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</row>
    <row r="9" spans="1:17" ht="30" x14ac:dyDescent="0.15">
      <c r="A9" s="270" t="s">
        <v>303</v>
      </c>
      <c r="B9" s="57" t="s">
        <v>304</v>
      </c>
      <c r="C9" s="57" t="s">
        <v>305</v>
      </c>
      <c r="D9" s="30"/>
      <c r="E9" s="441" t="s">
        <v>337</v>
      </c>
      <c r="F9" s="441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</row>
    <row r="10" spans="1:17" x14ac:dyDescent="0.15">
      <c r="A10" s="145" t="s">
        <v>240</v>
      </c>
      <c r="B10" s="120">
        <f>COUNTIFS('reductions data'!B:B,$A$6,'reductions data'!G:G,A10)</f>
        <v>0</v>
      </c>
      <c r="C10" s="121">
        <f>SUMIFS('reductions data'!H:H,'reductions data'!B:B,$A$6,'reductions data'!G:G,A10)</f>
        <v>0</v>
      </c>
      <c r="D10" s="30"/>
      <c r="E10" s="229" t="s">
        <v>338</v>
      </c>
      <c r="F10" s="264">
        <f>COUNTIFS('reductions data'!B:B,'cluster reductions'!A6,'reductions data'!K:K,"ACTIVE")</f>
        <v>0</v>
      </c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</row>
    <row r="11" spans="1:17" x14ac:dyDescent="0.15">
      <c r="A11" s="146" t="s">
        <v>235</v>
      </c>
      <c r="B11" s="120">
        <f>COUNTIFS('reductions data'!B:B,$A$6,'reductions data'!G:G,A11)</f>
        <v>0</v>
      </c>
      <c r="C11" s="121">
        <f>SUMIFS('reductions data'!H:H,'reductions data'!B:B,$A$6,'reductions data'!G:G,A11)</f>
        <v>0</v>
      </c>
      <c r="D11" s="30"/>
      <c r="E11" s="229" t="s">
        <v>339</v>
      </c>
      <c r="F11" s="264">
        <f>SUMIF('reductions data'!B:B,'cluster reductions'!A6,'reductions data'!H:H)</f>
        <v>0</v>
      </c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</row>
    <row r="12" spans="1:17" x14ac:dyDescent="0.15">
      <c r="A12" s="146" t="s">
        <v>226</v>
      </c>
      <c r="B12" s="120">
        <f>COUNTIFS('reductions data'!B:B,$A$6,'reductions data'!G:G,A12)</f>
        <v>0</v>
      </c>
      <c r="C12" s="121">
        <f>SUMIFS('reductions data'!H:H,'reductions data'!B:B,$A$6,'reductions data'!G:G,A12)</f>
        <v>0</v>
      </c>
      <c r="D12" s="30"/>
      <c r="E12" s="103" t="s">
        <v>340</v>
      </c>
      <c r="F12" s="264">
        <f>SUMIF('capacity data'!B:B,'cluster reductions'!A6,'capacity data'!I:I)</f>
        <v>0</v>
      </c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</row>
    <row r="13" spans="1:17" x14ac:dyDescent="0.15">
      <c r="A13" s="146" t="s">
        <v>220</v>
      </c>
      <c r="B13" s="120">
        <f>COUNTIFS('reductions data'!B:B,$A$6,'reductions data'!G:G,A13)</f>
        <v>0</v>
      </c>
      <c r="C13" s="121">
        <f>SUMIFS('reductions data'!H:H,'reductions data'!B:B,$A$6,'reductions data'!G:G,A13)</f>
        <v>0</v>
      </c>
      <c r="D13" s="30"/>
      <c r="E13" s="103" t="s">
        <v>341</v>
      </c>
      <c r="F13" s="124" t="e">
        <f>F11/F12</f>
        <v>#DIV/0!</v>
      </c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</row>
    <row r="14" spans="1:17" x14ac:dyDescent="0.15">
      <c r="A14" s="146" t="s">
        <v>241</v>
      </c>
      <c r="B14" s="120">
        <f>COUNTIFS('reductions data'!B:B,$A$6,'reductions data'!G:G,A14)</f>
        <v>0</v>
      </c>
      <c r="C14" s="121">
        <f>SUMIFS('reductions data'!H:H,'reductions data'!B:B,$A$6,'reductions data'!G:G,A14)</f>
        <v>0</v>
      </c>
      <c r="D14" s="30"/>
      <c r="E14" s="230" t="s">
        <v>310</v>
      </c>
      <c r="F14" s="261" t="e">
        <f>+F13-'div &amp; regional reduction hours'!N28</f>
        <v>#DIV/0!</v>
      </c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</row>
    <row r="15" spans="1:17" x14ac:dyDescent="0.15">
      <c r="A15" s="146" t="s">
        <v>242</v>
      </c>
      <c r="B15" s="120">
        <f>COUNTIFS('reductions data'!B:B,$A$6,'reductions data'!G:G,A15)</f>
        <v>0</v>
      </c>
      <c r="C15" s="121">
        <f>SUMIFS('reductions data'!H:H,'reductions data'!B:B,$A$6,'reductions data'!G:G,A15)</f>
        <v>0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</row>
    <row r="16" spans="1:17" s="30" customFormat="1" x14ac:dyDescent="0.15">
      <c r="A16" s="146" t="s">
        <v>500</v>
      </c>
      <c r="B16" s="120">
        <f>COUNTIFS('reductions data'!B:B,$A$6,'reductions data'!G:G,A16)</f>
        <v>0</v>
      </c>
      <c r="C16" s="121">
        <f>SUMIFS('reductions data'!H:H,'reductions data'!B:B,$A$6,'reductions data'!G:G,A16)</f>
        <v>0</v>
      </c>
    </row>
    <row r="17" spans="1:17" x14ac:dyDescent="0.15">
      <c r="A17" s="146" t="s">
        <v>243</v>
      </c>
      <c r="B17" s="120">
        <f>COUNTIFS('reductions data'!B:B,$A$6,'reductions data'!G:G,A17)</f>
        <v>0</v>
      </c>
      <c r="C17" s="121">
        <f>SUMIFS('reductions data'!H:H,'reductions data'!B:B,$A$6,'reductions data'!G:G,A17)</f>
        <v>0</v>
      </c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</row>
    <row r="18" spans="1:17" x14ac:dyDescent="0.15">
      <c r="A18" s="146" t="s">
        <v>223</v>
      </c>
      <c r="B18" s="120">
        <f>COUNTIFS('reductions data'!B:B,$A$6,'reductions data'!G:G,A18)</f>
        <v>0</v>
      </c>
      <c r="C18" s="121">
        <f>SUMIFS('reductions data'!H:H,'reductions data'!B:B,$A$6,'reductions data'!G:G,A18)</f>
        <v>0</v>
      </c>
    </row>
    <row r="19" spans="1:17" x14ac:dyDescent="0.15">
      <c r="A19" s="146" t="s">
        <v>230</v>
      </c>
      <c r="B19" s="120">
        <f>COUNTIFS('reductions data'!B:B,$A$6,'reductions data'!G:G,A19)</f>
        <v>0</v>
      </c>
      <c r="C19" s="121">
        <f>SUMIFS('reductions data'!H:H,'reductions data'!B:B,$A$6,'reductions data'!G:G,A19)</f>
        <v>0</v>
      </c>
    </row>
    <row r="20" spans="1:17" s="30" customFormat="1" x14ac:dyDescent="0.15">
      <c r="A20" s="146" t="s">
        <v>497</v>
      </c>
      <c r="B20" s="120">
        <f>COUNTIFS('reductions data'!B:B,$A$6,'reductions data'!G:G,A20)</f>
        <v>0</v>
      </c>
      <c r="C20" s="121">
        <f>SUMIFS('reductions data'!H:H,'reductions data'!B:B,$A$6,'reductions data'!G:G,A20)</f>
        <v>0</v>
      </c>
    </row>
    <row r="21" spans="1:17" x14ac:dyDescent="0.15">
      <c r="A21" s="146" t="s">
        <v>232</v>
      </c>
      <c r="B21" s="120">
        <f>COUNTIFS('reductions data'!B:B,$A$6,'reductions data'!G:G,A21)</f>
        <v>0</v>
      </c>
      <c r="C21" s="121">
        <f>SUMIFS('reductions data'!H:H,'reductions data'!B:B,$A$6,'reductions data'!G:G,A21)</f>
        <v>0</v>
      </c>
    </row>
    <row r="22" spans="1:17" x14ac:dyDescent="0.15">
      <c r="A22" s="146" t="s">
        <v>214</v>
      </c>
      <c r="B22" s="120">
        <f>COUNTIFS('reductions data'!B:B,$A$6,'reductions data'!G:G,A22)</f>
        <v>0</v>
      </c>
      <c r="C22" s="121">
        <f>SUMIFS('reductions data'!H:H,'reductions data'!B:B,$A$6,'reductions data'!G:G,A22)</f>
        <v>0</v>
      </c>
    </row>
    <row r="23" spans="1:17" x14ac:dyDescent="0.15">
      <c r="A23" s="146" t="s">
        <v>215</v>
      </c>
      <c r="B23" s="120">
        <f>COUNTIFS('reductions data'!B:B,$A$6,'reductions data'!G:G,A23)</f>
        <v>0</v>
      </c>
      <c r="C23" s="121">
        <f>SUMIFS('reductions data'!H:H,'reductions data'!B:B,$A$6,'reductions data'!G:G,A23)</f>
        <v>0</v>
      </c>
    </row>
    <row r="24" spans="1:17" x14ac:dyDescent="0.15">
      <c r="A24" s="146" t="s">
        <v>244</v>
      </c>
      <c r="B24" s="120">
        <f>COUNTIFS('reductions data'!B:B,$A$6,'reductions data'!G:G,A24)</f>
        <v>0</v>
      </c>
      <c r="C24" s="121">
        <f>SUMIFS('reductions data'!H:H,'reductions data'!B:B,$A$6,'reductions data'!G:G,A24)</f>
        <v>0</v>
      </c>
    </row>
    <row r="25" spans="1:17" x14ac:dyDescent="0.15">
      <c r="A25" s="146" t="s">
        <v>311</v>
      </c>
      <c r="B25" s="120">
        <f>COUNTIFS('reductions data'!B:B,$A$6,'reductions data'!G:G,A25)</f>
        <v>0</v>
      </c>
      <c r="C25" s="121">
        <f>SUMIFS('reductions data'!H:H,'reductions data'!B:B,$A$6,'reductions data'!G:G,A25)</f>
        <v>0</v>
      </c>
    </row>
    <row r="26" spans="1:17" x14ac:dyDescent="0.15">
      <c r="A26" s="146" t="s">
        <v>246</v>
      </c>
      <c r="B26" s="120">
        <f>COUNTIFS('reductions data'!B:B,$A$6,'reductions data'!G:G,A26)</f>
        <v>0</v>
      </c>
      <c r="C26" s="121">
        <f>SUMIFS('reductions data'!H:H,'reductions data'!B:B,$A$6,'reductions data'!G:G,A26)</f>
        <v>0</v>
      </c>
    </row>
    <row r="27" spans="1:17" x14ac:dyDescent="0.15">
      <c r="A27" s="146" t="s">
        <v>247</v>
      </c>
      <c r="B27" s="120">
        <f>COUNTIFS('reductions data'!B:B,$A$6,'reductions data'!G:G,A27)</f>
        <v>0</v>
      </c>
      <c r="C27" s="121">
        <f>SUMIFS('reductions data'!H:H,'reductions data'!B:B,$A$6,'reductions data'!G:G,A27)</f>
        <v>0</v>
      </c>
    </row>
    <row r="28" spans="1:17" x14ac:dyDescent="0.15">
      <c r="A28" s="146" t="s">
        <v>228</v>
      </c>
      <c r="B28" s="120">
        <f>COUNTIFS('reductions data'!B:B,$A$6,'reductions data'!G:G,A28)</f>
        <v>0</v>
      </c>
      <c r="C28" s="121">
        <f>SUMIFS('reductions data'!H:H,'reductions data'!B:B,$A$6,'reductions data'!G:G,A28)</f>
        <v>0</v>
      </c>
    </row>
    <row r="29" spans="1:17" x14ac:dyDescent="0.15">
      <c r="A29" s="146" t="s">
        <v>248</v>
      </c>
      <c r="B29" s="120">
        <f>COUNTIFS('reductions data'!B:B,$A$6,'reductions data'!G:G,A29)</f>
        <v>0</v>
      </c>
      <c r="C29" s="121">
        <f>SUMIFS('reductions data'!H:H,'reductions data'!B:B,$A$6,'reductions data'!G:G,A29)</f>
        <v>0</v>
      </c>
    </row>
    <row r="30" spans="1:17" x14ac:dyDescent="0.15">
      <c r="A30" s="146" t="s">
        <v>217</v>
      </c>
      <c r="B30" s="120">
        <f>COUNTIFS('reductions data'!B:B,$A$6,'reductions data'!G:G,A30)</f>
        <v>0</v>
      </c>
      <c r="C30" s="121">
        <f>SUMIFS('reductions data'!H:H,'reductions data'!B:B,$A$6,'reductions data'!G:G,A30)</f>
        <v>0</v>
      </c>
    </row>
    <row r="31" spans="1:17" x14ac:dyDescent="0.15">
      <c r="A31" s="146" t="s">
        <v>249</v>
      </c>
      <c r="B31" s="120">
        <f>COUNTIFS('reductions data'!B:B,$A$6,'reductions data'!G:G,A31)</f>
        <v>0</v>
      </c>
      <c r="C31" s="121">
        <f>SUMIFS('reductions data'!H:H,'reductions data'!B:B,$A$6,'reductions data'!G:G,A31)</f>
        <v>0</v>
      </c>
    </row>
    <row r="32" spans="1:17" x14ac:dyDescent="0.15">
      <c r="A32" s="146" t="s">
        <v>250</v>
      </c>
      <c r="B32" s="120">
        <f>COUNTIFS('reductions data'!B:B,$A$6,'reductions data'!G:G,A32)</f>
        <v>0</v>
      </c>
      <c r="C32" s="121">
        <f>SUMIFS('reductions data'!H:H,'reductions data'!B:B,$A$6,'reductions data'!G:G,A32)</f>
        <v>0</v>
      </c>
    </row>
    <row r="33" spans="1:3" x14ac:dyDescent="0.15">
      <c r="A33" s="146" t="s">
        <v>233</v>
      </c>
      <c r="B33" s="120">
        <f>COUNTIFS('reductions data'!B:B,$A$6,'reductions data'!G:G,A33)</f>
        <v>0</v>
      </c>
      <c r="C33" s="121">
        <f>SUMIFS('reductions data'!H:H,'reductions data'!B:B,$A$6,'reductions data'!G:G,A33)</f>
        <v>0</v>
      </c>
    </row>
    <row r="34" spans="1:3" x14ac:dyDescent="0.15">
      <c r="A34" s="240" t="s">
        <v>312</v>
      </c>
      <c r="B34" s="120">
        <f>COUNTIFS('reductions data'!B:B,$A$6,'reductions data'!G:G,A34)</f>
        <v>0</v>
      </c>
      <c r="C34" s="121">
        <f>SUMIFS('reductions data'!H:H,'reductions data'!B:B,$A$6,'reductions data'!G:G,A34)</f>
        <v>0</v>
      </c>
    </row>
    <row r="35" spans="1:3" x14ac:dyDescent="0.15">
      <c r="A35" s="146" t="s">
        <v>234</v>
      </c>
      <c r="B35" s="120">
        <f>COUNTIFS('reductions data'!B:B,$A$6,'reductions data'!G:G,A35)</f>
        <v>0</v>
      </c>
      <c r="C35" s="121">
        <f>SUMIFS('reductions data'!H:H,'reductions data'!B:B,$A$6,'reductions data'!G:G,A35)</f>
        <v>0</v>
      </c>
    </row>
    <row r="36" spans="1:3" x14ac:dyDescent="0.15">
      <c r="A36" s="146" t="s">
        <v>218</v>
      </c>
      <c r="B36" s="120">
        <f>COUNTIFS('reductions data'!B:B,$A$6,'reductions data'!G:G,A36)</f>
        <v>0</v>
      </c>
      <c r="C36" s="121">
        <f>SUMIFS('reductions data'!H:H,'reductions data'!B:B,$A$6,'reductions data'!G:G,A36)</f>
        <v>0</v>
      </c>
    </row>
    <row r="37" spans="1:3" x14ac:dyDescent="0.15">
      <c r="A37" s="146" t="s">
        <v>222</v>
      </c>
      <c r="B37" s="120">
        <f>COUNTIFS('reductions data'!B:B,$A$6,'reductions data'!G:G,A37)</f>
        <v>0</v>
      </c>
      <c r="C37" s="121">
        <f>SUMIFS('reductions data'!H:H,'reductions data'!B:B,$A$6,'reductions data'!G:G,A37)</f>
        <v>0</v>
      </c>
    </row>
    <row r="38" spans="1:3" x14ac:dyDescent="0.15">
      <c r="A38" s="146" t="s">
        <v>221</v>
      </c>
      <c r="B38" s="120">
        <f>COUNTIFS('reductions data'!B:B,$A$6,'reductions data'!G:G,A38)</f>
        <v>0</v>
      </c>
      <c r="C38" s="121">
        <f>SUMIFS('reductions data'!H:H,'reductions data'!B:B,$A$6,'reductions data'!G:G,A38)</f>
        <v>0</v>
      </c>
    </row>
    <row r="39" spans="1:3" x14ac:dyDescent="0.15">
      <c r="A39" s="146" t="s">
        <v>219</v>
      </c>
      <c r="B39" s="120">
        <f>COUNTIFS('reductions data'!B:B,$A$6,'reductions data'!G:G,A39)</f>
        <v>0</v>
      </c>
      <c r="C39" s="121">
        <f>SUMIFS('reductions data'!H:H,'reductions data'!B:B,$A$6,'reductions data'!G:G,A39)</f>
        <v>0</v>
      </c>
    </row>
    <row r="40" spans="1:3" x14ac:dyDescent="0.15">
      <c r="A40" s="146" t="s">
        <v>224</v>
      </c>
      <c r="B40" s="120">
        <f>COUNTIFS('reductions data'!B:B,$A$6,'reductions data'!G:G,A40)</f>
        <v>0</v>
      </c>
      <c r="C40" s="121">
        <f>SUMIFS('reductions data'!H:H,'reductions data'!B:B,$A$6,'reductions data'!G:G,A40)</f>
        <v>0</v>
      </c>
    </row>
    <row r="41" spans="1:3" x14ac:dyDescent="0.15">
      <c r="A41" s="146" t="s">
        <v>213</v>
      </c>
      <c r="B41" s="120">
        <f>COUNTIFS('reductions data'!B:B,$A$6,'reductions data'!G:G,A41)</f>
        <v>0</v>
      </c>
      <c r="C41" s="121">
        <f>SUMIFS('reductions data'!H:H,'reductions data'!B:B,$A$6,'reductions data'!G:G,A41)</f>
        <v>0</v>
      </c>
    </row>
    <row r="42" spans="1:3" x14ac:dyDescent="0.15">
      <c r="A42" s="146" t="s">
        <v>227</v>
      </c>
      <c r="B42" s="120">
        <f>COUNTIFS('reductions data'!B:B,$A$6,'reductions data'!G:G,A42)</f>
        <v>0</v>
      </c>
      <c r="C42" s="121">
        <f>SUMIFS('reductions data'!H:H,'reductions data'!B:B,$A$6,'reductions data'!G:G,A42)</f>
        <v>0</v>
      </c>
    </row>
    <row r="43" spans="1:3" s="30" customFormat="1" x14ac:dyDescent="0.15">
      <c r="A43" s="146" t="s">
        <v>496</v>
      </c>
      <c r="B43" s="120">
        <f>COUNTIFS('reductions data'!B:B,$A$6,'reductions data'!G:G,A43)</f>
        <v>0</v>
      </c>
      <c r="C43" s="121">
        <f>SUMIFS('reductions data'!H:H,'reductions data'!B:B,$A$6,'reductions data'!G:G,A43)</f>
        <v>0</v>
      </c>
    </row>
    <row r="44" spans="1:3" s="30" customFormat="1" x14ac:dyDescent="0.15">
      <c r="A44" s="146" t="s">
        <v>498</v>
      </c>
      <c r="B44" s="120">
        <f>COUNTIFS('reductions data'!B:B,$A$6,'reductions data'!G:G,A44)</f>
        <v>0</v>
      </c>
      <c r="C44" s="121">
        <f>SUMIFS('reductions data'!H:H,'reductions data'!B:B,$A$6,'reductions data'!G:G,A44)</f>
        <v>0</v>
      </c>
    </row>
    <row r="45" spans="1:3" s="30" customFormat="1" x14ac:dyDescent="0.15">
      <c r="A45" s="146" t="s">
        <v>499</v>
      </c>
      <c r="B45" s="120">
        <f>COUNTIFS('reductions data'!B:B,$A$6,'reductions data'!G:G,A45)</f>
        <v>0</v>
      </c>
      <c r="C45" s="121">
        <f>SUMIFS('reductions data'!H:H,'reductions data'!B:B,$A$6,'reductions data'!G:G,A45)</f>
        <v>0</v>
      </c>
    </row>
    <row r="46" spans="1:3" x14ac:dyDescent="0.15">
      <c r="A46" s="146" t="s">
        <v>253</v>
      </c>
      <c r="B46" s="120">
        <f>COUNTIFS('reductions data'!B:B,$A$6,'reductions data'!G:G,A46)</f>
        <v>0</v>
      </c>
      <c r="C46" s="121">
        <f>SUMIFS('reductions data'!H:H,'reductions data'!B:B,$A$6,'reductions data'!G:G,A46)</f>
        <v>0</v>
      </c>
    </row>
    <row r="47" spans="1:3" x14ac:dyDescent="0.15">
      <c r="A47" s="146" t="s">
        <v>225</v>
      </c>
      <c r="B47" s="120">
        <f>COUNTIFS('reductions data'!B:B,$A$6,'reductions data'!G:G,A47)</f>
        <v>0</v>
      </c>
      <c r="C47" s="121">
        <f>SUMIFS('reductions data'!H:H,'reductions data'!B:B,$A$6,'reductions data'!G:G,A47)</f>
        <v>0</v>
      </c>
    </row>
    <row r="48" spans="1:3" x14ac:dyDescent="0.15">
      <c r="A48" s="146" t="s">
        <v>254</v>
      </c>
      <c r="B48" s="120">
        <f>COUNTIFS('reductions data'!B:B,$A$6,'reductions data'!G:G,A48)</f>
        <v>0</v>
      </c>
      <c r="C48" s="121">
        <f>SUMIFS('reductions data'!H:H,'reductions data'!B:B,$A$6,'reductions data'!G:G,A48)</f>
        <v>0</v>
      </c>
    </row>
    <row r="49" spans="1:3" x14ac:dyDescent="0.15">
      <c r="A49" s="146" t="s">
        <v>216</v>
      </c>
      <c r="B49" s="120">
        <f>COUNTIFS('reductions data'!B:B,$A$6,'reductions data'!G:G,A49)</f>
        <v>0</v>
      </c>
      <c r="C49" s="121">
        <f>SUMIFS('reductions data'!H:H,'reductions data'!B:B,$A$6,'reductions data'!G:G,A49)</f>
        <v>0</v>
      </c>
    </row>
    <row r="50" spans="1:3" x14ac:dyDescent="0.15">
      <c r="A50" s="146" t="s">
        <v>231</v>
      </c>
      <c r="B50" s="120">
        <f>COUNTIFS('reductions data'!B:B,$A$6,'reductions data'!G:G,A50)</f>
        <v>0</v>
      </c>
      <c r="C50" s="121">
        <f>SUMIFS('reductions data'!H:H,'reductions data'!B:B,$A$6,'reductions data'!G:G,A50)</f>
        <v>0</v>
      </c>
    </row>
    <row r="51" spans="1:3" x14ac:dyDescent="0.15">
      <c r="A51" s="146" t="s">
        <v>1020</v>
      </c>
      <c r="B51" s="120">
        <f>COUNTIFS('reductions data'!B:B,$A$6,'reductions data'!G:G,A51)</f>
        <v>0</v>
      </c>
      <c r="C51" s="121">
        <f>SUMIFS('reductions data'!H:H,'reductions data'!B:B,$A$6,'reductions data'!G:G,A51)</f>
        <v>0</v>
      </c>
    </row>
    <row r="52" spans="1:3" x14ac:dyDescent="0.15">
      <c r="A52" s="30"/>
      <c r="B52" s="30"/>
      <c r="C52" s="30"/>
    </row>
    <row r="53" spans="1:3" x14ac:dyDescent="0.15">
      <c r="A53" s="30"/>
      <c r="B53" s="30"/>
      <c r="C53" s="30"/>
    </row>
    <row r="54" spans="1:3" x14ac:dyDescent="0.15">
      <c r="A54" s="30"/>
      <c r="B54" s="30"/>
      <c r="C54" s="30"/>
    </row>
  </sheetData>
  <sheetProtection autoFilter="0"/>
  <mergeCells count="4">
    <mergeCell ref="A1:Q1"/>
    <mergeCell ref="A2:Q2"/>
    <mergeCell ref="A8:C8"/>
    <mergeCell ref="E9:F9"/>
  </mergeCells>
  <dataValidations count="2">
    <dataValidation type="list" allowBlank="1" showInputMessage="1" showErrorMessage="1" sqref="A5" xr:uid="{A04E6D76-8AF4-4156-8A0D-203732FA2E56}">
      <formula1>Regions</formula1>
    </dataValidation>
    <dataValidation type="list" allowBlank="1" showInputMessage="1" showErrorMessage="1" sqref="A6" xr:uid="{7F0AB500-F3DF-45CD-BC62-74C0ABD71DFD}">
      <formula1>OFFSET(Anchor_Cell,1,MATCH($A$5,Team_Regions,0)-1,COUNTA(OFFSET(Anchor_Cell,1,MATCH(A5,Regions,0)-1,100)),1)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pageSetUpPr fitToPage="1"/>
  </sheetPr>
  <dimension ref="A1:AU29"/>
  <sheetViews>
    <sheetView showGridLines="0" topLeftCell="A20" zoomScale="85" zoomScaleNormal="85" workbookViewId="0">
      <selection activeCell="A23" sqref="A23:XFD23"/>
    </sheetView>
  </sheetViews>
  <sheetFormatPr baseColWidth="10" defaultColWidth="9.1640625" defaultRowHeight="16" x14ac:dyDescent="0.2"/>
  <cols>
    <col min="1" max="1" width="4.5" style="2" customWidth="1"/>
    <col min="2" max="2" width="38.1640625" style="2" customWidth="1"/>
    <col min="3" max="3" width="13.83203125" style="3" bestFit="1" customWidth="1"/>
    <col min="4" max="4" width="12.83203125" style="3" customWidth="1"/>
    <col min="5" max="5" width="14.5" style="3" customWidth="1"/>
    <col min="6" max="6" width="14" style="3" customWidth="1"/>
    <col min="7" max="7" width="12.5" style="3" customWidth="1"/>
    <col min="8" max="8" width="14.83203125" style="3" customWidth="1"/>
    <col min="9" max="9" width="13.5" style="3" customWidth="1"/>
    <col min="10" max="10" width="12.5" style="3" customWidth="1"/>
    <col min="11" max="11" width="13.5" style="3" customWidth="1"/>
    <col min="12" max="12" width="15" style="3" customWidth="1"/>
    <col min="13" max="13" width="13.5" style="3" customWidth="1"/>
    <col min="14" max="14" width="14" style="3" customWidth="1"/>
    <col min="15" max="16384" width="9.1640625" style="2"/>
  </cols>
  <sheetData>
    <row r="1" spans="1:47" s="5" customFormat="1" ht="57" customHeight="1" x14ac:dyDescent="0.15">
      <c r="A1" s="442" t="s">
        <v>429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34"/>
    </row>
    <row r="2" spans="1:47" ht="37.5" customHeight="1" x14ac:dyDescent="0.2">
      <c r="A2" s="443"/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10"/>
      <c r="R2" s="10"/>
    </row>
    <row r="3" spans="1:47" s="31" customFormat="1" ht="17" thickBot="1" x14ac:dyDescent="0.25"/>
    <row r="4" spans="1:47" x14ac:dyDescent="0.2">
      <c r="B4" s="447" t="s">
        <v>430</v>
      </c>
      <c r="C4" s="444" t="s">
        <v>184</v>
      </c>
      <c r="D4" s="445"/>
      <c r="E4" s="446"/>
      <c r="F4" s="444" t="s">
        <v>185</v>
      </c>
      <c r="G4" s="445"/>
      <c r="H4" s="446"/>
      <c r="I4" s="444" t="s">
        <v>186</v>
      </c>
      <c r="J4" s="445"/>
      <c r="K4" s="446"/>
      <c r="L4" s="445" t="s">
        <v>419</v>
      </c>
      <c r="M4" s="445"/>
      <c r="N4" s="446"/>
      <c r="P4" s="10"/>
      <c r="Q4" s="10"/>
      <c r="R4" s="10"/>
    </row>
    <row r="5" spans="1:47" ht="60" x14ac:dyDescent="0.2">
      <c r="B5" s="448"/>
      <c r="C5" s="231" t="s">
        <v>195</v>
      </c>
      <c r="D5" s="57" t="s">
        <v>420</v>
      </c>
      <c r="E5" s="232" t="s">
        <v>421</v>
      </c>
      <c r="F5" s="231" t="s">
        <v>195</v>
      </c>
      <c r="G5" s="57" t="s">
        <v>420</v>
      </c>
      <c r="H5" s="232" t="s">
        <v>421</v>
      </c>
      <c r="I5" s="231" t="s">
        <v>195</v>
      </c>
      <c r="J5" s="57" t="s">
        <v>420</v>
      </c>
      <c r="K5" s="232" t="s">
        <v>421</v>
      </c>
      <c r="L5" s="249" t="s">
        <v>195</v>
      </c>
      <c r="M5" s="57" t="s">
        <v>196</v>
      </c>
      <c r="N5" s="232" t="s">
        <v>421</v>
      </c>
    </row>
    <row r="6" spans="1:47" ht="21" customHeight="1" x14ac:dyDescent="0.2">
      <c r="B6" s="181" t="s">
        <v>4</v>
      </c>
      <c r="C6" s="247">
        <f>SUMIFS('capacity data'!I:I,'capacity data'!A:A,B6,'capacity data'!E:E,"PO")</f>
        <v>0</v>
      </c>
      <c r="D6" s="244">
        <f>SUMIFS('capacity data'!J:J,'capacity data'!A:A,B6,'capacity data'!E:E,"PO")</f>
        <v>0</v>
      </c>
      <c r="E6" s="241" t="e">
        <f>D6/C6</f>
        <v>#DIV/0!</v>
      </c>
      <c r="F6" s="247">
        <f>SUMIFS('capacity data'!I:I,'capacity data'!A:A,B6,'capacity data'!E:E,"PSO")</f>
        <v>0</v>
      </c>
      <c r="G6" s="244">
        <f>SUMIFS('capacity data'!J:J,'capacity data'!A:A,B6,'capacity data'!E:E,"PSO")</f>
        <v>0</v>
      </c>
      <c r="H6" s="241" t="e">
        <f t="shared" ref="H6:H28" si="0">G6/F6</f>
        <v>#DIV/0!</v>
      </c>
      <c r="I6" s="247">
        <f>SUMIFS('capacity data'!I:I,'capacity data'!A:A,B6,'capacity data'!E:E,"TPO")</f>
        <v>0</v>
      </c>
      <c r="J6" s="244">
        <f>SUMIFS('capacity data'!J:J,'capacity data'!A:A,B6,'capacity data'!E:E,"TPO")</f>
        <v>0</v>
      </c>
      <c r="K6" s="241" t="e">
        <f t="shared" ref="K6:K28" si="1">J6/I6</f>
        <v>#DIV/0!</v>
      </c>
      <c r="L6" s="248">
        <f>SUMIF('capacity data'!A:A,B6,'capacity data'!I:I)</f>
        <v>0</v>
      </c>
      <c r="M6" s="244">
        <f>SUMIF('capacity data'!A:A,B6,'capacity data'!J:J)</f>
        <v>0</v>
      </c>
      <c r="N6" s="241" t="e">
        <f t="shared" ref="N6:N28" si="2">M6/L6</f>
        <v>#DIV/0!</v>
      </c>
    </row>
    <row r="7" spans="1:47" ht="21" customHeight="1" x14ac:dyDescent="0.2">
      <c r="B7" s="181" t="s">
        <v>1014</v>
      </c>
      <c r="C7" s="247">
        <f>SUMIFS('capacity data'!I:I,'capacity data'!A:A,B7,'capacity data'!E:E,"PO")</f>
        <v>0</v>
      </c>
      <c r="D7" s="244">
        <f>SUMIFS('capacity data'!J:J,'capacity data'!A:A,B7,'capacity data'!E:E,"PO")</f>
        <v>0</v>
      </c>
      <c r="E7" s="241" t="e">
        <f t="shared" ref="E7:E17" si="3">D7/C7</f>
        <v>#DIV/0!</v>
      </c>
      <c r="F7" s="247">
        <f>SUMIFS('capacity data'!I:I,'capacity data'!A:A,B7,'capacity data'!E:E,"PSO")</f>
        <v>0</v>
      </c>
      <c r="G7" s="244">
        <f>SUMIFS('capacity data'!J:J,'capacity data'!A:A,B7,'capacity data'!E:E,"PSO")</f>
        <v>0</v>
      </c>
      <c r="H7" s="241" t="e">
        <f t="shared" ref="H7:H17" si="4">G7/F7</f>
        <v>#DIV/0!</v>
      </c>
      <c r="I7" s="247">
        <f>SUMIFS('capacity data'!I:I,'capacity data'!A:A,B7,'capacity data'!E:E,"TPO")</f>
        <v>0</v>
      </c>
      <c r="J7" s="244">
        <f>SUMIFS('capacity data'!J:J,'capacity data'!A:A,B7,'capacity data'!E:E,"TPO")</f>
        <v>0</v>
      </c>
      <c r="K7" s="241" t="e">
        <f t="shared" ref="K7:K17" si="5">J7/I7</f>
        <v>#DIV/0!</v>
      </c>
      <c r="L7" s="248">
        <f>SUMIF('capacity data'!A:A,B7,'capacity data'!I:I)</f>
        <v>0</v>
      </c>
      <c r="M7" s="244">
        <f>SUMIF('capacity data'!A:A,B7,'capacity data'!J:J)</f>
        <v>0</v>
      </c>
      <c r="N7" s="241" t="e">
        <f t="shared" ref="N7:N17" si="6">M7/L7</f>
        <v>#DIV/0!</v>
      </c>
    </row>
    <row r="8" spans="1:47" ht="21" customHeight="1" x14ac:dyDescent="0.2">
      <c r="B8" s="181" t="s">
        <v>5</v>
      </c>
      <c r="C8" s="247">
        <f>SUMIFS('capacity data'!I:I,'capacity data'!A:A,B8,'capacity data'!E:E,"PO")</f>
        <v>0</v>
      </c>
      <c r="D8" s="244">
        <f>SUMIFS('capacity data'!J:J,'capacity data'!A:A,B8,'capacity data'!E:E,"PO")</f>
        <v>0</v>
      </c>
      <c r="E8" s="241" t="e">
        <f t="shared" si="3"/>
        <v>#DIV/0!</v>
      </c>
      <c r="F8" s="247">
        <f>SUMIFS('capacity data'!I:I,'capacity data'!A:A,B8,'capacity data'!E:E,"PSO")</f>
        <v>0</v>
      </c>
      <c r="G8" s="244">
        <f>SUMIFS('capacity data'!J:J,'capacity data'!A:A,B8,'capacity data'!E:E,"PSO")</f>
        <v>0</v>
      </c>
      <c r="H8" s="241" t="e">
        <f t="shared" si="4"/>
        <v>#DIV/0!</v>
      </c>
      <c r="I8" s="247">
        <f>SUMIFS('capacity data'!I:I,'capacity data'!A:A,B8,'capacity data'!E:E,"TPO")</f>
        <v>0</v>
      </c>
      <c r="J8" s="244">
        <f>SUMIFS('capacity data'!J:J,'capacity data'!A:A,B8,'capacity data'!E:E,"TPO")</f>
        <v>0</v>
      </c>
      <c r="K8" s="241" t="e">
        <f t="shared" si="5"/>
        <v>#DIV/0!</v>
      </c>
      <c r="L8" s="248">
        <f>SUMIF('capacity data'!A:A,B8,'capacity data'!I:I)</f>
        <v>0</v>
      </c>
      <c r="M8" s="244">
        <f>SUMIF('capacity data'!A:A,B8,'capacity data'!J:J)</f>
        <v>0</v>
      </c>
      <c r="N8" s="241" t="e">
        <f t="shared" si="6"/>
        <v>#DIV/0!</v>
      </c>
    </row>
    <row r="9" spans="1:47" ht="21" customHeight="1" x14ac:dyDescent="0.2">
      <c r="B9" s="181" t="s">
        <v>6</v>
      </c>
      <c r="C9" s="247">
        <f>SUMIFS('capacity data'!I:I,'capacity data'!A:A,B9,'capacity data'!E:E,"PO")</f>
        <v>0</v>
      </c>
      <c r="D9" s="244">
        <f>SUMIFS('capacity data'!J:J,'capacity data'!A:A,B9,'capacity data'!E:E,"PO")</f>
        <v>0</v>
      </c>
      <c r="E9" s="241" t="e">
        <f t="shared" si="3"/>
        <v>#DIV/0!</v>
      </c>
      <c r="F9" s="247">
        <f>SUMIFS('capacity data'!I:I,'capacity data'!A:A,B9,'capacity data'!E:E,"PSO")</f>
        <v>0</v>
      </c>
      <c r="G9" s="244">
        <f>SUMIFS('capacity data'!J:J,'capacity data'!A:A,B9,'capacity data'!E:E,"PSO")</f>
        <v>0</v>
      </c>
      <c r="H9" s="241" t="e">
        <f t="shared" si="4"/>
        <v>#DIV/0!</v>
      </c>
      <c r="I9" s="247">
        <f>SUMIFS('capacity data'!I:I,'capacity data'!A:A,B9,'capacity data'!E:E,"TPO")</f>
        <v>0</v>
      </c>
      <c r="J9" s="244">
        <f>SUMIFS('capacity data'!J:J,'capacity data'!A:A,B9,'capacity data'!E:E,"TPO")</f>
        <v>0</v>
      </c>
      <c r="K9" s="241" t="e">
        <f t="shared" si="5"/>
        <v>#DIV/0!</v>
      </c>
      <c r="L9" s="248">
        <f>SUMIF('capacity data'!A:A,B9,'capacity data'!I:I)</f>
        <v>0</v>
      </c>
      <c r="M9" s="244">
        <f>SUMIF('capacity data'!A:A,B9,'capacity data'!J:J)</f>
        <v>0</v>
      </c>
      <c r="N9" s="241" t="e">
        <f t="shared" si="6"/>
        <v>#DIV/0!</v>
      </c>
    </row>
    <row r="10" spans="1:47" ht="21" customHeight="1" x14ac:dyDescent="0.2">
      <c r="B10" s="181" t="s">
        <v>376</v>
      </c>
      <c r="C10" s="247">
        <f>SUMIFS('capacity data'!I:I,'capacity data'!A:A,B10,'capacity data'!E:E,"PO")</f>
        <v>0</v>
      </c>
      <c r="D10" s="244">
        <f>SUMIFS('capacity data'!J:J,'capacity data'!A:A,B10,'capacity data'!E:E,"PO")</f>
        <v>0</v>
      </c>
      <c r="E10" s="241" t="e">
        <f t="shared" si="3"/>
        <v>#DIV/0!</v>
      </c>
      <c r="F10" s="247">
        <f>SUMIFS('capacity data'!I:I,'capacity data'!A:A,B10,'capacity data'!E:E,"PSO")</f>
        <v>0</v>
      </c>
      <c r="G10" s="244">
        <f>SUMIFS('capacity data'!J:J,'capacity data'!A:A,B10,'capacity data'!E:E,"PSO")</f>
        <v>0</v>
      </c>
      <c r="H10" s="241" t="e">
        <f t="shared" si="4"/>
        <v>#DIV/0!</v>
      </c>
      <c r="I10" s="247">
        <f>SUMIFS('capacity data'!I:I,'capacity data'!A:A,B10,'capacity data'!E:E,"TPO")</f>
        <v>0</v>
      </c>
      <c r="J10" s="244">
        <f>SUMIFS('capacity data'!J:J,'capacity data'!A:A,B10,'capacity data'!E:E,"TPO")</f>
        <v>0</v>
      </c>
      <c r="K10" s="241" t="e">
        <f t="shared" si="5"/>
        <v>#DIV/0!</v>
      </c>
      <c r="L10" s="248">
        <f>SUMIF('capacity data'!A:A,B10,'capacity data'!I:I)</f>
        <v>0</v>
      </c>
      <c r="M10" s="244">
        <f>SUMIF('capacity data'!A:A,B10,'capacity data'!J:J)</f>
        <v>0</v>
      </c>
      <c r="N10" s="241" t="e">
        <f t="shared" si="6"/>
        <v>#DIV/0!</v>
      </c>
    </row>
    <row r="11" spans="1:47" ht="21" customHeight="1" x14ac:dyDescent="0.2">
      <c r="B11" s="181" t="s">
        <v>1130</v>
      </c>
      <c r="C11" s="247">
        <f>SUMIFS('capacity data'!I:I,'capacity data'!A:A,B11,'capacity data'!E:E,"PO")</f>
        <v>0</v>
      </c>
      <c r="D11" s="244">
        <f>SUMIFS('capacity data'!J:J,'capacity data'!A:A,B11,'capacity data'!E:E,"PO")</f>
        <v>0</v>
      </c>
      <c r="E11" s="241" t="e">
        <f t="shared" si="3"/>
        <v>#DIV/0!</v>
      </c>
      <c r="F11" s="247">
        <f>SUMIFS('capacity data'!I:I,'capacity data'!A:A,B11,'capacity data'!E:E,"PSO")</f>
        <v>0</v>
      </c>
      <c r="G11" s="244">
        <f>SUMIFS('capacity data'!J:J,'capacity data'!A:A,B11,'capacity data'!E:E,"PSO")</f>
        <v>0</v>
      </c>
      <c r="H11" s="241" t="e">
        <f t="shared" si="4"/>
        <v>#DIV/0!</v>
      </c>
      <c r="I11" s="247">
        <f>SUMIFS('capacity data'!I:I,'capacity data'!A:A,B11,'capacity data'!E:E,"TPO")</f>
        <v>0</v>
      </c>
      <c r="J11" s="244">
        <f>SUMIFS('capacity data'!J:J,'capacity data'!A:A,B11,'capacity data'!E:E,"TPO")</f>
        <v>0</v>
      </c>
      <c r="K11" s="241" t="e">
        <f t="shared" si="5"/>
        <v>#DIV/0!</v>
      </c>
      <c r="L11" s="248">
        <f>SUMIF('capacity data'!A:A,B11,'capacity data'!I:I)</f>
        <v>0</v>
      </c>
      <c r="M11" s="244">
        <f>SUMIF('capacity data'!A:A,B11,'capacity data'!J:J)</f>
        <v>0</v>
      </c>
      <c r="N11" s="241" t="e">
        <f t="shared" si="6"/>
        <v>#DIV/0!</v>
      </c>
    </row>
    <row r="12" spans="1:47" ht="21" customHeight="1" x14ac:dyDescent="0.2">
      <c r="B12" s="181" t="s">
        <v>7</v>
      </c>
      <c r="C12" s="247">
        <f>SUMIFS('capacity data'!I:I,'capacity data'!A:A,B12,'capacity data'!E:E,"PO")</f>
        <v>0</v>
      </c>
      <c r="D12" s="244">
        <f>SUMIFS('capacity data'!J:J,'capacity data'!A:A,B12,'capacity data'!E:E,"PO")</f>
        <v>0</v>
      </c>
      <c r="E12" s="241" t="e">
        <f t="shared" si="3"/>
        <v>#DIV/0!</v>
      </c>
      <c r="F12" s="247">
        <f>SUMIFS('capacity data'!I:I,'capacity data'!A:A,B12,'capacity data'!E:E,"PSO")</f>
        <v>0</v>
      </c>
      <c r="G12" s="244">
        <f>SUMIFS('capacity data'!J:J,'capacity data'!A:A,B12,'capacity data'!E:E,"PSO")</f>
        <v>0</v>
      </c>
      <c r="H12" s="241" t="e">
        <f t="shared" si="4"/>
        <v>#DIV/0!</v>
      </c>
      <c r="I12" s="247">
        <f>SUMIFS('capacity data'!I:I,'capacity data'!A:A,B12,'capacity data'!E:E,"TPO")</f>
        <v>0</v>
      </c>
      <c r="J12" s="244">
        <f>SUMIFS('capacity data'!J:J,'capacity data'!A:A,B12,'capacity data'!E:E,"TPO")</f>
        <v>0</v>
      </c>
      <c r="K12" s="241" t="e">
        <f t="shared" si="5"/>
        <v>#DIV/0!</v>
      </c>
      <c r="L12" s="248">
        <f>SUMIF('capacity data'!A:A,B12,'capacity data'!I:I)</f>
        <v>0</v>
      </c>
      <c r="M12" s="244">
        <f>SUMIF('capacity data'!A:A,B12,'capacity data'!J:J)</f>
        <v>0</v>
      </c>
      <c r="N12" s="241" t="e">
        <f t="shared" si="6"/>
        <v>#DIV/0!</v>
      </c>
    </row>
    <row r="13" spans="1:47" ht="21" customHeight="1" x14ac:dyDescent="0.2">
      <c r="B13" s="181" t="s">
        <v>1132</v>
      </c>
      <c r="C13" s="247">
        <f>SUMIFS('capacity data'!I:I,'capacity data'!A:A,B13,'capacity data'!E:E,"PO")</f>
        <v>0</v>
      </c>
      <c r="D13" s="244">
        <f>SUMIFS('capacity data'!J:J,'capacity data'!A:A,B13,'capacity data'!E:E,"PO")</f>
        <v>0</v>
      </c>
      <c r="E13" s="241" t="e">
        <f t="shared" ref="E13" si="7">D13/C13</f>
        <v>#DIV/0!</v>
      </c>
      <c r="F13" s="247">
        <f>SUMIFS('capacity data'!I:I,'capacity data'!A:A,B13,'capacity data'!E:E,"PSO")</f>
        <v>0</v>
      </c>
      <c r="G13" s="244">
        <f>SUMIFS('capacity data'!J:J,'capacity data'!A:A,B13,'capacity data'!E:E,"PSO")</f>
        <v>0</v>
      </c>
      <c r="H13" s="241" t="e">
        <f t="shared" ref="H13" si="8">G13/F13</f>
        <v>#DIV/0!</v>
      </c>
      <c r="I13" s="247">
        <f>SUMIFS('capacity data'!I:I,'capacity data'!A:A,B13,'capacity data'!E:E,"TPO")</f>
        <v>0</v>
      </c>
      <c r="J13" s="244">
        <f>SUMIFS('capacity data'!J:J,'capacity data'!A:A,B13,'capacity data'!E:E,"TPO")</f>
        <v>0</v>
      </c>
      <c r="K13" s="241" t="e">
        <f t="shared" ref="K13" si="9">J13/I13</f>
        <v>#DIV/0!</v>
      </c>
      <c r="L13" s="248">
        <f>SUMIF('capacity data'!A:A,B13,'capacity data'!I:I)</f>
        <v>0</v>
      </c>
      <c r="M13" s="244">
        <f>SUMIF('capacity data'!A:A,B13,'capacity data'!J:J)</f>
        <v>0</v>
      </c>
      <c r="N13" s="241" t="e">
        <f t="shared" ref="N13" si="10">M13/L13</f>
        <v>#DIV/0!</v>
      </c>
    </row>
    <row r="14" spans="1:47" ht="21" customHeight="1" x14ac:dyDescent="0.2">
      <c r="B14" s="181" t="s">
        <v>1217</v>
      </c>
      <c r="C14" s="247">
        <f>SUMIFS('capacity data'!I:I,'capacity data'!A:A,B14,'capacity data'!E:E,"PO")</f>
        <v>0</v>
      </c>
      <c r="D14" s="244">
        <f>SUMIFS('capacity data'!J:J,'capacity data'!A:A,B14,'capacity data'!E:E,"PO")</f>
        <v>0</v>
      </c>
      <c r="E14" s="241" t="e">
        <f t="shared" si="3"/>
        <v>#DIV/0!</v>
      </c>
      <c r="F14" s="247">
        <f>SUMIFS('capacity data'!I:I,'capacity data'!A:A,B14,'capacity data'!E:E,"PSO")</f>
        <v>0</v>
      </c>
      <c r="G14" s="244">
        <f>SUMIFS('capacity data'!J:J,'capacity data'!A:A,B14,'capacity data'!E:E,"PSO")</f>
        <v>0</v>
      </c>
      <c r="H14" s="241" t="e">
        <f t="shared" si="4"/>
        <v>#DIV/0!</v>
      </c>
      <c r="I14" s="247">
        <f>SUMIFS('capacity data'!I:I,'capacity data'!A:A,B14,'capacity data'!E:E,"TPO")</f>
        <v>0</v>
      </c>
      <c r="J14" s="244">
        <f>SUMIFS('capacity data'!J:J,'capacity data'!A:A,B14,'capacity data'!E:E,"TPO")</f>
        <v>0</v>
      </c>
      <c r="K14" s="241" t="e">
        <f t="shared" si="5"/>
        <v>#DIV/0!</v>
      </c>
      <c r="L14" s="248">
        <f>SUMIF('capacity data'!A:A,B14,'capacity data'!I:I)</f>
        <v>0</v>
      </c>
      <c r="M14" s="244">
        <f>SUMIF('capacity data'!A:A,B14,'capacity data'!J:J)</f>
        <v>0</v>
      </c>
      <c r="N14" s="241" t="e">
        <f t="shared" si="6"/>
        <v>#DIV/0!</v>
      </c>
    </row>
    <row r="15" spans="1:47" ht="21" customHeight="1" x14ac:dyDescent="0.2">
      <c r="B15" s="181" t="s">
        <v>382</v>
      </c>
      <c r="C15" s="247">
        <f>SUMIFS('capacity data'!I:I,'capacity data'!A:A,B15,'capacity data'!E:E,"PO")</f>
        <v>0</v>
      </c>
      <c r="D15" s="244">
        <f>SUMIFS('capacity data'!J:J,'capacity data'!A:A,B15,'capacity data'!E:E,"PO")</f>
        <v>0</v>
      </c>
      <c r="E15" s="241" t="e">
        <f t="shared" si="3"/>
        <v>#DIV/0!</v>
      </c>
      <c r="F15" s="247">
        <f>SUMIFS('capacity data'!I:I,'capacity data'!A:A,B15,'capacity data'!E:E,"PSO")</f>
        <v>0</v>
      </c>
      <c r="G15" s="244">
        <f>SUMIFS('capacity data'!J:J,'capacity data'!A:A,B15,'capacity data'!E:E,"PSO")</f>
        <v>0</v>
      </c>
      <c r="H15" s="241" t="e">
        <f t="shared" si="4"/>
        <v>#DIV/0!</v>
      </c>
      <c r="I15" s="247">
        <f>SUMIFS('capacity data'!I:I,'capacity data'!A:A,B15,'capacity data'!E:E,"TPO")</f>
        <v>0</v>
      </c>
      <c r="J15" s="244">
        <f>SUMIFS('capacity data'!J:J,'capacity data'!A:A,B15,'capacity data'!E:E,"TPO")</f>
        <v>0</v>
      </c>
      <c r="K15" s="241" t="e">
        <f t="shared" si="5"/>
        <v>#DIV/0!</v>
      </c>
      <c r="L15" s="248">
        <f>SUMIF('capacity data'!A:A,B15,'capacity data'!I:I)</f>
        <v>0</v>
      </c>
      <c r="M15" s="244">
        <f>SUMIF('capacity data'!A:A,B15,'capacity data'!J:J)</f>
        <v>0</v>
      </c>
      <c r="N15" s="241" t="e">
        <f t="shared" si="6"/>
        <v>#DIV/0!</v>
      </c>
    </row>
    <row r="16" spans="1:47" ht="21" customHeight="1" x14ac:dyDescent="0.2">
      <c r="B16" s="181" t="s">
        <v>8</v>
      </c>
      <c r="C16" s="247">
        <f>SUMIFS('capacity data'!I:I,'capacity data'!A:A,B16,'capacity data'!E:E,"PO")</f>
        <v>0</v>
      </c>
      <c r="D16" s="244">
        <f>SUMIFS('capacity data'!J:J,'capacity data'!A:A,B16,'capacity data'!E:E,"PO")</f>
        <v>0</v>
      </c>
      <c r="E16" s="241" t="e">
        <f t="shared" si="3"/>
        <v>#DIV/0!</v>
      </c>
      <c r="F16" s="247">
        <f>SUMIFS('capacity data'!I:I,'capacity data'!A:A,B16,'capacity data'!E:E,"PSO")</f>
        <v>0</v>
      </c>
      <c r="G16" s="244">
        <f>SUMIFS('capacity data'!J:J,'capacity data'!A:A,B16,'capacity data'!E:E,"PSO")</f>
        <v>0</v>
      </c>
      <c r="H16" s="241" t="e">
        <f t="shared" si="4"/>
        <v>#DIV/0!</v>
      </c>
      <c r="I16" s="247">
        <f>SUMIFS('capacity data'!I:I,'capacity data'!A:A,B16,'capacity data'!E:E,"TPO")</f>
        <v>0</v>
      </c>
      <c r="J16" s="244">
        <f>SUMIFS('capacity data'!J:J,'capacity data'!A:A,B16,'capacity data'!E:E,"TPO")</f>
        <v>0</v>
      </c>
      <c r="K16" s="241" t="e">
        <f t="shared" si="5"/>
        <v>#DIV/0!</v>
      </c>
      <c r="L16" s="248">
        <f>SUMIF('capacity data'!A:A,B16,'capacity data'!I:I)</f>
        <v>0</v>
      </c>
      <c r="M16" s="244">
        <f>SUMIF('capacity data'!A:A,B16,'capacity data'!J:J)</f>
        <v>0</v>
      </c>
      <c r="N16" s="241" t="e">
        <f t="shared" si="6"/>
        <v>#DIV/0!</v>
      </c>
    </row>
    <row r="17" spans="2:14" ht="21" customHeight="1" x14ac:dyDescent="0.2">
      <c r="B17" s="181" t="s">
        <v>9</v>
      </c>
      <c r="C17" s="247">
        <f>SUMIFS('capacity data'!I:I,'capacity data'!A:A,B17,'capacity data'!E:E,"PO")</f>
        <v>0</v>
      </c>
      <c r="D17" s="244">
        <f>SUMIFS('capacity data'!J:J,'capacity data'!A:A,B17,'capacity data'!E:E,"PO")</f>
        <v>0</v>
      </c>
      <c r="E17" s="241" t="e">
        <f t="shared" si="3"/>
        <v>#DIV/0!</v>
      </c>
      <c r="F17" s="247">
        <f>SUMIFS('capacity data'!I:I,'capacity data'!A:A,B17,'capacity data'!E:E,"PSO")</f>
        <v>0</v>
      </c>
      <c r="G17" s="244">
        <f>SUMIFS('capacity data'!J:J,'capacity data'!A:A,B17,'capacity data'!E:E,"PSO")</f>
        <v>0</v>
      </c>
      <c r="H17" s="241" t="e">
        <f t="shared" si="4"/>
        <v>#DIV/0!</v>
      </c>
      <c r="I17" s="247">
        <f>SUMIFS('capacity data'!I:I,'capacity data'!A:A,B17,'capacity data'!E:E,"TPO")</f>
        <v>0</v>
      </c>
      <c r="J17" s="244">
        <f>SUMIFS('capacity data'!J:J,'capacity data'!A:A,B17,'capacity data'!E:E,"TPO")</f>
        <v>0</v>
      </c>
      <c r="K17" s="241" t="e">
        <f t="shared" si="5"/>
        <v>#DIV/0!</v>
      </c>
      <c r="L17" s="248">
        <f>SUMIF('capacity data'!A:A,B17,'capacity data'!I:I)</f>
        <v>0</v>
      </c>
      <c r="M17" s="244">
        <f>SUMIF('capacity data'!A:A,B17,'capacity data'!J:J)</f>
        <v>0</v>
      </c>
      <c r="N17" s="241" t="e">
        <f t="shared" si="6"/>
        <v>#DIV/0!</v>
      </c>
    </row>
    <row r="18" spans="2:14" ht="21" customHeight="1" x14ac:dyDescent="0.2">
      <c r="B18" s="181" t="s">
        <v>514</v>
      </c>
      <c r="C18" s="247">
        <f>SUMIFS('capacity data'!I:I,'capacity data'!A:A,B18,'capacity data'!E:E,"PO")</f>
        <v>0</v>
      </c>
      <c r="D18" s="244">
        <f>SUMIFS('capacity data'!J:J,'capacity data'!A:A,B18,'capacity data'!E:E,"PO")</f>
        <v>0</v>
      </c>
      <c r="E18" s="241" t="e">
        <f t="shared" ref="E18:E27" si="11">D18/C18</f>
        <v>#DIV/0!</v>
      </c>
      <c r="F18" s="247">
        <f>SUMIFS('capacity data'!I:I,'capacity data'!A:A,B18,'capacity data'!E:E,"PSO")</f>
        <v>0</v>
      </c>
      <c r="G18" s="244">
        <f>SUMIFS('capacity data'!J:J,'capacity data'!A:A,B18,'capacity data'!E:E,"PSO")</f>
        <v>0</v>
      </c>
      <c r="H18" s="241" t="e">
        <f t="shared" ref="H18:H27" si="12">G18/F18</f>
        <v>#DIV/0!</v>
      </c>
      <c r="I18" s="247">
        <f>SUMIFS('capacity data'!I:I,'capacity data'!A:A,B18,'capacity data'!E:E,"TPO")</f>
        <v>0</v>
      </c>
      <c r="J18" s="244">
        <f>SUMIFS('capacity data'!J:J,'capacity data'!A:A,B18,'capacity data'!E:E,"TPO")</f>
        <v>0</v>
      </c>
      <c r="K18" s="241" t="e">
        <f t="shared" ref="K18:K27" si="13">J18/I18</f>
        <v>#DIV/0!</v>
      </c>
      <c r="L18" s="248">
        <f>SUMIF('capacity data'!A:A,B18,'capacity data'!I:I)</f>
        <v>0</v>
      </c>
      <c r="M18" s="244">
        <f>SUMIF('capacity data'!A:A,B18,'capacity data'!J:J)</f>
        <v>0</v>
      </c>
      <c r="N18" s="241" t="e">
        <f t="shared" ref="N18:N27" si="14">M18/L18</f>
        <v>#DIV/0!</v>
      </c>
    </row>
    <row r="19" spans="2:14" ht="21" customHeight="1" x14ac:dyDescent="0.2">
      <c r="B19" s="181" t="s">
        <v>515</v>
      </c>
      <c r="C19" s="247">
        <f>SUMIFS('capacity data'!I:I,'capacity data'!A:A,B19,'capacity data'!E:E,"PO")</f>
        <v>0</v>
      </c>
      <c r="D19" s="244">
        <f>SUMIFS('capacity data'!J:J,'capacity data'!A:A,B19,'capacity data'!E:E,"PO")</f>
        <v>0</v>
      </c>
      <c r="E19" s="241" t="e">
        <f t="shared" si="11"/>
        <v>#DIV/0!</v>
      </c>
      <c r="F19" s="247">
        <f>SUMIFS('capacity data'!I:I,'capacity data'!A:A,B19,'capacity data'!E:E,"PSO")</f>
        <v>0</v>
      </c>
      <c r="G19" s="244">
        <f>SUMIFS('capacity data'!J:J,'capacity data'!A:A,B19,'capacity data'!E:E,"PSO")</f>
        <v>0</v>
      </c>
      <c r="H19" s="241" t="e">
        <f t="shared" si="12"/>
        <v>#DIV/0!</v>
      </c>
      <c r="I19" s="247">
        <f>SUMIFS('capacity data'!I:I,'capacity data'!A:A,B19,'capacity data'!E:E,"TPO")</f>
        <v>0</v>
      </c>
      <c r="J19" s="244">
        <f>SUMIFS('capacity data'!J:J,'capacity data'!A:A,B19,'capacity data'!E:E,"TPO")</f>
        <v>0</v>
      </c>
      <c r="K19" s="241" t="e">
        <f t="shared" si="13"/>
        <v>#DIV/0!</v>
      </c>
      <c r="L19" s="248">
        <f>SUMIF('capacity data'!A:A,B19,'capacity data'!I:I)</f>
        <v>0</v>
      </c>
      <c r="M19" s="244">
        <f>SUMIF('capacity data'!A:A,B19,'capacity data'!J:J)</f>
        <v>0</v>
      </c>
      <c r="N19" s="241" t="e">
        <f t="shared" si="14"/>
        <v>#DIV/0!</v>
      </c>
    </row>
    <row r="20" spans="2:14" ht="21" customHeight="1" x14ac:dyDescent="0.2">
      <c r="B20" s="181" t="s">
        <v>516</v>
      </c>
      <c r="C20" s="247">
        <f>SUMIFS('capacity data'!I:I,'capacity data'!A:A,B20,'capacity data'!E:E,"PO")</f>
        <v>0</v>
      </c>
      <c r="D20" s="244">
        <f>SUMIFS('capacity data'!J:J,'capacity data'!A:A,B20,'capacity data'!E:E,"PO")</f>
        <v>0</v>
      </c>
      <c r="E20" s="241" t="e">
        <f t="shared" si="11"/>
        <v>#DIV/0!</v>
      </c>
      <c r="F20" s="247">
        <f>SUMIFS('capacity data'!I:I,'capacity data'!A:A,B20,'capacity data'!E:E,"PSO")</f>
        <v>0</v>
      </c>
      <c r="G20" s="244">
        <f>SUMIFS('capacity data'!J:J,'capacity data'!A:A,B20,'capacity data'!E:E,"PSO")</f>
        <v>0</v>
      </c>
      <c r="H20" s="241" t="e">
        <f t="shared" si="12"/>
        <v>#DIV/0!</v>
      </c>
      <c r="I20" s="247">
        <f>SUMIFS('capacity data'!I:I,'capacity data'!A:A,B20,'capacity data'!E:E,"TPO")</f>
        <v>0</v>
      </c>
      <c r="J20" s="244">
        <f>SUMIFS('capacity data'!J:J,'capacity data'!A:A,B20,'capacity data'!E:E,"TPO")</f>
        <v>0</v>
      </c>
      <c r="K20" s="241" t="e">
        <f t="shared" si="13"/>
        <v>#DIV/0!</v>
      </c>
      <c r="L20" s="248">
        <f>SUMIF('capacity data'!A:A,B20,'capacity data'!I:I)</f>
        <v>0</v>
      </c>
      <c r="M20" s="244">
        <f>SUMIF('capacity data'!A:A,B20,'capacity data'!J:J)</f>
        <v>0</v>
      </c>
      <c r="N20" s="241" t="e">
        <f t="shared" si="14"/>
        <v>#DIV/0!</v>
      </c>
    </row>
    <row r="21" spans="2:14" ht="21" customHeight="1" x14ac:dyDescent="0.2">
      <c r="B21" s="181" t="s">
        <v>517</v>
      </c>
      <c r="C21" s="247">
        <f>SUMIFS('capacity data'!I:I,'capacity data'!A:A,B21,'capacity data'!E:E,"PO")</f>
        <v>0</v>
      </c>
      <c r="D21" s="244">
        <f>SUMIFS('capacity data'!J:J,'capacity data'!A:A,B21,'capacity data'!E:E,"PO")</f>
        <v>0</v>
      </c>
      <c r="E21" s="241" t="e">
        <f t="shared" si="11"/>
        <v>#DIV/0!</v>
      </c>
      <c r="F21" s="247">
        <f>SUMIFS('capacity data'!I:I,'capacity data'!A:A,B21,'capacity data'!E:E,"PSO")</f>
        <v>0</v>
      </c>
      <c r="G21" s="244">
        <f>SUMIFS('capacity data'!J:J,'capacity data'!A:A,B21,'capacity data'!E:E,"PSO")</f>
        <v>0</v>
      </c>
      <c r="H21" s="241" t="e">
        <f t="shared" si="12"/>
        <v>#DIV/0!</v>
      </c>
      <c r="I21" s="247">
        <f>SUMIFS('capacity data'!I:I,'capacity data'!A:A,B21,'capacity data'!E:E,"TPO")</f>
        <v>0</v>
      </c>
      <c r="J21" s="244">
        <f>SUMIFS('capacity data'!J:J,'capacity data'!A:A,B21,'capacity data'!E:E,"TPO")</f>
        <v>0</v>
      </c>
      <c r="K21" s="241" t="e">
        <f t="shared" si="13"/>
        <v>#DIV/0!</v>
      </c>
      <c r="L21" s="248">
        <f>SUMIF('capacity data'!A:A,B21,'capacity data'!I:I)</f>
        <v>0</v>
      </c>
      <c r="M21" s="244">
        <f>SUMIF('capacity data'!A:A,B21,'capacity data'!J:J)</f>
        <v>0</v>
      </c>
      <c r="N21" s="241" t="e">
        <f t="shared" si="14"/>
        <v>#DIV/0!</v>
      </c>
    </row>
    <row r="22" spans="2:14" ht="21" customHeight="1" x14ac:dyDescent="0.2">
      <c r="B22" s="181" t="s">
        <v>518</v>
      </c>
      <c r="C22" s="247">
        <f>SUMIFS('capacity data'!I:I,'capacity data'!A:A,B22,'capacity data'!E:E,"PO")</f>
        <v>0</v>
      </c>
      <c r="D22" s="244">
        <f>SUMIFS('capacity data'!J:J,'capacity data'!A:A,B22,'capacity data'!E:E,"PO")</f>
        <v>0</v>
      </c>
      <c r="E22" s="241" t="e">
        <f t="shared" si="11"/>
        <v>#DIV/0!</v>
      </c>
      <c r="F22" s="247">
        <f>SUMIFS('capacity data'!I:I,'capacity data'!A:A,B22,'capacity data'!E:E,"PSO")</f>
        <v>0</v>
      </c>
      <c r="G22" s="244">
        <f>SUMIFS('capacity data'!J:J,'capacity data'!A:A,B22,'capacity data'!E:E,"PSO")</f>
        <v>0</v>
      </c>
      <c r="H22" s="241" t="e">
        <f t="shared" si="12"/>
        <v>#DIV/0!</v>
      </c>
      <c r="I22" s="247">
        <f>SUMIFS('capacity data'!I:I,'capacity data'!A:A,B22,'capacity data'!E:E,"TPO")</f>
        <v>0</v>
      </c>
      <c r="J22" s="244">
        <f>SUMIFS('capacity data'!J:J,'capacity data'!A:A,B22,'capacity data'!E:E,"TPO")</f>
        <v>0</v>
      </c>
      <c r="K22" s="241" t="e">
        <f t="shared" si="13"/>
        <v>#DIV/0!</v>
      </c>
      <c r="L22" s="248">
        <f>SUMIF('capacity data'!A:A,B22,'capacity data'!I:I)</f>
        <v>0</v>
      </c>
      <c r="M22" s="244">
        <f>SUMIF('capacity data'!A:A,B22,'capacity data'!J:J)</f>
        <v>0</v>
      </c>
      <c r="N22" s="241" t="e">
        <f t="shared" si="14"/>
        <v>#DIV/0!</v>
      </c>
    </row>
    <row r="23" spans="2:14" ht="21" customHeight="1" x14ac:dyDescent="0.2">
      <c r="B23" s="181" t="s">
        <v>519</v>
      </c>
      <c r="C23" s="247">
        <f>SUMIFS('capacity data'!I:I,'capacity data'!A:A,B23,'capacity data'!E:E,"PO")</f>
        <v>0</v>
      </c>
      <c r="D23" s="244">
        <f>SUMIFS('capacity data'!J:J,'capacity data'!A:A,B23,'capacity data'!E:E,"PO")</f>
        <v>0</v>
      </c>
      <c r="E23" s="241" t="e">
        <f t="shared" si="11"/>
        <v>#DIV/0!</v>
      </c>
      <c r="F23" s="247">
        <f>SUMIFS('capacity data'!I:I,'capacity data'!A:A,B23,'capacity data'!E:E,"PSO")</f>
        <v>0</v>
      </c>
      <c r="G23" s="244">
        <f>SUMIFS('capacity data'!J:J,'capacity data'!A:A,B23,'capacity data'!E:E,"PSO")</f>
        <v>0</v>
      </c>
      <c r="H23" s="241" t="e">
        <f t="shared" si="12"/>
        <v>#DIV/0!</v>
      </c>
      <c r="I23" s="247">
        <f>SUMIFS('capacity data'!I:I,'capacity data'!A:A,B23,'capacity data'!E:E,"TPO")</f>
        <v>0</v>
      </c>
      <c r="J23" s="244">
        <f>SUMIFS('capacity data'!J:J,'capacity data'!A:A,B23,'capacity data'!E:E,"TPO")</f>
        <v>0</v>
      </c>
      <c r="K23" s="241" t="e">
        <f t="shared" si="13"/>
        <v>#DIV/0!</v>
      </c>
      <c r="L23" s="248">
        <f>SUMIF('capacity data'!A:A,B23,'capacity data'!I:I)</f>
        <v>0</v>
      </c>
      <c r="M23" s="244">
        <f>SUMIF('capacity data'!A:A,B23,'capacity data'!J:J)</f>
        <v>0</v>
      </c>
      <c r="N23" s="241" t="e">
        <f t="shared" si="14"/>
        <v>#DIV/0!</v>
      </c>
    </row>
    <row r="24" spans="2:14" ht="21" customHeight="1" x14ac:dyDescent="0.2">
      <c r="B24" s="181" t="s">
        <v>520</v>
      </c>
      <c r="C24" s="247">
        <f>SUMIFS('capacity data'!I:I,'capacity data'!A:A,B24,'capacity data'!E:E,"PO")</f>
        <v>0</v>
      </c>
      <c r="D24" s="244">
        <f>SUMIFS('capacity data'!J:J,'capacity data'!A:A,B24,'capacity data'!E:E,"PO")</f>
        <v>0</v>
      </c>
      <c r="E24" s="241" t="e">
        <f t="shared" si="11"/>
        <v>#DIV/0!</v>
      </c>
      <c r="F24" s="247">
        <f>SUMIFS('capacity data'!I:I,'capacity data'!A:A,B24,'capacity data'!E:E,"PSO")</f>
        <v>0</v>
      </c>
      <c r="G24" s="244">
        <f>SUMIFS('capacity data'!J:J,'capacity data'!A:A,B24,'capacity data'!E:E,"PSO")</f>
        <v>0</v>
      </c>
      <c r="H24" s="241" t="e">
        <f t="shared" si="12"/>
        <v>#DIV/0!</v>
      </c>
      <c r="I24" s="247">
        <f>SUMIFS('capacity data'!I:I,'capacity data'!A:A,B24,'capacity data'!E:E,"TPO")</f>
        <v>0</v>
      </c>
      <c r="J24" s="244">
        <f>SUMIFS('capacity data'!J:J,'capacity data'!A:A,B24,'capacity data'!E:E,"TPO")</f>
        <v>0</v>
      </c>
      <c r="K24" s="241" t="e">
        <f t="shared" si="13"/>
        <v>#DIV/0!</v>
      </c>
      <c r="L24" s="248">
        <f>SUMIF('capacity data'!A:A,B24,'capacity data'!I:I)</f>
        <v>0</v>
      </c>
      <c r="M24" s="244">
        <f>SUMIF('capacity data'!A:A,B24,'capacity data'!J:J)</f>
        <v>0</v>
      </c>
      <c r="N24" s="241" t="e">
        <f t="shared" si="14"/>
        <v>#DIV/0!</v>
      </c>
    </row>
    <row r="25" spans="2:14" ht="21" customHeight="1" x14ac:dyDescent="0.2">
      <c r="B25" s="181" t="s">
        <v>521</v>
      </c>
      <c r="C25" s="247">
        <f>SUMIFS('capacity data'!I:I,'capacity data'!A:A,B25,'capacity data'!E:E,"PO")</f>
        <v>0</v>
      </c>
      <c r="D25" s="244">
        <f>SUMIFS('capacity data'!J:J,'capacity data'!A:A,B25,'capacity data'!E:E,"PO")</f>
        <v>0</v>
      </c>
      <c r="E25" s="241" t="e">
        <f t="shared" si="11"/>
        <v>#DIV/0!</v>
      </c>
      <c r="F25" s="247">
        <f>SUMIFS('capacity data'!I:I,'capacity data'!A:A,B25,'capacity data'!E:E,"PSO")</f>
        <v>0</v>
      </c>
      <c r="G25" s="244">
        <f>SUMIFS('capacity data'!J:J,'capacity data'!A:A,B25,'capacity data'!E:E,"PSO")</f>
        <v>0</v>
      </c>
      <c r="H25" s="241" t="e">
        <f t="shared" si="12"/>
        <v>#DIV/0!</v>
      </c>
      <c r="I25" s="247">
        <f>SUMIFS('capacity data'!I:I,'capacity data'!A:A,B25,'capacity data'!E:E,"TPO")</f>
        <v>0</v>
      </c>
      <c r="J25" s="244">
        <f>SUMIFS('capacity data'!J:J,'capacity data'!A:A,B25,'capacity data'!E:E,"TPO")</f>
        <v>0</v>
      </c>
      <c r="K25" s="241" t="e">
        <f t="shared" si="13"/>
        <v>#DIV/0!</v>
      </c>
      <c r="L25" s="248">
        <f>SUMIF('capacity data'!A:A,B25,'capacity data'!I:I)</f>
        <v>0</v>
      </c>
      <c r="M25" s="244">
        <f>SUMIF('capacity data'!A:A,B25,'capacity data'!J:J)</f>
        <v>0</v>
      </c>
      <c r="N25" s="241" t="e">
        <f t="shared" si="14"/>
        <v>#DIV/0!</v>
      </c>
    </row>
    <row r="26" spans="2:14" ht="21" customHeight="1" x14ac:dyDescent="0.2">
      <c r="B26" s="181" t="s">
        <v>522</v>
      </c>
      <c r="C26" s="247">
        <f>SUMIFS('capacity data'!I:I,'capacity data'!A:A,B26,'capacity data'!E:E,"PO")</f>
        <v>0</v>
      </c>
      <c r="D26" s="244">
        <f>SUMIFS('capacity data'!J:J,'capacity data'!A:A,B26,'capacity data'!E:E,"PO")</f>
        <v>0</v>
      </c>
      <c r="E26" s="241" t="e">
        <f t="shared" si="11"/>
        <v>#DIV/0!</v>
      </c>
      <c r="F26" s="247">
        <f>SUMIFS('capacity data'!I:I,'capacity data'!A:A,B26,'capacity data'!E:E,"PSO")</f>
        <v>0</v>
      </c>
      <c r="G26" s="244">
        <f>SUMIFS('capacity data'!J:J,'capacity data'!A:A,B26,'capacity data'!E:E,"PSO")</f>
        <v>0</v>
      </c>
      <c r="H26" s="241" t="e">
        <f t="shared" si="12"/>
        <v>#DIV/0!</v>
      </c>
      <c r="I26" s="247">
        <f>SUMIFS('capacity data'!I:I,'capacity data'!A:A,B26,'capacity data'!E:E,"TPO")</f>
        <v>0</v>
      </c>
      <c r="J26" s="244">
        <f>SUMIFS('capacity data'!J:J,'capacity data'!A:A,B26,'capacity data'!E:E,"TPO")</f>
        <v>0</v>
      </c>
      <c r="K26" s="241" t="e">
        <f t="shared" si="13"/>
        <v>#DIV/0!</v>
      </c>
      <c r="L26" s="248">
        <f>SUMIF('capacity data'!A:A,B26,'capacity data'!I:I)</f>
        <v>0</v>
      </c>
      <c r="M26" s="244">
        <f>SUMIF('capacity data'!A:A,B26,'capacity data'!J:J)</f>
        <v>0</v>
      </c>
      <c r="N26" s="241" t="e">
        <f t="shared" si="14"/>
        <v>#DIV/0!</v>
      </c>
    </row>
    <row r="27" spans="2:14" ht="21" customHeight="1" x14ac:dyDescent="0.2">
      <c r="B27" s="181" t="s">
        <v>523</v>
      </c>
      <c r="C27" s="247">
        <f>SUMIFS('capacity data'!I:I,'capacity data'!A:A,B27,'capacity data'!E:E,"PO")</f>
        <v>0</v>
      </c>
      <c r="D27" s="244">
        <f>SUMIFS('capacity data'!J:J,'capacity data'!A:A,B27,'capacity data'!E:E,"PO")</f>
        <v>0</v>
      </c>
      <c r="E27" s="241" t="e">
        <f t="shared" si="11"/>
        <v>#DIV/0!</v>
      </c>
      <c r="F27" s="247">
        <f>SUMIFS('capacity data'!I:I,'capacity data'!A:A,B27,'capacity data'!E:E,"PSO")</f>
        <v>0</v>
      </c>
      <c r="G27" s="244">
        <f>SUMIFS('capacity data'!J:J,'capacity data'!A:A,B27,'capacity data'!E:E,"PSO")</f>
        <v>0</v>
      </c>
      <c r="H27" s="241" t="e">
        <f t="shared" si="12"/>
        <v>#DIV/0!</v>
      </c>
      <c r="I27" s="247">
        <f>SUMIFS('capacity data'!I:I,'capacity data'!A:A,B27,'capacity data'!E:E,"TPO")</f>
        <v>0</v>
      </c>
      <c r="J27" s="244">
        <f>SUMIFS('capacity data'!J:J,'capacity data'!A:A,B27,'capacity data'!E:E,"TPO")</f>
        <v>0</v>
      </c>
      <c r="K27" s="241" t="e">
        <f t="shared" si="13"/>
        <v>#DIV/0!</v>
      </c>
      <c r="L27" s="248">
        <f>SUMIF('capacity data'!A:A,B27,'capacity data'!I:I)</f>
        <v>0</v>
      </c>
      <c r="M27" s="244">
        <f>SUMIF('capacity data'!A:A,B27,'capacity data'!J:J)</f>
        <v>0</v>
      </c>
      <c r="N27" s="241" t="e">
        <f t="shared" si="14"/>
        <v>#DIV/0!</v>
      </c>
    </row>
    <row r="28" spans="2:14" ht="21" customHeight="1" thickBot="1" x14ac:dyDescent="0.25">
      <c r="B28" s="242" t="s">
        <v>357</v>
      </c>
      <c r="C28" s="245">
        <f>SUMIF('capacity data'!E:E,"PO",'capacity data'!I:I)</f>
        <v>0</v>
      </c>
      <c r="D28" s="246">
        <f>SUMIF('capacity data'!E:E,"PO",'capacity data'!J:J)</f>
        <v>0</v>
      </c>
      <c r="E28" s="243" t="e">
        <f t="shared" ref="E28" si="15">D28/C28</f>
        <v>#DIV/0!</v>
      </c>
      <c r="F28" s="245">
        <f>SUMIF('capacity data'!E:E,"PSO",'capacity data'!I:I)</f>
        <v>0</v>
      </c>
      <c r="G28" s="246">
        <f>SUMIF('capacity data'!E:E,"PSO",'capacity data'!J:J)</f>
        <v>0</v>
      </c>
      <c r="H28" s="243" t="e">
        <f t="shared" si="0"/>
        <v>#DIV/0!</v>
      </c>
      <c r="I28" s="245">
        <f>SUMIF('capacity data'!E:E,"TPO",'capacity data'!I:I)</f>
        <v>0</v>
      </c>
      <c r="J28" s="246">
        <f>SUMIF('capacity data'!E:E,"TPO",'capacity data'!J:J)</f>
        <v>0</v>
      </c>
      <c r="K28" s="243" t="e">
        <f t="shared" si="1"/>
        <v>#DIV/0!</v>
      </c>
      <c r="L28" s="245">
        <f>SUM('capacity data'!I:I)</f>
        <v>0</v>
      </c>
      <c r="M28" s="246">
        <f>SUM('capacity data'!J:J)</f>
        <v>0</v>
      </c>
      <c r="N28" s="243" t="e">
        <f t="shared" si="2"/>
        <v>#DIV/0!</v>
      </c>
    </row>
    <row r="29" spans="2:14" x14ac:dyDescent="0.2">
      <c r="C29" s="281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</sheetData>
  <mergeCells count="7">
    <mergeCell ref="A1:P1"/>
    <mergeCell ref="A2:P2"/>
    <mergeCell ref="C4:E4"/>
    <mergeCell ref="F4:H4"/>
    <mergeCell ref="I4:K4"/>
    <mergeCell ref="L4:N4"/>
    <mergeCell ref="B4:B5"/>
  </mergeCells>
  <pageMargins left="0.25" right="0.25" top="0.75" bottom="0.75" header="0.3" footer="0.3"/>
  <pageSetup scale="67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4">
    <tabColor rgb="FFFFFF00"/>
    <pageSetUpPr fitToPage="1"/>
  </sheetPr>
  <dimension ref="A1:AZ16"/>
  <sheetViews>
    <sheetView showGridLines="0" showRowColHeaders="0" zoomScale="70" zoomScaleNormal="70" zoomScaleSheetLayoutView="55" workbookViewId="0">
      <selection activeCell="P3" sqref="P3"/>
    </sheetView>
  </sheetViews>
  <sheetFormatPr baseColWidth="10" defaultColWidth="9.1640625" defaultRowHeight="14" x14ac:dyDescent="0.15"/>
  <cols>
    <col min="1" max="1" width="15.5" style="33" customWidth="1"/>
    <col min="2" max="2" width="26.5" style="33" customWidth="1"/>
    <col min="3" max="3" width="24" style="33" customWidth="1"/>
    <col min="4" max="4" width="52.83203125" style="33" customWidth="1"/>
    <col min="5" max="5" width="14.5" style="33" customWidth="1"/>
    <col min="6" max="6" width="10.83203125" style="33" customWidth="1"/>
    <col min="7" max="9" width="10.5" style="33" customWidth="1"/>
    <col min="10" max="10" width="11.5" style="33" customWidth="1"/>
    <col min="11" max="12" width="9.1640625" style="33" customWidth="1"/>
    <col min="13" max="13" width="12" style="33" customWidth="1"/>
    <col min="14" max="14" width="11.5" style="33" customWidth="1"/>
    <col min="15" max="15" width="3.5" style="23" customWidth="1"/>
    <col min="16" max="17" width="22.5" style="33" bestFit="1" customWidth="1"/>
    <col min="18" max="18" width="32.5" style="33" bestFit="1" customWidth="1"/>
    <col min="19" max="19" width="14.5" style="33" bestFit="1" customWidth="1"/>
    <col min="20" max="20" width="12.5" style="33" bestFit="1" customWidth="1"/>
    <col min="21" max="23" width="10.5" style="33" bestFit="1" customWidth="1"/>
    <col min="24" max="24" width="11.5" style="33" bestFit="1" customWidth="1"/>
    <col min="25" max="25" width="10" style="33" bestFit="1" customWidth="1"/>
    <col min="26" max="26" width="9.1640625" style="33"/>
    <col min="27" max="27" width="3.5" style="33" customWidth="1"/>
    <col min="28" max="29" width="20.5" style="33" customWidth="1"/>
    <col min="30" max="30" width="37.5" style="33" customWidth="1"/>
    <col min="31" max="31" width="14.5" style="33" bestFit="1" customWidth="1"/>
    <col min="32" max="32" width="11.5" style="33" bestFit="1" customWidth="1"/>
    <col min="33" max="35" width="10.5" style="33" bestFit="1" customWidth="1"/>
    <col min="36" max="36" width="11.5" style="33" bestFit="1" customWidth="1"/>
    <col min="37" max="41" width="9.1640625" style="33"/>
    <col min="42" max="42" width="5.5" style="33" customWidth="1"/>
    <col min="43" max="43" width="9.1640625" style="33"/>
    <col min="44" max="44" width="255.5" style="33" customWidth="1"/>
    <col min="45" max="45" width="127.5" style="33" customWidth="1"/>
    <col min="46" max="46" width="16.5" style="33" bestFit="1" customWidth="1"/>
    <col min="47" max="48" width="10" style="33" bestFit="1" customWidth="1"/>
    <col min="49" max="49" width="9.5" style="33" bestFit="1" customWidth="1"/>
    <col min="50" max="53" width="10" style="33" bestFit="1" customWidth="1"/>
    <col min="54" max="16384" width="9.1640625" style="33"/>
  </cols>
  <sheetData>
    <row r="1" spans="1:52" ht="82.5" customHeight="1" x14ac:dyDescent="0.15">
      <c r="A1" s="449" t="s">
        <v>422</v>
      </c>
      <c r="B1" s="449"/>
      <c r="C1" s="449"/>
      <c r="D1" s="449"/>
      <c r="E1" s="449"/>
      <c r="F1" s="449"/>
      <c r="G1" s="449"/>
      <c r="H1" s="449"/>
      <c r="I1" s="449"/>
      <c r="J1" s="449"/>
      <c r="K1" s="449"/>
      <c r="L1" s="449"/>
      <c r="M1" s="449"/>
      <c r="N1" s="449"/>
      <c r="O1" s="449"/>
      <c r="P1" s="449"/>
      <c r="Q1" s="449"/>
      <c r="R1" s="449"/>
      <c r="S1" s="449"/>
      <c r="T1" s="449"/>
    </row>
    <row r="2" spans="1:52" s="2" customFormat="1" ht="59.25" customHeight="1" x14ac:dyDescent="0.2">
      <c r="A2" s="450" t="s">
        <v>423</v>
      </c>
      <c r="B2" s="450"/>
      <c r="C2" s="451">
        <f>home!C4</f>
        <v>0</v>
      </c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</row>
    <row r="3" spans="1:52" s="34" customFormat="1" ht="303" customHeight="1" x14ac:dyDescent="0.1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</row>
    <row r="4" spans="1:52" s="34" customFormat="1" ht="26" x14ac:dyDescent="0.15">
      <c r="A4" s="24"/>
      <c r="B4" s="24"/>
      <c r="C4" s="24"/>
      <c r="D4" s="24" t="s">
        <v>424</v>
      </c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</row>
    <row r="16" spans="1:52" ht="99" customHeight="1" x14ac:dyDescent="0.15"/>
  </sheetData>
  <sheetProtection password="B0E0" sheet="1" objects="1" scenarios="1" selectLockedCells="1" selectUnlockedCells="1"/>
  <mergeCells count="3">
    <mergeCell ref="A1:T1"/>
    <mergeCell ref="A2:B2"/>
    <mergeCell ref="C2:T2"/>
  </mergeCells>
  <pageMargins left="0.70866141732283472" right="0.70866141732283472" top="0.74803149606299213" bottom="0.74803149606299213" header="0.31496062992125984" footer="0.31496062992125984"/>
  <pageSetup paperSize="9" scale="25" fitToHeight="8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">
    <tabColor rgb="FFC00000"/>
    <pageSetUpPr fitToPage="1"/>
  </sheetPr>
  <dimension ref="A1:AZ16"/>
  <sheetViews>
    <sheetView showGridLines="0" showRowColHeaders="0" zoomScale="85" zoomScaleNormal="85" zoomScaleSheetLayoutView="55" workbookViewId="0">
      <selection activeCell="I3" sqref="I3"/>
    </sheetView>
  </sheetViews>
  <sheetFormatPr baseColWidth="10" defaultColWidth="9.1640625" defaultRowHeight="14" x14ac:dyDescent="0.15"/>
  <cols>
    <col min="1" max="1" width="15.5" style="33" customWidth="1"/>
    <col min="2" max="2" width="26.5" style="33" customWidth="1"/>
    <col min="3" max="3" width="24" style="33" customWidth="1"/>
    <col min="4" max="4" width="52.83203125" style="33" customWidth="1"/>
    <col min="5" max="5" width="14.5" style="33" customWidth="1"/>
    <col min="6" max="6" width="10.83203125" style="33" customWidth="1"/>
    <col min="7" max="9" width="10.5" style="33" customWidth="1"/>
    <col min="10" max="10" width="11.5" style="33" customWidth="1"/>
    <col min="11" max="12" width="9.1640625" style="33" customWidth="1"/>
    <col min="13" max="13" width="12" style="33" customWidth="1"/>
    <col min="14" max="14" width="11.5" style="33" customWidth="1"/>
    <col min="15" max="15" width="3.5" style="23" customWidth="1"/>
    <col min="16" max="17" width="22.5" style="33" bestFit="1" customWidth="1"/>
    <col min="18" max="18" width="32.5" style="33" bestFit="1" customWidth="1"/>
    <col min="19" max="19" width="14.5" style="33" bestFit="1" customWidth="1"/>
    <col min="20" max="20" width="12.5" style="33" bestFit="1" customWidth="1"/>
    <col min="21" max="23" width="10.5" style="33" bestFit="1" customWidth="1"/>
    <col min="24" max="24" width="11.5" style="33" bestFit="1" customWidth="1"/>
    <col min="25" max="25" width="10" style="33" bestFit="1" customWidth="1"/>
    <col min="26" max="26" width="9.1640625" style="33"/>
    <col min="27" max="27" width="3.5" style="33" customWidth="1"/>
    <col min="28" max="29" width="20.5" style="33" customWidth="1"/>
    <col min="30" max="30" width="37.5" style="33" customWidth="1"/>
    <col min="31" max="31" width="14.5" style="33" bestFit="1" customWidth="1"/>
    <col min="32" max="32" width="11.5" style="33" bestFit="1" customWidth="1"/>
    <col min="33" max="35" width="10.5" style="33" bestFit="1" customWidth="1"/>
    <col min="36" max="36" width="11.5" style="33" bestFit="1" customWidth="1"/>
    <col min="37" max="41" width="9.1640625" style="33"/>
    <col min="42" max="42" width="5.5" style="33" customWidth="1"/>
    <col min="43" max="43" width="9.1640625" style="33"/>
    <col min="44" max="44" width="255.5" style="33" customWidth="1"/>
    <col min="45" max="45" width="127.5" style="33" customWidth="1"/>
    <col min="46" max="46" width="16.5" style="33" bestFit="1" customWidth="1"/>
    <col min="47" max="48" width="10" style="33" bestFit="1" customWidth="1"/>
    <col min="49" max="49" width="9.5" style="33" bestFit="1" customWidth="1"/>
    <col min="50" max="53" width="10" style="33" bestFit="1" customWidth="1"/>
    <col min="54" max="16384" width="9.1640625" style="33"/>
  </cols>
  <sheetData>
    <row r="1" spans="1:52" ht="48" customHeight="1" x14ac:dyDescent="0.15">
      <c r="A1" s="452" t="s">
        <v>425</v>
      </c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2"/>
      <c r="O1" s="452"/>
      <c r="P1" s="452"/>
      <c r="Q1" s="452"/>
      <c r="R1" s="452"/>
      <c r="S1" s="452"/>
      <c r="T1" s="452"/>
    </row>
    <row r="2" spans="1:52" s="2" customFormat="1" ht="36.75" customHeight="1" x14ac:dyDescent="0.2">
      <c r="A2" s="453" t="s">
        <v>423</v>
      </c>
      <c r="B2" s="453"/>
      <c r="C2" s="454">
        <f>home!C4</f>
        <v>0</v>
      </c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  <c r="S2" s="454"/>
      <c r="T2" s="454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</row>
    <row r="3" spans="1:52" s="34" customFormat="1" ht="303" customHeight="1" x14ac:dyDescent="0.1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</row>
    <row r="4" spans="1:52" s="34" customFormat="1" ht="25" x14ac:dyDescent="0.1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</row>
    <row r="16" spans="1:52" ht="99" customHeight="1" x14ac:dyDescent="0.15"/>
  </sheetData>
  <sheetProtection password="B0D8" sheet="1" objects="1" insertColumns="0" insertRows="0" selectLockedCells="1" selectUnlockedCells="1"/>
  <mergeCells count="3">
    <mergeCell ref="A1:T1"/>
    <mergeCell ref="A2:B2"/>
    <mergeCell ref="C2:T2"/>
  </mergeCells>
  <pageMargins left="0.70866141732283472" right="0.70866141732283472" top="0.74803149606299213" bottom="0.74803149606299213" header="0.31496062992125984" footer="0.31496062992125984"/>
  <pageSetup paperSize="9" scale="25" fitToHeight="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">
    <tabColor rgb="FFC00000"/>
    <pageSetUpPr fitToPage="1"/>
  </sheetPr>
  <dimension ref="A1:AZ16"/>
  <sheetViews>
    <sheetView showGridLines="0" showRowColHeaders="0" zoomScale="85" zoomScaleNormal="85" zoomScaleSheetLayoutView="55" workbookViewId="0">
      <selection sqref="A1:T1"/>
    </sheetView>
  </sheetViews>
  <sheetFormatPr baseColWidth="10" defaultColWidth="9.1640625" defaultRowHeight="14" x14ac:dyDescent="0.15"/>
  <cols>
    <col min="1" max="1" width="15.5" style="33" customWidth="1"/>
    <col min="2" max="2" width="26.5" style="33" customWidth="1"/>
    <col min="3" max="3" width="24" style="33" customWidth="1"/>
    <col min="4" max="4" width="52.83203125" style="33" customWidth="1"/>
    <col min="5" max="5" width="14.5" style="33" customWidth="1"/>
    <col min="6" max="6" width="10.83203125" style="33" customWidth="1"/>
    <col min="7" max="9" width="10.5" style="33" customWidth="1"/>
    <col min="10" max="10" width="11.5" style="33" customWidth="1"/>
    <col min="11" max="12" width="9.1640625" style="33" customWidth="1"/>
    <col min="13" max="13" width="12" style="33" customWidth="1"/>
    <col min="14" max="14" width="11.5" style="33" customWidth="1"/>
    <col min="15" max="15" width="3.5" style="23" customWidth="1"/>
    <col min="16" max="17" width="22.5" style="33" bestFit="1" customWidth="1"/>
    <col min="18" max="18" width="32.5" style="33" bestFit="1" customWidth="1"/>
    <col min="19" max="19" width="14.5" style="33" bestFit="1" customWidth="1"/>
    <col min="20" max="20" width="12.5" style="33" bestFit="1" customWidth="1"/>
    <col min="21" max="23" width="10.5" style="33" bestFit="1" customWidth="1"/>
    <col min="24" max="24" width="11.5" style="33" bestFit="1" customWidth="1"/>
    <col min="25" max="25" width="10" style="33" bestFit="1" customWidth="1"/>
    <col min="26" max="26" width="9.1640625" style="33"/>
    <col min="27" max="27" width="3.5" style="33" customWidth="1"/>
    <col min="28" max="29" width="20.5" style="33" customWidth="1"/>
    <col min="30" max="30" width="37.5" style="33" customWidth="1"/>
    <col min="31" max="31" width="14.5" style="33" bestFit="1" customWidth="1"/>
    <col min="32" max="32" width="11.5" style="33" bestFit="1" customWidth="1"/>
    <col min="33" max="35" width="10.5" style="33" bestFit="1" customWidth="1"/>
    <col min="36" max="36" width="11.5" style="33" bestFit="1" customWidth="1"/>
    <col min="37" max="41" width="9.1640625" style="33"/>
    <col min="42" max="42" width="5.5" style="33" customWidth="1"/>
    <col min="43" max="43" width="9.1640625" style="33"/>
    <col min="44" max="44" width="255.5" style="33" customWidth="1"/>
    <col min="45" max="45" width="127.5" style="33" customWidth="1"/>
    <col min="46" max="46" width="16.5" style="33" bestFit="1" customWidth="1"/>
    <col min="47" max="48" width="10" style="33" bestFit="1" customWidth="1"/>
    <col min="49" max="49" width="9.5" style="33" bestFit="1" customWidth="1"/>
    <col min="50" max="53" width="10" style="33" bestFit="1" customWidth="1"/>
    <col min="54" max="16384" width="9.1640625" style="33"/>
  </cols>
  <sheetData>
    <row r="1" spans="1:52" ht="48" customHeight="1" x14ac:dyDescent="0.15">
      <c r="A1" s="452" t="s">
        <v>426</v>
      </c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2"/>
      <c r="O1" s="452"/>
      <c r="P1" s="452"/>
      <c r="Q1" s="452"/>
      <c r="R1" s="452"/>
      <c r="S1" s="452"/>
      <c r="T1" s="452"/>
    </row>
    <row r="2" spans="1:52" s="2" customFormat="1" ht="36.75" customHeight="1" x14ac:dyDescent="0.2">
      <c r="A2" s="455" t="s">
        <v>423</v>
      </c>
      <c r="B2" s="455"/>
      <c r="C2" s="454">
        <f>home!C4</f>
        <v>0</v>
      </c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  <c r="S2" s="454"/>
      <c r="T2" s="454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</row>
    <row r="3" spans="1:52" s="34" customFormat="1" ht="303" customHeight="1" x14ac:dyDescent="0.1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</row>
    <row r="4" spans="1:52" s="34" customFormat="1" ht="25" x14ac:dyDescent="0.1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</row>
    <row r="16" spans="1:52" ht="99" customHeight="1" x14ac:dyDescent="0.15"/>
  </sheetData>
  <sheetProtection selectLockedCells="1" selectUnlockedCells="1"/>
  <mergeCells count="3">
    <mergeCell ref="A1:T1"/>
    <mergeCell ref="A2:B2"/>
    <mergeCell ref="C2:T2"/>
  </mergeCells>
  <pageMargins left="0.70866141732283472" right="0.70866141732283472" top="0.74803149606299213" bottom="0.74803149606299213" header="0.31496062992125984" footer="0.31496062992125984"/>
  <pageSetup paperSize="9" scale="25" fitToHeight="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45B1D6DF654648B2EEA91787796023" ma:contentTypeVersion="6" ma:contentTypeDescription="Create a new document." ma:contentTypeScope="" ma:versionID="d8b4f1bc34fe4dea011146128d17930f">
  <xsd:schema xmlns:xsd="http://www.w3.org/2001/XMLSchema" xmlns:xs="http://www.w3.org/2001/XMLSchema" xmlns:p="http://schemas.microsoft.com/office/2006/metadata/properties" xmlns:ns2="15dae5b3-84da-4543-847a-162339226388" targetNamespace="http://schemas.microsoft.com/office/2006/metadata/properties" ma:root="true" ma:fieldsID="bba6f4aaec7ec34b9482a57082dd458a" ns2:_="">
    <xsd:import namespace="15dae5b3-84da-4543-847a-1623392263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dae5b3-84da-4543-847a-1623392263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C261C4-397E-4E52-ACEF-8067968E19D3}">
  <ds:schemaRefs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15dae5b3-84da-4543-847a-16233922638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5A2DFDF0-ACE5-4080-86C8-F8F369747E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BF86147-7C04-46C1-BB10-59FE0DB793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dae5b3-84da-4543-847a-1623392263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19</vt:i4>
      </vt:variant>
    </vt:vector>
  </HeadingPairs>
  <TitlesOfParts>
    <vt:vector size="48" baseType="lpstr">
      <vt:lpstr>home</vt:lpstr>
      <vt:lpstr>PDUs</vt:lpstr>
      <vt:lpstr>caseload data</vt:lpstr>
      <vt:lpstr>capacity data</vt:lpstr>
      <vt:lpstr>reductions data</vt:lpstr>
      <vt:lpstr>reductions workings</vt:lpstr>
      <vt:lpstr>FAQs</vt:lpstr>
      <vt:lpstr>divisional &amp; regional overview</vt:lpstr>
      <vt:lpstr>cluster overview</vt:lpstr>
      <vt:lpstr>team overview</vt:lpstr>
      <vt:lpstr>national caseload</vt:lpstr>
      <vt:lpstr>national tier ratios</vt:lpstr>
      <vt:lpstr>divisional &amp; regional caseload</vt:lpstr>
      <vt:lpstr>divisional &amp; regional caseload%</vt:lpstr>
      <vt:lpstr>custody caseload</vt:lpstr>
      <vt:lpstr>custody %</vt:lpstr>
      <vt:lpstr>community caseload</vt:lpstr>
      <vt:lpstr>community %</vt:lpstr>
      <vt:lpstr>divisional &amp; regional capacity</vt:lpstr>
      <vt:lpstr>cluster capacity, unallocateds</vt:lpstr>
      <vt:lpstr>cluster officer capacity ranks</vt:lpstr>
      <vt:lpstr>div &amp; regional over-capacities</vt:lpstr>
      <vt:lpstr>unallocated cases</vt:lpstr>
      <vt:lpstr>reasons for reduction division</vt:lpstr>
      <vt:lpstr>cluster reductions</vt:lpstr>
      <vt:lpstr>div &amp; regional reduction hours</vt:lpstr>
      <vt:lpstr>Caseload Buttons</vt:lpstr>
      <vt:lpstr>Capacity Buttons</vt:lpstr>
      <vt:lpstr>Reductions Buttons</vt:lpstr>
      <vt:lpstr>Anchor_Cell</vt:lpstr>
      <vt:lpstr>EMR</vt:lpstr>
      <vt:lpstr>EoE</vt:lpstr>
      <vt:lpstr>GM</vt:lpstr>
      <vt:lpstr>KSSR</vt:lpstr>
      <vt:lpstr>L</vt:lpstr>
      <vt:lpstr>NER</vt:lpstr>
      <vt:lpstr>NWR</vt:lpstr>
      <vt:lpstr>'div &amp; regional reduction hours'!Print_Area</vt:lpstr>
      <vt:lpstr>'divisional &amp; regional capacity'!Print_Area</vt:lpstr>
      <vt:lpstr>home!Print_Area</vt:lpstr>
      <vt:lpstr>Region_Table</vt:lpstr>
      <vt:lpstr>Regions</vt:lpstr>
      <vt:lpstr>Second_Anchor</vt:lpstr>
      <vt:lpstr>SWSC</vt:lpstr>
      <vt:lpstr>Team_Regions</vt:lpstr>
      <vt:lpstr>W</vt:lpstr>
      <vt:lpstr>WMR</vt:lpstr>
      <vt:lpstr>YATH</vt:lpstr>
    </vt:vector>
  </TitlesOfParts>
  <Manager/>
  <Company>MOJ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Schofield, Ben [NOMS]</dc:creator>
  <cp:keywords/>
  <dc:description/>
  <cp:lastModifiedBy>Mark Rees</cp:lastModifiedBy>
  <cp:revision/>
  <dcterms:created xsi:type="dcterms:W3CDTF">2018-06-21T11:47:43Z</dcterms:created>
  <dcterms:modified xsi:type="dcterms:W3CDTF">2021-10-18T08:22:23Z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0x0101002D45B1D6DF654648B2EEA91787796023</vt:lpwstr>
  </property>
</Properties>
</file>